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2" codeName="{E5D1E7B1-6628-F0F0-D09B-76B25B5F3CD3}"/>
  <fileSharing readOnlyRecommended="1"/>
  <workbookPr updateLinks="never" codeName="ThisWorkbook"/>
  <mc:AlternateContent xmlns:mc="http://schemas.openxmlformats.org/markup-compatibility/2006">
    <mc:Choice Requires="x15">
      <x15ac:absPath xmlns:x15ac="http://schemas.microsoft.com/office/spreadsheetml/2010/11/ac" url="/Users/copernic/Documents/uncf/stock_pitch_competition/Valuation Models/actual-model/"/>
    </mc:Choice>
  </mc:AlternateContent>
  <xr:revisionPtr revIDLastSave="0" documentId="13_ncr:1_{0EFA3126-DE0D-084D-9B3F-C506A28EE830}" xr6:coauthVersionLast="47" xr6:coauthVersionMax="47" xr10:uidLastSave="{00000000-0000-0000-0000-000000000000}"/>
  <bookViews>
    <workbookView xWindow="0" yWindow="780" windowWidth="29040" windowHeight="15720" activeTab="1" autoFilterDateGrouping="0" xr2:uid="{00000000-000D-0000-FFFF-FFFF00000000}"/>
  </bookViews>
  <sheets>
    <sheet name="Control" sheetId="239" state="hidden" r:id="rId1"/>
    <sheet name="Summary" sheetId="330" r:id="rId2"/>
    <sheet name="Valuation" sheetId="1" r:id="rId3"/>
    <sheet name="ROIC" sheetId="319" r:id="rId4"/>
    <sheet name="Income" sheetId="299" r:id="rId5"/>
    <sheet name="Balance" sheetId="300" r:id="rId6"/>
    <sheet name="Cash Flow" sheetId="301" r:id="rId7"/>
    <sheet name="Comparables" sheetId="3" r:id="rId8"/>
    <sheet name="Buildup" sheetId="307" r:id="rId9"/>
    <sheet name="PB_CACHE" sheetId="488" state="veryHidden" r:id="rId10"/>
    <sheet name="Financial Statements" sheetId="485" r:id="rId11"/>
    <sheet name="Metrics" sheetId="486" r:id="rId12"/>
    <sheet name="Quarterly" sheetId="487" r:id="rId13"/>
    <sheet name="Ratios" sheetId="198" state="hidden" r:id="rId14"/>
    <sheet name="Hidden Formulas" sheetId="18" state="veryHidden" r:id="rId15"/>
    <sheet name="_ExportData" sheetId="230" state="veryHidden" r:id="rId16"/>
    <sheet name="PB_CACHE_JS" sheetId="466" state="veryHidden" r:id="rId17"/>
    <sheet name="CACHE_CHARTS_JS" sheetId="467" state="veryHidden" r:id="rId18"/>
  </sheets>
  <functionGroups builtInGroupCount="19"/>
  <externalReferences>
    <externalReference r:id="rId19"/>
    <externalReference r:id="rId20"/>
  </externalReferences>
  <definedNames>
    <definedName name="___ABT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ABT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FDS_HYPERLINK_TOGGLE_STATE__">"ON"</definedName>
    <definedName name="_1___123Graph_AKDM_883" localSheetId="3" hidden="1">[1]GRPWAS9!#REF!</definedName>
    <definedName name="_1___123Graph_AKDM_883" hidden="1">[1]GRPWAS9!#REF!</definedName>
    <definedName name="_2___123Graph_AKDM_883" hidden="1">#N/A</definedName>
    <definedName name="_2___123Graph_LBL_AKDM_883" localSheetId="3" hidden="1">[1]GRPWAS9!#REF!</definedName>
    <definedName name="_2___123Graph_LBL_AKDM_883" hidden="1">[1]GRPWAS9!#REF!</definedName>
    <definedName name="_2__123Graph_AKDM_883" hidden="1">#N/A</definedName>
    <definedName name="_3__123Graph_AKDM_883" localSheetId="3" hidden="1">[1]GRPWAS9!#REF!</definedName>
    <definedName name="_3__123Graph_AKDM_883" hidden="1">[1]GRPWAS9!#REF!</definedName>
    <definedName name="_4___123Graph_LBL_AKDM_883" hidden="1">#N/A</definedName>
    <definedName name="_4__123Graph_AKDM_883" hidden="1">#N/A</definedName>
    <definedName name="_4__123Graph_LBL_AKDM_883" localSheetId="3" hidden="1">[1]GRPWAS9!#REF!</definedName>
    <definedName name="_4__123Graph_LBL_AKDM_883" hidden="1">[1]GRPWAS9!#REF!</definedName>
    <definedName name="_8__123Graph_LBL_AKDM_883" hidden="1">#N/A</definedName>
    <definedName name="_ABT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12</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Table2_Out" hidden="1">#REF!</definedName>
    <definedName name="AdjROICRange2" localSheetId="3">IF(Valuation!$V$108=5,ROIC!$J$315:$X$315,ROIC!$J$315:$AC$315)</definedName>
    <definedName name="ADR">Valuation!$V$118</definedName>
    <definedName name="AxisRange" localSheetId="3">IF(Valuation!$V$108=5,ROIC!$J$108:$X$108,ROIC!$J$108:$AC$108)</definedName>
    <definedName name="CapBrand" localSheetId="3">IF(Valuation!$V$108=5,ROIC!$J$286:$X$286,ROIC!$J$286:$AC$286)</definedName>
    <definedName name="CapEx" localSheetId="3">IF(Valuation!$V$108=5,ROIC!$J$311:$X$311,ROIC!$J$311:$AC$311)</definedName>
    <definedName name="CapOpCost" localSheetId="3">IF(Valuation!$V$108=5,ROIC!$J$309:$X$309,ROIC!$J$309:$AC$309)</definedName>
    <definedName name="CapOther" localSheetId="3">IF(Valuation!$V$108=5,ROIC!$J$287:$X$287,ROIC!$J$287:$AC$287)</definedName>
    <definedName name="CapRD" localSheetId="3">IF(Valuation!$V$108=5,ROIC!$J$284:$X$284,ROIC!$J$284:$AC$284)</definedName>
    <definedName name="CapSM" localSheetId="3">IF(Valuation!$V$108=5,ROIC!$J$285:$X$285,ROIC!$J$285:$AC$285)</definedName>
    <definedName name="Castle" localSheetId="3">IF(Valuation!$V$108=5,ROIC!$J$325:$X$325,ROIC!$J$325:$AC$325)</definedName>
    <definedName name="COD">Valuation!$AB$104</definedName>
    <definedName name="COE">Valuation!$Y$106</definedName>
    <definedName name="CRP">Valuation!$Y$105</definedName>
    <definedName name="Currency">Valuation!$V$121</definedName>
    <definedName name="CurrentPrice">IF(Valuation!$V$108=5,ROIC!$J$324:$X$324,ROIC!$J$324:$AC$324)</definedName>
    <definedName name="EconEBIT" localSheetId="3">IF(Valuation!$V$108=5,ROIC!$J$300:$X$300,ROIC!$J$300:$AC$300)</definedName>
    <definedName name="EconEBITAve">IF(Valuation!$V$108=5,ROIC!$J$301:$X$301,ROIC!$J$301:$AC$301)</definedName>
    <definedName name="EconomicMoat">INDIRECT(Valuation!$R$5)</definedName>
    <definedName name="EconProf" localSheetId="3">IF(Valuation!$V$108=5,ROIC!$J$318:$X$318,ROIC!$J$318:$AC$318)</definedName>
    <definedName name="ExOpCost" localSheetId="3">IF(Valuation!$V$108=5,ROIC!$J$310:$X$310,ROIC!$J$310:$AC$310)</definedName>
    <definedName name="Future" localSheetId="3">IF(Valuation!$V$108=5,ROIC!$J$327:$X$327,ROIC!$J$327:$AC$327)</definedName>
    <definedName name="FX">Valuation!$V$117</definedName>
    <definedName name="G">[2]Inputs!$S$10</definedName>
    <definedName name="GAAPIA" localSheetId="3">IF(Valuation!$V$108=5,ROIC!$J$282:$X$282,ROIC!$J$282:$AC$282)</definedName>
    <definedName name="Goodwill" localSheetId="3">IF(Valuation!$V$108=5,ROIC!$J$283:$X$283,ROIC!$J$283:$AC$283)</definedName>
    <definedName name="ICT" localSheetId="3">IF(Valuation!$V$108=5,ROIC!$J$302:$X$302,ROIC!$J$302:$AC$302)</definedName>
    <definedName name="ICTAve" localSheetId="3">IF(Valuation!$V$108=5,ROIC!$J$303:$X$303,ROIC!$J$303:$AC$303)</definedName>
    <definedName name="LENGTH">Valuation!$V$109</definedName>
    <definedName name="MoatRange" localSheetId="3">IF(Valuation!$V$108=5,ROIC!$J$326:$X$326,ROIC!$J$326:$AC$326)</definedName>
    <definedName name="Narrow">'Hidden Formulas'!$R$3</definedName>
    <definedName name="NIC">IF(Valuation!$V$108=5,ROIC!$J$335:$X$335,ROIC!$J$335:$AC$335)</definedName>
    <definedName name="NICi">IF(Valuation!$V$108=5,ROIC!$J$336:$X$336,ROIC!$J$336:$AC$336)</definedName>
    <definedName name="None">'Hidden Formulas'!$R$4</definedName>
    <definedName name="OCash" localSheetId="3">IF(Valuation!$V$108=5,ROIC!$J$279:$X$279,ROIC!$J$279:$AC$279)</definedName>
    <definedName name="Pal_Workbook_GUID" hidden="1">"KHG63T246S56U2XVU6MSTNSD"</definedName>
    <definedName name="PPE" localSheetId="3">IF(Valuation!$V$108=5,ROIC!$J$281:$X$281,ROIC!$J$281:$AC$281)</definedName>
    <definedName name="Q">'Hidden Formulas'!$W$24</definedName>
    <definedName name="QQ">'Hidden Formulas'!$W$23</definedName>
    <definedName name="QQQ">'Hidden Formulas'!$W$22</definedName>
    <definedName name="QQQQ">'Hidden Formulas'!$W$21</definedName>
    <definedName name="QQQQQ">'Hidden Formulas'!$W$20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nput1" localSheetId="8" hidden="1">_xll.RiskCellHasTokensFromFormula(262144+512+524288,_xlfn.FORMULATEXT(INDIRECT(ADDRESS(ROW(),COLUMN()))))</definedName>
    <definedName name="RiskInput1" hidden="1">_xll.RiskCellHasTokensFromFormula(262144+512+524288,_xlfn.FORMULATEXT(INDIRECT(ADDRESS(ROW(),COLUMN()))))</definedName>
    <definedName name="RiskIsInput" localSheetId="5" hidden="1">_xll.RiskCellHasTokensFromFormula(262144+512+524288,_xlfn.FORMULATEXT(INDIRECT(ADDRESS(ROW(),COLUMN()))))</definedName>
    <definedName name="RiskIsInput" localSheetId="8" hidden="1">_xll.RiskCellHasTokensFromFormula(262144+512+524288,_xlfn.FORMULATEXT(INDIRECT(ADDRESS(ROW(),COLUMN()))))</definedName>
    <definedName name="RiskIsInput" localSheetId="6" hidden="1">_xll.RiskCellHasTokensFromFormula(262144+512+524288,_xlfn.FORMULATEXT(INDIRECT(ADDRESS(ROW(),COLUMN()))))</definedName>
    <definedName name="RiskIsInput" hidden="1">_xll.RiskCellHasTokensFromFormula(262144+512+524288,_xlfn.FORMULATEXT(INDIRECT(ADDRESS(ROW(),COLUMN()))))</definedName>
    <definedName name="RiskIsOptimization" hidden="1">TRUE</definedName>
    <definedName name="RiskIsOutput" localSheetId="5" hidden="1">_xll.RiskCellHasTokensFromFormula(1024,_xlfn.FORMULATEXT(INDIRECT(ADDRESS(ROW(),COLUMN()))))</definedName>
    <definedName name="RiskIsOutput" localSheetId="8" hidden="1">_xll.RiskCellHasTokensFromFormula(1024,_xlfn.FORMULATEXT(INDIRECT(ADDRESS(ROW(),COLUMN()))))</definedName>
    <definedName name="RiskIsOutput" localSheetId="6" hidden="1">_xll.RiskCellHasTokensFromFormula(1024,_xlfn.FORMULATEXT(INDIRECT(ADDRESS(ROW(),COLUMN()))))</definedName>
    <definedName name="RiskIsOutput" hidden="1">_xll.RiskCellHasTokensFromFormula(1024,_xlfn.FORMULATEXT(INDIRECT(ADDRESS(ROW(),COLUMN()))))</definedName>
    <definedName name="RiskIsStatistics" localSheetId="5" hidden="1">_xll.RiskCellHasTokensFromFormula(4096+32768+65536,_xlfn.FORMULATEXT(INDIRECT(ADDRESS(ROW(),COLUMN()))))</definedName>
    <definedName name="RiskIsStatistics" localSheetId="8" hidden="1">_xll.RiskCellHasTokensFromFormula(4096+32768+65536,_xlfn.FORMULATEXT(INDIRECT(ADDRESS(ROW(),COLUMN()))))</definedName>
    <definedName name="RiskIsStatistics" localSheetId="6" hidden="1">_xll.RiskCellHasTokensFromFormula(4096+32768+65536,_xlfn.FORMULATEXT(INDIRECT(ADDRESS(ROW(),COLUMN()))))</definedName>
    <definedName name="RiskIsStatistics" hidden="1">_xll.RiskCellHasTokensFromFormula(4096+32768+65536,_xlfn.FORMULATEXT(INDIRECT(ADDRESS(ROW(),COLUMN()))))</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ICChart3Series1" localSheetId="3">IF(Valuation!$V$108=5,ROIC!$J$314:$X$314,ROIC!$J$314:$AC$314)</definedName>
    <definedName name="ROICChart5Series1" localSheetId="3">IF(Valuation!$V$108=5,ROIC!$J$335:$X$335,ROIC!$J$335:$AC$335)</definedName>
    <definedName name="ROICChart5Series2" localSheetId="3">IF(Valuation!$V$108=5,ROIC!$J$336:$X$336,ROIC!$J$336:$AC$336)</definedName>
    <definedName name="ROICChart5Series3" localSheetId="3">IF(Valuation!$V$108=5,ROIC!$J$320:$X$320,ROIC!$J$320:$AC$320)</definedName>
    <definedName name="RONIC">[2]Inputs!$S$9</definedName>
    <definedName name="Scenario">Valuation!$Z$116</definedName>
    <definedName name="Scenarios">[2]Inputs!$I$15:$I$19</definedName>
    <definedName name="SharePrice">IF(Valuation!$V$108=5,ROIC!$J$320:$X$320,ROIC!$J$320:$AC$320)</definedName>
    <definedName name="StarRating">INDIRECT(Valuation!$C$5)</definedName>
    <definedName name="Symbol">Valuation!$V$116</definedName>
    <definedName name="Units">Valuation!$W$124</definedName>
    <definedName name="WACC">Valuation!$Y$113</definedName>
    <definedName name="WACCRange" localSheetId="3">IF(Valuation!$V$108=5,ROIC!$J$312:$X$312,ROIC!$J$312:$AC$312)</definedName>
    <definedName name="WC" localSheetId="3">IF(Valuation!$V$108=5,ROIC!$J$280:$X$280,ROIC!$J$280:$AC$280)</definedName>
    <definedName name="Wide">'Hidden Formulas'!$R$2</definedName>
    <definedName name="YC_AC_EFFECT_IS">"cumulative_effect_acc_change"</definedName>
    <definedName name="YC_AC_EFFECT_IS_ANN">"cumulative_effect_acc_change_annual"</definedName>
    <definedName name="YC_AC_EFFECT_IS_TTM">"cumulative_effect_acc_change_ttm"</definedName>
    <definedName name="YC_ACC">"accruals"</definedName>
    <definedName name="YC_ACCCI">"comprehensive_income"</definedName>
    <definedName name="YC_ACCCI_ANN">"comprehensive_income_annual"</definedName>
    <definedName name="YC_ACCMDA">"total_accumulated_d_and_d"</definedName>
    <definedName name="YC_ACCMDA_ANN">"total_accumulated_d_and_d_annual"</definedName>
    <definedName name="YC_ACCR_EXP">"accrued_expenses"</definedName>
    <definedName name="YC_ACCR_EXP_ANN">"accrued_expenses_annual"</definedName>
    <definedName name="YC_AP">"accounts_payable"</definedName>
    <definedName name="YC_AP_ANN">"accounts_payable_annual"</definedName>
    <definedName name="YC_APIC">"additional_paid_in_capital"</definedName>
    <definedName name="YC_APIC_ANN">"additional_paid_in_capital_annual"</definedName>
    <definedName name="YC_AR">"accounts_receivable"</definedName>
    <definedName name="YC_AR_ANN">"accounts_receivable_annual"</definedName>
    <definedName name="YC_ASOB">"average_shares_outs_basic"</definedName>
    <definedName name="YC_ASOB_ANN">"average_shares_outs_basic_annual"</definedName>
    <definedName name="YC_ASOD">"average_shares_outs_diluted"</definedName>
    <definedName name="YC_ASOD_ANN">"average_shares_outs_diluted_annual"</definedName>
    <definedName name="YC_ATAX_INC_TTM">"income_after_tax_ttm"</definedName>
    <definedName name="YC_AU">"asset_utilization"</definedName>
    <definedName name="YC_BEG_CASH">"beginning_cash"</definedName>
    <definedName name="YC_BEG_CASH_ANN">"beginning_cash_annual"</definedName>
    <definedName name="YC_BETA">"market_beta_60_month"</definedName>
    <definedName name="YC_C_DISCOP_ADJ">"disc_ops_cash_flow_adjust"</definedName>
    <definedName name="YC_C_DISCOP_ADJ_ANN">"disc_ops_cash_flow_adjust_annual"</definedName>
    <definedName name="YC_C_DISCOP_ADJ_TTM">"disc_ops_cash_flow_adjust_ttm"</definedName>
    <definedName name="YC_CAPEX">"capex"</definedName>
    <definedName name="YC_CAPEX_TTM">"capex_ttm"</definedName>
    <definedName name="YC_CASH">"cash_and_equivalents"</definedName>
    <definedName name="YC_CASH_ANN">"cash_and_equivalents_annual"</definedName>
    <definedName name="YC_CCC">"cash_conversion_cycle"</definedName>
    <definedName name="YC_CCC_ANN">"cash_conversion_cycle_annual"</definedName>
    <definedName name="YC_CDPR">"cash_dividend_payout_ratio"</definedName>
    <definedName name="YC_CFF">"financing_activities_other"</definedName>
    <definedName name="YC_CFF_ANN">"financing_activities_other_annual"</definedName>
    <definedName name="YC_CFF_TTM">"financing_activities_other_ttm"</definedName>
    <definedName name="YC_CFI">"cash_investing"</definedName>
    <definedName name="YC_CFI_ANN">"cash_investing_annual"</definedName>
    <definedName name="YC_CFI_TTM">"cash_investing_ttm"</definedName>
    <definedName name="YC_CFIN">"cash_financing"</definedName>
    <definedName name="YC_CFIN_ANN">"cash_financing_annual"</definedName>
    <definedName name="YC_CFIN_TTM">"cash_financing_ttm"</definedName>
    <definedName name="YC_CFO">"cash_operations"</definedName>
    <definedName name="YC_CFO_ANN">"cash_operations_annual"</definedName>
    <definedName name="YC_CFO_TTM">"cash_operations_ttm"</definedName>
    <definedName name="YC_CHG_ADQDIVS">"net_acquisitions_divestitures"</definedName>
    <definedName name="YC_CHG_ADQDIVS_ANN">"net_acquisitions_divestitures_annual"</definedName>
    <definedName name="YC_CHG_ADQDIVS_TTM">"net_acquisitions_divestitures_ttm"</definedName>
    <definedName name="YC_CHG_AP">"change_in_accounts_payable"</definedName>
    <definedName name="YC_CHG_AP_ANN">"change_in_accounts_payable_annual"</definedName>
    <definedName name="YC_CHG_AP_TTM">"change_in_accounts_payable_ttm"</definedName>
    <definedName name="YC_CHG_AR">"change_in_acc_receivable"</definedName>
    <definedName name="YC_CHG_AR_ANN">"change_in_acc_receivable_annual"</definedName>
    <definedName name="YC_CHG_AR_TTM">"change_in_acc_receivable_ttm"</definedName>
    <definedName name="YC_CHG_ASLIAB">"total_changes_in_assets_liab"</definedName>
    <definedName name="YC_CHG_ASLIAB_ANN">"total_changes_in_assets_liab_annual"</definedName>
    <definedName name="YC_CHG_ASLIAB_TTM">"total_changes_in_assets_liab_ttm"</definedName>
    <definedName name="YC_CHG_CASH">"increase_in_cash"</definedName>
    <definedName name="YC_CHG_CASH_ANN">"increase_in_cash_annual"</definedName>
    <definedName name="YC_CHG_CASH_TTM">"increase_in_cash_ttm"</definedName>
    <definedName name="YC_CHG_CUR_DEBT">"net_current_debt"</definedName>
    <definedName name="YC_CHG_CUR_DEBT_ANN">"net_current_debt_annual"</definedName>
    <definedName name="YC_CHG_CUR_DEBT_TTM">"net_current_debt_ttm"</definedName>
    <definedName name="YC_CHG_INCTAX">"change_in_income_taxes"</definedName>
    <definedName name="YC_CHG_INCTAX_ANN">"change_in_income_taxes_annual"</definedName>
    <definedName name="YC_CHG_INCTAX_TTM">"change_in_income_taxes_ttm"</definedName>
    <definedName name="YC_CHG_INV">"change_in_inventories"</definedName>
    <definedName name="YC_CHG_INV_ANN">"change_in_inventories_annual"</definedName>
    <definedName name="YC_CHG_INV_TTM">"change_in_inventories_ttm"</definedName>
    <definedName name="YC_CHG_LTD">"net_long_term_debt"</definedName>
    <definedName name="YC_CHG_LTD_ANN">"net_long_term_debt_annual"</definedName>
    <definedName name="YC_CHG_LTD_TTM">"net_long_term_debt_ttm"</definedName>
    <definedName name="YC_CHG_PPE">"net_change_in_pp_and_e"</definedName>
    <definedName name="YC_CHG_PPE_ANN">"net_change_in_pp_and_e_annual"</definedName>
    <definedName name="YC_CHG_PPE_TTM">"net_change_in_pp_and_e_ttm"</definedName>
    <definedName name="YC_CHG_ST_INVEST">"net_change_in_st_investments"</definedName>
    <definedName name="YC_CHG_ST_INVEST_ANN">"net_change_in_st_investments_annual"</definedName>
    <definedName name="YC_CHG_ST_INVEST_TTM">"net_change_in_st_investments_ttm"</definedName>
    <definedName name="YC_CO_INC">"income_bef_ex_items_and_disc_ops"</definedName>
    <definedName name="YC_CO_INC_ANN">"income_bef_ex_items_and_disc_ops_annual"</definedName>
    <definedName name="YC_CO_INC_TTM">"income_bef_ex_items_and_disc_ops_ttm"</definedName>
    <definedName name="YC_COGS">"cost_of_goods_sold"</definedName>
    <definedName name="YC_COGS_ANN">"cost_of_goods_sold_annual"</definedName>
    <definedName name="YC_COGS_TTM">"cost_of_goods_sold_ttm"</definedName>
    <definedName name="YC_COMEQ">"book_value_of_equity"</definedName>
    <definedName name="YC_COMEQ_ANN">"book_value_of_equity_annual"</definedName>
    <definedName name="YC_CSI">"cash_on_hand"</definedName>
    <definedName name="YC_CSI_ANN">"cash_on_hand_annual"</definedName>
    <definedName name="YC_CUR">"current_ratio"</definedName>
    <definedName name="YC_CUR_AS">"total_current_assets"</definedName>
    <definedName name="YC_CUR_AS_ANN">"total_current_assets_annual"</definedName>
    <definedName name="YC_CUR_DTA">"deferred_tax_assets_curr"</definedName>
    <definedName name="YC_CUR_DTA_ANN">"deferred_tax_assets_curr_annual"</definedName>
    <definedName name="YC_CUR_LIAB">"total_current_liabilities"</definedName>
    <definedName name="YC_CUR_LIAB_ANN">"total_current_liabilities_annual"</definedName>
    <definedName name="YC_CUR_OTHAS">"other_current_assets"</definedName>
    <definedName name="YC_CUR_OTHAS_ANN">"other_current_assets_annual"</definedName>
    <definedName name="YC_CUR_OTHLIAB">"other_current_liabilities"</definedName>
    <definedName name="YC_CUR_OTHLIAB_ANN">"other_current_liabilities_annual"</definedName>
    <definedName name="YC_CUR_TAX_PAY">"current_portion_taxes_payable"</definedName>
    <definedName name="YC_CUR_TAX_PAY_ANN">"current_portion_taxes_payable_annual"</definedName>
    <definedName name="YC_DA">"total_depr_and_amortization"</definedName>
    <definedName name="YC_DA_ANN">"total_depr_and_amortization_annual"</definedName>
    <definedName name="YC_DA_EXP">"total_depr_and_amor"</definedName>
    <definedName name="YC_DA_EXP_ANN">"total_depr_and_amor_annual"</definedName>
    <definedName name="YC_DA_EXP_TTM">"total_depr_and_amor_ttm"</definedName>
    <definedName name="YC_DA_TTM">"total_depr_and_amortization_ttm"</definedName>
    <definedName name="YC_DE">"debt_equity_ratio"</definedName>
    <definedName name="YC_DEF_COMP">"deferred_compensation"</definedName>
    <definedName name="YC_DEF_COMP_ANN">"deferred_compensation_annual"</definedName>
    <definedName name="YC_DEF_CUR_REV">"deferred_revenue_current"</definedName>
    <definedName name="YC_DEF_CUR_REV_ANN">"deferred_revenue_current_annual"</definedName>
    <definedName name="YC_DEF_CUR_TAXLIAB">"deferred_tax_liability_current"</definedName>
    <definedName name="YC_DEF_CUR_TAXLIAB_ANN">"deferred_tax_liability_current_annual"</definedName>
    <definedName name="YC_DEF_LT_CHG">"deferred_charges_non_current"</definedName>
    <definedName name="YC_DEF_LT_CHG_ANN">"deferred_charges_non_current_annual"</definedName>
    <definedName name="YC_DEF_LT_TAXAS">"deferred_tax_assets_long_term"</definedName>
    <definedName name="YC_DEF_LT_TAXAS_ANN">"deferred_tax_assets_long_term_annual"</definedName>
    <definedName name="YC_DEF_LT_TAXLIAB">"deferred_tax_liab_long_term"</definedName>
    <definedName name="YC_DEF_LT_TAXLIAB_ANN">"deferred_tax_liab_long_term_annual"</definedName>
    <definedName name="YC_DEF_NCUR_REV">"deferred_revenue_non_current"</definedName>
    <definedName name="YC_DEF_NCUR_REV_ANN">"deferred_revenue_non_current_annual"</definedName>
    <definedName name="YC_DESCRIPTION">"description"</definedName>
    <definedName name="YC_DIO">"days_inventory_outstanding"</definedName>
    <definedName name="YC_DIO_ANN">"days_inventory_outstanding_annual"</definedName>
    <definedName name="YC_DIV">"dividend"</definedName>
    <definedName name="YC_DIV_PAY">"dividends_payable"</definedName>
    <definedName name="YC_DIV_PAY_ANN">"dividends_payable_annual"</definedName>
    <definedName name="YC_DIV_PD">"total_stock_dividends_paid"</definedName>
    <definedName name="YC_DIV_PD_ANN">"total_stock_dividends_paid_annual"</definedName>
    <definedName name="YC_DIV_PD_TTM">"total_stock_dividends_paid_ttm"</definedName>
    <definedName name="YC_DIVY">"dividend_yield"</definedName>
    <definedName name="YC_DO_INC">"income_from_discontinued_ops"</definedName>
    <definedName name="YC_DO_INC_ANN">"income_from_discontinued_ops_annual"</definedName>
    <definedName name="YC_DO_INC_TTM">"income_from_discontinued_ops_ttm"</definedName>
    <definedName name="YC_DPO">"days_payables_outstanding"</definedName>
    <definedName name="YC_DPO_ANN">"days_payables_outstanding_annual"</definedName>
    <definedName name="YC_DSO">"days_sales_outstanding"</definedName>
    <definedName name="YC_DSO_ANN">"days_sales_outstanding_annual"</definedName>
    <definedName name="YC_EBIT">"ebit"</definedName>
    <definedName name="YC_EBIT_ANN">"ebit_annual"</definedName>
    <definedName name="YC_EBIT_TTM">"ebit_ttm"</definedName>
    <definedName name="YC_EBITDA">"ebitda"</definedName>
    <definedName name="YC_EBITDA_ANN">"ebitda_annual"</definedName>
    <definedName name="YC_EBITDA_MGN">"ebitda_margin_ttm"</definedName>
    <definedName name="YC_EBITDA_TTM">"ebitda_ttm"</definedName>
    <definedName name="YC_END_CASH">"end_cash"</definedName>
    <definedName name="YC_END_CASH_ANN">"end_cash_annual"</definedName>
    <definedName name="YC_EPS">"eps"</definedName>
    <definedName name="YC_EPS_ANN">"eps_annual"</definedName>
    <definedName name="YC_EPS_ANN_FWD">"eps_est_0y"</definedName>
    <definedName name="YC_EPS_ANN_FWD_1Y">"eps_est_1y"</definedName>
    <definedName name="YC_EPS_ANN_FWD_2Y">"eps_est_2y"</definedName>
    <definedName name="YC_EPS_ANN_FWD_3Y">"eps_est_3y"</definedName>
    <definedName name="YC_EPS_BSC">"net_eps_basic"</definedName>
    <definedName name="YC_EPS_BSC_ANN">"net_eps_basic_annual"</definedName>
    <definedName name="YC_EPS_BSC_TTM">"net_eps_basic_ttm"</definedName>
    <definedName name="YC_EPS_FWD">"eps_est_0q"</definedName>
    <definedName name="YC_EPS_FWD_1Q">"eps_est_1q"</definedName>
    <definedName name="YC_EPS_FWD_2Q">"eps_est_2q"</definedName>
    <definedName name="YC_EPS_FWD_3Q">"eps_est_3q"</definedName>
    <definedName name="YC_EPS_FWD_4Q">"eps_est_4q"</definedName>
    <definedName name="YC_EPS_TTM">"eps_ttm"</definedName>
    <definedName name="YC_ETAX_RATE">"effective_tax_rate"</definedName>
    <definedName name="YC_EV">"enterprise_value"</definedName>
    <definedName name="YC_EV_EBIT">"ev_ebit"</definedName>
    <definedName name="YC_EV_EBITDA">"ev_ebitda"</definedName>
    <definedName name="YC_EV_FCF">"ev_free_cash_flow"</definedName>
    <definedName name="YC_EV_REV">"ev_revenues"</definedName>
    <definedName name="YC_EV_REV_FWD">"forward_ev_revenues"</definedName>
    <definedName name="YC_EXCHANGE">"exchange"</definedName>
    <definedName name="YC_EXP">"expenses"</definedName>
    <definedName name="YC_EXP_TTM">"expenses_ttm"</definedName>
    <definedName name="YC_EXTRA_INC">"extraordinary_income"</definedName>
    <definedName name="YC_EXTRA_INC_ANN">"extraordinary_income_annual"</definedName>
    <definedName name="YC_EXTRA_INC_TTM">"extraordinary_income_ttm"</definedName>
    <definedName name="YC_EY">"earning_yield"</definedName>
    <definedName name="YC_EY_FWD">"forward_earnings_yield"</definedName>
    <definedName name="YC_FCF">"free_cash_flow"</definedName>
    <definedName name="YC_FCFY">"free_cash_flow_yield"</definedName>
    <definedName name="YC_FOREX_ADJ">"foreign_exch_rate_adjust"</definedName>
    <definedName name="YC_FOREX_ADJ_ANN">"foreign_exch_rate_adjust_annual"</definedName>
    <definedName name="YC_FOREX_ADJ_TTM">"foreign_exch_rate_adjust_ttm"</definedName>
    <definedName name="YC_GPFT">"gross_profit"</definedName>
    <definedName name="YC_GPFT_ANN">"gross_profit_annual"</definedName>
    <definedName name="YC_GPFT_MGN">"gross_profit_margin"</definedName>
    <definedName name="YC_GPFT_TTM">"gross_profit_ttm"</definedName>
    <definedName name="YC_GPPE">"gross_property_plant_equip"</definedName>
    <definedName name="YC_GPPE_ANN">"gross_property_plant_equip_annual"</definedName>
    <definedName name="YC_GWIT">"goodwill_and_intangible"</definedName>
    <definedName name="YC_GWIT_ANN">"goodwill_and_intangible_annual"</definedName>
    <definedName name="YC_INDUSTRY">"industry"</definedName>
    <definedName name="YC_INT_EXP">"interest_expense"</definedName>
    <definedName name="YC_INT_INC">"interest_income"</definedName>
    <definedName name="YC_INT_INC_ANN">"interest_income_annual"</definedName>
    <definedName name="YC_INT_INC_TTM">"interest_income_ttm"</definedName>
    <definedName name="YC_INV">"inventories_net"</definedName>
    <definedName name="YC_INV_ANN">"inventories_net_annual"</definedName>
    <definedName name="YC_LIAB">"liabilities"</definedName>
    <definedName name="YC_LIAB_ANN">"liabilities_annual"</definedName>
    <definedName name="YC_LT_INV">"inventory_long_term"</definedName>
    <definedName name="YC_LT_INV_ANN">"inventory_long_term_annual"</definedName>
    <definedName name="YC_LT_PENAS">"pension_post_retirement_asset"</definedName>
    <definedName name="YC_LT_PENAS_ANN">"pension_post_retirement_asset_annual"</definedName>
    <definedName name="YC_LT_PENLIAB">"pension_and_retirement_liab"</definedName>
    <definedName name="YC_LT_PENLIAB_ANN">"pension_and_retirement_liab_annual"</definedName>
    <definedName name="YC_LT_RECV">"long_term_receivables"</definedName>
    <definedName name="YC_LT_RECV_ANN">"long_term_receivables_annual"</definedName>
    <definedName name="YC_LTA_OTH">"other_long_term_assets"</definedName>
    <definedName name="YC_LTA_OTH_ANN">"other_long_term_assets_annual"</definedName>
    <definedName name="YC_LTA_TOT">"total_long_term_assets"</definedName>
    <definedName name="YC_LTA_TOT_ANN">"total_long_term_assets_annual"</definedName>
    <definedName name="YC_LTD">"total_long_term_debt"</definedName>
    <definedName name="YC_LTD_ANN">"total_long_term_debt_annual"</definedName>
    <definedName name="YC_LTD_CURR">"current_portion_debt"</definedName>
    <definedName name="YC_LTD_CURR_ANN">"current_portion_debt_annual"</definedName>
    <definedName name="YC_LTD_TOT">"long_term_debt"</definedName>
    <definedName name="YC_MININT">"minority_interest"</definedName>
    <definedName name="YC_MININT_ANN">"minority_interest_annual"</definedName>
    <definedName name="YC_MININT_BS">"minority_interest_balance_sheet"</definedName>
    <definedName name="YC_MININT_BS_ANN">"minority_interest_balance_sheet_annual"</definedName>
    <definedName name="YC_MININT_TTM">"minority_interest_ttm"</definedName>
    <definedName name="YC_MKTCAP">"market_cap"</definedName>
    <definedName name="YC_NAME">"name"</definedName>
    <definedName name="YC_NCOMEQ_ISS">"net_common_equity_issued"</definedName>
    <definedName name="YC_NCOMEQ_ISS_ANN">"net_common_equity_issued_annual"</definedName>
    <definedName name="YC_NCOMEQ_ISS_TTM">"net_common_equity_issued_ttm"</definedName>
    <definedName name="YC_NCS">"capital_stock"</definedName>
    <definedName name="YC_NCS_ANN">"capital_stock_annual"</definedName>
    <definedName name="YC_NETCHG_IAS">"net_change_in_intang_assets"</definedName>
    <definedName name="YC_NETCHG_IAS_ANN">"net_change_in_intang_assets_annual"</definedName>
    <definedName name="YC_NETCHG_IAS_TTM">"net_change_in_intang_assets_ttm"</definedName>
    <definedName name="YC_NI">"net_income"</definedName>
    <definedName name="YC_NI_ANN">"net_income_annual"</definedName>
    <definedName name="YC_NI_CF">"net_income_cf"</definedName>
    <definedName name="YC_NI_CF_ANN">"net_income_cf_annual"</definedName>
    <definedName name="YC_NI_CF_TTM">"net_income_cf_ttm"</definedName>
    <definedName name="YC_NI_TTM">"net_income_ttm"</definedName>
    <definedName name="YC_NOINT_EXP">"interest_expense_non_operating"</definedName>
    <definedName name="YC_NOINT_EXP_ANN">"interest_expense_non_operating_annual"</definedName>
    <definedName name="YC_NOINT_EXP_TTM">"interest_expense_non_operating_ttm"</definedName>
    <definedName name="YC_NOP_INC">"total_non_operating_income"</definedName>
    <definedName name="YC_NOP_INC_ANN">"total_non_operating_income_annual"</definedName>
    <definedName name="YC_NOP_INC_TTM">"total_non_operating_income_ttm"</definedName>
    <definedName name="YC_NP">"notes_payable"</definedName>
    <definedName name="YC_NP_ANN">"notes_payable_annual"</definedName>
    <definedName name="YC_NPPE">"net_ppe"</definedName>
    <definedName name="YC_NPPE_ANN">"net_ppe_annual"</definedName>
    <definedName name="YC_OP_EY">"operating_earning_yield"</definedName>
    <definedName name="YC_OP_INC">"operating_income"</definedName>
    <definedName name="YC_OP_INC_ANN">"operating_income_annual"</definedName>
    <definedName name="YC_OP_INC_TTM">"operating_income_ttm"</definedName>
    <definedName name="YC_OP_MGN">"operating_margin_ttm"</definedName>
    <definedName name="YC_OP_PE">"operating_pe_ratio"</definedName>
    <definedName name="YC_OPINT_EXP">"interest_expense_oper"</definedName>
    <definedName name="YC_OPINT_EXP_ANN">"interest_expense_oper_annual"</definedName>
    <definedName name="YC_OPINT_EXP_TTM">"interest_expense_oper_ttm"</definedName>
    <definedName name="YC_OTH_CFO">"operating_activities_other"</definedName>
    <definedName name="YC_OTH_CFO_ANN">"operating_activities_other_annual"</definedName>
    <definedName name="YC_OTH_CFO_TTM">"operating_activities_other_ttm"</definedName>
    <definedName name="YC_OTH_INC">"other_income_expense"</definedName>
    <definedName name="YC_OTH_INC_ANN">"other_income_expense_annual"</definedName>
    <definedName name="YC_OTH_INC_TTM">"other_income_expense_ttm"</definedName>
    <definedName name="YC_OTH_LT_LIAB">"other_non_current_liab"</definedName>
    <definedName name="YC_OTH_LT_LIAB_ANN">"other_non_current_liab_annual"</definedName>
    <definedName name="YC_OTH_NCI">"other_non_cash_items"</definedName>
    <definedName name="YC_OTH_NCI_ANN">"other_non_cash_items_annual"</definedName>
    <definedName name="YC_OTH_NCI_TTM">"other_non_cash_items_ttm"</definedName>
    <definedName name="YC_OTH_PAY">"other_payables"</definedName>
    <definedName name="YC_OTH_PAY_ANN">"other_payables_annual"</definedName>
    <definedName name="YC_PB">"price_to_book_value"</definedName>
    <definedName name="YC_PE">"pe_ratio"</definedName>
    <definedName name="YC_PE_FWD">"forward_pe_ratio"</definedName>
    <definedName name="YC_PE_ISS">"net_preferred_equity_issued"</definedName>
    <definedName name="YC_PE_ISS_ANN">"net_preferred_equity_issued_annual"</definedName>
    <definedName name="YC_PE_ISS_TTM">"net_preferred_equity_issued_ttm"</definedName>
    <definedName name="YC_PE10">"pe_10"</definedName>
    <definedName name="YC_PEG">"peg_ratio"</definedName>
    <definedName name="YC_PEG_FWD">"forward_peg_ratio"</definedName>
    <definedName name="YC_PFT_MGN">"profit_margin"</definedName>
    <definedName name="YC_PR">"payout_ratio"</definedName>
    <definedName name="YC_PRE_EXP">"prepaid_expenses"</definedName>
    <definedName name="YC_PRE_EXP_ANN">"prepaid_expenses_annual"</definedName>
    <definedName name="YC_PREFSLIAB">"preferred_stock_liabilities"</definedName>
    <definedName name="YC_PREFSLIAB_ANN">"preferred_stock_liabilities_annual"</definedName>
    <definedName name="YC_PRICE">"price"</definedName>
    <definedName name="YC_PS">"ps_ratio"</definedName>
    <definedName name="YC_PS_DIV">"preferred_stock_div_and_adj"</definedName>
    <definedName name="YC_PS_DIV_ANN">"preferred_stock_div_and_adj_annual"</definedName>
    <definedName name="YC_PS_DIV_TTM">"preferred_stock_div_and_adj_ttm"</definedName>
    <definedName name="YC_PS_FWD">"forward_ps_ratio"</definedName>
    <definedName name="YC_PTAX_INC">"pre_tax_income"</definedName>
    <definedName name="YC_PTAX_INC_ANN">"pre_tax_income_annual"</definedName>
    <definedName name="YC_PTAX_INC_TTM">"pre_tax_income_ttm"</definedName>
    <definedName name="YC_PTB">"price_to_tangible_book_value"</definedName>
    <definedName name="YC_RD_EXP">"r_and_d_expense"</definedName>
    <definedName name="YC_RD_EXP_ANN">"r_and_d_expense_annual"</definedName>
    <definedName name="YC_RD_EXP_TTM">"r_and_d_expense_ttm"</definedName>
    <definedName name="YC_RE">"retained_earnings"</definedName>
    <definedName name="YC_RE_ANN">"retained_earnings_annual"</definedName>
    <definedName name="YC_RECV_TURN">"receivables_turnover"</definedName>
    <definedName name="YC_REV">"revenues"</definedName>
    <definedName name="YC_REV_ANN">"revenues_annual"</definedName>
    <definedName name="YC_REV_ANN_EST">"annual_sales_estimates"</definedName>
    <definedName name="YC_REV_ANN_FWD">"sales_est_0y"</definedName>
    <definedName name="YC_REV_ANN_FWD_1Y">"sales_est_1y"</definedName>
    <definedName name="YC_REV_EST">"quarterly_sales_estimates"</definedName>
    <definedName name="YC_REV_FWD">"sales_est_0q"</definedName>
    <definedName name="YC_REV_FWD_1Q">"sales_est_1q"</definedName>
    <definedName name="YC_REV_FWD_2Q">"sales_est_2q"</definedName>
    <definedName name="YC_REV_FWD_3Q">"sales_est_3q"</definedName>
    <definedName name="YC_REV_TTM">"revenues_ttm"</definedName>
    <definedName name="YC_ROA">"return_on_assets"</definedName>
    <definedName name="YC_ROE">"return_on_equity"</definedName>
    <definedName name="YC_ROIC">"return_on_invested_capital"</definedName>
    <definedName name="YC_SBB">"stock_buyback"</definedName>
    <definedName name="YC_SBB_TTM">"stock_buyback_ttm"</definedName>
    <definedName name="YC_SE">"shareholders_equity"</definedName>
    <definedName name="YC_SE_ANN">"shareholders_equity_annual"</definedName>
    <definedName name="YC_SECTOR">"sector"</definedName>
    <definedName name="YC_SGA_EXP">"sga_expense"</definedName>
    <definedName name="YC_SGA_EXP_ANN">"sga_expense_annual"</definedName>
    <definedName name="YC_SGA_EXP_TTM">"sga_expense_ttm"</definedName>
    <definedName name="YC_SO">"shares_outstanding"</definedName>
    <definedName name="YC_TA">"assets"</definedName>
    <definedName name="YC_TA_ANN">"assets_annual"</definedName>
    <definedName name="YC_TAX_PROV">"provision_for_income_taxes"</definedName>
    <definedName name="YC_TAX_PROV_ANN">"provision_for_income_taxes_annual"</definedName>
    <definedName name="YC_TAX_PROV_TTM">"provision_for_income_taxes_ttm"</definedName>
    <definedName name="YC_TBV">"book_value_of_tangible_equity"</definedName>
    <definedName name="YC_TBV_ANN">"book_value_of_tangible_equity_annual"</definedName>
    <definedName name="YC_TCER">"tangible_common_equity_ratio"</definedName>
    <definedName name="YC_TO_EXP">"total_operating_expense"</definedName>
    <definedName name="YC_TO_EXP_ANN">"total_operating_expense_annual"</definedName>
    <definedName name="YC_TO_EXP_TTM">"total_operating_expense_ttm"</definedName>
    <definedName name="YC_TOT_CHG_INVEST">"net_change_in_invest_total"</definedName>
    <definedName name="YC_TOT_CHG_INVEST_ANN">"net_change_in_invest_total_annual"</definedName>
    <definedName name="YC_TOT_CHG_INVEST_TTM">"net_change_in_invest_total_ttm"</definedName>
    <definedName name="YC_TOT_CHG_LT_INVEST">"net_change_in_lt_investments"</definedName>
    <definedName name="YC_TOT_CHG_LT_INVEST_ANN">"net_change_in_lt_investments_annual"</definedName>
    <definedName name="YC_TOT_CHG_LT_INVEST_TTM">"net_change_in_lt_investments_ttm"</definedName>
    <definedName name="YC_TOT_CS_DIV">"common_stock_dividends_paid"</definedName>
    <definedName name="YC_TOT_CS_DIV_ANN">"common_stock_dividends_paid_annual"</definedName>
    <definedName name="YC_TOT_CS_DIV_TTM">"common_stock_dividends_paid_ttm"</definedName>
    <definedName name="YC_TOT_EQEQUIV">"equity_equivalent"</definedName>
    <definedName name="YC_TOT_EQEQUIV_ANN">"equity_equivalent_annual"</definedName>
    <definedName name="YC_TOT_LIABSE">"total_liab_shareholder_equity"</definedName>
    <definedName name="YC_TOT_LIABSE_ANN">"total_liab_shareholder_equity_annual"</definedName>
    <definedName name="YC_TOT_LT_INVEST">"long_term_investments"</definedName>
    <definedName name="YC_TOT_LT_INVEST_ANN">"long_term_investments_annual"</definedName>
    <definedName name="YC_TOT_LT_LIAB">"total_long_term_liab"</definedName>
    <definedName name="YC_TOT_LT_LIAB_ANN">"total_long_term_liab_annual"</definedName>
    <definedName name="YC_TOT_NCI_TTM">"total_non_cash_items_ttm"</definedName>
    <definedName name="YC_TOT_NDBT_ISS">"debt_issuance_net_total"</definedName>
    <definedName name="YC_TOT_NDBT_ISS_ANN">"debt_issuance_net_total_annual"</definedName>
    <definedName name="YC_TOT_NDBT_ISS_TTM">"debt_issuance_net_total_ttm"</definedName>
    <definedName name="YC_TOT_NE_ISS">"net_common_equity_issued"</definedName>
    <definedName name="YC_TOT_NE_ISS_ANN">"net_common_equity_issued_annual"</definedName>
    <definedName name="YC_TOT_NE_ISS_TTM">"net_common_equity_issued_ttm"</definedName>
    <definedName name="YC_TOT_PS">"total_preferred_stock"</definedName>
    <definedName name="YC_TOT_PS_ANN">"total_preferred_stock_annual"</definedName>
    <definedName name="YC_TOT_PS_DIV">"preferred_stock_dividends_paid"</definedName>
    <definedName name="YC_TOT_PS_DIV_ANN">"preferred_stock_dividends_paid_annual"</definedName>
    <definedName name="YC_TOT_PS_DIV_TTM">"preferred_stock_dividends_paid_ttm"</definedName>
    <definedName name="YC_TOT_RETPRICE">"total_return_price"</definedName>
    <definedName name="YC_TS">"treasury_stock"</definedName>
    <definedName name="YC_TS_ANN">"treasury_stock_annual"</definedName>
    <definedName name="YC_URL">"url"</definedName>
    <definedName name="YC_VOL">"volume"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6" i="307" l="1"/>
  <c r="L136" i="307"/>
  <c r="M136" i="307"/>
  <c r="N136" i="307"/>
  <c r="O136" i="307"/>
  <c r="P136" i="307"/>
  <c r="AA84" i="307"/>
  <c r="AA83" i="307"/>
  <c r="L62" i="307"/>
  <c r="M62" i="307"/>
  <c r="N62" i="307"/>
  <c r="O62" i="307"/>
  <c r="P62" i="307"/>
  <c r="S29" i="1"/>
  <c r="T89" i="307"/>
  <c r="U89" i="307"/>
  <c r="V89" i="307"/>
  <c r="W89" i="307"/>
  <c r="X89" i="307"/>
  <c r="Y89" i="307"/>
  <c r="Z89" i="307"/>
  <c r="S89" i="307"/>
  <c r="P60" i="307" l="1"/>
  <c r="R20" i="307"/>
  <c r="Y123" i="307"/>
  <c r="Z123" i="307" s="1"/>
  <c r="X123" i="307"/>
  <c r="Q86" i="307"/>
  <c r="R86" i="307" s="1"/>
  <c r="R83" i="307" s="1"/>
  <c r="S26" i="307"/>
  <c r="R26" i="307"/>
  <c r="Q26" i="307"/>
  <c r="V20" i="307"/>
  <c r="U20" i="307"/>
  <c r="T20" i="307"/>
  <c r="S20" i="307"/>
  <c r="Q20" i="307"/>
  <c r="Q133" i="307"/>
  <c r="R133" i="307"/>
  <c r="L133" i="307"/>
  <c r="M133" i="307"/>
  <c r="N133" i="307"/>
  <c r="O133" i="307"/>
  <c r="P133" i="307"/>
  <c r="L128" i="307"/>
  <c r="M128" i="307"/>
  <c r="N128" i="307"/>
  <c r="O128" i="307"/>
  <c r="P128" i="307"/>
  <c r="L122" i="307"/>
  <c r="M122" i="307"/>
  <c r="N122" i="307"/>
  <c r="O122" i="307"/>
  <c r="P122" i="307"/>
  <c r="L115" i="307"/>
  <c r="M115" i="307"/>
  <c r="N115" i="307"/>
  <c r="O115" i="307"/>
  <c r="P115" i="307"/>
  <c r="L109" i="307"/>
  <c r="M109" i="307"/>
  <c r="N109" i="307"/>
  <c r="O109" i="307"/>
  <c r="P109" i="307"/>
  <c r="L106" i="307"/>
  <c r="M106" i="307"/>
  <c r="N106" i="307"/>
  <c r="O106" i="307"/>
  <c r="O101" i="307" s="1"/>
  <c r="P106" i="307"/>
  <c r="P101" i="307"/>
  <c r="L83" i="307"/>
  <c r="M83" i="307"/>
  <c r="N83" i="307"/>
  <c r="O83" i="307"/>
  <c r="P83" i="307"/>
  <c r="U80" i="307"/>
  <c r="T80" i="307"/>
  <c r="S80" i="307"/>
  <c r="R80" i="307"/>
  <c r="Q80" i="307"/>
  <c r="L77" i="307"/>
  <c r="M77" i="307"/>
  <c r="N77" i="307"/>
  <c r="O77" i="307"/>
  <c r="P78" i="307" s="1"/>
  <c r="P77" i="307"/>
  <c r="L70" i="307"/>
  <c r="M70" i="307"/>
  <c r="N70" i="307"/>
  <c r="O70" i="307"/>
  <c r="O71" i="307" s="1"/>
  <c r="P70" i="307"/>
  <c r="P64" i="307"/>
  <c r="L64" i="307"/>
  <c r="M64" i="307"/>
  <c r="N64" i="307"/>
  <c r="O64" i="307"/>
  <c r="Q53" i="307"/>
  <c r="R30" i="307"/>
  <c r="S30" i="307" s="1"/>
  <c r="T30" i="307" s="1"/>
  <c r="U30" i="307" s="1"/>
  <c r="V30" i="307" s="1"/>
  <c r="W30" i="307" s="1"/>
  <c r="X30" i="307" s="1"/>
  <c r="Y30" i="307" s="1"/>
  <c r="Z30" i="307" s="1"/>
  <c r="Q30" i="307"/>
  <c r="W33" i="307"/>
  <c r="X33" i="307" s="1"/>
  <c r="Y33" i="307" s="1"/>
  <c r="Z33" i="307" s="1"/>
  <c r="V33" i="307"/>
  <c r="H55" i="486"/>
  <c r="H26" i="486"/>
  <c r="Q93" i="1"/>
  <c r="G106" i="330" s="1"/>
  <c r="Q89" i="1"/>
  <c r="Q90" i="1"/>
  <c r="E1998" i="230" s="1"/>
  <c r="Q91" i="1"/>
  <c r="G103" i="330" s="1"/>
  <c r="Q87" i="1"/>
  <c r="Q81" i="1"/>
  <c r="Q82" i="1"/>
  <c r="Q83" i="1"/>
  <c r="Q84" i="1"/>
  <c r="E2956" i="230" s="1"/>
  <c r="Q85" i="1"/>
  <c r="Q79" i="1"/>
  <c r="Q76" i="1"/>
  <c r="Q72" i="1"/>
  <c r="E2765" i="230" s="1"/>
  <c r="R72" i="1"/>
  <c r="R68" i="1"/>
  <c r="P61" i="1"/>
  <c r="E942" i="230" s="1"/>
  <c r="Q61" i="1"/>
  <c r="R61" i="1"/>
  <c r="R62" i="1"/>
  <c r="F3384" i="230"/>
  <c r="E3384" i="230"/>
  <c r="F3383" i="230"/>
  <c r="F3382" i="230"/>
  <c r="F3381" i="230"/>
  <c r="F3380" i="230"/>
  <c r="F3379" i="230"/>
  <c r="F3378" i="230"/>
  <c r="F3377" i="230"/>
  <c r="F3376" i="230"/>
  <c r="F3375" i="230"/>
  <c r="F3374" i="230"/>
  <c r="F3373" i="230"/>
  <c r="F3372" i="230"/>
  <c r="F3371" i="230"/>
  <c r="E3371" i="230"/>
  <c r="F3370" i="230"/>
  <c r="E3370" i="230"/>
  <c r="F3369" i="230"/>
  <c r="E3369" i="230"/>
  <c r="F3368" i="230"/>
  <c r="E3368" i="230"/>
  <c r="F3367" i="230"/>
  <c r="E3367" i="230"/>
  <c r="F3366" i="230"/>
  <c r="E3366" i="230"/>
  <c r="F3365" i="230"/>
  <c r="E3365" i="230"/>
  <c r="F3364" i="230"/>
  <c r="E3364" i="230"/>
  <c r="F3363" i="230"/>
  <c r="E3363" i="230"/>
  <c r="F3362" i="230"/>
  <c r="F3361" i="230"/>
  <c r="F3360" i="230"/>
  <c r="F3359" i="230"/>
  <c r="F3358" i="230"/>
  <c r="F3357" i="230"/>
  <c r="F3356" i="230"/>
  <c r="F3355" i="230"/>
  <c r="F3354" i="230"/>
  <c r="F3353" i="230"/>
  <c r="F3352" i="230"/>
  <c r="E3352" i="230"/>
  <c r="F3351" i="230"/>
  <c r="F3350" i="230"/>
  <c r="E3350" i="230"/>
  <c r="F3349" i="230"/>
  <c r="E3349" i="230"/>
  <c r="F3348" i="230"/>
  <c r="E3348" i="230"/>
  <c r="F3347" i="230"/>
  <c r="E3347" i="230"/>
  <c r="F3346" i="230"/>
  <c r="E3346" i="230"/>
  <c r="F3345" i="230"/>
  <c r="E3345" i="230"/>
  <c r="F3344" i="230"/>
  <c r="E3344" i="230"/>
  <c r="F3343" i="230"/>
  <c r="E3343" i="230"/>
  <c r="F3342" i="230"/>
  <c r="E3342" i="230"/>
  <c r="F3341" i="230"/>
  <c r="E3341" i="230"/>
  <c r="F3340" i="230"/>
  <c r="F3339" i="230"/>
  <c r="F3338" i="230"/>
  <c r="F3337" i="230"/>
  <c r="F3336" i="230"/>
  <c r="F3335" i="230"/>
  <c r="F3334" i="230"/>
  <c r="F3333" i="230"/>
  <c r="F3332" i="230"/>
  <c r="F3331" i="230"/>
  <c r="F3330" i="230"/>
  <c r="F3329" i="230"/>
  <c r="E3329" i="230"/>
  <c r="F3328" i="230"/>
  <c r="E3328" i="230"/>
  <c r="F3327" i="230"/>
  <c r="E3327" i="230"/>
  <c r="F3326" i="230"/>
  <c r="E3326" i="230"/>
  <c r="F3325" i="230"/>
  <c r="E3325" i="230"/>
  <c r="F3324" i="230"/>
  <c r="E3324" i="230"/>
  <c r="F3323" i="230"/>
  <c r="E3323" i="230"/>
  <c r="F3322" i="230"/>
  <c r="E3322" i="230"/>
  <c r="F3321" i="230"/>
  <c r="E3321" i="230"/>
  <c r="F3320" i="230"/>
  <c r="E3320" i="230"/>
  <c r="F3319" i="230"/>
  <c r="E3319" i="230"/>
  <c r="F3318" i="230"/>
  <c r="F3317" i="230"/>
  <c r="F3316" i="230"/>
  <c r="F3315" i="230"/>
  <c r="E3315" i="230"/>
  <c r="F3314" i="230"/>
  <c r="E3314" i="230"/>
  <c r="F3313" i="230"/>
  <c r="F3312" i="230"/>
  <c r="F3311" i="230"/>
  <c r="F3310" i="230"/>
  <c r="F3309" i="230"/>
  <c r="F3308" i="230"/>
  <c r="F3307" i="230"/>
  <c r="F3306" i="230"/>
  <c r="F3305" i="230"/>
  <c r="F3304" i="230"/>
  <c r="F3303" i="230"/>
  <c r="E3303" i="230"/>
  <c r="F3302" i="230"/>
  <c r="E3302" i="230"/>
  <c r="F3301" i="230"/>
  <c r="E3301" i="230"/>
  <c r="F3300" i="230"/>
  <c r="E3300" i="230"/>
  <c r="F3299" i="230"/>
  <c r="E3299" i="230"/>
  <c r="F3298" i="230"/>
  <c r="E3298" i="230"/>
  <c r="F3297" i="230"/>
  <c r="E3297" i="230"/>
  <c r="F3296" i="230"/>
  <c r="E3296" i="230"/>
  <c r="F3295" i="230"/>
  <c r="E3295" i="230"/>
  <c r="F3294" i="230"/>
  <c r="E3294" i="230"/>
  <c r="F3293" i="230"/>
  <c r="E3293" i="230"/>
  <c r="F3292" i="230"/>
  <c r="F3291" i="230"/>
  <c r="E3291" i="230"/>
  <c r="F3290" i="230"/>
  <c r="F3289" i="230"/>
  <c r="F3288" i="230"/>
  <c r="F3287" i="230"/>
  <c r="F3286" i="230"/>
  <c r="F3285" i="230"/>
  <c r="F3284" i="230"/>
  <c r="F3283" i="230"/>
  <c r="F3282" i="230"/>
  <c r="E3282" i="230"/>
  <c r="F3281" i="230"/>
  <c r="F3280" i="230"/>
  <c r="E3280" i="230"/>
  <c r="F3279" i="230"/>
  <c r="E3279" i="230"/>
  <c r="F3278" i="230"/>
  <c r="E3278" i="230"/>
  <c r="F3277" i="230"/>
  <c r="E3277" i="230"/>
  <c r="F3276" i="230"/>
  <c r="E3276" i="230"/>
  <c r="F3275" i="230"/>
  <c r="E3275" i="230"/>
  <c r="F3274" i="230"/>
  <c r="E3274" i="230"/>
  <c r="F3273" i="230"/>
  <c r="E3273" i="230"/>
  <c r="F3272" i="230"/>
  <c r="E3272" i="230"/>
  <c r="F3271" i="230"/>
  <c r="F3270" i="230"/>
  <c r="F3269" i="230"/>
  <c r="F3268" i="230"/>
  <c r="F3267" i="230"/>
  <c r="F3266" i="230"/>
  <c r="F3265" i="230"/>
  <c r="F3264" i="230"/>
  <c r="F3263" i="230"/>
  <c r="F3262" i="230"/>
  <c r="F3261" i="230"/>
  <c r="F3260" i="230"/>
  <c r="F3259" i="230"/>
  <c r="E3259" i="230"/>
  <c r="F3258" i="230"/>
  <c r="E3258" i="230"/>
  <c r="F3257" i="230"/>
  <c r="E3257" i="230"/>
  <c r="F3256" i="230"/>
  <c r="E3256" i="230"/>
  <c r="F3255" i="230"/>
  <c r="E3255" i="230"/>
  <c r="F3254" i="230"/>
  <c r="E3254" i="230"/>
  <c r="F3253" i="230"/>
  <c r="E3253" i="230"/>
  <c r="F3252" i="230"/>
  <c r="E3252" i="230"/>
  <c r="F3251" i="230"/>
  <c r="E3251" i="230"/>
  <c r="F3250" i="230"/>
  <c r="E3250" i="230"/>
  <c r="F3249" i="230"/>
  <c r="E3249" i="230"/>
  <c r="F3248" i="230"/>
  <c r="F3247" i="230"/>
  <c r="F3246" i="230"/>
  <c r="F3245" i="230"/>
  <c r="F3244" i="230"/>
  <c r="F3243" i="230"/>
  <c r="F3242" i="230"/>
  <c r="F3241" i="230"/>
  <c r="F3240" i="230"/>
  <c r="F3239" i="230"/>
  <c r="E3239" i="230"/>
  <c r="F3238" i="230"/>
  <c r="F3237" i="230"/>
  <c r="E3237" i="230"/>
  <c r="F3236" i="230"/>
  <c r="E3236" i="230"/>
  <c r="F3235" i="230"/>
  <c r="E3235" i="230"/>
  <c r="F3234" i="230"/>
  <c r="E3234" i="230"/>
  <c r="F3233" i="230"/>
  <c r="E3233" i="230"/>
  <c r="F3232" i="230"/>
  <c r="E3232" i="230"/>
  <c r="F3231" i="230"/>
  <c r="E3231" i="230"/>
  <c r="F3230" i="230"/>
  <c r="E3230" i="230"/>
  <c r="F3229" i="230"/>
  <c r="E3229" i="230"/>
  <c r="F3228" i="230"/>
  <c r="F3227" i="230"/>
  <c r="F3226" i="230"/>
  <c r="F3225" i="230"/>
  <c r="E3225" i="230"/>
  <c r="F3224" i="230"/>
  <c r="F3223" i="230"/>
  <c r="F3222" i="230"/>
  <c r="F3221" i="230"/>
  <c r="F3220" i="230"/>
  <c r="F3219" i="230"/>
  <c r="F3218" i="230"/>
  <c r="F3217" i="230"/>
  <c r="F3216" i="230"/>
  <c r="F3215" i="230"/>
  <c r="E3215" i="230"/>
  <c r="F3214" i="230"/>
  <c r="E3214" i="230"/>
  <c r="F3213" i="230"/>
  <c r="E3213" i="230"/>
  <c r="F3212" i="230"/>
  <c r="E3212" i="230"/>
  <c r="F3211" i="230"/>
  <c r="E3211" i="230"/>
  <c r="F3210" i="230"/>
  <c r="E3210" i="230"/>
  <c r="F3209" i="230"/>
  <c r="E3209" i="230"/>
  <c r="F3208" i="230"/>
  <c r="E3208" i="230"/>
  <c r="F3207" i="230"/>
  <c r="E3207" i="230"/>
  <c r="F3206" i="230"/>
  <c r="E3206" i="230"/>
  <c r="F3205" i="230"/>
  <c r="E3205" i="230"/>
  <c r="F3204" i="230"/>
  <c r="F3203" i="230"/>
  <c r="F3202" i="230"/>
  <c r="F3201" i="230"/>
  <c r="F3200" i="230"/>
  <c r="F3199" i="230"/>
  <c r="F3198" i="230"/>
  <c r="F3197" i="230"/>
  <c r="F3196" i="230"/>
  <c r="F3195" i="230"/>
  <c r="F3194" i="230"/>
  <c r="E3194" i="230"/>
  <c r="F3193" i="230"/>
  <c r="E3193" i="230"/>
  <c r="F3192" i="230"/>
  <c r="E3192" i="230"/>
  <c r="F3191" i="230"/>
  <c r="E3191" i="230"/>
  <c r="F3190" i="230"/>
  <c r="E3190" i="230"/>
  <c r="F3189" i="230"/>
  <c r="E3189" i="230"/>
  <c r="F3188" i="230"/>
  <c r="E3188" i="230"/>
  <c r="F3187" i="230"/>
  <c r="E3187" i="230"/>
  <c r="F3186" i="230"/>
  <c r="E3186" i="230"/>
  <c r="F3185" i="230"/>
  <c r="E3185" i="230"/>
  <c r="F3184" i="230"/>
  <c r="E3184" i="230"/>
  <c r="F3183" i="230"/>
  <c r="F3182" i="230"/>
  <c r="F3181" i="230"/>
  <c r="F3180" i="230"/>
  <c r="F3179" i="230"/>
  <c r="F3178" i="230"/>
  <c r="F3177" i="230"/>
  <c r="F3176" i="230"/>
  <c r="F3175" i="230"/>
  <c r="F3174" i="230"/>
  <c r="F3173" i="230"/>
  <c r="E3173" i="230"/>
  <c r="F3172" i="230"/>
  <c r="E3172" i="230"/>
  <c r="F3171" i="230"/>
  <c r="E3171" i="230"/>
  <c r="F3170" i="230"/>
  <c r="E3170" i="230"/>
  <c r="F3169" i="230"/>
  <c r="E3169" i="230"/>
  <c r="F3168" i="230"/>
  <c r="E3168" i="230"/>
  <c r="F3167" i="230"/>
  <c r="E3167" i="230"/>
  <c r="F3166" i="230"/>
  <c r="E3166" i="230"/>
  <c r="F3165" i="230"/>
  <c r="E3165" i="230"/>
  <c r="F3164" i="230"/>
  <c r="E3164" i="230"/>
  <c r="F3163" i="230"/>
  <c r="E3163" i="230"/>
  <c r="F3162" i="230"/>
  <c r="F3161" i="230"/>
  <c r="E3161" i="230"/>
  <c r="F3160" i="230"/>
  <c r="E3160" i="230"/>
  <c r="F3159" i="230"/>
  <c r="E3159" i="230"/>
  <c r="F3158" i="230"/>
  <c r="E3158" i="230"/>
  <c r="F3157" i="230"/>
  <c r="E3157" i="230"/>
  <c r="F3156" i="230"/>
  <c r="E3156" i="230"/>
  <c r="F3155" i="230"/>
  <c r="E3155" i="230"/>
  <c r="F3154" i="230"/>
  <c r="E3154" i="230"/>
  <c r="F3153" i="230"/>
  <c r="E3153" i="230"/>
  <c r="F3152" i="230"/>
  <c r="E3152" i="230"/>
  <c r="F3151" i="230"/>
  <c r="E3151" i="230"/>
  <c r="F3150" i="230"/>
  <c r="E3150" i="230"/>
  <c r="F3149" i="230"/>
  <c r="E3149" i="230"/>
  <c r="F3148" i="230"/>
  <c r="E3148" i="230"/>
  <c r="F3147" i="230"/>
  <c r="E3147" i="230"/>
  <c r="F3146" i="230"/>
  <c r="E3146" i="230"/>
  <c r="F3145" i="230"/>
  <c r="E3145" i="230"/>
  <c r="F3144" i="230"/>
  <c r="E3144" i="230"/>
  <c r="F3143" i="230"/>
  <c r="E3143" i="230"/>
  <c r="F3142" i="230"/>
  <c r="E3142" i="230"/>
  <c r="F3141" i="230"/>
  <c r="E3141" i="230"/>
  <c r="F3140" i="230"/>
  <c r="E3140" i="230"/>
  <c r="F3139" i="230"/>
  <c r="E3139" i="230"/>
  <c r="F3138" i="230"/>
  <c r="E3138" i="230"/>
  <c r="F3137" i="230"/>
  <c r="E3137" i="230"/>
  <c r="F3136" i="230"/>
  <c r="E3136" i="230"/>
  <c r="F3135" i="230"/>
  <c r="E3135" i="230"/>
  <c r="F3134" i="230"/>
  <c r="E3134" i="230"/>
  <c r="F3133" i="230"/>
  <c r="E3133" i="230"/>
  <c r="F3132" i="230"/>
  <c r="E3132" i="230"/>
  <c r="F3131" i="230"/>
  <c r="E3131" i="230"/>
  <c r="F3130" i="230"/>
  <c r="E3130" i="230"/>
  <c r="F3129" i="230"/>
  <c r="E3129" i="230"/>
  <c r="F3128" i="230"/>
  <c r="E3128" i="230"/>
  <c r="F3127" i="230"/>
  <c r="E3127" i="230"/>
  <c r="F3126" i="230"/>
  <c r="E3126" i="230"/>
  <c r="F3125" i="230"/>
  <c r="E3125" i="230"/>
  <c r="F3124" i="230"/>
  <c r="E3124" i="230"/>
  <c r="F3123" i="230"/>
  <c r="E3123" i="230"/>
  <c r="F3122" i="230"/>
  <c r="E3122" i="230"/>
  <c r="F3121" i="230"/>
  <c r="E3121" i="230"/>
  <c r="F3120" i="230"/>
  <c r="E3120" i="230"/>
  <c r="F3119" i="230"/>
  <c r="E3119" i="230"/>
  <c r="F3118" i="230"/>
  <c r="E3118" i="230"/>
  <c r="F3117" i="230"/>
  <c r="E3117" i="230"/>
  <c r="F3116" i="230"/>
  <c r="E3116" i="230"/>
  <c r="F3115" i="230"/>
  <c r="E3115" i="230"/>
  <c r="F3114" i="230"/>
  <c r="E3114" i="230"/>
  <c r="F3113" i="230"/>
  <c r="E3113" i="230"/>
  <c r="F3112" i="230"/>
  <c r="E3112" i="230"/>
  <c r="F3111" i="230"/>
  <c r="E3111" i="230"/>
  <c r="F3110" i="230"/>
  <c r="E3110" i="230"/>
  <c r="F3109" i="230"/>
  <c r="E3109" i="230"/>
  <c r="F3108" i="230"/>
  <c r="E3108" i="230"/>
  <c r="F3107" i="230"/>
  <c r="E3107" i="230"/>
  <c r="F3106" i="230"/>
  <c r="E3106" i="230"/>
  <c r="F3105" i="230"/>
  <c r="E3105" i="230"/>
  <c r="F3104" i="230"/>
  <c r="E3104" i="230"/>
  <c r="F3103" i="230"/>
  <c r="E3103" i="230"/>
  <c r="F3102" i="230"/>
  <c r="E3102" i="230"/>
  <c r="F3101" i="230"/>
  <c r="E3101" i="230"/>
  <c r="F3100" i="230"/>
  <c r="E3100" i="230"/>
  <c r="F3099" i="230"/>
  <c r="E3099" i="230"/>
  <c r="F3098" i="230"/>
  <c r="F3097" i="230"/>
  <c r="F3096" i="230"/>
  <c r="F3095" i="230"/>
  <c r="F3094" i="230"/>
  <c r="F3093" i="230"/>
  <c r="F3092" i="230"/>
  <c r="F3091" i="230"/>
  <c r="F3090" i="230"/>
  <c r="F3089" i="230"/>
  <c r="E3089" i="230"/>
  <c r="F3088" i="230"/>
  <c r="E3088" i="230"/>
  <c r="F3087" i="230"/>
  <c r="E3087" i="230"/>
  <c r="F3086" i="230"/>
  <c r="E3086" i="230"/>
  <c r="F3085" i="230"/>
  <c r="E3085" i="230"/>
  <c r="F3084" i="230"/>
  <c r="E3084" i="230"/>
  <c r="F3083" i="230"/>
  <c r="E3083" i="230"/>
  <c r="F3082" i="230"/>
  <c r="E3082" i="230"/>
  <c r="F3081" i="230"/>
  <c r="E3081" i="230"/>
  <c r="F3080" i="230"/>
  <c r="E3080" i="230"/>
  <c r="F3079" i="230"/>
  <c r="E3079" i="230"/>
  <c r="F3078" i="230"/>
  <c r="F3077" i="230"/>
  <c r="F3076" i="230"/>
  <c r="E3076" i="230"/>
  <c r="F3075" i="230"/>
  <c r="E3075" i="230"/>
  <c r="F3074" i="230"/>
  <c r="E3074" i="230"/>
  <c r="F3073" i="230"/>
  <c r="E3073" i="230"/>
  <c r="F3072" i="230"/>
  <c r="E3072" i="230"/>
  <c r="F3071" i="230"/>
  <c r="E3071" i="230"/>
  <c r="F3070" i="230"/>
  <c r="E3070" i="230"/>
  <c r="F3069" i="230"/>
  <c r="E3069" i="230"/>
  <c r="F3068" i="230"/>
  <c r="E3068" i="230"/>
  <c r="F3067" i="230"/>
  <c r="E3067" i="230"/>
  <c r="F3066" i="230"/>
  <c r="E3066" i="230"/>
  <c r="F3065" i="230"/>
  <c r="E3065" i="230"/>
  <c r="F3064" i="230"/>
  <c r="E3064" i="230"/>
  <c r="F3063" i="230"/>
  <c r="E3063" i="230"/>
  <c r="F3062" i="230"/>
  <c r="E3062" i="230"/>
  <c r="F3061" i="230"/>
  <c r="E3061" i="230"/>
  <c r="F3060" i="230"/>
  <c r="E3060" i="230"/>
  <c r="F3059" i="230"/>
  <c r="E3059" i="230"/>
  <c r="F3058" i="230"/>
  <c r="E3058" i="230"/>
  <c r="F3057" i="230"/>
  <c r="E3057" i="230"/>
  <c r="F3056" i="230"/>
  <c r="E3056" i="230"/>
  <c r="F3055" i="230"/>
  <c r="E3055" i="230"/>
  <c r="F3054" i="230"/>
  <c r="E3054" i="230"/>
  <c r="F3053" i="230"/>
  <c r="E3053" i="230"/>
  <c r="F3052" i="230"/>
  <c r="E3052" i="230"/>
  <c r="F3051" i="230"/>
  <c r="E3051" i="230"/>
  <c r="F3050" i="230"/>
  <c r="E3050" i="230"/>
  <c r="F3049" i="230"/>
  <c r="E3049" i="230"/>
  <c r="F3048" i="230"/>
  <c r="E3048" i="230"/>
  <c r="F3047" i="230"/>
  <c r="E3047" i="230"/>
  <c r="F3046" i="230"/>
  <c r="E3046" i="230"/>
  <c r="F3045" i="230"/>
  <c r="E3045" i="230"/>
  <c r="F3044" i="230"/>
  <c r="E3044" i="230"/>
  <c r="F3043" i="230"/>
  <c r="E3043" i="230"/>
  <c r="F3042" i="230"/>
  <c r="E3042" i="230"/>
  <c r="F3041" i="230"/>
  <c r="E3041" i="230"/>
  <c r="F3040" i="230"/>
  <c r="E3040" i="230"/>
  <c r="F3039" i="230"/>
  <c r="E3039" i="230"/>
  <c r="F3038" i="230"/>
  <c r="E3038" i="230"/>
  <c r="F3037" i="230"/>
  <c r="E3037" i="230"/>
  <c r="F3036" i="230"/>
  <c r="E3036" i="230"/>
  <c r="F3035" i="230"/>
  <c r="E3035" i="230"/>
  <c r="F3034" i="230"/>
  <c r="E3034" i="230"/>
  <c r="F3033" i="230"/>
  <c r="F3032" i="230"/>
  <c r="F3031" i="230"/>
  <c r="F3030" i="230"/>
  <c r="E3030" i="230"/>
  <c r="F3029" i="230"/>
  <c r="E3029" i="230"/>
  <c r="F3028" i="230"/>
  <c r="E3028" i="230"/>
  <c r="F3027" i="230"/>
  <c r="E3027" i="230"/>
  <c r="F3026" i="230"/>
  <c r="E3026" i="230"/>
  <c r="F3025" i="230"/>
  <c r="E3025" i="230"/>
  <c r="F3024" i="230"/>
  <c r="E3024" i="230"/>
  <c r="F3023" i="230"/>
  <c r="E3023" i="230"/>
  <c r="F3022" i="230"/>
  <c r="E3022" i="230"/>
  <c r="F3021" i="230"/>
  <c r="E3021" i="230"/>
  <c r="F3020" i="230"/>
  <c r="E3020" i="230"/>
  <c r="F3019" i="230"/>
  <c r="E3019" i="230"/>
  <c r="F3018" i="230"/>
  <c r="E3018" i="230"/>
  <c r="F3017" i="230"/>
  <c r="E3017" i="230"/>
  <c r="F3016" i="230"/>
  <c r="E3016" i="230"/>
  <c r="F3015" i="230"/>
  <c r="E3015" i="230"/>
  <c r="F3014" i="230"/>
  <c r="E3014" i="230"/>
  <c r="F3013" i="230"/>
  <c r="E3013" i="230"/>
  <c r="F3012" i="230"/>
  <c r="E3012" i="230"/>
  <c r="F3011" i="230"/>
  <c r="E3011" i="230"/>
  <c r="F3010" i="230"/>
  <c r="E3010" i="230"/>
  <c r="F3009" i="230"/>
  <c r="E3009" i="230"/>
  <c r="F3008" i="230"/>
  <c r="E3008" i="230"/>
  <c r="F3007" i="230"/>
  <c r="E3007" i="230"/>
  <c r="F3006" i="230"/>
  <c r="E3006" i="230"/>
  <c r="F3005" i="230"/>
  <c r="E3005" i="230"/>
  <c r="F3004" i="230"/>
  <c r="E3004" i="230"/>
  <c r="F3003" i="230"/>
  <c r="E3003" i="230"/>
  <c r="F3002" i="230"/>
  <c r="E3002" i="230"/>
  <c r="F3001" i="230"/>
  <c r="E3001" i="230"/>
  <c r="F3000" i="230"/>
  <c r="E3000" i="230"/>
  <c r="F2999" i="230"/>
  <c r="E2999" i="230"/>
  <c r="F2998" i="230"/>
  <c r="E2998" i="230"/>
  <c r="F2997" i="230"/>
  <c r="E2997" i="230"/>
  <c r="F2996" i="230"/>
  <c r="E2996" i="230"/>
  <c r="F2995" i="230"/>
  <c r="E2995" i="230"/>
  <c r="F2994" i="230"/>
  <c r="E2994" i="230"/>
  <c r="F2993" i="230"/>
  <c r="E2993" i="230"/>
  <c r="F2992" i="230"/>
  <c r="E2992" i="230"/>
  <c r="F2991" i="230"/>
  <c r="E2991" i="230"/>
  <c r="F2990" i="230"/>
  <c r="E2990" i="230"/>
  <c r="F2989" i="230"/>
  <c r="E2989" i="230"/>
  <c r="F2988" i="230"/>
  <c r="E2988" i="230"/>
  <c r="F2987" i="230"/>
  <c r="E2987" i="230"/>
  <c r="F2986" i="230"/>
  <c r="E2986" i="230"/>
  <c r="F2985" i="230"/>
  <c r="E2985" i="230"/>
  <c r="F2984" i="230"/>
  <c r="E2984" i="230"/>
  <c r="F2983" i="230"/>
  <c r="E2983" i="230"/>
  <c r="F2982" i="230"/>
  <c r="E2982" i="230"/>
  <c r="F2981" i="230"/>
  <c r="E2981" i="230"/>
  <c r="F2980" i="230"/>
  <c r="E2980" i="230"/>
  <c r="F2979" i="230"/>
  <c r="E2979" i="230"/>
  <c r="F2978" i="230"/>
  <c r="E2978" i="230"/>
  <c r="F2977" i="230"/>
  <c r="E2977" i="230"/>
  <c r="F2976" i="230"/>
  <c r="E2976" i="230"/>
  <c r="F2975" i="230"/>
  <c r="E2975" i="230"/>
  <c r="F2974" i="230"/>
  <c r="E2974" i="230"/>
  <c r="F2973" i="230"/>
  <c r="E2973" i="230"/>
  <c r="F2972" i="230"/>
  <c r="E2972" i="230"/>
  <c r="F2971" i="230"/>
  <c r="E2971" i="230"/>
  <c r="F2970" i="230"/>
  <c r="E2970" i="230"/>
  <c r="F2969" i="230"/>
  <c r="E2969" i="230"/>
  <c r="F2968" i="230"/>
  <c r="E2968" i="230"/>
  <c r="F2967" i="230"/>
  <c r="E2967" i="230"/>
  <c r="F2966" i="230"/>
  <c r="E2966" i="230"/>
  <c r="F2965" i="230"/>
  <c r="E2965" i="230"/>
  <c r="F2964" i="230"/>
  <c r="E2964" i="230"/>
  <c r="F2963" i="230"/>
  <c r="E2963" i="230"/>
  <c r="F2962" i="230"/>
  <c r="E2962" i="230"/>
  <c r="F2961" i="230"/>
  <c r="E2961" i="230"/>
  <c r="F2960" i="230"/>
  <c r="E2960" i="230"/>
  <c r="F2959" i="230"/>
  <c r="E2959" i="230"/>
  <c r="F2958" i="230"/>
  <c r="E2958" i="230"/>
  <c r="F2957" i="230"/>
  <c r="E2957" i="230"/>
  <c r="F2956" i="230"/>
  <c r="F2955" i="230"/>
  <c r="E2955" i="230"/>
  <c r="F2954" i="230"/>
  <c r="E2954" i="230"/>
  <c r="F2953" i="230"/>
  <c r="E2953" i="230"/>
  <c r="F2952" i="230"/>
  <c r="E2952" i="230"/>
  <c r="F2951" i="230"/>
  <c r="E2951" i="230"/>
  <c r="F2950" i="230"/>
  <c r="E2950" i="230"/>
  <c r="F2949" i="230"/>
  <c r="E2949" i="230"/>
  <c r="F2948" i="230"/>
  <c r="E2948" i="230"/>
  <c r="F2947" i="230"/>
  <c r="E2947" i="230"/>
  <c r="F2946" i="230"/>
  <c r="E2946" i="230"/>
  <c r="F2945" i="230"/>
  <c r="E2945" i="230"/>
  <c r="F2944" i="230"/>
  <c r="E2944" i="230"/>
  <c r="F2943" i="230"/>
  <c r="E2943" i="230"/>
  <c r="F2942" i="230"/>
  <c r="E2942" i="230"/>
  <c r="F2941" i="230"/>
  <c r="E2941" i="230"/>
  <c r="F2940" i="230"/>
  <c r="E2940" i="230"/>
  <c r="F2939" i="230"/>
  <c r="E2939" i="230"/>
  <c r="F2938" i="230"/>
  <c r="E2938" i="230"/>
  <c r="F2937" i="230"/>
  <c r="E2937" i="230"/>
  <c r="F2936" i="230"/>
  <c r="E2936" i="230"/>
  <c r="F2935" i="230"/>
  <c r="E2935" i="230"/>
  <c r="F2934" i="230"/>
  <c r="E2934" i="230"/>
  <c r="F2933" i="230"/>
  <c r="E2933" i="230"/>
  <c r="F2932" i="230"/>
  <c r="E2932" i="230"/>
  <c r="F2931" i="230"/>
  <c r="E2931" i="230"/>
  <c r="F2930" i="230"/>
  <c r="E2930" i="230"/>
  <c r="F2929" i="230"/>
  <c r="E2929" i="230"/>
  <c r="F2928" i="230"/>
  <c r="E2928" i="230"/>
  <c r="F2927" i="230"/>
  <c r="E2927" i="230"/>
  <c r="F2926" i="230"/>
  <c r="E2926" i="230"/>
  <c r="F2925" i="230"/>
  <c r="F2924" i="230"/>
  <c r="F2923" i="230"/>
  <c r="F2922" i="230"/>
  <c r="F2921" i="230"/>
  <c r="F2920" i="230"/>
  <c r="F2919" i="230"/>
  <c r="F2918" i="230"/>
  <c r="F2917" i="230"/>
  <c r="F2916" i="230"/>
  <c r="E2916" i="230"/>
  <c r="F2915" i="230"/>
  <c r="E2915" i="230"/>
  <c r="F2914" i="230"/>
  <c r="E2914" i="230"/>
  <c r="F2913" i="230"/>
  <c r="E2913" i="230"/>
  <c r="F2912" i="230"/>
  <c r="E2912" i="230"/>
  <c r="F2911" i="230"/>
  <c r="E2911" i="230"/>
  <c r="F2910" i="230"/>
  <c r="E2910" i="230"/>
  <c r="F2909" i="230"/>
  <c r="E2909" i="230"/>
  <c r="F2908" i="230"/>
  <c r="E2908" i="230"/>
  <c r="F2907" i="230"/>
  <c r="E2907" i="230"/>
  <c r="F2906" i="230"/>
  <c r="E2906" i="230"/>
  <c r="F2905" i="230"/>
  <c r="F2904" i="230"/>
  <c r="E2904" i="230"/>
  <c r="F2903" i="230"/>
  <c r="E2903" i="230"/>
  <c r="F2902" i="230"/>
  <c r="E2902" i="230"/>
  <c r="F2901" i="230"/>
  <c r="E2901" i="230"/>
  <c r="F2900" i="230"/>
  <c r="E2900" i="230"/>
  <c r="F2899" i="230"/>
  <c r="E2899" i="230"/>
  <c r="F2898" i="230"/>
  <c r="E2898" i="230"/>
  <c r="F2897" i="230"/>
  <c r="E2897" i="230"/>
  <c r="F2896" i="230"/>
  <c r="E2896" i="230"/>
  <c r="F2895" i="230"/>
  <c r="E2895" i="230"/>
  <c r="F2894" i="230"/>
  <c r="E2894" i="230"/>
  <c r="F2893" i="230"/>
  <c r="E2893" i="230"/>
  <c r="F2892" i="230"/>
  <c r="E2892" i="230"/>
  <c r="F2891" i="230"/>
  <c r="E2891" i="230"/>
  <c r="F2890" i="230"/>
  <c r="E2890" i="230"/>
  <c r="F2889" i="230"/>
  <c r="E2889" i="230"/>
  <c r="F2888" i="230"/>
  <c r="E2888" i="230"/>
  <c r="F2887" i="230"/>
  <c r="E2887" i="230"/>
  <c r="F2886" i="230"/>
  <c r="E2886" i="230"/>
  <c r="F2885" i="230"/>
  <c r="E2885" i="230"/>
  <c r="F2884" i="230"/>
  <c r="E2884" i="230"/>
  <c r="F2883" i="230"/>
  <c r="E2883" i="230"/>
  <c r="F2882" i="230"/>
  <c r="E2882" i="230"/>
  <c r="F2881" i="230"/>
  <c r="F2880" i="230"/>
  <c r="F2879" i="230"/>
  <c r="F2878" i="230"/>
  <c r="F2877" i="230"/>
  <c r="F2876" i="230"/>
  <c r="F2875" i="230"/>
  <c r="F2874" i="230"/>
  <c r="F2873" i="230"/>
  <c r="F2872" i="230"/>
  <c r="E2872" i="230"/>
  <c r="F2871" i="230"/>
  <c r="E2871" i="230"/>
  <c r="F2870" i="230"/>
  <c r="E2870" i="230"/>
  <c r="F2869" i="230"/>
  <c r="E2869" i="230"/>
  <c r="F2868" i="230"/>
  <c r="E2868" i="230"/>
  <c r="F2867" i="230"/>
  <c r="E2867" i="230"/>
  <c r="F2866" i="230"/>
  <c r="E2866" i="230"/>
  <c r="F2865" i="230"/>
  <c r="E2865" i="230"/>
  <c r="F2864" i="230"/>
  <c r="E2864" i="230"/>
  <c r="F2863" i="230"/>
  <c r="E2863" i="230"/>
  <c r="F2862" i="230"/>
  <c r="E2862" i="230"/>
  <c r="F2861" i="230"/>
  <c r="F2860" i="230"/>
  <c r="F2859" i="230"/>
  <c r="F2858" i="230"/>
  <c r="F2857" i="230"/>
  <c r="F2856" i="230"/>
  <c r="F2855" i="230"/>
  <c r="F2854" i="230"/>
  <c r="F2853" i="230"/>
  <c r="F2852" i="230"/>
  <c r="F2851" i="230"/>
  <c r="E2851" i="230"/>
  <c r="F2850" i="230"/>
  <c r="E2850" i="230"/>
  <c r="F2849" i="230"/>
  <c r="E2849" i="230"/>
  <c r="F2848" i="230"/>
  <c r="E2848" i="230"/>
  <c r="F2847" i="230"/>
  <c r="E2847" i="230"/>
  <c r="F2846" i="230"/>
  <c r="E2846" i="230"/>
  <c r="F2845" i="230"/>
  <c r="E2845" i="230"/>
  <c r="F2844" i="230"/>
  <c r="E2844" i="230"/>
  <c r="F2843" i="230"/>
  <c r="E2843" i="230"/>
  <c r="F2842" i="230"/>
  <c r="E2842" i="230"/>
  <c r="F2841" i="230"/>
  <c r="E2841" i="230"/>
  <c r="F2840" i="230"/>
  <c r="F2839" i="230"/>
  <c r="F2838" i="230"/>
  <c r="F2837" i="230"/>
  <c r="F2836" i="230"/>
  <c r="F2835" i="230"/>
  <c r="F2834" i="230"/>
  <c r="F2833" i="230"/>
  <c r="F2832" i="230"/>
  <c r="F2831" i="230"/>
  <c r="F2830" i="230"/>
  <c r="E2830" i="230"/>
  <c r="F2829" i="230"/>
  <c r="E2829" i="230"/>
  <c r="F2828" i="230"/>
  <c r="E2828" i="230"/>
  <c r="F2827" i="230"/>
  <c r="E2827" i="230"/>
  <c r="F2826" i="230"/>
  <c r="E2826" i="230"/>
  <c r="F2825" i="230"/>
  <c r="E2825" i="230"/>
  <c r="F2824" i="230"/>
  <c r="E2824" i="230"/>
  <c r="F2823" i="230"/>
  <c r="E2823" i="230"/>
  <c r="F2822" i="230"/>
  <c r="E2822" i="230"/>
  <c r="F2821" i="230"/>
  <c r="E2821" i="230"/>
  <c r="F2820" i="230"/>
  <c r="E2820" i="230"/>
  <c r="F2819" i="230"/>
  <c r="F2818" i="230"/>
  <c r="E2818" i="230"/>
  <c r="F2817" i="230"/>
  <c r="E2817" i="230"/>
  <c r="F2816" i="230"/>
  <c r="E2816" i="230"/>
  <c r="F2815" i="230"/>
  <c r="E2815" i="230"/>
  <c r="F2814" i="230"/>
  <c r="E2814" i="230"/>
  <c r="F2813" i="230"/>
  <c r="E2813" i="230"/>
  <c r="F2812" i="230"/>
  <c r="E2812" i="230"/>
  <c r="F2811" i="230"/>
  <c r="E2811" i="230"/>
  <c r="F2810" i="230"/>
  <c r="E2810" i="230"/>
  <c r="F2809" i="230"/>
  <c r="E2809" i="230"/>
  <c r="F2808" i="230"/>
  <c r="E2808" i="230"/>
  <c r="F2807" i="230"/>
  <c r="E2807" i="230"/>
  <c r="F2806" i="230"/>
  <c r="E2806" i="230"/>
  <c r="F2805" i="230"/>
  <c r="E2805" i="230"/>
  <c r="F2804" i="230"/>
  <c r="E2804" i="230"/>
  <c r="F2803" i="230"/>
  <c r="E2803" i="230"/>
  <c r="F2802" i="230"/>
  <c r="E2802" i="230"/>
  <c r="F2801" i="230"/>
  <c r="E2801" i="230"/>
  <c r="F2800" i="230"/>
  <c r="E2800" i="230"/>
  <c r="F2799" i="230"/>
  <c r="E2799" i="230"/>
  <c r="F2798" i="230"/>
  <c r="E2798" i="230"/>
  <c r="F2797" i="230"/>
  <c r="E2797" i="230"/>
  <c r="F2796" i="230"/>
  <c r="E2796" i="230"/>
  <c r="F2795" i="230"/>
  <c r="E2795" i="230"/>
  <c r="F2794" i="230"/>
  <c r="E2794" i="230"/>
  <c r="F2793" i="230"/>
  <c r="E2793" i="230"/>
  <c r="F2792" i="230"/>
  <c r="E2792" i="230"/>
  <c r="F2791" i="230"/>
  <c r="E2791" i="230"/>
  <c r="F2790" i="230"/>
  <c r="E2790" i="230"/>
  <c r="F2789" i="230"/>
  <c r="E2789" i="230"/>
  <c r="F2788" i="230"/>
  <c r="E2788" i="230"/>
  <c r="F2787" i="230"/>
  <c r="E2787" i="230"/>
  <c r="F2786" i="230"/>
  <c r="E2786" i="230"/>
  <c r="F2785" i="230"/>
  <c r="E2785" i="230"/>
  <c r="F2784" i="230"/>
  <c r="E2784" i="230"/>
  <c r="F2783" i="230"/>
  <c r="E2783" i="230"/>
  <c r="F2782" i="230"/>
  <c r="E2782" i="230"/>
  <c r="F2781" i="230"/>
  <c r="E2781" i="230"/>
  <c r="F2780" i="230"/>
  <c r="E2780" i="230"/>
  <c r="F2779" i="230"/>
  <c r="E2779" i="230"/>
  <c r="F2778" i="230"/>
  <c r="E2778" i="230"/>
  <c r="F2777" i="230"/>
  <c r="E2777" i="230"/>
  <c r="F2776" i="230"/>
  <c r="E2776" i="230"/>
  <c r="F2775" i="230"/>
  <c r="F2774" i="230"/>
  <c r="F2773" i="230"/>
  <c r="F2772" i="230"/>
  <c r="F2771" i="230"/>
  <c r="F2770" i="230"/>
  <c r="F2769" i="230"/>
  <c r="F2768" i="230"/>
  <c r="F2767" i="230"/>
  <c r="F2766" i="230"/>
  <c r="E2766" i="230"/>
  <c r="F2765" i="230"/>
  <c r="F2764" i="230"/>
  <c r="E2764" i="230"/>
  <c r="F2763" i="230"/>
  <c r="E2763" i="230"/>
  <c r="F2762" i="230"/>
  <c r="E2762" i="230"/>
  <c r="F2761" i="230"/>
  <c r="E2761" i="230"/>
  <c r="F2760" i="230"/>
  <c r="E2760" i="230"/>
  <c r="F2759" i="230"/>
  <c r="E2759" i="230"/>
  <c r="F2758" i="230"/>
  <c r="E2758" i="230"/>
  <c r="F2757" i="230"/>
  <c r="E2757" i="230"/>
  <c r="F2756" i="230"/>
  <c r="E2756" i="230"/>
  <c r="F2755" i="230"/>
  <c r="E2755" i="230"/>
  <c r="F2754" i="230"/>
  <c r="E2754" i="230"/>
  <c r="F2753" i="230"/>
  <c r="E2753" i="230"/>
  <c r="F2752" i="230"/>
  <c r="E2752" i="230"/>
  <c r="F2751" i="230"/>
  <c r="E2751" i="230"/>
  <c r="F2750" i="230"/>
  <c r="E2750" i="230"/>
  <c r="F2749" i="230"/>
  <c r="E2749" i="230"/>
  <c r="F2748" i="230"/>
  <c r="E2748" i="230"/>
  <c r="F2747" i="230"/>
  <c r="E2747" i="230"/>
  <c r="F2746" i="230"/>
  <c r="E2746" i="230"/>
  <c r="F2745" i="230"/>
  <c r="E2745" i="230"/>
  <c r="F2744" i="230"/>
  <c r="E2744" i="230"/>
  <c r="F2743" i="230"/>
  <c r="E2743" i="230"/>
  <c r="F2742" i="230"/>
  <c r="E2742" i="230"/>
  <c r="F2741" i="230"/>
  <c r="E2741" i="230"/>
  <c r="F2740" i="230"/>
  <c r="E2740" i="230"/>
  <c r="F2739" i="230"/>
  <c r="E2739" i="230"/>
  <c r="F2738" i="230"/>
  <c r="E2738" i="230"/>
  <c r="F2737" i="230"/>
  <c r="E2737" i="230"/>
  <c r="F2736" i="230"/>
  <c r="E2736" i="230"/>
  <c r="F2735" i="230"/>
  <c r="E2735" i="230"/>
  <c r="F2734" i="230"/>
  <c r="E2734" i="230"/>
  <c r="F2733" i="230"/>
  <c r="E2733" i="230"/>
  <c r="F2732" i="230"/>
  <c r="E2732" i="230"/>
  <c r="F2731" i="230"/>
  <c r="E2731" i="230"/>
  <c r="F2730" i="230"/>
  <c r="E2730" i="230"/>
  <c r="F2729" i="230"/>
  <c r="E2729" i="230"/>
  <c r="F2728" i="230"/>
  <c r="E2728" i="230"/>
  <c r="F2727" i="230"/>
  <c r="E2727" i="230"/>
  <c r="F2726" i="230"/>
  <c r="E2726" i="230"/>
  <c r="F2725" i="230"/>
  <c r="E2725" i="230"/>
  <c r="F2724" i="230"/>
  <c r="E2724" i="230"/>
  <c r="F2723" i="230"/>
  <c r="E2723" i="230"/>
  <c r="F2722" i="230"/>
  <c r="E2722" i="230"/>
  <c r="F2721" i="230"/>
  <c r="E2721" i="230"/>
  <c r="F2720" i="230"/>
  <c r="E2720" i="230"/>
  <c r="F2719" i="230"/>
  <c r="E2719" i="230"/>
  <c r="F2718" i="230"/>
  <c r="E2718" i="230"/>
  <c r="F2717" i="230"/>
  <c r="E2717" i="230"/>
  <c r="F2716" i="230"/>
  <c r="E2716" i="230"/>
  <c r="F2715" i="230"/>
  <c r="E2715" i="230"/>
  <c r="F2714" i="230"/>
  <c r="E2714" i="230"/>
  <c r="F2713" i="230"/>
  <c r="E2713" i="230"/>
  <c r="F2712" i="230"/>
  <c r="E2712" i="230"/>
  <c r="F2711" i="230"/>
  <c r="E2711" i="230"/>
  <c r="F2710" i="230"/>
  <c r="E2710" i="230"/>
  <c r="F2709" i="230"/>
  <c r="E2709" i="230"/>
  <c r="F2708" i="230"/>
  <c r="E2708" i="230"/>
  <c r="F2707" i="230"/>
  <c r="E2707" i="230"/>
  <c r="F2706" i="230"/>
  <c r="E2706" i="230"/>
  <c r="F2705" i="230"/>
  <c r="E2705" i="230"/>
  <c r="F2704" i="230"/>
  <c r="E2704" i="230"/>
  <c r="F2703" i="230"/>
  <c r="E2703" i="230"/>
  <c r="F2702" i="230"/>
  <c r="E2702" i="230"/>
  <c r="F2701" i="230"/>
  <c r="E2701" i="230"/>
  <c r="F2700" i="230"/>
  <c r="E2700" i="230"/>
  <c r="F2699" i="230"/>
  <c r="E2699" i="230"/>
  <c r="F2698" i="230"/>
  <c r="E2698" i="230"/>
  <c r="F2697" i="230"/>
  <c r="E2697" i="230"/>
  <c r="F2696" i="230"/>
  <c r="E2696" i="230"/>
  <c r="F2695" i="230"/>
  <c r="E2695" i="230"/>
  <c r="F2694" i="230"/>
  <c r="E2694" i="230"/>
  <c r="F2693" i="230"/>
  <c r="E2693" i="230"/>
  <c r="F2692" i="230"/>
  <c r="E2692" i="230"/>
  <c r="F2691" i="230"/>
  <c r="E2691" i="230"/>
  <c r="F2690" i="230"/>
  <c r="E2690" i="230"/>
  <c r="F2689" i="230"/>
  <c r="E2689" i="230"/>
  <c r="F2688" i="230"/>
  <c r="E2688" i="230"/>
  <c r="F2687" i="230"/>
  <c r="E2687" i="230"/>
  <c r="F2686" i="230"/>
  <c r="E2686" i="230"/>
  <c r="F2685" i="230"/>
  <c r="E2685" i="230"/>
  <c r="F2684" i="230"/>
  <c r="E2684" i="230"/>
  <c r="F2683" i="230"/>
  <c r="E2683" i="230"/>
  <c r="F2682" i="230"/>
  <c r="E2682" i="230"/>
  <c r="F2681" i="230"/>
  <c r="E2681" i="230"/>
  <c r="F2680" i="230"/>
  <c r="E2680" i="230"/>
  <c r="F2679" i="230"/>
  <c r="E2679" i="230"/>
  <c r="F2678" i="230"/>
  <c r="E2678" i="230"/>
  <c r="F2677" i="230"/>
  <c r="E2677" i="230"/>
  <c r="F2676" i="230"/>
  <c r="E2676" i="230"/>
  <c r="F2675" i="230"/>
  <c r="E2675" i="230"/>
  <c r="F2674" i="230"/>
  <c r="E2674" i="230"/>
  <c r="F2673" i="230"/>
  <c r="E2673" i="230"/>
  <c r="F2672" i="230"/>
  <c r="E2672" i="230"/>
  <c r="F2671" i="230"/>
  <c r="F2670" i="230"/>
  <c r="F2669" i="230"/>
  <c r="F2668" i="230"/>
  <c r="F2667" i="230"/>
  <c r="F2666" i="230"/>
  <c r="F2665" i="230"/>
  <c r="F2664" i="230"/>
  <c r="F2663" i="230"/>
  <c r="F2662" i="230"/>
  <c r="F2661" i="230"/>
  <c r="F2660" i="230"/>
  <c r="F2659" i="230"/>
  <c r="F2658" i="230"/>
  <c r="E2658" i="230"/>
  <c r="F2657" i="230"/>
  <c r="E2657" i="230"/>
  <c r="F2656" i="230"/>
  <c r="E2656" i="230"/>
  <c r="F2655" i="230"/>
  <c r="E2655" i="230"/>
  <c r="F2654" i="230"/>
  <c r="E2654" i="230"/>
  <c r="F2653" i="230"/>
  <c r="E2653" i="230"/>
  <c r="F2652" i="230"/>
  <c r="E2652" i="230"/>
  <c r="F2651" i="230"/>
  <c r="E2651" i="230"/>
  <c r="F2650" i="230"/>
  <c r="F2649" i="230"/>
  <c r="F2648" i="230"/>
  <c r="F2647" i="230"/>
  <c r="F2646" i="230"/>
  <c r="F2645" i="230"/>
  <c r="F2644" i="230"/>
  <c r="F2643" i="230"/>
  <c r="F2642" i="230"/>
  <c r="F2641" i="230"/>
  <c r="F2640" i="230"/>
  <c r="F2639" i="230"/>
  <c r="F2638" i="230"/>
  <c r="F2637" i="230"/>
  <c r="E2637" i="230"/>
  <c r="F2636" i="230"/>
  <c r="E2636" i="230"/>
  <c r="F2635" i="230"/>
  <c r="E2635" i="230"/>
  <c r="F2634" i="230"/>
  <c r="E2634" i="230"/>
  <c r="F2633" i="230"/>
  <c r="E2633" i="230"/>
  <c r="F2632" i="230"/>
  <c r="E2632" i="230"/>
  <c r="F2631" i="230"/>
  <c r="E2631" i="230"/>
  <c r="F2630" i="230"/>
  <c r="E2630" i="230"/>
  <c r="F2629" i="230"/>
  <c r="F2628" i="230"/>
  <c r="F2627" i="230"/>
  <c r="F2626" i="230"/>
  <c r="F2625" i="230"/>
  <c r="F2624" i="230"/>
  <c r="F2623" i="230"/>
  <c r="F2622" i="230"/>
  <c r="F2621" i="230"/>
  <c r="F2620" i="230"/>
  <c r="E2620" i="230"/>
  <c r="F2619" i="230"/>
  <c r="E2619" i="230"/>
  <c r="F2618" i="230"/>
  <c r="E2618" i="230"/>
  <c r="F2617" i="230"/>
  <c r="E2617" i="230"/>
  <c r="F2616" i="230"/>
  <c r="E2616" i="230"/>
  <c r="F2615" i="230"/>
  <c r="E2615" i="230"/>
  <c r="F2614" i="230"/>
  <c r="E2614" i="230"/>
  <c r="F2613" i="230"/>
  <c r="E2613" i="230"/>
  <c r="F2612" i="230"/>
  <c r="E2612" i="230"/>
  <c r="F2611" i="230"/>
  <c r="E2611" i="230"/>
  <c r="F2610" i="230"/>
  <c r="E2610" i="230"/>
  <c r="F2609" i="230"/>
  <c r="F2608" i="230"/>
  <c r="E2608" i="230"/>
  <c r="F2607" i="230"/>
  <c r="E2607" i="230"/>
  <c r="F2606" i="230"/>
  <c r="E2606" i="230"/>
  <c r="F2605" i="230"/>
  <c r="E2605" i="230"/>
  <c r="F2604" i="230"/>
  <c r="E2604" i="230"/>
  <c r="F2603" i="230"/>
  <c r="E2603" i="230"/>
  <c r="F2602" i="230"/>
  <c r="E2602" i="230"/>
  <c r="F2601" i="230"/>
  <c r="E2601" i="230"/>
  <c r="F2600" i="230"/>
  <c r="E2600" i="230"/>
  <c r="F2599" i="230"/>
  <c r="E2599" i="230"/>
  <c r="F2598" i="230"/>
  <c r="E2598" i="230"/>
  <c r="F2597" i="230"/>
  <c r="E2597" i="230"/>
  <c r="F2596" i="230"/>
  <c r="E2596" i="230"/>
  <c r="F2595" i="230"/>
  <c r="E2595" i="230"/>
  <c r="F2594" i="230"/>
  <c r="E2594" i="230"/>
  <c r="F2593" i="230"/>
  <c r="E2593" i="230"/>
  <c r="F2592" i="230"/>
  <c r="E2592" i="230"/>
  <c r="F2591" i="230"/>
  <c r="E2591" i="230"/>
  <c r="F2590" i="230"/>
  <c r="E2590" i="230"/>
  <c r="F2589" i="230"/>
  <c r="E2589" i="230"/>
  <c r="F2588" i="230"/>
  <c r="E2588" i="230"/>
  <c r="F2587" i="230"/>
  <c r="E2587" i="230"/>
  <c r="F2586" i="230"/>
  <c r="E2586" i="230"/>
  <c r="F2585" i="230"/>
  <c r="E2585" i="230"/>
  <c r="F2584" i="230"/>
  <c r="E2584" i="230"/>
  <c r="F2583" i="230"/>
  <c r="E2583" i="230"/>
  <c r="F2582" i="230"/>
  <c r="E2582" i="230"/>
  <c r="F2581" i="230"/>
  <c r="E2581" i="230"/>
  <c r="F2580" i="230"/>
  <c r="E2580" i="230"/>
  <c r="F2579" i="230"/>
  <c r="E2579" i="230"/>
  <c r="F2578" i="230"/>
  <c r="E2578" i="230"/>
  <c r="F2577" i="230"/>
  <c r="E2577" i="230"/>
  <c r="F2576" i="230"/>
  <c r="E2576" i="230"/>
  <c r="F2575" i="230"/>
  <c r="E2575" i="230"/>
  <c r="F2574" i="230"/>
  <c r="E2574" i="230"/>
  <c r="F2573" i="230"/>
  <c r="E2573" i="230"/>
  <c r="F2572" i="230"/>
  <c r="E2572" i="230"/>
  <c r="F2571" i="230"/>
  <c r="E2571" i="230"/>
  <c r="F2570" i="230"/>
  <c r="E2570" i="230"/>
  <c r="F2569" i="230"/>
  <c r="E2569" i="230"/>
  <c r="F2568" i="230"/>
  <c r="E2568" i="230"/>
  <c r="F2567" i="230"/>
  <c r="E2567" i="230"/>
  <c r="F2566" i="230"/>
  <c r="E2566" i="230"/>
  <c r="F2565" i="230"/>
  <c r="E2565" i="230"/>
  <c r="F2564" i="230"/>
  <c r="E2564" i="230"/>
  <c r="F2563" i="230"/>
  <c r="E2563" i="230"/>
  <c r="F2562" i="230"/>
  <c r="E2562" i="230"/>
  <c r="F2561" i="230"/>
  <c r="E2561" i="230"/>
  <c r="F2560" i="230"/>
  <c r="E2560" i="230"/>
  <c r="F2559" i="230"/>
  <c r="E2559" i="230"/>
  <c r="F2558" i="230"/>
  <c r="E2558" i="230"/>
  <c r="F2557" i="230"/>
  <c r="E2557" i="230"/>
  <c r="F2556" i="230"/>
  <c r="E2556" i="230"/>
  <c r="F2555" i="230"/>
  <c r="E2555" i="230"/>
  <c r="F2554" i="230"/>
  <c r="E2554" i="230"/>
  <c r="F2553" i="230"/>
  <c r="E2553" i="230"/>
  <c r="F2552" i="230"/>
  <c r="E2552" i="230"/>
  <c r="F2551" i="230"/>
  <c r="E2551" i="230"/>
  <c r="F2550" i="230"/>
  <c r="E2550" i="230"/>
  <c r="F2549" i="230"/>
  <c r="E2549" i="230"/>
  <c r="F2548" i="230"/>
  <c r="E2548" i="230"/>
  <c r="F2547" i="230"/>
  <c r="E2547" i="230"/>
  <c r="F2546" i="230"/>
  <c r="E2546" i="230"/>
  <c r="F2545" i="230"/>
  <c r="F2544" i="230"/>
  <c r="F2543" i="230"/>
  <c r="F2542" i="230"/>
  <c r="F2541" i="230"/>
  <c r="F2540" i="230"/>
  <c r="F2539" i="230"/>
  <c r="F2538" i="230"/>
  <c r="F2537" i="230"/>
  <c r="F2536" i="230"/>
  <c r="E2536" i="230"/>
  <c r="F2535" i="230"/>
  <c r="E2535" i="230"/>
  <c r="F2534" i="230"/>
  <c r="E2534" i="230"/>
  <c r="F2533" i="230"/>
  <c r="E2533" i="230"/>
  <c r="F2532" i="230"/>
  <c r="E2532" i="230"/>
  <c r="F2531" i="230"/>
  <c r="E2531" i="230"/>
  <c r="F2530" i="230"/>
  <c r="E2530" i="230"/>
  <c r="F2529" i="230"/>
  <c r="E2529" i="230"/>
  <c r="F2528" i="230"/>
  <c r="E2528" i="230"/>
  <c r="F2527" i="230"/>
  <c r="E2527" i="230"/>
  <c r="F2526" i="230"/>
  <c r="E2526" i="230"/>
  <c r="F2525" i="230"/>
  <c r="F2524" i="230"/>
  <c r="F2523" i="230"/>
  <c r="F2522" i="230"/>
  <c r="F2521" i="230"/>
  <c r="F2520" i="230"/>
  <c r="F2519" i="230"/>
  <c r="F2518" i="230"/>
  <c r="F2517" i="230"/>
  <c r="F2516" i="230"/>
  <c r="F2515" i="230"/>
  <c r="E2515" i="230"/>
  <c r="F2514" i="230"/>
  <c r="E2514" i="230"/>
  <c r="F2513" i="230"/>
  <c r="E2513" i="230"/>
  <c r="F2512" i="230"/>
  <c r="E2512" i="230"/>
  <c r="F2511" i="230"/>
  <c r="E2511" i="230"/>
  <c r="F2510" i="230"/>
  <c r="E2510" i="230"/>
  <c r="F2509" i="230"/>
  <c r="E2509" i="230"/>
  <c r="F2508" i="230"/>
  <c r="E2508" i="230"/>
  <c r="F2507" i="230"/>
  <c r="E2507" i="230"/>
  <c r="F2506" i="230"/>
  <c r="E2506" i="230"/>
  <c r="F2505" i="230"/>
  <c r="E2505" i="230"/>
  <c r="F2504" i="230"/>
  <c r="F2503" i="230"/>
  <c r="E2503" i="230"/>
  <c r="F2502" i="230"/>
  <c r="E2502" i="230"/>
  <c r="F2501" i="230"/>
  <c r="E2501" i="230"/>
  <c r="F2500" i="230"/>
  <c r="E2500" i="230"/>
  <c r="F2499" i="230"/>
  <c r="E2499" i="230"/>
  <c r="F2498" i="230"/>
  <c r="E2498" i="230"/>
  <c r="F2497" i="230"/>
  <c r="E2497" i="230"/>
  <c r="F2496" i="230"/>
  <c r="E2496" i="230"/>
  <c r="F2495" i="230"/>
  <c r="E2495" i="230"/>
  <c r="F2494" i="230"/>
  <c r="E2494" i="230"/>
  <c r="F2493" i="230"/>
  <c r="E2493" i="230"/>
  <c r="F2492" i="230"/>
  <c r="E2492" i="230"/>
  <c r="F2491" i="230"/>
  <c r="E2491" i="230"/>
  <c r="F2490" i="230"/>
  <c r="E2490" i="230"/>
  <c r="F2489" i="230"/>
  <c r="E2489" i="230"/>
  <c r="F2488" i="230"/>
  <c r="E2488" i="230"/>
  <c r="F2487" i="230"/>
  <c r="E2487" i="230"/>
  <c r="F2486" i="230"/>
  <c r="E2486" i="230"/>
  <c r="F2485" i="230"/>
  <c r="E2485" i="230"/>
  <c r="F2484" i="230"/>
  <c r="E2484" i="230"/>
  <c r="F2483" i="230"/>
  <c r="E2483" i="230"/>
  <c r="E2461" i="230"/>
  <c r="E2460" i="230"/>
  <c r="E2459" i="230"/>
  <c r="E2458" i="230"/>
  <c r="E2457" i="230"/>
  <c r="E2456" i="230"/>
  <c r="E2455" i="230"/>
  <c r="E2454" i="230"/>
  <c r="E2453" i="230"/>
  <c r="E2452" i="230"/>
  <c r="E2451" i="230"/>
  <c r="E2450" i="230"/>
  <c r="E2449" i="230"/>
  <c r="E2448" i="230"/>
  <c r="E2447" i="230"/>
  <c r="E2446" i="230"/>
  <c r="E2445" i="230"/>
  <c r="E2444" i="230"/>
  <c r="E2443" i="230"/>
  <c r="E2442" i="230"/>
  <c r="E2441" i="230"/>
  <c r="E2440" i="230"/>
  <c r="E2439" i="230"/>
  <c r="E2438" i="230"/>
  <c r="E2437" i="230"/>
  <c r="E2436" i="230"/>
  <c r="E2435" i="230"/>
  <c r="E2434" i="230"/>
  <c r="E2433" i="230"/>
  <c r="E2432" i="230"/>
  <c r="E2431" i="230"/>
  <c r="E2430" i="230"/>
  <c r="E2429" i="230"/>
  <c r="E2428" i="230"/>
  <c r="E2427" i="230"/>
  <c r="E2426" i="230"/>
  <c r="E2425" i="230"/>
  <c r="E2424" i="230"/>
  <c r="E2423" i="230"/>
  <c r="E2422" i="230"/>
  <c r="E2421" i="230"/>
  <c r="E2420" i="230"/>
  <c r="E2419" i="230"/>
  <c r="E2418" i="230"/>
  <c r="E2417" i="230"/>
  <c r="E2416" i="230"/>
  <c r="E2415" i="230"/>
  <c r="E2414" i="230"/>
  <c r="E2413" i="230"/>
  <c r="E2412" i="230"/>
  <c r="E2411" i="230"/>
  <c r="E2410" i="230"/>
  <c r="E2409" i="230"/>
  <c r="E2408" i="230"/>
  <c r="E2407" i="230"/>
  <c r="E2406" i="230"/>
  <c r="E2405" i="230"/>
  <c r="E2404" i="230"/>
  <c r="E2403" i="230"/>
  <c r="E2402" i="230"/>
  <c r="E2401" i="230"/>
  <c r="E2400" i="230"/>
  <c r="E2399" i="230"/>
  <c r="E2398" i="230"/>
  <c r="E2397" i="230"/>
  <c r="E2396" i="230"/>
  <c r="E2395" i="230"/>
  <c r="E2394" i="230"/>
  <c r="E2393" i="230"/>
  <c r="E2392" i="230"/>
  <c r="E2391" i="230"/>
  <c r="E2390" i="230"/>
  <c r="E2389" i="230"/>
  <c r="E2388" i="230"/>
  <c r="E2387" i="230"/>
  <c r="E2386" i="230"/>
  <c r="E2385" i="230"/>
  <c r="E2384" i="230"/>
  <c r="E2383" i="230"/>
  <c r="E2382" i="230"/>
  <c r="E2381" i="230"/>
  <c r="E2380" i="230"/>
  <c r="E2379" i="230"/>
  <c r="E2378" i="230"/>
  <c r="E2377" i="230"/>
  <c r="E2376" i="230"/>
  <c r="E2375" i="230"/>
  <c r="E2374" i="230"/>
  <c r="E2373" i="230"/>
  <c r="E2372" i="230"/>
  <c r="E2371" i="230"/>
  <c r="E2370" i="230"/>
  <c r="E2369" i="230"/>
  <c r="E2368" i="230"/>
  <c r="E2367" i="230"/>
  <c r="E2366" i="230"/>
  <c r="E2365" i="230"/>
  <c r="E2364" i="230"/>
  <c r="E2363" i="230"/>
  <c r="E2362" i="230"/>
  <c r="E2361" i="230"/>
  <c r="E2360" i="230"/>
  <c r="E2359" i="230"/>
  <c r="E2358" i="230"/>
  <c r="E2357" i="230"/>
  <c r="E2356" i="230"/>
  <c r="E2355" i="230"/>
  <c r="E2354" i="230"/>
  <c r="E2353" i="230"/>
  <c r="E2352" i="230"/>
  <c r="E2351" i="230"/>
  <c r="E2350" i="230"/>
  <c r="E2349" i="230"/>
  <c r="E2348" i="230"/>
  <c r="E2347" i="230"/>
  <c r="E2346" i="230"/>
  <c r="E2345" i="230"/>
  <c r="E2344" i="230"/>
  <c r="E2343" i="230"/>
  <c r="E2342" i="230"/>
  <c r="E2341" i="230"/>
  <c r="E2340" i="230"/>
  <c r="E2339" i="230"/>
  <c r="E2338" i="230"/>
  <c r="E2337" i="230"/>
  <c r="E2336" i="230"/>
  <c r="E2335" i="230"/>
  <c r="E2334" i="230"/>
  <c r="E2333" i="230"/>
  <c r="E2332" i="230"/>
  <c r="E2331" i="230"/>
  <c r="E2330" i="230"/>
  <c r="E2320" i="230"/>
  <c r="E2319" i="230"/>
  <c r="E2318" i="230"/>
  <c r="E2317" i="230"/>
  <c r="E2316" i="230"/>
  <c r="E2315" i="230"/>
  <c r="E2314" i="230"/>
  <c r="E2313" i="230"/>
  <c r="E2312" i="230"/>
  <c r="E2311" i="230"/>
  <c r="E2310" i="230"/>
  <c r="E2308" i="230"/>
  <c r="E2296" i="230"/>
  <c r="E2295" i="230"/>
  <c r="E2294" i="230"/>
  <c r="E2293" i="230"/>
  <c r="E2292" i="230"/>
  <c r="E2291" i="230"/>
  <c r="E2290" i="230"/>
  <c r="E2289" i="230"/>
  <c r="E2288" i="230"/>
  <c r="E2287" i="230"/>
  <c r="E2286" i="230"/>
  <c r="E2283" i="230"/>
  <c r="E2282" i="230"/>
  <c r="E2281" i="230"/>
  <c r="E2270" i="230"/>
  <c r="E2269" i="230"/>
  <c r="E2268" i="230"/>
  <c r="E2267" i="230"/>
  <c r="E2266" i="230"/>
  <c r="E2265" i="230"/>
  <c r="E2264" i="230"/>
  <c r="E2263" i="230"/>
  <c r="E2262" i="230"/>
  <c r="E2261" i="230"/>
  <c r="E2260" i="230"/>
  <c r="E2258" i="230"/>
  <c r="E2249" i="230"/>
  <c r="E2247" i="230"/>
  <c r="E2246" i="230"/>
  <c r="E2245" i="230"/>
  <c r="E2244" i="230"/>
  <c r="E2243" i="230"/>
  <c r="E2242" i="230"/>
  <c r="E2241" i="230"/>
  <c r="E2240" i="230"/>
  <c r="E2239" i="230"/>
  <c r="E2227" i="230"/>
  <c r="E2226" i="230"/>
  <c r="E2225" i="230"/>
  <c r="E2224" i="230"/>
  <c r="E2223" i="230"/>
  <c r="E2222" i="230"/>
  <c r="E2221" i="230"/>
  <c r="E2220" i="230"/>
  <c r="E2219" i="230"/>
  <c r="E2218" i="230"/>
  <c r="E2217" i="230"/>
  <c r="E2216" i="230"/>
  <c r="E2215" i="230"/>
  <c r="E2212" i="230"/>
  <c r="E2211" i="230"/>
  <c r="E2210" i="230"/>
  <c r="E2209" i="230"/>
  <c r="E2208" i="230"/>
  <c r="E2207" i="230"/>
  <c r="E2206" i="230"/>
  <c r="E2205" i="230"/>
  <c r="E2204" i="230"/>
  <c r="E2203" i="230"/>
  <c r="E2202" i="230"/>
  <c r="E2201" i="230"/>
  <c r="E2200" i="230"/>
  <c r="E2199" i="230"/>
  <c r="E2198" i="230"/>
  <c r="E2197" i="230"/>
  <c r="E2196" i="230"/>
  <c r="E2195" i="230"/>
  <c r="E2194" i="230"/>
  <c r="E2193" i="230"/>
  <c r="E2192" i="230"/>
  <c r="E2181" i="230"/>
  <c r="E2179" i="230"/>
  <c r="E2178" i="230"/>
  <c r="E2177" i="230"/>
  <c r="E2176" i="230"/>
  <c r="E2175" i="230"/>
  <c r="E2174" i="230"/>
  <c r="E2173" i="230"/>
  <c r="E2172" i="230"/>
  <c r="E2171" i="230"/>
  <c r="E2169" i="230"/>
  <c r="E2166" i="230"/>
  <c r="E2164" i="230"/>
  <c r="E2163" i="230"/>
  <c r="E2162" i="230"/>
  <c r="E2161" i="230"/>
  <c r="E2160" i="230"/>
  <c r="E2159" i="230"/>
  <c r="E2158" i="230"/>
  <c r="E2157" i="230"/>
  <c r="E2156" i="230"/>
  <c r="E2155" i="230"/>
  <c r="E2154" i="230"/>
  <c r="E2153" i="230"/>
  <c r="E2152" i="230"/>
  <c r="E2151" i="230"/>
  <c r="E2150" i="230"/>
  <c r="E2149" i="230"/>
  <c r="E2148" i="230"/>
  <c r="E2147" i="230"/>
  <c r="E2146" i="230"/>
  <c r="E2145" i="230"/>
  <c r="E2144" i="230"/>
  <c r="E2143" i="230"/>
  <c r="E2133" i="230"/>
  <c r="E2132" i="230"/>
  <c r="E2131" i="230"/>
  <c r="E2130" i="230"/>
  <c r="E2129" i="230"/>
  <c r="E2128" i="230"/>
  <c r="E2127" i="230"/>
  <c r="E2126" i="230"/>
  <c r="E2125" i="230"/>
  <c r="E2124" i="230"/>
  <c r="E2123" i="230"/>
  <c r="E2112" i="230"/>
  <c r="E2111" i="230"/>
  <c r="E2110" i="230"/>
  <c r="E2109" i="230"/>
  <c r="E2108" i="230"/>
  <c r="E2107" i="230"/>
  <c r="E2106" i="230"/>
  <c r="E2105" i="230"/>
  <c r="E2104" i="230"/>
  <c r="E2103" i="230"/>
  <c r="E2102" i="230"/>
  <c r="E2091" i="230"/>
  <c r="E2090" i="230"/>
  <c r="E2089" i="230"/>
  <c r="E2088" i="230"/>
  <c r="E2087" i="230"/>
  <c r="E2086" i="230"/>
  <c r="E2085" i="230"/>
  <c r="E2084" i="230"/>
  <c r="E2083" i="230"/>
  <c r="E2082" i="230"/>
  <c r="E2081" i="230"/>
  <c r="E2079" i="230"/>
  <c r="E2078" i="230"/>
  <c r="E2077" i="230"/>
  <c r="E2076" i="230"/>
  <c r="E2075" i="230"/>
  <c r="E2074" i="230"/>
  <c r="E2073" i="230"/>
  <c r="E2072" i="230"/>
  <c r="E2071" i="230"/>
  <c r="E2070" i="230"/>
  <c r="E2069" i="230"/>
  <c r="E2068" i="230"/>
  <c r="E2067" i="230"/>
  <c r="E2066" i="230"/>
  <c r="E2065" i="230"/>
  <c r="E2064" i="230"/>
  <c r="E2063" i="230"/>
  <c r="E2062" i="230"/>
  <c r="E2061" i="230"/>
  <c r="E2060" i="230"/>
  <c r="E2059" i="230"/>
  <c r="E2058" i="230"/>
  <c r="E2057" i="230"/>
  <c r="E2056" i="230"/>
  <c r="E2055" i="230"/>
  <c r="E2054" i="230"/>
  <c r="E2053" i="230"/>
  <c r="E2052" i="230"/>
  <c r="E2051" i="230"/>
  <c r="E2050" i="230"/>
  <c r="E2049" i="230"/>
  <c r="E2048" i="230"/>
  <c r="E2047" i="230"/>
  <c r="E2046" i="230"/>
  <c r="E2045" i="230"/>
  <c r="E2044" i="230"/>
  <c r="E2043" i="230"/>
  <c r="E2042" i="230"/>
  <c r="E2041" i="230"/>
  <c r="E2040" i="230"/>
  <c r="E2039" i="230"/>
  <c r="E2038" i="230"/>
  <c r="E2037" i="230"/>
  <c r="E2036" i="230"/>
  <c r="E2031" i="230"/>
  <c r="E2030" i="230"/>
  <c r="E2029" i="230"/>
  <c r="E2028" i="230"/>
  <c r="E2027" i="230"/>
  <c r="E2026" i="230"/>
  <c r="E2025" i="230"/>
  <c r="E2024" i="230"/>
  <c r="E2023" i="230"/>
  <c r="E2022" i="230"/>
  <c r="E2021" i="230"/>
  <c r="E2020" i="230"/>
  <c r="E2019" i="230"/>
  <c r="E2018" i="230"/>
  <c r="E2017" i="230"/>
  <c r="E2016" i="230"/>
  <c r="E2015" i="230"/>
  <c r="E2014" i="230"/>
  <c r="E2013" i="230"/>
  <c r="E2012" i="230"/>
  <c r="E2011" i="230"/>
  <c r="E2010" i="230"/>
  <c r="E2009" i="230"/>
  <c r="E2008" i="230"/>
  <c r="E2007" i="230"/>
  <c r="E2006" i="230"/>
  <c r="E2005" i="230"/>
  <c r="E2004" i="230"/>
  <c r="E2003" i="230"/>
  <c r="E2002" i="230"/>
  <c r="E2001" i="230"/>
  <c r="E2000" i="230"/>
  <c r="E1999" i="230"/>
  <c r="E1997" i="230"/>
  <c r="E1996" i="230"/>
  <c r="E1995" i="230"/>
  <c r="E1994" i="230"/>
  <c r="E1993" i="230"/>
  <c r="E1992" i="230"/>
  <c r="E1991" i="230"/>
  <c r="E1990" i="230"/>
  <c r="E1989" i="230"/>
  <c r="E1988" i="230"/>
  <c r="E1987" i="230"/>
  <c r="E1986" i="230"/>
  <c r="E1985" i="230"/>
  <c r="E1984" i="230"/>
  <c r="E1983" i="230"/>
  <c r="E1982" i="230"/>
  <c r="E1981" i="230"/>
  <c r="E1980" i="230"/>
  <c r="E1979" i="230"/>
  <c r="E1978" i="230"/>
  <c r="E1977" i="230"/>
  <c r="E1976" i="230"/>
  <c r="E1975" i="230"/>
  <c r="E1974" i="230"/>
  <c r="E1973" i="230"/>
  <c r="E1972" i="230"/>
  <c r="E1971" i="230"/>
  <c r="E1970" i="230"/>
  <c r="E1969" i="230"/>
  <c r="E1968" i="230"/>
  <c r="E1967" i="230"/>
  <c r="E1966" i="230"/>
  <c r="E1965" i="230"/>
  <c r="E1964" i="230"/>
  <c r="E1963" i="230"/>
  <c r="E1962" i="230"/>
  <c r="E1961" i="230"/>
  <c r="E1960" i="230"/>
  <c r="E1959" i="230"/>
  <c r="E1958" i="230"/>
  <c r="E1957" i="230"/>
  <c r="E1956" i="230"/>
  <c r="E1955" i="230"/>
  <c r="E1954" i="230"/>
  <c r="E1953" i="230"/>
  <c r="E1952" i="230"/>
  <c r="E1951" i="230"/>
  <c r="E1950" i="230"/>
  <c r="E1949" i="230"/>
  <c r="E1948" i="230"/>
  <c r="E1947" i="230"/>
  <c r="E1936" i="230"/>
  <c r="E1935" i="230"/>
  <c r="E1934" i="230"/>
  <c r="E1933" i="230"/>
  <c r="E1932" i="230"/>
  <c r="E1931" i="230"/>
  <c r="E1930" i="230"/>
  <c r="E1929" i="230"/>
  <c r="E1928" i="230"/>
  <c r="E1927" i="230"/>
  <c r="E1926" i="230"/>
  <c r="E1925" i="230"/>
  <c r="E1915" i="230"/>
  <c r="E1914" i="230"/>
  <c r="E1913" i="230"/>
  <c r="E1912" i="230"/>
  <c r="E1911" i="230"/>
  <c r="E1910" i="230"/>
  <c r="E1909" i="230"/>
  <c r="E1908" i="230"/>
  <c r="E1907" i="230"/>
  <c r="E1906" i="230"/>
  <c r="E1905" i="230"/>
  <c r="E1894" i="230"/>
  <c r="E1893" i="230"/>
  <c r="E1892" i="230"/>
  <c r="E1891" i="230"/>
  <c r="E1890" i="230"/>
  <c r="E1889" i="230"/>
  <c r="E1888" i="230"/>
  <c r="E1887" i="230"/>
  <c r="E1886" i="230"/>
  <c r="E1885" i="230"/>
  <c r="E1884" i="230"/>
  <c r="E1873" i="230"/>
  <c r="E1872" i="230"/>
  <c r="E1871" i="230"/>
  <c r="E1870" i="230"/>
  <c r="E1869" i="230"/>
  <c r="E1868" i="230"/>
  <c r="E1867" i="230"/>
  <c r="E1866" i="230"/>
  <c r="E1865" i="230"/>
  <c r="E1864" i="230"/>
  <c r="E1863" i="230"/>
  <c r="E1861" i="230"/>
  <c r="E1860" i="230"/>
  <c r="E1859" i="230"/>
  <c r="E1858" i="230"/>
  <c r="E1857" i="230"/>
  <c r="E1856" i="230"/>
  <c r="E1855" i="230"/>
  <c r="E1854" i="230"/>
  <c r="E1853" i="230"/>
  <c r="E1852" i="230"/>
  <c r="E1851" i="230"/>
  <c r="E1850" i="230"/>
  <c r="E1849" i="230"/>
  <c r="E1848" i="230"/>
  <c r="E1847" i="230"/>
  <c r="E1846" i="230"/>
  <c r="E1845" i="230"/>
  <c r="E1844" i="230"/>
  <c r="E1843" i="230"/>
  <c r="E1842" i="230"/>
  <c r="E1841" i="230"/>
  <c r="E1830" i="230"/>
  <c r="E1829" i="230"/>
  <c r="E1828" i="230"/>
  <c r="E1827" i="230"/>
  <c r="E1826" i="230"/>
  <c r="E1825" i="230"/>
  <c r="E1824" i="230"/>
  <c r="E1823" i="230"/>
  <c r="E1822" i="230"/>
  <c r="E1821" i="230"/>
  <c r="E1820" i="230"/>
  <c r="E1806" i="230"/>
  <c r="E1805" i="230"/>
  <c r="E1804" i="230"/>
  <c r="E1803" i="230"/>
  <c r="E1802" i="230"/>
  <c r="E1801" i="230"/>
  <c r="E1800" i="230"/>
  <c r="E1799" i="230"/>
  <c r="E1798" i="230"/>
  <c r="E1797" i="230"/>
  <c r="E1796" i="230"/>
  <c r="E1795" i="230"/>
  <c r="E1794" i="230"/>
  <c r="E1793" i="230"/>
  <c r="E1792" i="230"/>
  <c r="E1791" i="230"/>
  <c r="E1790" i="230"/>
  <c r="E1789" i="230"/>
  <c r="E1788" i="230"/>
  <c r="E1787" i="230"/>
  <c r="E1786" i="230"/>
  <c r="E1785" i="230"/>
  <c r="E1784" i="230"/>
  <c r="E1783" i="230"/>
  <c r="E1782" i="230"/>
  <c r="E1781" i="230"/>
  <c r="E1780" i="230"/>
  <c r="E1779" i="230"/>
  <c r="E1778" i="230"/>
  <c r="E1777" i="230"/>
  <c r="E1776" i="230"/>
  <c r="E1775" i="230"/>
  <c r="E1774" i="230"/>
  <c r="E1773" i="230"/>
  <c r="E1772" i="230"/>
  <c r="E1771" i="230"/>
  <c r="E1770" i="230"/>
  <c r="E1769" i="230"/>
  <c r="E1768" i="230"/>
  <c r="E1767" i="230"/>
  <c r="E1766" i="230"/>
  <c r="E1765" i="230"/>
  <c r="E1764" i="230"/>
  <c r="E1763" i="230"/>
  <c r="E1762" i="230"/>
  <c r="E1761" i="230"/>
  <c r="E1760" i="230"/>
  <c r="E1759" i="230"/>
  <c r="E1758" i="230"/>
  <c r="E1757" i="230"/>
  <c r="E1747" i="230"/>
  <c r="E1746" i="230"/>
  <c r="E1745" i="230"/>
  <c r="E1744" i="230"/>
  <c r="E1743" i="230"/>
  <c r="E1742" i="230"/>
  <c r="E1741" i="230"/>
  <c r="E1740" i="230"/>
  <c r="E1739" i="230"/>
  <c r="E1738" i="230"/>
  <c r="E1737" i="230"/>
  <c r="E1735" i="230"/>
  <c r="E1734" i="230"/>
  <c r="E1733" i="230"/>
  <c r="E1732" i="230"/>
  <c r="E1731" i="230"/>
  <c r="E1730" i="230"/>
  <c r="E1729" i="230"/>
  <c r="E1728" i="230"/>
  <c r="E1727" i="230"/>
  <c r="E1726" i="230"/>
  <c r="E1725" i="230"/>
  <c r="E1724" i="230"/>
  <c r="E1723" i="230"/>
  <c r="E1722" i="230"/>
  <c r="E1721" i="230"/>
  <c r="E1720" i="230"/>
  <c r="E1719" i="230"/>
  <c r="E1718" i="230"/>
  <c r="E1717" i="230"/>
  <c r="E1716" i="230"/>
  <c r="E1715" i="230"/>
  <c r="E1714" i="230"/>
  <c r="E1713" i="230"/>
  <c r="E1712" i="230"/>
  <c r="E1711" i="230"/>
  <c r="E1710" i="230"/>
  <c r="E1709" i="230"/>
  <c r="E1708" i="230"/>
  <c r="E1707" i="230"/>
  <c r="E1706" i="230"/>
  <c r="E1705" i="230"/>
  <c r="E1704" i="230"/>
  <c r="E1703" i="230"/>
  <c r="E1702" i="230"/>
  <c r="E1701" i="230"/>
  <c r="E1700" i="230"/>
  <c r="E1699" i="230"/>
  <c r="E1698" i="230"/>
  <c r="E1697" i="230"/>
  <c r="E1696" i="230"/>
  <c r="E1695" i="230"/>
  <c r="E1694" i="230"/>
  <c r="E1693" i="230"/>
  <c r="E1692" i="230"/>
  <c r="E1691" i="230"/>
  <c r="E1690" i="230"/>
  <c r="E1689" i="230"/>
  <c r="E1688" i="230"/>
  <c r="E1687" i="230"/>
  <c r="E1686" i="230"/>
  <c r="E1685" i="230"/>
  <c r="E1684" i="230"/>
  <c r="E1683" i="230"/>
  <c r="E1682" i="230"/>
  <c r="E1681" i="230"/>
  <c r="E1680" i="230"/>
  <c r="E1679" i="230"/>
  <c r="E1678" i="230"/>
  <c r="E1677" i="230"/>
  <c r="E1676" i="230"/>
  <c r="E1675" i="230"/>
  <c r="E1674" i="230"/>
  <c r="E1673" i="230"/>
  <c r="E1672" i="230"/>
  <c r="E1671" i="230"/>
  <c r="E1670" i="230"/>
  <c r="E1669" i="230"/>
  <c r="E1668" i="230"/>
  <c r="E1667" i="230"/>
  <c r="E1666" i="230"/>
  <c r="E1665" i="230"/>
  <c r="E1664" i="230"/>
  <c r="E1663" i="230"/>
  <c r="E1662" i="230"/>
  <c r="E1661" i="230"/>
  <c r="E1660" i="230"/>
  <c r="E1659" i="230"/>
  <c r="E1658" i="230"/>
  <c r="E1657" i="230"/>
  <c r="E1656" i="230"/>
  <c r="E1655" i="230"/>
  <c r="E1654" i="230"/>
  <c r="E1653" i="230"/>
  <c r="E1652" i="230"/>
  <c r="E1651" i="230"/>
  <c r="E1650" i="230"/>
  <c r="E1649" i="230"/>
  <c r="E1648" i="230"/>
  <c r="E1647" i="230"/>
  <c r="E1646" i="230"/>
  <c r="E1645" i="230"/>
  <c r="E1644" i="230"/>
  <c r="E1643" i="230"/>
  <c r="E1642" i="230"/>
  <c r="E1641" i="230"/>
  <c r="E1640" i="230"/>
  <c r="E1639" i="230"/>
  <c r="E1638" i="230"/>
  <c r="E1637" i="230"/>
  <c r="E1636" i="230"/>
  <c r="E1635" i="230"/>
  <c r="E1634" i="230"/>
  <c r="E1633" i="230"/>
  <c r="E1632" i="230"/>
  <c r="E1631" i="230"/>
  <c r="E1630" i="230"/>
  <c r="E1629" i="230"/>
  <c r="E1628" i="230"/>
  <c r="E1627" i="230"/>
  <c r="E1626" i="230"/>
  <c r="E1616" i="230"/>
  <c r="E1615" i="230"/>
  <c r="E1614" i="230"/>
  <c r="E1613" i="230"/>
  <c r="E1612" i="230"/>
  <c r="E1611" i="230"/>
  <c r="E1610" i="230"/>
  <c r="E1609" i="230"/>
  <c r="E1608" i="230"/>
  <c r="E1607" i="230"/>
  <c r="E1606" i="230"/>
  <c r="E1595" i="230"/>
  <c r="E1594" i="230"/>
  <c r="E1593" i="230"/>
  <c r="E1592" i="230"/>
  <c r="E1591" i="230"/>
  <c r="E1590" i="230"/>
  <c r="E1589" i="230"/>
  <c r="E1588" i="230"/>
  <c r="E1587" i="230"/>
  <c r="E1586" i="230"/>
  <c r="E1585" i="230"/>
  <c r="E1574" i="230"/>
  <c r="E1573" i="230"/>
  <c r="E1572" i="230"/>
  <c r="E1571" i="230"/>
  <c r="E1570" i="230"/>
  <c r="E1569" i="230"/>
  <c r="E1568" i="230"/>
  <c r="E1567" i="230"/>
  <c r="E1566" i="230"/>
  <c r="E1565" i="230"/>
  <c r="E1564" i="230"/>
  <c r="E1562" i="230"/>
  <c r="E1561" i="230"/>
  <c r="E1560" i="230"/>
  <c r="E1559" i="230"/>
  <c r="E1558" i="230"/>
  <c r="E1557" i="230"/>
  <c r="E1556" i="230"/>
  <c r="E1555" i="230"/>
  <c r="E1554" i="230"/>
  <c r="E1553" i="230"/>
  <c r="E1552" i="230"/>
  <c r="E1551" i="230"/>
  <c r="E1550" i="230"/>
  <c r="E1549" i="230"/>
  <c r="E1548" i="230"/>
  <c r="E1547" i="230"/>
  <c r="E1546" i="230"/>
  <c r="E1545" i="230"/>
  <c r="E1544" i="230"/>
  <c r="E1543" i="230"/>
  <c r="E1542" i="230"/>
  <c r="E1528" i="230"/>
  <c r="E1527" i="230"/>
  <c r="E1526" i="230"/>
  <c r="E1525" i="230"/>
  <c r="E1524" i="230"/>
  <c r="E1523" i="230"/>
  <c r="E1522" i="230"/>
  <c r="E1521" i="230"/>
  <c r="E1520" i="230"/>
  <c r="E1519" i="230"/>
  <c r="E1518" i="230"/>
  <c r="E1517" i="230"/>
  <c r="E1516" i="230"/>
  <c r="E1515" i="230"/>
  <c r="E1514" i="230"/>
  <c r="E1513" i="230"/>
  <c r="E1512" i="230"/>
  <c r="E1511" i="230"/>
  <c r="E1510" i="230"/>
  <c r="E1509" i="230"/>
  <c r="E1508" i="230"/>
  <c r="E1507" i="230"/>
  <c r="E1506" i="230"/>
  <c r="E1505" i="230"/>
  <c r="E1504" i="230"/>
  <c r="E1503" i="230"/>
  <c r="E1502" i="230"/>
  <c r="E1501" i="230"/>
  <c r="E1500" i="230"/>
  <c r="E1499" i="230"/>
  <c r="E1497" i="230"/>
  <c r="E1496" i="230"/>
  <c r="E1495" i="230"/>
  <c r="E1494" i="230"/>
  <c r="E1493" i="230"/>
  <c r="E1492" i="230"/>
  <c r="E1491" i="230"/>
  <c r="E1490" i="230"/>
  <c r="E1489" i="230"/>
  <c r="E1488" i="230"/>
  <c r="E1487" i="230"/>
  <c r="E1486" i="230"/>
  <c r="E1485" i="230"/>
  <c r="E1484" i="230"/>
  <c r="E1483" i="230"/>
  <c r="E1482" i="230"/>
  <c r="E1481" i="230"/>
  <c r="E1480" i="230"/>
  <c r="E1479" i="230"/>
  <c r="E1478" i="230"/>
  <c r="E1477" i="230"/>
  <c r="E1476" i="230"/>
  <c r="E1465" i="230"/>
  <c r="E1464" i="230"/>
  <c r="E1463" i="230"/>
  <c r="E1462" i="230"/>
  <c r="E1461" i="230"/>
  <c r="E1460" i="230"/>
  <c r="E1459" i="230"/>
  <c r="E1458" i="230"/>
  <c r="E1457" i="230"/>
  <c r="E1456" i="230"/>
  <c r="E1455" i="230"/>
  <c r="E1443" i="230"/>
  <c r="E1442" i="230"/>
  <c r="E1441" i="230"/>
  <c r="E1440" i="230"/>
  <c r="E1439" i="230"/>
  <c r="E1438" i="230"/>
  <c r="E1437" i="230"/>
  <c r="E1436" i="230"/>
  <c r="E1435" i="230"/>
  <c r="E1434" i="230"/>
  <c r="E1423" i="230"/>
  <c r="E1422" i="230"/>
  <c r="E1421" i="230"/>
  <c r="E1420" i="230"/>
  <c r="E1419" i="230"/>
  <c r="E1418" i="230"/>
  <c r="E1417" i="230"/>
  <c r="E1416" i="230"/>
  <c r="E1415" i="230"/>
  <c r="E1414" i="230"/>
  <c r="E1413" i="230"/>
  <c r="E1403" i="230"/>
  <c r="E1402" i="230"/>
  <c r="E1401" i="230"/>
  <c r="E1400" i="230"/>
  <c r="E1399" i="230"/>
  <c r="E1398" i="230"/>
  <c r="E1397" i="230"/>
  <c r="E1396" i="230"/>
  <c r="E1395" i="230"/>
  <c r="E1394" i="230"/>
  <c r="E1393" i="230"/>
  <c r="E1391" i="230"/>
  <c r="E1390" i="230"/>
  <c r="E1389" i="230"/>
  <c r="E1388" i="230"/>
  <c r="E1387" i="230"/>
  <c r="E1386" i="230"/>
  <c r="E1385" i="230"/>
  <c r="E1384" i="230"/>
  <c r="E1383" i="230"/>
  <c r="E1382" i="230"/>
  <c r="E1381" i="230"/>
  <c r="E1380" i="230"/>
  <c r="E1379" i="230"/>
  <c r="E1378" i="230"/>
  <c r="E1377" i="230"/>
  <c r="E1376" i="230"/>
  <c r="E1375" i="230"/>
  <c r="E1374" i="230"/>
  <c r="E1373" i="230"/>
  <c r="E1372" i="230"/>
  <c r="E1371" i="230"/>
  <c r="E1360" i="230"/>
  <c r="E1359" i="230"/>
  <c r="E1358" i="230"/>
  <c r="E1357" i="230"/>
  <c r="E1356" i="230"/>
  <c r="E1355" i="230"/>
  <c r="E1354" i="230"/>
  <c r="E1353" i="230"/>
  <c r="E1352" i="230"/>
  <c r="E1351" i="230"/>
  <c r="E1350" i="230"/>
  <c r="E1349" i="230"/>
  <c r="E1348" i="230"/>
  <c r="E1347" i="230"/>
  <c r="E1346" i="230"/>
  <c r="E1345" i="230"/>
  <c r="E1344" i="230"/>
  <c r="E1343" i="230"/>
  <c r="E1342" i="230"/>
  <c r="E1341" i="230"/>
  <c r="E1340" i="230"/>
  <c r="E1339" i="230"/>
  <c r="E1338" i="230"/>
  <c r="E1337" i="230"/>
  <c r="E1336" i="230"/>
  <c r="E1335" i="230"/>
  <c r="E1334" i="230"/>
  <c r="E1333" i="230"/>
  <c r="E1332" i="230"/>
  <c r="E1331" i="230"/>
  <c r="E1330" i="230"/>
  <c r="E1329" i="230"/>
  <c r="E1318" i="230"/>
  <c r="E1307" i="230"/>
  <c r="E1306" i="230"/>
  <c r="E1305" i="230"/>
  <c r="E1304" i="230"/>
  <c r="E1303" i="230"/>
  <c r="E1302" i="230"/>
  <c r="E1301" i="230"/>
  <c r="E1300" i="230"/>
  <c r="E1299" i="230"/>
  <c r="E1298" i="230"/>
  <c r="E1297" i="230"/>
  <c r="E1287" i="230"/>
  <c r="E1286" i="230"/>
  <c r="E1285" i="230"/>
  <c r="E1284" i="230"/>
  <c r="E1283" i="230"/>
  <c r="E1282" i="230"/>
  <c r="E1281" i="230"/>
  <c r="E1280" i="230"/>
  <c r="E1279" i="230"/>
  <c r="E1278" i="230"/>
  <c r="E1277" i="230"/>
  <c r="E1264" i="230"/>
  <c r="E1263" i="230"/>
  <c r="E1262" i="230"/>
  <c r="E1261" i="230"/>
  <c r="E1260" i="230"/>
  <c r="E1259" i="230"/>
  <c r="E1258" i="230"/>
  <c r="E1257" i="230"/>
  <c r="E1256" i="230"/>
  <c r="E1255" i="230"/>
  <c r="E1254" i="230"/>
  <c r="E1253" i="230"/>
  <c r="E1252" i="230"/>
  <c r="E1251" i="230"/>
  <c r="E1250" i="230"/>
  <c r="E1249" i="230"/>
  <c r="E1248" i="230"/>
  <c r="E1247" i="230"/>
  <c r="E1246" i="230"/>
  <c r="E1245" i="230"/>
  <c r="E1244" i="230"/>
  <c r="E1243" i="230"/>
  <c r="E1241" i="230"/>
  <c r="E1240" i="230"/>
  <c r="E1239" i="230"/>
  <c r="E1238" i="230"/>
  <c r="E1237" i="230"/>
  <c r="E1236" i="230"/>
  <c r="E1235" i="230"/>
  <c r="E1234" i="230"/>
  <c r="E1233" i="230"/>
  <c r="E1232" i="230"/>
  <c r="E1231" i="230"/>
  <c r="E1230" i="230"/>
  <c r="E1229" i="230"/>
  <c r="E1228" i="230"/>
  <c r="E1227" i="230"/>
  <c r="E1226" i="230"/>
  <c r="E1225" i="230"/>
  <c r="E1224" i="230"/>
  <c r="E1223" i="230"/>
  <c r="E1222" i="230"/>
  <c r="E1220" i="230"/>
  <c r="E1219" i="230"/>
  <c r="E1218" i="230"/>
  <c r="E1217" i="230"/>
  <c r="E1216" i="230"/>
  <c r="E1215" i="230"/>
  <c r="E1214" i="230"/>
  <c r="E1213" i="230"/>
  <c r="E1212" i="230"/>
  <c r="E1211" i="230"/>
  <c r="E1210" i="230"/>
  <c r="E1209" i="230"/>
  <c r="E1208" i="230"/>
  <c r="E1207" i="230"/>
  <c r="E1206" i="230"/>
  <c r="E1205" i="230"/>
  <c r="E1204" i="230"/>
  <c r="E1203" i="230"/>
  <c r="E1202" i="230"/>
  <c r="E1201" i="230"/>
  <c r="E1200" i="230"/>
  <c r="E1199" i="230"/>
  <c r="E1198" i="230"/>
  <c r="E1197" i="230"/>
  <c r="E1196" i="230"/>
  <c r="E1195" i="230"/>
  <c r="E1194" i="230"/>
  <c r="E1193" i="230"/>
  <c r="E1192" i="230"/>
  <c r="E1191" i="230"/>
  <c r="E1190" i="230"/>
  <c r="E1189" i="230"/>
  <c r="E1188" i="230"/>
  <c r="E1187" i="230"/>
  <c r="E1186" i="230"/>
  <c r="E1185" i="230"/>
  <c r="E1184" i="230"/>
  <c r="E1183" i="230"/>
  <c r="E1182" i="230"/>
  <c r="E1181" i="230"/>
  <c r="E1180" i="230"/>
  <c r="E1179" i="230"/>
  <c r="E1178" i="230"/>
  <c r="E1177" i="230"/>
  <c r="E1176" i="230"/>
  <c r="E1175" i="230"/>
  <c r="E1174" i="230"/>
  <c r="E1173" i="230"/>
  <c r="E1172" i="230"/>
  <c r="E1171" i="230"/>
  <c r="E1170" i="230"/>
  <c r="E1169" i="230"/>
  <c r="E1168" i="230"/>
  <c r="E1167" i="230"/>
  <c r="E1166" i="230"/>
  <c r="E1165" i="230"/>
  <c r="E1164" i="230"/>
  <c r="E1163" i="230"/>
  <c r="E1162" i="230"/>
  <c r="E1161" i="230"/>
  <c r="E1160" i="230"/>
  <c r="E1159" i="230"/>
  <c r="E1158" i="230"/>
  <c r="E1157" i="230"/>
  <c r="E1156" i="230"/>
  <c r="E1155" i="230"/>
  <c r="E1154" i="230"/>
  <c r="E1153" i="230"/>
  <c r="E1152" i="230"/>
  <c r="E1151" i="230"/>
  <c r="E1150" i="230"/>
  <c r="E1149" i="230"/>
  <c r="E1148" i="230"/>
  <c r="E1147" i="230"/>
  <c r="E1146" i="230"/>
  <c r="E1145" i="230"/>
  <c r="E1134" i="230"/>
  <c r="E1133" i="230"/>
  <c r="E1132" i="230"/>
  <c r="E1131" i="230"/>
  <c r="E1130" i="230"/>
  <c r="E1129" i="230"/>
  <c r="E1128" i="230"/>
  <c r="E1127" i="230"/>
  <c r="E1126" i="230"/>
  <c r="E1125" i="230"/>
  <c r="E1124" i="230"/>
  <c r="E1113" i="230"/>
  <c r="E1112" i="230"/>
  <c r="E1111" i="230"/>
  <c r="E1110" i="230"/>
  <c r="E1109" i="230"/>
  <c r="E1108" i="230"/>
  <c r="E1107" i="230"/>
  <c r="E1106" i="230"/>
  <c r="E1105" i="230"/>
  <c r="E1104" i="230"/>
  <c r="E1103" i="230"/>
  <c r="E1102" i="230"/>
  <c r="E1091" i="230"/>
  <c r="E1090" i="230"/>
  <c r="E1089" i="230"/>
  <c r="E1088" i="230"/>
  <c r="E1087" i="230"/>
  <c r="E1086" i="230"/>
  <c r="E1085" i="230"/>
  <c r="E1084" i="230"/>
  <c r="E1083" i="230"/>
  <c r="E1082" i="230"/>
  <c r="E1081" i="230"/>
  <c r="E1069" i="230"/>
  <c r="E1068" i="230"/>
  <c r="E1067" i="230"/>
  <c r="E1066" i="230"/>
  <c r="E1065" i="230"/>
  <c r="E1064" i="230"/>
  <c r="E1063" i="230"/>
  <c r="E1062" i="230"/>
  <c r="E1061" i="230"/>
  <c r="E1060" i="230"/>
  <c r="E1048" i="230"/>
  <c r="E1047" i="230"/>
  <c r="E1046" i="230"/>
  <c r="E1045" i="230"/>
  <c r="E1044" i="230"/>
  <c r="E1043" i="230"/>
  <c r="E1042" i="230"/>
  <c r="E1041" i="230"/>
  <c r="E1040" i="230"/>
  <c r="E1039" i="230"/>
  <c r="E1028" i="230"/>
  <c r="E1027" i="230"/>
  <c r="E1026" i="230"/>
  <c r="E1025" i="230"/>
  <c r="E1024" i="230"/>
  <c r="E1023" i="230"/>
  <c r="E1022" i="230"/>
  <c r="E1021" i="230"/>
  <c r="E1020" i="230"/>
  <c r="E1019" i="230"/>
  <c r="E1018" i="230"/>
  <c r="E1007" i="230"/>
  <c r="E1006" i="230"/>
  <c r="E1005" i="230"/>
  <c r="E1004" i="230"/>
  <c r="E1003" i="230"/>
  <c r="E1002" i="230"/>
  <c r="E1001" i="230"/>
  <c r="E1000" i="230"/>
  <c r="E999" i="230"/>
  <c r="E998" i="230"/>
  <c r="E997" i="230"/>
  <c r="E995" i="230"/>
  <c r="E986" i="230"/>
  <c r="E985" i="230"/>
  <c r="E984" i="230"/>
  <c r="E983" i="230"/>
  <c r="E982" i="230"/>
  <c r="E981" i="230"/>
  <c r="E980" i="230"/>
  <c r="E979" i="230"/>
  <c r="E978" i="230"/>
  <c r="E977" i="230"/>
  <c r="E976" i="230"/>
  <c r="E975" i="230"/>
  <c r="E974" i="230"/>
  <c r="E973" i="230"/>
  <c r="E972" i="230"/>
  <c r="E971" i="230"/>
  <c r="E970" i="230"/>
  <c r="E969" i="230"/>
  <c r="E968" i="230"/>
  <c r="E967" i="230"/>
  <c r="E966" i="230"/>
  <c r="E965" i="230"/>
  <c r="E964" i="230"/>
  <c r="E963" i="230"/>
  <c r="E962" i="230"/>
  <c r="E961" i="230"/>
  <c r="E960" i="230"/>
  <c r="E959" i="230"/>
  <c r="E958" i="230"/>
  <c r="E957" i="230"/>
  <c r="E956" i="230"/>
  <c r="E955" i="230"/>
  <c r="E944" i="230"/>
  <c r="E943" i="230"/>
  <c r="E941" i="230"/>
  <c r="E940" i="230"/>
  <c r="E939" i="230"/>
  <c r="E938" i="230"/>
  <c r="E937" i="230"/>
  <c r="E936" i="230"/>
  <c r="E935" i="230"/>
  <c r="E934" i="230"/>
  <c r="E924" i="230"/>
  <c r="E923" i="230"/>
  <c r="E922" i="230"/>
  <c r="E921" i="230"/>
  <c r="E920" i="230"/>
  <c r="E919" i="230"/>
  <c r="E918" i="230"/>
  <c r="E917" i="230"/>
  <c r="E916" i="230"/>
  <c r="E915" i="230"/>
  <c r="E914" i="230"/>
  <c r="E903" i="230"/>
  <c r="E902" i="230"/>
  <c r="E901" i="230"/>
  <c r="E900" i="230"/>
  <c r="E899" i="230"/>
  <c r="E898" i="230"/>
  <c r="E897" i="230"/>
  <c r="E896" i="230"/>
  <c r="E895" i="230"/>
  <c r="E894" i="230"/>
  <c r="E893" i="230"/>
  <c r="E891" i="230"/>
  <c r="E890" i="230"/>
  <c r="E889" i="230"/>
  <c r="E888" i="230"/>
  <c r="E887" i="230"/>
  <c r="E886" i="230"/>
  <c r="E885" i="230"/>
  <c r="E884" i="230"/>
  <c r="E883" i="230"/>
  <c r="E882" i="230"/>
  <c r="E881" i="230"/>
  <c r="E880" i="230"/>
  <c r="E879" i="230"/>
  <c r="E878" i="230"/>
  <c r="E877" i="230"/>
  <c r="E876" i="230"/>
  <c r="E875" i="230"/>
  <c r="E874" i="230"/>
  <c r="E873" i="230"/>
  <c r="E872" i="230"/>
  <c r="E871" i="230"/>
  <c r="E868" i="230"/>
  <c r="E867" i="230"/>
  <c r="E866" i="230"/>
  <c r="E865" i="230"/>
  <c r="E864" i="230"/>
  <c r="E863" i="230"/>
  <c r="E862" i="230"/>
  <c r="E861" i="230"/>
  <c r="E860" i="230"/>
  <c r="E859" i="230"/>
  <c r="E858" i="230"/>
  <c r="E857" i="230"/>
  <c r="E856" i="230"/>
  <c r="E855" i="230"/>
  <c r="E854" i="230"/>
  <c r="E853" i="230"/>
  <c r="E852" i="230"/>
  <c r="E851" i="230"/>
  <c r="E850" i="230"/>
  <c r="E849" i="230"/>
  <c r="E848" i="230"/>
  <c r="E846" i="230"/>
  <c r="E845" i="230"/>
  <c r="E844" i="230"/>
  <c r="E843" i="230"/>
  <c r="E842" i="230"/>
  <c r="E841" i="230"/>
  <c r="E840" i="230"/>
  <c r="E839" i="230"/>
  <c r="E838" i="230"/>
  <c r="E837" i="230"/>
  <c r="E836" i="230"/>
  <c r="E835" i="230"/>
  <c r="E834" i="230"/>
  <c r="E833" i="230"/>
  <c r="E832" i="230"/>
  <c r="E831" i="230"/>
  <c r="E830" i="230"/>
  <c r="E829" i="230"/>
  <c r="E828" i="230"/>
  <c r="E827" i="230"/>
  <c r="E826" i="230"/>
  <c r="E825" i="230"/>
  <c r="E824" i="230"/>
  <c r="E823" i="230"/>
  <c r="E822" i="230"/>
  <c r="E821" i="230"/>
  <c r="E820" i="230"/>
  <c r="E819" i="230"/>
  <c r="E818" i="230"/>
  <c r="E817" i="230"/>
  <c r="E816" i="230"/>
  <c r="E815" i="230"/>
  <c r="E814" i="230"/>
  <c r="E813" i="230"/>
  <c r="E812" i="230"/>
  <c r="E811" i="230"/>
  <c r="E810" i="230"/>
  <c r="E809" i="230"/>
  <c r="E808" i="230"/>
  <c r="E807" i="230"/>
  <c r="E806" i="230"/>
  <c r="E805" i="230"/>
  <c r="E791" i="230"/>
  <c r="E790" i="230"/>
  <c r="E789" i="230"/>
  <c r="E788" i="230"/>
  <c r="E787" i="230"/>
  <c r="E786" i="230"/>
  <c r="E785" i="230"/>
  <c r="E784" i="230"/>
  <c r="E773" i="230"/>
  <c r="E772" i="230"/>
  <c r="E771" i="230"/>
  <c r="E770" i="230"/>
  <c r="E769" i="230"/>
  <c r="E768" i="230"/>
  <c r="E767" i="230"/>
  <c r="E766" i="230"/>
  <c r="E765" i="230"/>
  <c r="E764" i="230"/>
  <c r="E763" i="230"/>
  <c r="E751" i="230"/>
  <c r="E750" i="230"/>
  <c r="E749" i="230"/>
  <c r="E748" i="230"/>
  <c r="E747" i="230"/>
  <c r="E746" i="230"/>
  <c r="E745" i="230"/>
  <c r="E744" i="230"/>
  <c r="E743" i="230"/>
  <c r="E742" i="230"/>
  <c r="E730" i="230"/>
  <c r="E729" i="230"/>
  <c r="E728" i="230"/>
  <c r="E727" i="230"/>
  <c r="E726" i="230"/>
  <c r="E725" i="230"/>
  <c r="E724" i="230"/>
  <c r="E723" i="230"/>
  <c r="E722" i="230"/>
  <c r="E721" i="230"/>
  <c r="E710" i="230"/>
  <c r="E709" i="230"/>
  <c r="E708" i="230"/>
  <c r="E707" i="230"/>
  <c r="E706" i="230"/>
  <c r="E705" i="230"/>
  <c r="E704" i="230"/>
  <c r="E703" i="230"/>
  <c r="E702" i="230"/>
  <c r="E701" i="230"/>
  <c r="E700" i="230"/>
  <c r="E689" i="230"/>
  <c r="E688" i="230"/>
  <c r="E687" i="230"/>
  <c r="E686" i="230"/>
  <c r="E685" i="230"/>
  <c r="E684" i="230"/>
  <c r="E683" i="230"/>
  <c r="E682" i="230"/>
  <c r="E681" i="230"/>
  <c r="E680" i="230"/>
  <c r="E679" i="230"/>
  <c r="E668" i="230"/>
  <c r="E667" i="230"/>
  <c r="E666" i="230"/>
  <c r="E665" i="230"/>
  <c r="E664" i="230"/>
  <c r="E663" i="230"/>
  <c r="E662" i="230"/>
  <c r="E661" i="230"/>
  <c r="E660" i="230"/>
  <c r="E659" i="230"/>
  <c r="E658" i="230"/>
  <c r="E657" i="230"/>
  <c r="E656" i="230"/>
  <c r="E655" i="230"/>
  <c r="E654" i="230"/>
  <c r="E653" i="230"/>
  <c r="E652" i="230"/>
  <c r="E651" i="230"/>
  <c r="E650" i="230"/>
  <c r="E649" i="230"/>
  <c r="E648" i="230"/>
  <c r="E647" i="230"/>
  <c r="E646" i="230"/>
  <c r="E645" i="230"/>
  <c r="E644" i="230"/>
  <c r="E643" i="230"/>
  <c r="E642" i="230"/>
  <c r="E641" i="230"/>
  <c r="E640" i="230"/>
  <c r="E639" i="230"/>
  <c r="E638" i="230"/>
  <c r="E637" i="230"/>
  <c r="E636" i="230"/>
  <c r="E635" i="230"/>
  <c r="E634" i="230"/>
  <c r="E633" i="230"/>
  <c r="E632" i="230"/>
  <c r="E631" i="230"/>
  <c r="E630" i="230"/>
  <c r="E629" i="230"/>
  <c r="E628" i="230"/>
  <c r="E627" i="230"/>
  <c r="E626" i="230"/>
  <c r="E625" i="230"/>
  <c r="E624" i="230"/>
  <c r="E623" i="230"/>
  <c r="E622" i="230"/>
  <c r="E621" i="230"/>
  <c r="E620" i="230"/>
  <c r="E619" i="230"/>
  <c r="E618" i="230"/>
  <c r="E617" i="230"/>
  <c r="E616" i="230"/>
  <c r="E605" i="230"/>
  <c r="E604" i="230"/>
  <c r="E603" i="230"/>
  <c r="E602" i="230"/>
  <c r="E601" i="230"/>
  <c r="E600" i="230"/>
  <c r="E599" i="230"/>
  <c r="E598" i="230"/>
  <c r="E597" i="230"/>
  <c r="E596" i="230"/>
  <c r="E595" i="230"/>
  <c r="E594" i="230"/>
  <c r="E593" i="230"/>
  <c r="E592" i="230"/>
  <c r="E591" i="230"/>
  <c r="E590" i="230"/>
  <c r="E589" i="230"/>
  <c r="E588" i="230"/>
  <c r="E587" i="230"/>
  <c r="E586" i="230"/>
  <c r="E585" i="230"/>
  <c r="E584" i="230"/>
  <c r="E583" i="230"/>
  <c r="E582" i="230"/>
  <c r="E581" i="230"/>
  <c r="E580" i="230"/>
  <c r="E579" i="230"/>
  <c r="E578" i="230"/>
  <c r="E577" i="230"/>
  <c r="E576" i="230"/>
  <c r="E575" i="230"/>
  <c r="E574" i="230"/>
  <c r="E573" i="230"/>
  <c r="E562" i="230"/>
  <c r="E561" i="230"/>
  <c r="E560" i="230"/>
  <c r="E559" i="230"/>
  <c r="E558" i="230"/>
  <c r="E557" i="230"/>
  <c r="E556" i="230"/>
  <c r="E555" i="230"/>
  <c r="E554" i="230"/>
  <c r="E553" i="230"/>
  <c r="E552" i="230"/>
  <c r="E541" i="230"/>
  <c r="E540" i="230"/>
  <c r="E539" i="230"/>
  <c r="E538" i="230"/>
  <c r="E537" i="230"/>
  <c r="E536" i="230"/>
  <c r="E535" i="230"/>
  <c r="E534" i="230"/>
  <c r="E533" i="230"/>
  <c r="E532" i="230"/>
  <c r="E531" i="230"/>
  <c r="E520" i="230"/>
  <c r="E519" i="230"/>
  <c r="E518" i="230"/>
  <c r="E517" i="230"/>
  <c r="E516" i="230"/>
  <c r="E515" i="230"/>
  <c r="E514" i="230"/>
  <c r="E513" i="230"/>
  <c r="E512" i="230"/>
  <c r="E511" i="230"/>
  <c r="E510" i="230"/>
  <c r="E499" i="230"/>
  <c r="E498" i="230"/>
  <c r="E497" i="230"/>
  <c r="E496" i="230"/>
  <c r="E495" i="230"/>
  <c r="E494" i="230"/>
  <c r="E493" i="230"/>
  <c r="E492" i="230"/>
  <c r="E491" i="230"/>
  <c r="E490" i="230"/>
  <c r="E489" i="230"/>
  <c r="E488" i="230"/>
  <c r="E487" i="230"/>
  <c r="E486" i="230"/>
  <c r="E485" i="230"/>
  <c r="E484" i="230"/>
  <c r="E483" i="230"/>
  <c r="E482" i="230"/>
  <c r="E481" i="230"/>
  <c r="E480" i="230"/>
  <c r="E479" i="230"/>
  <c r="E478" i="230"/>
  <c r="E477" i="230"/>
  <c r="E475" i="230"/>
  <c r="E474" i="230"/>
  <c r="E473" i="230"/>
  <c r="E472" i="230"/>
  <c r="E471" i="230"/>
  <c r="E470" i="230"/>
  <c r="E469" i="230"/>
  <c r="E468" i="230"/>
  <c r="E467" i="230"/>
  <c r="E466" i="230"/>
  <c r="E465" i="230"/>
  <c r="E464" i="230"/>
  <c r="E463" i="230"/>
  <c r="E462" i="230"/>
  <c r="E461" i="230"/>
  <c r="E460" i="230"/>
  <c r="E459" i="230"/>
  <c r="E458" i="230"/>
  <c r="E457" i="230"/>
  <c r="E456" i="230"/>
  <c r="E454" i="230"/>
  <c r="E453" i="230"/>
  <c r="E452" i="230"/>
  <c r="E451" i="230"/>
  <c r="E450" i="230"/>
  <c r="E449" i="230"/>
  <c r="E448" i="230"/>
  <c r="E447" i="230"/>
  <c r="E446" i="230"/>
  <c r="E445" i="230"/>
  <c r="E444" i="230"/>
  <c r="E443" i="230"/>
  <c r="E442" i="230"/>
  <c r="E441" i="230"/>
  <c r="E440" i="230"/>
  <c r="E439" i="230"/>
  <c r="E438" i="230"/>
  <c r="E437" i="230"/>
  <c r="E436" i="230"/>
  <c r="E435" i="230"/>
  <c r="E434" i="230"/>
  <c r="E433" i="230"/>
  <c r="E432" i="230"/>
  <c r="E431" i="230"/>
  <c r="E430" i="230"/>
  <c r="E429" i="230"/>
  <c r="E428" i="230"/>
  <c r="E427" i="230"/>
  <c r="E426" i="230"/>
  <c r="E425" i="230"/>
  <c r="E424" i="230"/>
  <c r="E423" i="230"/>
  <c r="E422" i="230"/>
  <c r="E421" i="230"/>
  <c r="E420" i="230"/>
  <c r="E419" i="230"/>
  <c r="E418" i="230"/>
  <c r="E417" i="230"/>
  <c r="E416" i="230"/>
  <c r="E415" i="230"/>
  <c r="E414" i="230"/>
  <c r="E413" i="230"/>
  <c r="E412" i="230"/>
  <c r="E411" i="230"/>
  <c r="E410" i="230"/>
  <c r="E409" i="230"/>
  <c r="E408" i="230"/>
  <c r="E407" i="230"/>
  <c r="E406" i="230"/>
  <c r="E405" i="230"/>
  <c r="E404" i="230"/>
  <c r="E403" i="230"/>
  <c r="E402" i="230"/>
  <c r="E401" i="230"/>
  <c r="E400" i="230"/>
  <c r="E399" i="230"/>
  <c r="E398" i="230"/>
  <c r="E397" i="230"/>
  <c r="E396" i="230"/>
  <c r="E395" i="230"/>
  <c r="E394" i="230"/>
  <c r="E393" i="230"/>
  <c r="E392" i="230"/>
  <c r="E391" i="230"/>
  <c r="E390" i="230"/>
  <c r="E389" i="230"/>
  <c r="E388" i="230"/>
  <c r="E387" i="230"/>
  <c r="E386" i="230"/>
  <c r="E385" i="230"/>
  <c r="E384" i="230"/>
  <c r="E383" i="230"/>
  <c r="E382" i="230"/>
  <c r="E381" i="230"/>
  <c r="E380" i="230"/>
  <c r="E379" i="230"/>
  <c r="E378" i="230"/>
  <c r="E377" i="230"/>
  <c r="E376" i="230"/>
  <c r="E375" i="230"/>
  <c r="E374" i="230"/>
  <c r="E373" i="230"/>
  <c r="E372" i="230"/>
  <c r="E371" i="230"/>
  <c r="E370" i="230"/>
  <c r="E369" i="230"/>
  <c r="E368" i="230"/>
  <c r="E367" i="230"/>
  <c r="E366" i="230"/>
  <c r="E365" i="230"/>
  <c r="E364" i="230"/>
  <c r="E363" i="230"/>
  <c r="E362" i="230"/>
  <c r="E361" i="230"/>
  <c r="E360" i="230"/>
  <c r="E359" i="230"/>
  <c r="E358" i="230"/>
  <c r="E357" i="230"/>
  <c r="E356" i="230"/>
  <c r="E355" i="230"/>
  <c r="E354" i="230"/>
  <c r="E353" i="230"/>
  <c r="E352" i="230"/>
  <c r="E351" i="230"/>
  <c r="E350" i="230"/>
  <c r="E349" i="230"/>
  <c r="E348" i="230"/>
  <c r="E347" i="230"/>
  <c r="E346" i="230"/>
  <c r="E345" i="230"/>
  <c r="E344" i="230"/>
  <c r="E343" i="230"/>
  <c r="E342" i="230"/>
  <c r="E341" i="230"/>
  <c r="E340" i="230"/>
  <c r="E339" i="230"/>
  <c r="E338" i="230"/>
  <c r="E337" i="230"/>
  <c r="E336" i="230"/>
  <c r="E335" i="230"/>
  <c r="E334" i="230"/>
  <c r="E333" i="230"/>
  <c r="E332" i="230"/>
  <c r="E331" i="230"/>
  <c r="E330" i="230"/>
  <c r="E329" i="230"/>
  <c r="E328" i="230"/>
  <c r="E327" i="230"/>
  <c r="E326" i="230"/>
  <c r="E325" i="230"/>
  <c r="E324" i="230"/>
  <c r="E323" i="230"/>
  <c r="E322" i="230"/>
  <c r="E321" i="230"/>
  <c r="E320" i="230"/>
  <c r="E319" i="230"/>
  <c r="E318" i="230"/>
  <c r="E317" i="230"/>
  <c r="E316" i="230"/>
  <c r="E315" i="230"/>
  <c r="E314" i="230"/>
  <c r="E313" i="230"/>
  <c r="E312" i="230"/>
  <c r="E311" i="230"/>
  <c r="E310" i="230"/>
  <c r="E309" i="230"/>
  <c r="E308" i="230"/>
  <c r="E307" i="230"/>
  <c r="E306" i="230"/>
  <c r="E305" i="230"/>
  <c r="E304" i="230"/>
  <c r="E303" i="230"/>
  <c r="E302" i="230"/>
  <c r="E301" i="230"/>
  <c r="E300" i="230"/>
  <c r="E299" i="230"/>
  <c r="E298" i="230"/>
  <c r="E297" i="230"/>
  <c r="E296" i="230"/>
  <c r="E295" i="230"/>
  <c r="E294" i="230"/>
  <c r="E293" i="230"/>
  <c r="E292" i="230"/>
  <c r="E291" i="230"/>
  <c r="E290" i="230"/>
  <c r="E289" i="230"/>
  <c r="E288" i="230"/>
  <c r="E287" i="230"/>
  <c r="E286" i="230"/>
  <c r="E285" i="230"/>
  <c r="E284" i="230"/>
  <c r="E283" i="230"/>
  <c r="E282" i="230"/>
  <c r="E281" i="230"/>
  <c r="E280" i="230"/>
  <c r="E279" i="230"/>
  <c r="E278" i="230"/>
  <c r="E277" i="230"/>
  <c r="E276" i="230"/>
  <c r="E275" i="230"/>
  <c r="E264" i="230"/>
  <c r="E263" i="230"/>
  <c r="E262" i="230"/>
  <c r="E261" i="230"/>
  <c r="E260" i="230"/>
  <c r="E259" i="230"/>
  <c r="E258" i="230"/>
  <c r="E257" i="230"/>
  <c r="E256" i="230"/>
  <c r="E255" i="230"/>
  <c r="E254" i="230"/>
  <c r="E243" i="230"/>
  <c r="E242" i="230"/>
  <c r="E241" i="230"/>
  <c r="E240" i="230"/>
  <c r="E239" i="230"/>
  <c r="E238" i="230"/>
  <c r="E237" i="230"/>
  <c r="E236" i="230"/>
  <c r="E235" i="230"/>
  <c r="E234" i="230"/>
  <c r="E233" i="230"/>
  <c r="E232" i="230"/>
  <c r="E231" i="230"/>
  <c r="E230" i="230"/>
  <c r="E229" i="230"/>
  <c r="E228" i="230"/>
  <c r="E227" i="230"/>
  <c r="E226" i="230"/>
  <c r="E225" i="230"/>
  <c r="E224" i="230"/>
  <c r="E223" i="230"/>
  <c r="E222" i="230"/>
  <c r="E221" i="230"/>
  <c r="E220" i="230"/>
  <c r="E219" i="230"/>
  <c r="E218" i="230"/>
  <c r="E217" i="230"/>
  <c r="E216" i="230"/>
  <c r="E215" i="230"/>
  <c r="E214" i="230"/>
  <c r="E213" i="230"/>
  <c r="E212" i="230"/>
  <c r="E211" i="230"/>
  <c r="E210" i="230"/>
  <c r="E209" i="230"/>
  <c r="E208" i="230"/>
  <c r="E207" i="230"/>
  <c r="E206" i="230"/>
  <c r="E205" i="230"/>
  <c r="E204" i="230"/>
  <c r="E203" i="230"/>
  <c r="E202" i="230"/>
  <c r="E201" i="230"/>
  <c r="E200" i="230"/>
  <c r="E199" i="230"/>
  <c r="E198" i="230"/>
  <c r="E197" i="230"/>
  <c r="E196" i="230"/>
  <c r="E195" i="230"/>
  <c r="E194" i="230"/>
  <c r="E193" i="230"/>
  <c r="E192" i="230"/>
  <c r="E191" i="230"/>
  <c r="E180" i="230"/>
  <c r="E179" i="230"/>
  <c r="E178" i="230"/>
  <c r="E177" i="230"/>
  <c r="E176" i="230"/>
  <c r="E175" i="230"/>
  <c r="E174" i="230"/>
  <c r="E173" i="230"/>
  <c r="E172" i="230"/>
  <c r="E171" i="230"/>
  <c r="E170" i="230"/>
  <c r="E159" i="230"/>
  <c r="E158" i="230"/>
  <c r="E157" i="230"/>
  <c r="E156" i="230"/>
  <c r="E155" i="230"/>
  <c r="E154" i="230"/>
  <c r="E153" i="230"/>
  <c r="E152" i="230"/>
  <c r="E151" i="230"/>
  <c r="E150" i="230"/>
  <c r="E149" i="230"/>
  <c r="E137" i="230"/>
  <c r="E136" i="230"/>
  <c r="E135" i="230"/>
  <c r="E134" i="230"/>
  <c r="E133" i="230"/>
  <c r="E132" i="230"/>
  <c r="E131" i="230"/>
  <c r="E130" i="230"/>
  <c r="E129" i="230"/>
  <c r="E128" i="230"/>
  <c r="E116" i="230"/>
  <c r="E115" i="230"/>
  <c r="E114" i="230"/>
  <c r="E113" i="230"/>
  <c r="E112" i="230"/>
  <c r="E111" i="230"/>
  <c r="E110" i="230"/>
  <c r="E109" i="230"/>
  <c r="E108" i="230"/>
  <c r="E107" i="230"/>
  <c r="E106" i="230"/>
  <c r="E105" i="230"/>
  <c r="E104" i="230"/>
  <c r="E103" i="230"/>
  <c r="E102" i="230"/>
  <c r="E101" i="230"/>
  <c r="E100" i="230"/>
  <c r="E99" i="230"/>
  <c r="E98" i="230"/>
  <c r="E97" i="230"/>
  <c r="E96" i="230"/>
  <c r="E95" i="230"/>
  <c r="E94" i="230"/>
  <c r="E93" i="230"/>
  <c r="E92" i="230"/>
  <c r="E91" i="230"/>
  <c r="E90" i="230"/>
  <c r="E89" i="230"/>
  <c r="E88" i="230"/>
  <c r="E87" i="230"/>
  <c r="E86" i="230"/>
  <c r="E75" i="230"/>
  <c r="E74" i="230"/>
  <c r="E73" i="230"/>
  <c r="E72" i="230"/>
  <c r="E71" i="230"/>
  <c r="E70" i="230"/>
  <c r="E69" i="230"/>
  <c r="E68" i="230"/>
  <c r="E67" i="230"/>
  <c r="E66" i="230"/>
  <c r="E65" i="230"/>
  <c r="E63" i="230"/>
  <c r="E54" i="230"/>
  <c r="E53" i="230"/>
  <c r="E52" i="230"/>
  <c r="E51" i="230"/>
  <c r="E50" i="230"/>
  <c r="E49" i="230"/>
  <c r="E48" i="230"/>
  <c r="E47" i="230"/>
  <c r="E46" i="230"/>
  <c r="E45" i="230"/>
  <c r="E44" i="230"/>
  <c r="E43" i="230"/>
  <c r="E42" i="230"/>
  <c r="E41" i="230"/>
  <c r="E40" i="230"/>
  <c r="E39" i="230"/>
  <c r="E38" i="230"/>
  <c r="E37" i="230"/>
  <c r="E36" i="230"/>
  <c r="E35" i="230"/>
  <c r="E34" i="230"/>
  <c r="E33" i="230"/>
  <c r="E32" i="230"/>
  <c r="E31" i="230"/>
  <c r="E30" i="230"/>
  <c r="E29" i="230"/>
  <c r="E28" i="230"/>
  <c r="E27" i="230"/>
  <c r="E26" i="230"/>
  <c r="E25" i="230"/>
  <c r="E24" i="230"/>
  <c r="E23" i="230"/>
  <c r="E12" i="230"/>
  <c r="E11" i="230"/>
  <c r="E9" i="230"/>
  <c r="E8" i="230"/>
  <c r="E7" i="230"/>
  <c r="E6" i="230"/>
  <c r="E5" i="230"/>
  <c r="E4" i="230"/>
  <c r="E3" i="230"/>
  <c r="E2" i="230"/>
  <c r="A212" i="18"/>
  <c r="A210" i="18"/>
  <c r="A196" i="18"/>
  <c r="A194" i="18"/>
  <c r="A180" i="18"/>
  <c r="A178" i="18"/>
  <c r="A164" i="18"/>
  <c r="A162" i="18"/>
  <c r="A148" i="18"/>
  <c r="A146" i="18"/>
  <c r="A132" i="18"/>
  <c r="A130" i="18"/>
  <c r="A116" i="18"/>
  <c r="A114" i="18"/>
  <c r="A100" i="18"/>
  <c r="A98" i="18"/>
  <c r="A84" i="18"/>
  <c r="A82" i="18"/>
  <c r="R70" i="18"/>
  <c r="K26" i="3" s="1"/>
  <c r="R69" i="18"/>
  <c r="S68" i="18"/>
  <c r="R68" i="18"/>
  <c r="A68" i="18"/>
  <c r="R67" i="18"/>
  <c r="R66" i="18"/>
  <c r="A66" i="18"/>
  <c r="R64" i="18"/>
  <c r="R63" i="18"/>
  <c r="U56" i="18"/>
  <c r="T56" i="18"/>
  <c r="S56" i="18"/>
  <c r="A52" i="18"/>
  <c r="U50" i="18"/>
  <c r="T50" i="18"/>
  <c r="S50" i="18"/>
  <c r="A50" i="18"/>
  <c r="T37" i="18"/>
  <c r="T36" i="18"/>
  <c r="A36" i="18"/>
  <c r="T35" i="18"/>
  <c r="T34" i="18"/>
  <c r="A34" i="18"/>
  <c r="T33" i="18"/>
  <c r="T32" i="18"/>
  <c r="T31" i="18"/>
  <c r="T30" i="18"/>
  <c r="T29" i="18"/>
  <c r="T28" i="18"/>
  <c r="T27" i="18"/>
  <c r="T26" i="18"/>
  <c r="T25" i="18"/>
  <c r="T24" i="18"/>
  <c r="T23" i="18"/>
  <c r="T22" i="18"/>
  <c r="T21" i="18"/>
  <c r="A21" i="18"/>
  <c r="T20" i="18"/>
  <c r="L20" i="18"/>
  <c r="K20" i="18"/>
  <c r="J20" i="18"/>
  <c r="I20" i="18"/>
  <c r="H20" i="18"/>
  <c r="G20" i="18"/>
  <c r="F20" i="18"/>
  <c r="E20" i="18"/>
  <c r="D20" i="18"/>
  <c r="C20" i="18"/>
  <c r="B20" i="18"/>
  <c r="T19" i="18"/>
  <c r="A19" i="18"/>
  <c r="T18" i="18"/>
  <c r="Q18" i="18"/>
  <c r="T17" i="18"/>
  <c r="Q17" i="18"/>
  <c r="T16" i="18"/>
  <c r="Q16" i="18"/>
  <c r="B16" i="18"/>
  <c r="A16" i="18"/>
  <c r="T15" i="18"/>
  <c r="Q15" i="18"/>
  <c r="B15" i="18"/>
  <c r="A15" i="18"/>
  <c r="T14" i="18"/>
  <c r="Q14" i="18"/>
  <c r="B14" i="18"/>
  <c r="A14" i="18"/>
  <c r="T13" i="18"/>
  <c r="Q13" i="18"/>
  <c r="B13" i="18"/>
  <c r="A13" i="18"/>
  <c r="Q12" i="18"/>
  <c r="B12" i="18"/>
  <c r="A12" i="18"/>
  <c r="B11" i="18"/>
  <c r="A11" i="18"/>
  <c r="B10" i="18"/>
  <c r="A10" i="18"/>
  <c r="B9" i="18"/>
  <c r="A9" i="18"/>
  <c r="B8" i="18"/>
  <c r="A8" i="18"/>
  <c r="B7" i="18"/>
  <c r="A7" i="18"/>
  <c r="E5" i="18"/>
  <c r="P110" i="198"/>
  <c r="N110" i="198"/>
  <c r="M110" i="198"/>
  <c r="L110" i="198"/>
  <c r="K110" i="198"/>
  <c r="J110" i="198"/>
  <c r="I110" i="198"/>
  <c r="H110" i="198"/>
  <c r="G110" i="198"/>
  <c r="F110" i="198"/>
  <c r="E110" i="198"/>
  <c r="D110" i="198"/>
  <c r="C110" i="198"/>
  <c r="Z109" i="198"/>
  <c r="Y109" i="198"/>
  <c r="X109" i="198"/>
  <c r="W109" i="198"/>
  <c r="V109" i="198"/>
  <c r="U109" i="198"/>
  <c r="T109" i="198"/>
  <c r="S109" i="198"/>
  <c r="R109" i="198"/>
  <c r="Q109" i="198"/>
  <c r="P109" i="198"/>
  <c r="O109" i="198"/>
  <c r="N109" i="198"/>
  <c r="M109" i="198"/>
  <c r="L109" i="198"/>
  <c r="K109" i="198"/>
  <c r="J109" i="198"/>
  <c r="I109" i="198"/>
  <c r="H109" i="198"/>
  <c r="G109" i="198"/>
  <c r="F109" i="198"/>
  <c r="E109" i="198"/>
  <c r="D109" i="198"/>
  <c r="C109" i="198"/>
  <c r="Z86" i="198"/>
  <c r="Y86" i="198"/>
  <c r="X86" i="198"/>
  <c r="W86" i="198"/>
  <c r="V86" i="198"/>
  <c r="U86" i="198"/>
  <c r="T86" i="198"/>
  <c r="S86" i="198"/>
  <c r="R86" i="198"/>
  <c r="Q86" i="198"/>
  <c r="P86" i="198"/>
  <c r="O86" i="198"/>
  <c r="N86" i="198"/>
  <c r="M86" i="198"/>
  <c r="L86" i="198"/>
  <c r="K86" i="198"/>
  <c r="J86" i="198"/>
  <c r="I86" i="198"/>
  <c r="H86" i="198"/>
  <c r="G86" i="198"/>
  <c r="F86" i="198"/>
  <c r="E86" i="198"/>
  <c r="D86" i="198"/>
  <c r="C86" i="198"/>
  <c r="Z84" i="198"/>
  <c r="Z84" i="198" a="1"/>
  <c r="Y84" i="198"/>
  <c r="Y84" i="198" a="1"/>
  <c r="X84" i="198"/>
  <c r="X84" i="198" a="1"/>
  <c r="W84" i="198"/>
  <c r="W84" i="198" a="1"/>
  <c r="V84" i="198"/>
  <c r="V84" i="198" a="1"/>
  <c r="U84" i="198"/>
  <c r="U84" i="198" a="1"/>
  <c r="T84" i="198"/>
  <c r="T84" i="198" a="1"/>
  <c r="S84" i="198"/>
  <c r="S84" i="198" a="1"/>
  <c r="R84" i="198"/>
  <c r="R84" i="198" a="1"/>
  <c r="Q84" i="198"/>
  <c r="Q84" i="198" a="1"/>
  <c r="P84" i="198"/>
  <c r="P84" i="198" a="1"/>
  <c r="O84" i="198"/>
  <c r="O84" i="198" a="1"/>
  <c r="N84" i="198"/>
  <c r="N84" i="198" a="1"/>
  <c r="M84" i="198"/>
  <c r="M84" i="198" a="1"/>
  <c r="L84" i="198"/>
  <c r="L84" i="198" a="1"/>
  <c r="K84" i="198"/>
  <c r="K84" i="198" a="1"/>
  <c r="J84" i="198"/>
  <c r="J84" i="198" a="1"/>
  <c r="I84" i="198"/>
  <c r="I84" i="198" a="1"/>
  <c r="H84" i="198"/>
  <c r="H84" i="198" a="1"/>
  <c r="G84" i="198"/>
  <c r="G84" i="198" a="1"/>
  <c r="F84" i="198"/>
  <c r="F84" i="198" a="1"/>
  <c r="E84" i="198"/>
  <c r="E84" i="198" a="1"/>
  <c r="D84" i="198"/>
  <c r="D84" i="198" a="1"/>
  <c r="P83" i="198"/>
  <c r="O83" i="198"/>
  <c r="N83" i="198"/>
  <c r="M83" i="198"/>
  <c r="L83" i="198"/>
  <c r="K83" i="198"/>
  <c r="J83" i="198"/>
  <c r="I83" i="198"/>
  <c r="H83" i="198"/>
  <c r="G83" i="198"/>
  <c r="F83" i="198"/>
  <c r="E83" i="198"/>
  <c r="D83" i="198"/>
  <c r="Z82" i="198"/>
  <c r="Y82" i="198"/>
  <c r="X82" i="198"/>
  <c r="W82" i="198"/>
  <c r="V82" i="198"/>
  <c r="U82" i="198"/>
  <c r="T82" i="198"/>
  <c r="S82" i="198"/>
  <c r="R82" i="198"/>
  <c r="Q82" i="198"/>
  <c r="P82" i="198"/>
  <c r="O82" i="198"/>
  <c r="N82" i="198"/>
  <c r="M82" i="198"/>
  <c r="L82" i="198"/>
  <c r="K82" i="198"/>
  <c r="J82" i="198"/>
  <c r="I82" i="198"/>
  <c r="H82" i="198"/>
  <c r="G82" i="198"/>
  <c r="F82" i="198"/>
  <c r="E82" i="198"/>
  <c r="D82" i="198"/>
  <c r="C82" i="198"/>
  <c r="P81" i="198"/>
  <c r="O81" i="198"/>
  <c r="N81" i="198"/>
  <c r="M81" i="198"/>
  <c r="L81" i="198"/>
  <c r="K81" i="198"/>
  <c r="J81" i="198"/>
  <c r="I81" i="198"/>
  <c r="H81" i="198"/>
  <c r="G81" i="198"/>
  <c r="F81" i="198"/>
  <c r="E81" i="198"/>
  <c r="D81" i="198"/>
  <c r="C81" i="198"/>
  <c r="Z80" i="198"/>
  <c r="Y80" i="198"/>
  <c r="X80" i="198"/>
  <c r="W80" i="198"/>
  <c r="V80" i="198"/>
  <c r="U80" i="198"/>
  <c r="T80" i="198"/>
  <c r="S80" i="198"/>
  <c r="R80" i="198"/>
  <c r="Q80" i="198"/>
  <c r="P80" i="198"/>
  <c r="O80" i="198"/>
  <c r="N80" i="198"/>
  <c r="M80" i="198"/>
  <c r="L80" i="198"/>
  <c r="K80" i="198"/>
  <c r="J80" i="198"/>
  <c r="I80" i="198"/>
  <c r="H80" i="198"/>
  <c r="G80" i="198"/>
  <c r="F80" i="198"/>
  <c r="E80" i="198"/>
  <c r="D80" i="198"/>
  <c r="C80" i="198"/>
  <c r="R75" i="198"/>
  <c r="Q75" i="198"/>
  <c r="Q74" i="198"/>
  <c r="R73" i="198"/>
  <c r="Q73" i="198"/>
  <c r="Q72" i="198"/>
  <c r="L72" i="198"/>
  <c r="Q71" i="198"/>
  <c r="L71" i="198"/>
  <c r="Q70" i="198"/>
  <c r="L69" i="198"/>
  <c r="Q67" i="198"/>
  <c r="Q66" i="198"/>
  <c r="Q65" i="198"/>
  <c r="L65" i="198"/>
  <c r="Q64" i="198"/>
  <c r="Z56" i="198"/>
  <c r="Y56" i="198"/>
  <c r="X56" i="198"/>
  <c r="W56" i="198"/>
  <c r="V56" i="198"/>
  <c r="U56" i="198"/>
  <c r="T56" i="198"/>
  <c r="S56" i="198"/>
  <c r="R56" i="198"/>
  <c r="Q56" i="198"/>
  <c r="P56" i="198"/>
  <c r="O56" i="198"/>
  <c r="N56" i="198"/>
  <c r="M56" i="198"/>
  <c r="L56" i="198"/>
  <c r="K56" i="198"/>
  <c r="J56" i="198"/>
  <c r="I56" i="198"/>
  <c r="H56" i="198"/>
  <c r="G56" i="198"/>
  <c r="F56" i="198"/>
  <c r="E56" i="198"/>
  <c r="D56" i="198"/>
  <c r="C56" i="198"/>
  <c r="O53" i="198"/>
  <c r="N53" i="198"/>
  <c r="M53" i="198"/>
  <c r="L53" i="198"/>
  <c r="K53" i="198"/>
  <c r="J53" i="198"/>
  <c r="I53" i="198"/>
  <c r="H53" i="198"/>
  <c r="G53" i="198"/>
  <c r="F53" i="198"/>
  <c r="E53" i="198"/>
  <c r="D53" i="198"/>
  <c r="C53" i="198"/>
  <c r="O52" i="198"/>
  <c r="N52" i="198"/>
  <c r="M52" i="198"/>
  <c r="L52" i="198"/>
  <c r="K52" i="198"/>
  <c r="J52" i="198"/>
  <c r="I52" i="198"/>
  <c r="H52" i="198"/>
  <c r="G52" i="198"/>
  <c r="F52" i="198"/>
  <c r="E52" i="198"/>
  <c r="D52" i="198"/>
  <c r="C52" i="198"/>
  <c r="P51" i="198"/>
  <c r="O51" i="198"/>
  <c r="N51" i="198"/>
  <c r="M51" i="198"/>
  <c r="L51" i="198"/>
  <c r="K51" i="198"/>
  <c r="J51" i="198"/>
  <c r="I51" i="198"/>
  <c r="H51" i="198"/>
  <c r="G51" i="198"/>
  <c r="F51" i="198"/>
  <c r="E51" i="198"/>
  <c r="D51" i="198"/>
  <c r="C51" i="198"/>
  <c r="Z44" i="198"/>
  <c r="Y44" i="198"/>
  <c r="X44" i="198"/>
  <c r="W44" i="198"/>
  <c r="V44" i="198"/>
  <c r="U44" i="198"/>
  <c r="T44" i="198"/>
  <c r="S44" i="198"/>
  <c r="R44" i="198"/>
  <c r="Q44" i="198"/>
  <c r="P44" i="198"/>
  <c r="O44" i="198"/>
  <c r="N44" i="198"/>
  <c r="M44" i="198"/>
  <c r="L44" i="198"/>
  <c r="K44" i="198"/>
  <c r="J44" i="198"/>
  <c r="I44" i="198"/>
  <c r="H44" i="198"/>
  <c r="G44" i="198"/>
  <c r="F44" i="198"/>
  <c r="E44" i="198"/>
  <c r="D44" i="198"/>
  <c r="C44" i="198"/>
  <c r="Z40" i="198"/>
  <c r="Y40" i="198"/>
  <c r="X40" i="198"/>
  <c r="W40" i="198"/>
  <c r="V40" i="198"/>
  <c r="U40" i="198"/>
  <c r="T40" i="198"/>
  <c r="S40" i="198"/>
  <c r="R40" i="198"/>
  <c r="Q40" i="198"/>
  <c r="Z36" i="198"/>
  <c r="Y36" i="198"/>
  <c r="X36" i="198"/>
  <c r="W36" i="198"/>
  <c r="V36" i="198"/>
  <c r="U36" i="198"/>
  <c r="T36" i="198"/>
  <c r="S36" i="198"/>
  <c r="R36" i="198"/>
  <c r="Q36" i="198"/>
  <c r="P36" i="198"/>
  <c r="O36" i="198"/>
  <c r="N36" i="198"/>
  <c r="M36" i="198"/>
  <c r="L36" i="198"/>
  <c r="K36" i="198"/>
  <c r="J36" i="198"/>
  <c r="I36" i="198"/>
  <c r="H36" i="198"/>
  <c r="G36" i="198"/>
  <c r="F36" i="198"/>
  <c r="E36" i="198"/>
  <c r="D36" i="198"/>
  <c r="C36" i="198"/>
  <c r="P33" i="198"/>
  <c r="O33" i="198"/>
  <c r="N33" i="198"/>
  <c r="M33" i="198"/>
  <c r="L33" i="198"/>
  <c r="K33" i="198"/>
  <c r="J33" i="198"/>
  <c r="I33" i="198"/>
  <c r="H33" i="198"/>
  <c r="G33" i="198"/>
  <c r="F33" i="198"/>
  <c r="E33" i="198"/>
  <c r="D33" i="198"/>
  <c r="C33" i="198"/>
  <c r="P32" i="198"/>
  <c r="O32" i="198"/>
  <c r="N32" i="198"/>
  <c r="M32" i="198"/>
  <c r="L32" i="198"/>
  <c r="K32" i="198"/>
  <c r="J32" i="198"/>
  <c r="I32" i="198"/>
  <c r="H32" i="198"/>
  <c r="G32" i="198"/>
  <c r="F32" i="198"/>
  <c r="E32" i="198"/>
  <c r="D32" i="198"/>
  <c r="C32" i="198"/>
  <c r="P31" i="198"/>
  <c r="N31" i="198"/>
  <c r="M31" i="198"/>
  <c r="L31" i="198"/>
  <c r="K31" i="198"/>
  <c r="J31" i="198"/>
  <c r="I31" i="198"/>
  <c r="H31" i="198"/>
  <c r="G31" i="198"/>
  <c r="F31" i="198"/>
  <c r="E31" i="198"/>
  <c r="D31" i="198"/>
  <c r="C31" i="198"/>
  <c r="P30" i="198"/>
  <c r="N30" i="198"/>
  <c r="M30" i="198"/>
  <c r="L30" i="198"/>
  <c r="K30" i="198"/>
  <c r="J30" i="198"/>
  <c r="I30" i="198"/>
  <c r="H30" i="198"/>
  <c r="G30" i="198"/>
  <c r="F30" i="198"/>
  <c r="E30" i="198"/>
  <c r="D30" i="198"/>
  <c r="C30" i="198"/>
  <c r="M29" i="198"/>
  <c r="L29" i="198"/>
  <c r="K29" i="198"/>
  <c r="J29" i="198"/>
  <c r="I29" i="198"/>
  <c r="H29" i="198"/>
  <c r="G29" i="198"/>
  <c r="F29" i="198"/>
  <c r="E29" i="198"/>
  <c r="D29" i="198"/>
  <c r="C29" i="198"/>
  <c r="P28" i="198"/>
  <c r="O28" i="198"/>
  <c r="N28" i="198"/>
  <c r="M28" i="198"/>
  <c r="L28" i="198"/>
  <c r="K28" i="198"/>
  <c r="J28" i="198"/>
  <c r="I28" i="198"/>
  <c r="H28" i="198"/>
  <c r="G28" i="198"/>
  <c r="F28" i="198"/>
  <c r="E28" i="198"/>
  <c r="D28" i="198"/>
  <c r="C28" i="198"/>
  <c r="P27" i="198"/>
  <c r="O27" i="198"/>
  <c r="N27" i="198"/>
  <c r="M27" i="198"/>
  <c r="L27" i="198"/>
  <c r="K27" i="198"/>
  <c r="J27" i="198"/>
  <c r="I27" i="198"/>
  <c r="H27" i="198"/>
  <c r="G27" i="198"/>
  <c r="F27" i="198"/>
  <c r="E27" i="198"/>
  <c r="D27" i="198"/>
  <c r="C27" i="198"/>
  <c r="P26" i="198"/>
  <c r="O26" i="198"/>
  <c r="N26" i="198"/>
  <c r="M26" i="198"/>
  <c r="L26" i="198"/>
  <c r="K26" i="198"/>
  <c r="J26" i="198"/>
  <c r="I26" i="198"/>
  <c r="H26" i="198"/>
  <c r="G26" i="198"/>
  <c r="F26" i="198"/>
  <c r="E26" i="198"/>
  <c r="D26" i="198"/>
  <c r="C26" i="198"/>
  <c r="P25" i="198"/>
  <c r="O25" i="198"/>
  <c r="N25" i="198"/>
  <c r="M25" i="198"/>
  <c r="L25" i="198"/>
  <c r="K25" i="198"/>
  <c r="J25" i="198"/>
  <c r="I25" i="198"/>
  <c r="H25" i="198"/>
  <c r="G25" i="198"/>
  <c r="F25" i="198"/>
  <c r="E25" i="198"/>
  <c r="D25" i="198"/>
  <c r="C25" i="198"/>
  <c r="O24" i="198"/>
  <c r="N24" i="198"/>
  <c r="M24" i="198"/>
  <c r="L24" i="198"/>
  <c r="K24" i="198"/>
  <c r="J24" i="198"/>
  <c r="I24" i="198"/>
  <c r="H24" i="198"/>
  <c r="G24" i="198"/>
  <c r="F24" i="198"/>
  <c r="E24" i="198"/>
  <c r="D24" i="198"/>
  <c r="C24" i="198"/>
  <c r="O23" i="198"/>
  <c r="N23" i="198"/>
  <c r="M23" i="198"/>
  <c r="L23" i="198"/>
  <c r="K23" i="198"/>
  <c r="J23" i="198"/>
  <c r="I23" i="198"/>
  <c r="H23" i="198"/>
  <c r="G23" i="198"/>
  <c r="F23" i="198"/>
  <c r="E23" i="198"/>
  <c r="D23" i="198"/>
  <c r="C23" i="198"/>
  <c r="P22" i="198"/>
  <c r="O22" i="198"/>
  <c r="N22" i="198"/>
  <c r="M22" i="198"/>
  <c r="L22" i="198"/>
  <c r="K22" i="198"/>
  <c r="J22" i="198"/>
  <c r="I22" i="198"/>
  <c r="H22" i="198"/>
  <c r="G22" i="198"/>
  <c r="F22" i="198"/>
  <c r="E22" i="198"/>
  <c r="D22" i="198"/>
  <c r="C22" i="198"/>
  <c r="Z21" i="198"/>
  <c r="Y21" i="198"/>
  <c r="X21" i="198"/>
  <c r="W21" i="198"/>
  <c r="V21" i="198"/>
  <c r="U21" i="198"/>
  <c r="T21" i="198"/>
  <c r="S21" i="198"/>
  <c r="R21" i="198"/>
  <c r="Q21" i="198"/>
  <c r="P21" i="198"/>
  <c r="O21" i="198"/>
  <c r="N21" i="198"/>
  <c r="M21" i="198"/>
  <c r="L21" i="198"/>
  <c r="K21" i="198"/>
  <c r="J21" i="198"/>
  <c r="I21" i="198"/>
  <c r="H21" i="198"/>
  <c r="G21" i="198"/>
  <c r="F21" i="198"/>
  <c r="E21" i="198"/>
  <c r="D21" i="198"/>
  <c r="C21" i="198"/>
  <c r="M18" i="198"/>
  <c r="L18" i="198"/>
  <c r="K18" i="198"/>
  <c r="J18" i="198"/>
  <c r="I18" i="198"/>
  <c r="H18" i="198"/>
  <c r="G18" i="198"/>
  <c r="F18" i="198"/>
  <c r="E18" i="198"/>
  <c r="D18" i="198"/>
  <c r="C18" i="198"/>
  <c r="Z17" i="198"/>
  <c r="Y17" i="198"/>
  <c r="X17" i="198"/>
  <c r="W17" i="198"/>
  <c r="V17" i="198"/>
  <c r="U17" i="198"/>
  <c r="T17" i="198"/>
  <c r="S17" i="198"/>
  <c r="R17" i="198"/>
  <c r="Q17" i="198"/>
  <c r="P17" i="198"/>
  <c r="O17" i="198"/>
  <c r="N17" i="198"/>
  <c r="M17" i="198"/>
  <c r="L17" i="198"/>
  <c r="K17" i="198"/>
  <c r="J17" i="198"/>
  <c r="I17" i="198"/>
  <c r="H17" i="198"/>
  <c r="G17" i="198"/>
  <c r="F17" i="198"/>
  <c r="E17" i="198"/>
  <c r="D17" i="198"/>
  <c r="C17" i="198"/>
  <c r="P16" i="198"/>
  <c r="O16" i="198"/>
  <c r="N16" i="198"/>
  <c r="M16" i="198"/>
  <c r="L16" i="198"/>
  <c r="K16" i="198"/>
  <c r="J16" i="198"/>
  <c r="I16" i="198"/>
  <c r="H16" i="198"/>
  <c r="G16" i="198"/>
  <c r="F16" i="198"/>
  <c r="E16" i="198"/>
  <c r="D16" i="198"/>
  <c r="C16" i="198"/>
  <c r="P15" i="198"/>
  <c r="O15" i="198"/>
  <c r="N15" i="198"/>
  <c r="M15" i="198"/>
  <c r="L15" i="198"/>
  <c r="K15" i="198"/>
  <c r="J15" i="198"/>
  <c r="I15" i="198"/>
  <c r="H15" i="198"/>
  <c r="G15" i="198"/>
  <c r="F15" i="198"/>
  <c r="E15" i="198"/>
  <c r="D15" i="198"/>
  <c r="C15" i="198"/>
  <c r="P14" i="198"/>
  <c r="O14" i="198"/>
  <c r="N14" i="198"/>
  <c r="M14" i="198"/>
  <c r="L14" i="198"/>
  <c r="K14" i="198"/>
  <c r="J14" i="198"/>
  <c r="I14" i="198"/>
  <c r="H14" i="198"/>
  <c r="G14" i="198"/>
  <c r="F14" i="198"/>
  <c r="E14" i="198"/>
  <c r="D14" i="198"/>
  <c r="C14" i="198"/>
  <c r="P13" i="198"/>
  <c r="O13" i="198"/>
  <c r="N13" i="198"/>
  <c r="M13" i="198"/>
  <c r="L13" i="198"/>
  <c r="K13" i="198"/>
  <c r="J13" i="198"/>
  <c r="I13" i="198"/>
  <c r="H13" i="198"/>
  <c r="G13" i="198"/>
  <c r="F13" i="198"/>
  <c r="E13" i="198"/>
  <c r="D13" i="198"/>
  <c r="C13" i="198"/>
  <c r="P12" i="198"/>
  <c r="O12" i="198"/>
  <c r="N12" i="198"/>
  <c r="M12" i="198"/>
  <c r="L12" i="198"/>
  <c r="K12" i="198"/>
  <c r="J12" i="198"/>
  <c r="I12" i="198"/>
  <c r="H12" i="198"/>
  <c r="G12" i="198"/>
  <c r="F12" i="198"/>
  <c r="E12" i="198"/>
  <c r="D12" i="198"/>
  <c r="C12" i="198"/>
  <c r="O11" i="198"/>
  <c r="N11" i="198"/>
  <c r="M11" i="198"/>
  <c r="L11" i="198"/>
  <c r="K11" i="198"/>
  <c r="J11" i="198"/>
  <c r="I11" i="198"/>
  <c r="H11" i="198"/>
  <c r="G11" i="198"/>
  <c r="F11" i="198"/>
  <c r="E11" i="198"/>
  <c r="D11" i="198"/>
  <c r="C11" i="198"/>
  <c r="P10" i="198"/>
  <c r="O10" i="198"/>
  <c r="N10" i="198"/>
  <c r="M10" i="198"/>
  <c r="L10" i="198"/>
  <c r="K10" i="198"/>
  <c r="J10" i="198"/>
  <c r="I10" i="198"/>
  <c r="H10" i="198"/>
  <c r="G10" i="198"/>
  <c r="F10" i="198"/>
  <c r="E10" i="198"/>
  <c r="D10" i="198"/>
  <c r="C10" i="198"/>
  <c r="P9" i="198"/>
  <c r="O9" i="198"/>
  <c r="N9" i="198"/>
  <c r="M9" i="198"/>
  <c r="L9" i="198"/>
  <c r="K9" i="198"/>
  <c r="J9" i="198"/>
  <c r="I9" i="198"/>
  <c r="H9" i="198"/>
  <c r="G9" i="198"/>
  <c r="F9" i="198"/>
  <c r="E9" i="198"/>
  <c r="D9" i="198"/>
  <c r="C9" i="198"/>
  <c r="O8" i="198"/>
  <c r="N8" i="198"/>
  <c r="M8" i="198"/>
  <c r="L8" i="198"/>
  <c r="K8" i="198"/>
  <c r="J8" i="198"/>
  <c r="I8" i="198"/>
  <c r="H8" i="198"/>
  <c r="G8" i="198"/>
  <c r="F8" i="198"/>
  <c r="E8" i="198"/>
  <c r="D8" i="198"/>
  <c r="C8" i="198"/>
  <c r="O7" i="198"/>
  <c r="N7" i="198"/>
  <c r="M7" i="198"/>
  <c r="L7" i="198"/>
  <c r="K7" i="198"/>
  <c r="J7" i="198"/>
  <c r="I7" i="198"/>
  <c r="H7" i="198"/>
  <c r="G7" i="198"/>
  <c r="F7" i="198"/>
  <c r="E7" i="198"/>
  <c r="D7" i="198"/>
  <c r="C7" i="198"/>
  <c r="P6" i="198"/>
  <c r="O6" i="198"/>
  <c r="N6" i="198"/>
  <c r="M6" i="198"/>
  <c r="L6" i="198"/>
  <c r="K6" i="198"/>
  <c r="J6" i="198"/>
  <c r="I6" i="198"/>
  <c r="H6" i="198"/>
  <c r="G6" i="198"/>
  <c r="F6" i="198"/>
  <c r="E6" i="198"/>
  <c r="D6" i="198"/>
  <c r="C6" i="198"/>
  <c r="P5" i="198"/>
  <c r="O5" i="198"/>
  <c r="N5" i="198"/>
  <c r="M5" i="198"/>
  <c r="L5" i="198"/>
  <c r="K5" i="198"/>
  <c r="J5" i="198"/>
  <c r="I5" i="198"/>
  <c r="H5" i="198"/>
  <c r="G5" i="198"/>
  <c r="F5" i="198"/>
  <c r="E5" i="198"/>
  <c r="D5" i="198"/>
  <c r="C5" i="198"/>
  <c r="Z4" i="198"/>
  <c r="Y4" i="198"/>
  <c r="X4" i="198"/>
  <c r="W4" i="198"/>
  <c r="V4" i="198"/>
  <c r="U4" i="198"/>
  <c r="T4" i="198"/>
  <c r="S4" i="198"/>
  <c r="R4" i="198"/>
  <c r="Q4" i="198"/>
  <c r="P4" i="198"/>
  <c r="O4" i="198"/>
  <c r="N4" i="198"/>
  <c r="M4" i="198"/>
  <c r="L4" i="198"/>
  <c r="K4" i="198"/>
  <c r="J4" i="198"/>
  <c r="I4" i="198"/>
  <c r="H4" i="198"/>
  <c r="G4" i="198"/>
  <c r="F4" i="198"/>
  <c r="E4" i="198"/>
  <c r="D4" i="198"/>
  <c r="C4" i="198"/>
  <c r="AA3" i="198"/>
  <c r="F67" i="487"/>
  <c r="E67" i="487"/>
  <c r="D67" i="487"/>
  <c r="C67" i="487"/>
  <c r="B67" i="487"/>
  <c r="D66" i="487"/>
  <c r="C66" i="487"/>
  <c r="B66" i="487"/>
  <c r="D65" i="487"/>
  <c r="C65" i="487"/>
  <c r="B65" i="487"/>
  <c r="D64" i="487"/>
  <c r="C64" i="487"/>
  <c r="B64" i="487"/>
  <c r="D63" i="487"/>
  <c r="C63" i="487"/>
  <c r="B63" i="487"/>
  <c r="P56" i="487"/>
  <c r="O56" i="487"/>
  <c r="N56" i="487"/>
  <c r="M56" i="487"/>
  <c r="L56" i="487"/>
  <c r="K56" i="487"/>
  <c r="J56" i="487"/>
  <c r="I56" i="487"/>
  <c r="H56" i="487"/>
  <c r="G56" i="487"/>
  <c r="F56" i="487"/>
  <c r="E56" i="487"/>
  <c r="D56" i="487"/>
  <c r="C56" i="487"/>
  <c r="B56" i="487"/>
  <c r="P55" i="487"/>
  <c r="O55" i="487"/>
  <c r="N55" i="487"/>
  <c r="M55" i="487"/>
  <c r="L55" i="487"/>
  <c r="K55" i="487"/>
  <c r="J55" i="487"/>
  <c r="I55" i="487"/>
  <c r="H55" i="487"/>
  <c r="G55" i="487"/>
  <c r="F55" i="487"/>
  <c r="E55" i="487"/>
  <c r="D55" i="487"/>
  <c r="C55" i="487"/>
  <c r="B55" i="487"/>
  <c r="P54" i="487"/>
  <c r="O54" i="487"/>
  <c r="N54" i="487"/>
  <c r="M54" i="487"/>
  <c r="L54" i="487"/>
  <c r="K54" i="487"/>
  <c r="J54" i="487"/>
  <c r="I54" i="487"/>
  <c r="H54" i="487"/>
  <c r="G54" i="487"/>
  <c r="F54" i="487"/>
  <c r="E54" i="487"/>
  <c r="D54" i="487"/>
  <c r="C54" i="487"/>
  <c r="B54" i="487"/>
  <c r="R51" i="487"/>
  <c r="Q51" i="487"/>
  <c r="M48" i="487"/>
  <c r="M47" i="487"/>
  <c r="M46" i="487"/>
  <c r="T37" i="487"/>
  <c r="S37" i="487"/>
  <c r="R37" i="487"/>
  <c r="Q37" i="487"/>
  <c r="P37" i="487"/>
  <c r="O37" i="487"/>
  <c r="N37" i="487"/>
  <c r="M37" i="487"/>
  <c r="L37" i="487"/>
  <c r="K37" i="487"/>
  <c r="J37" i="487"/>
  <c r="I37" i="487"/>
  <c r="H37" i="487"/>
  <c r="G37" i="487"/>
  <c r="F37" i="487"/>
  <c r="E37" i="487"/>
  <c r="D37" i="487"/>
  <c r="C37" i="487"/>
  <c r="B37" i="487"/>
  <c r="T36" i="487"/>
  <c r="S36" i="487"/>
  <c r="R36" i="487"/>
  <c r="Q36" i="487"/>
  <c r="P36" i="487"/>
  <c r="O36" i="487"/>
  <c r="N36" i="487"/>
  <c r="M36" i="487"/>
  <c r="L36" i="487"/>
  <c r="K36" i="487"/>
  <c r="J36" i="487"/>
  <c r="I36" i="487"/>
  <c r="H36" i="487"/>
  <c r="G36" i="487"/>
  <c r="F36" i="487"/>
  <c r="E36" i="487"/>
  <c r="D36" i="487"/>
  <c r="C36" i="487"/>
  <c r="B36" i="487"/>
  <c r="T35" i="487"/>
  <c r="S35" i="487"/>
  <c r="R35" i="487"/>
  <c r="Q35" i="487"/>
  <c r="P35" i="487"/>
  <c r="O35" i="487"/>
  <c r="N35" i="487"/>
  <c r="M35" i="487"/>
  <c r="L35" i="487"/>
  <c r="K35" i="487"/>
  <c r="J35" i="487"/>
  <c r="I35" i="487"/>
  <c r="H35" i="487"/>
  <c r="G35" i="487"/>
  <c r="F35" i="487"/>
  <c r="E35" i="487"/>
  <c r="D35" i="487"/>
  <c r="C35" i="487"/>
  <c r="B35" i="487"/>
  <c r="T34" i="487"/>
  <c r="S34" i="487"/>
  <c r="R34" i="487"/>
  <c r="Q34" i="487"/>
  <c r="P34" i="487"/>
  <c r="O34" i="487"/>
  <c r="N34" i="487"/>
  <c r="M34" i="487"/>
  <c r="L34" i="487"/>
  <c r="K34" i="487"/>
  <c r="J34" i="487"/>
  <c r="I34" i="487"/>
  <c r="H34" i="487"/>
  <c r="G34" i="487"/>
  <c r="F34" i="487"/>
  <c r="E34" i="487"/>
  <c r="D34" i="487"/>
  <c r="C34" i="487"/>
  <c r="B34" i="487"/>
  <c r="T33" i="487"/>
  <c r="S33" i="487"/>
  <c r="R33" i="487"/>
  <c r="Q33" i="487"/>
  <c r="P33" i="487"/>
  <c r="O33" i="487"/>
  <c r="N33" i="487"/>
  <c r="M33" i="487"/>
  <c r="L33" i="487"/>
  <c r="K33" i="487"/>
  <c r="J33" i="487"/>
  <c r="I33" i="487"/>
  <c r="H33" i="487"/>
  <c r="G33" i="487"/>
  <c r="F33" i="487"/>
  <c r="E33" i="487"/>
  <c r="D33" i="487"/>
  <c r="C33" i="487"/>
  <c r="B33" i="487"/>
  <c r="T32" i="487"/>
  <c r="S32" i="487"/>
  <c r="R32" i="487"/>
  <c r="Q32" i="487"/>
  <c r="P32" i="487"/>
  <c r="O32" i="487"/>
  <c r="N32" i="487"/>
  <c r="M32" i="487"/>
  <c r="L32" i="487"/>
  <c r="K32" i="487"/>
  <c r="J32" i="487"/>
  <c r="I32" i="487"/>
  <c r="H32" i="487"/>
  <c r="G32" i="487"/>
  <c r="F32" i="487"/>
  <c r="E32" i="487"/>
  <c r="D32" i="487"/>
  <c r="C32" i="487"/>
  <c r="B32" i="487"/>
  <c r="T31" i="487"/>
  <c r="S31" i="487"/>
  <c r="R31" i="487"/>
  <c r="Q31" i="487"/>
  <c r="P31" i="487"/>
  <c r="O31" i="487"/>
  <c r="N31" i="487"/>
  <c r="M31" i="487"/>
  <c r="L31" i="487"/>
  <c r="K31" i="487"/>
  <c r="J31" i="487"/>
  <c r="I31" i="487"/>
  <c r="H31" i="487"/>
  <c r="G31" i="487"/>
  <c r="F31" i="487"/>
  <c r="E31" i="487"/>
  <c r="D31" i="487"/>
  <c r="C31" i="487"/>
  <c r="B31" i="487"/>
  <c r="T30" i="487"/>
  <c r="S30" i="487"/>
  <c r="R30" i="487"/>
  <c r="Q30" i="487"/>
  <c r="P30" i="487"/>
  <c r="O30" i="487"/>
  <c r="N30" i="487"/>
  <c r="M30" i="487"/>
  <c r="L30" i="487"/>
  <c r="K30" i="487"/>
  <c r="J30" i="487"/>
  <c r="I30" i="487"/>
  <c r="H30" i="487"/>
  <c r="G30" i="487"/>
  <c r="F30" i="487"/>
  <c r="E30" i="487"/>
  <c r="D30" i="487"/>
  <c r="C30" i="487"/>
  <c r="B30" i="487"/>
  <c r="J23" i="487"/>
  <c r="I23" i="487"/>
  <c r="H23" i="487"/>
  <c r="G23" i="487"/>
  <c r="F23" i="487"/>
  <c r="E23" i="487"/>
  <c r="D23" i="487"/>
  <c r="C23" i="487"/>
  <c r="B23" i="487"/>
  <c r="I20" i="487"/>
  <c r="H20" i="487"/>
  <c r="G20" i="487"/>
  <c r="F20" i="487"/>
  <c r="E20" i="487"/>
  <c r="D20" i="487"/>
  <c r="C20" i="487"/>
  <c r="B20" i="487"/>
  <c r="T13" i="487"/>
  <c r="AD81" i="486"/>
  <c r="AC81" i="486"/>
  <c r="AB81" i="486"/>
  <c r="AA81" i="486"/>
  <c r="Z81" i="486"/>
  <c r="Y81" i="486"/>
  <c r="X81" i="486"/>
  <c r="W81" i="486"/>
  <c r="V81" i="486"/>
  <c r="U81" i="486"/>
  <c r="T81" i="486"/>
  <c r="S81" i="486"/>
  <c r="R81" i="486"/>
  <c r="Q81" i="486"/>
  <c r="P81" i="486"/>
  <c r="O81" i="486"/>
  <c r="N81" i="486"/>
  <c r="M81" i="486"/>
  <c r="L81" i="486"/>
  <c r="K81" i="486"/>
  <c r="J81" i="486"/>
  <c r="I81" i="486"/>
  <c r="H81" i="486"/>
  <c r="G81" i="486"/>
  <c r="F81" i="486"/>
  <c r="E81" i="486"/>
  <c r="D81" i="486"/>
  <c r="C81" i="486"/>
  <c r="AD80" i="486"/>
  <c r="AC80" i="486"/>
  <c r="AB80" i="486"/>
  <c r="AA80" i="486"/>
  <c r="Z80" i="486"/>
  <c r="Y80" i="486"/>
  <c r="X80" i="486"/>
  <c r="W80" i="486"/>
  <c r="V80" i="486"/>
  <c r="U80" i="486"/>
  <c r="T80" i="486"/>
  <c r="S80" i="486"/>
  <c r="R80" i="486"/>
  <c r="Q80" i="486"/>
  <c r="P80" i="486"/>
  <c r="O80" i="486"/>
  <c r="N80" i="486"/>
  <c r="M80" i="486"/>
  <c r="L80" i="486"/>
  <c r="K80" i="486"/>
  <c r="J80" i="486"/>
  <c r="I80" i="486"/>
  <c r="H80" i="486"/>
  <c r="G80" i="486"/>
  <c r="F80" i="486"/>
  <c r="E80" i="486"/>
  <c r="D80" i="486"/>
  <c r="C80" i="486"/>
  <c r="AD79" i="486"/>
  <c r="AC79" i="486"/>
  <c r="AB79" i="486"/>
  <c r="AA79" i="486"/>
  <c r="Z79" i="486"/>
  <c r="Y79" i="486"/>
  <c r="X79" i="486"/>
  <c r="W79" i="486"/>
  <c r="V79" i="486"/>
  <c r="U79" i="486"/>
  <c r="T79" i="486"/>
  <c r="S79" i="486"/>
  <c r="R79" i="486"/>
  <c r="Q79" i="486"/>
  <c r="P79" i="486"/>
  <c r="O79" i="486"/>
  <c r="N79" i="486"/>
  <c r="M79" i="486"/>
  <c r="L79" i="486"/>
  <c r="K79" i="486"/>
  <c r="J79" i="486"/>
  <c r="I79" i="486"/>
  <c r="H79" i="486"/>
  <c r="G79" i="486"/>
  <c r="F79" i="486"/>
  <c r="E79" i="486"/>
  <c r="D79" i="486"/>
  <c r="C79" i="486"/>
  <c r="AD78" i="486"/>
  <c r="AC78" i="486"/>
  <c r="AB78" i="486"/>
  <c r="AA78" i="486"/>
  <c r="Z78" i="486"/>
  <c r="Y78" i="486"/>
  <c r="X78" i="486"/>
  <c r="W78" i="486"/>
  <c r="V78" i="486"/>
  <c r="U78" i="486"/>
  <c r="T78" i="486"/>
  <c r="S78" i="486"/>
  <c r="R78" i="486"/>
  <c r="Q78" i="486"/>
  <c r="P78" i="486"/>
  <c r="O78" i="486"/>
  <c r="N78" i="486"/>
  <c r="M78" i="486"/>
  <c r="L78" i="486"/>
  <c r="K78" i="486"/>
  <c r="J78" i="486"/>
  <c r="I78" i="486"/>
  <c r="H78" i="486"/>
  <c r="G78" i="486"/>
  <c r="F78" i="486"/>
  <c r="E78" i="486"/>
  <c r="D78" i="486"/>
  <c r="C78" i="486"/>
  <c r="AD77" i="486"/>
  <c r="AC77" i="486"/>
  <c r="AB77" i="486"/>
  <c r="AA77" i="486"/>
  <c r="Z77" i="486"/>
  <c r="Y77" i="486"/>
  <c r="X77" i="486"/>
  <c r="W77" i="486"/>
  <c r="V77" i="486"/>
  <c r="U77" i="486"/>
  <c r="T77" i="486"/>
  <c r="S77" i="486"/>
  <c r="R77" i="486"/>
  <c r="Q77" i="486"/>
  <c r="P77" i="486"/>
  <c r="O77" i="486"/>
  <c r="N77" i="486"/>
  <c r="M77" i="486"/>
  <c r="L77" i="486"/>
  <c r="K77" i="486"/>
  <c r="J77" i="486"/>
  <c r="I77" i="486"/>
  <c r="H77" i="486"/>
  <c r="G77" i="486"/>
  <c r="F77" i="486"/>
  <c r="E77" i="486"/>
  <c r="D77" i="486"/>
  <c r="C77" i="486"/>
  <c r="AD76" i="486"/>
  <c r="AC76" i="486"/>
  <c r="AB76" i="486"/>
  <c r="AA76" i="486"/>
  <c r="Z76" i="486"/>
  <c r="Y76" i="486"/>
  <c r="X76" i="486"/>
  <c r="W76" i="486"/>
  <c r="AE74" i="486"/>
  <c r="AD74" i="486"/>
  <c r="AC74" i="486"/>
  <c r="AB74" i="486"/>
  <c r="X74" i="486"/>
  <c r="W74" i="486"/>
  <c r="V74" i="486"/>
  <c r="U74" i="486"/>
  <c r="T74" i="486"/>
  <c r="S74" i="486"/>
  <c r="R74" i="486"/>
  <c r="Q74" i="486"/>
  <c r="P74" i="486"/>
  <c r="O74" i="486"/>
  <c r="N74" i="486"/>
  <c r="M74" i="486"/>
  <c r="L74" i="486"/>
  <c r="C74" i="486"/>
  <c r="G26" i="486"/>
  <c r="F26" i="486"/>
  <c r="L95" i="485"/>
  <c r="I70" i="485"/>
  <c r="H70" i="485"/>
  <c r="I44" i="485"/>
  <c r="H44" i="485"/>
  <c r="I18" i="485"/>
  <c r="H18" i="485"/>
  <c r="G18" i="485"/>
  <c r="I15" i="485"/>
  <c r="H15" i="485"/>
  <c r="G15" i="485"/>
  <c r="P172" i="307"/>
  <c r="P171" i="307"/>
  <c r="O171" i="307"/>
  <c r="N171" i="307"/>
  <c r="M171" i="307"/>
  <c r="L171" i="307"/>
  <c r="Z166" i="307"/>
  <c r="Y166" i="307"/>
  <c r="X166" i="307"/>
  <c r="W166" i="307"/>
  <c r="V166" i="307"/>
  <c r="U166" i="307"/>
  <c r="T166" i="307"/>
  <c r="S166" i="307"/>
  <c r="R166" i="307"/>
  <c r="R165" i="307" s="1"/>
  <c r="S165" i="307" s="1"/>
  <c r="T165" i="307" s="1"/>
  <c r="U165" i="307" s="1"/>
  <c r="V165" i="307" s="1"/>
  <c r="W165" i="307" s="1"/>
  <c r="X165" i="307" s="1"/>
  <c r="Y165" i="307" s="1"/>
  <c r="Z165" i="307" s="1"/>
  <c r="Q166" i="307"/>
  <c r="P166" i="307"/>
  <c r="Q165" i="307"/>
  <c r="P165" i="307"/>
  <c r="O165" i="307"/>
  <c r="N165" i="307"/>
  <c r="Z159" i="307"/>
  <c r="Y159" i="307"/>
  <c r="X159" i="307"/>
  <c r="W159" i="307"/>
  <c r="V159" i="307"/>
  <c r="U159" i="307"/>
  <c r="T159" i="307"/>
  <c r="S159" i="307"/>
  <c r="R159" i="307"/>
  <c r="Q159" i="307"/>
  <c r="Q158" i="307" s="1"/>
  <c r="P159" i="307"/>
  <c r="P158" i="307"/>
  <c r="S156" i="307"/>
  <c r="Q156" i="307"/>
  <c r="Z155" i="307"/>
  <c r="Z156" i="307" s="1"/>
  <c r="Y155" i="307"/>
  <c r="Y156" i="307" s="1"/>
  <c r="X155" i="307"/>
  <c r="X156" i="307" s="1"/>
  <c r="W155" i="307"/>
  <c r="W156" i="307" s="1"/>
  <c r="V155" i="307"/>
  <c r="V156" i="307" s="1"/>
  <c r="U155" i="307"/>
  <c r="U156" i="307" s="1"/>
  <c r="T155" i="307"/>
  <c r="T156" i="307" s="1"/>
  <c r="S155" i="307"/>
  <c r="R155" i="307"/>
  <c r="R156" i="307" s="1"/>
  <c r="Q155" i="307"/>
  <c r="Z153" i="307"/>
  <c r="Y153" i="307"/>
  <c r="X153" i="307"/>
  <c r="W153" i="307"/>
  <c r="V153" i="307"/>
  <c r="U153" i="307"/>
  <c r="T153" i="307"/>
  <c r="S153" i="307"/>
  <c r="R153" i="307"/>
  <c r="Q153" i="307"/>
  <c r="P153" i="307"/>
  <c r="P152" i="307"/>
  <c r="O152" i="307"/>
  <c r="N152" i="307"/>
  <c r="M152" i="307"/>
  <c r="L152" i="307"/>
  <c r="P151" i="307"/>
  <c r="O151" i="307"/>
  <c r="P150" i="307"/>
  <c r="Z148" i="307"/>
  <c r="Y148" i="307"/>
  <c r="X148" i="307"/>
  <c r="W148" i="307"/>
  <c r="V148" i="307"/>
  <c r="U148" i="307"/>
  <c r="T148" i="307"/>
  <c r="S148" i="307"/>
  <c r="R148" i="307"/>
  <c r="Q148" i="307"/>
  <c r="P148" i="307"/>
  <c r="S133" i="307"/>
  <c r="T133" i="307" s="1"/>
  <c r="U133" i="307" s="1"/>
  <c r="V133" i="307" s="1"/>
  <c r="W133" i="307" s="1"/>
  <c r="X133" i="307" s="1"/>
  <c r="Y133" i="307" s="1"/>
  <c r="Z133" i="307" s="1"/>
  <c r="R131" i="307"/>
  <c r="Q131" i="307"/>
  <c r="R130" i="307"/>
  <c r="Q130" i="307"/>
  <c r="R128" i="307"/>
  <c r="Q128" i="307"/>
  <c r="X125" i="307"/>
  <c r="W125" i="307"/>
  <c r="V125" i="307"/>
  <c r="U125" i="307"/>
  <c r="T125" i="307"/>
  <c r="S125" i="307"/>
  <c r="R125" i="307"/>
  <c r="Q125" i="307"/>
  <c r="Y124" i="307"/>
  <c r="X124" i="307"/>
  <c r="W124" i="307"/>
  <c r="V124" i="307"/>
  <c r="U124" i="307"/>
  <c r="T124" i="307"/>
  <c r="S124" i="307"/>
  <c r="R124" i="307"/>
  <c r="Q124" i="307"/>
  <c r="Y122" i="307"/>
  <c r="X122" i="307"/>
  <c r="W122" i="307"/>
  <c r="V122" i="307"/>
  <c r="U122" i="307"/>
  <c r="T122" i="307"/>
  <c r="S122" i="307"/>
  <c r="R122" i="307"/>
  <c r="Q122" i="307"/>
  <c r="Z119" i="307"/>
  <c r="Y119" i="307"/>
  <c r="X119" i="307"/>
  <c r="W119" i="307"/>
  <c r="V119" i="307"/>
  <c r="U119" i="307"/>
  <c r="T119" i="307"/>
  <c r="S119" i="307"/>
  <c r="R119" i="307"/>
  <c r="Q119" i="307"/>
  <c r="Z118" i="307"/>
  <c r="Y118" i="307"/>
  <c r="X118" i="307"/>
  <c r="W118" i="307"/>
  <c r="V118" i="307"/>
  <c r="U118" i="307"/>
  <c r="T118" i="307"/>
  <c r="S118" i="307"/>
  <c r="R118" i="307"/>
  <c r="Q118" i="307"/>
  <c r="Z116" i="307"/>
  <c r="Y116" i="307"/>
  <c r="X116" i="307"/>
  <c r="W116" i="307"/>
  <c r="V116" i="307"/>
  <c r="U116" i="307"/>
  <c r="T116" i="307"/>
  <c r="S116" i="307"/>
  <c r="R116" i="307"/>
  <c r="Q116" i="307"/>
  <c r="P116" i="307"/>
  <c r="O116" i="307"/>
  <c r="N116" i="307"/>
  <c r="Z113" i="307"/>
  <c r="Y113" i="307"/>
  <c r="X113" i="307"/>
  <c r="W113" i="307"/>
  <c r="V113" i="307"/>
  <c r="U113" i="307"/>
  <c r="T113" i="307"/>
  <c r="S113" i="307"/>
  <c r="R113" i="307"/>
  <c r="Q113" i="307"/>
  <c r="Z112" i="307"/>
  <c r="Y112" i="307"/>
  <c r="X112" i="307"/>
  <c r="W112" i="307"/>
  <c r="V112" i="307"/>
  <c r="U112" i="307"/>
  <c r="T112" i="307"/>
  <c r="S112" i="307"/>
  <c r="R112" i="307"/>
  <c r="Q112" i="307"/>
  <c r="Z110" i="307"/>
  <c r="Y110" i="307"/>
  <c r="X110" i="307"/>
  <c r="W110" i="307"/>
  <c r="V110" i="307"/>
  <c r="U110" i="307"/>
  <c r="T110" i="307"/>
  <c r="S110" i="307"/>
  <c r="R110" i="307"/>
  <c r="Q110" i="307"/>
  <c r="P110" i="307"/>
  <c r="O110" i="307"/>
  <c r="N110" i="307"/>
  <c r="M110" i="307"/>
  <c r="O107" i="307"/>
  <c r="N107" i="307"/>
  <c r="Z104" i="307"/>
  <c r="Y104" i="307"/>
  <c r="X104" i="307"/>
  <c r="W104" i="307"/>
  <c r="V104" i="307"/>
  <c r="U104" i="307"/>
  <c r="T104" i="307"/>
  <c r="S104" i="307"/>
  <c r="R104" i="307"/>
  <c r="Q104" i="307"/>
  <c r="Z103" i="307"/>
  <c r="Y103" i="307"/>
  <c r="X103" i="307"/>
  <c r="W103" i="307"/>
  <c r="V103" i="307"/>
  <c r="U103" i="307"/>
  <c r="T103" i="307"/>
  <c r="S103" i="307"/>
  <c r="R103" i="307"/>
  <c r="Q103" i="307"/>
  <c r="Z101" i="307"/>
  <c r="Y101" i="307"/>
  <c r="X101" i="307"/>
  <c r="W101" i="307"/>
  <c r="V101" i="307"/>
  <c r="U101" i="307"/>
  <c r="T101" i="307"/>
  <c r="S101" i="307"/>
  <c r="R101" i="307"/>
  <c r="Q101" i="307"/>
  <c r="N101" i="307"/>
  <c r="M101" i="307"/>
  <c r="L101" i="307"/>
  <c r="P98" i="307"/>
  <c r="O98" i="307"/>
  <c r="P97" i="307"/>
  <c r="O97" i="307"/>
  <c r="P93" i="307"/>
  <c r="O93" i="307"/>
  <c r="Z92" i="307"/>
  <c r="Y92" i="307"/>
  <c r="X92" i="307"/>
  <c r="W92" i="307"/>
  <c r="V92" i="307"/>
  <c r="U92" i="307"/>
  <c r="T92" i="307"/>
  <c r="S92" i="307"/>
  <c r="R92" i="307"/>
  <c r="Q92" i="307"/>
  <c r="P92" i="307"/>
  <c r="O92" i="307"/>
  <c r="N92" i="307"/>
  <c r="P89" i="307"/>
  <c r="O89" i="307"/>
  <c r="N89" i="307"/>
  <c r="P87" i="307"/>
  <c r="O87" i="307"/>
  <c r="P84" i="307"/>
  <c r="O84" i="307"/>
  <c r="Q83" i="307"/>
  <c r="Q84" i="307" s="1"/>
  <c r="Z80" i="307"/>
  <c r="Y80" i="307"/>
  <c r="X80" i="307"/>
  <c r="W80" i="307"/>
  <c r="V80" i="307"/>
  <c r="Z78" i="307"/>
  <c r="Y78" i="307"/>
  <c r="X78" i="307"/>
  <c r="W78" i="307"/>
  <c r="V78" i="307"/>
  <c r="U78" i="307"/>
  <c r="T78" i="307"/>
  <c r="S78" i="307"/>
  <c r="R78" i="307"/>
  <c r="Q78" i="307"/>
  <c r="Q77" i="307" s="1"/>
  <c r="R77" i="307" s="1"/>
  <c r="S77" i="307" s="1"/>
  <c r="T77" i="307" s="1"/>
  <c r="U77" i="307" s="1"/>
  <c r="V77" i="307" s="1"/>
  <c r="W77" i="307" s="1"/>
  <c r="X77" i="307" s="1"/>
  <c r="Y77" i="307" s="1"/>
  <c r="Z77" i="307" s="1"/>
  <c r="O60" i="307"/>
  <c r="N60" i="307"/>
  <c r="M60" i="307"/>
  <c r="L60" i="307"/>
  <c r="Z45" i="307"/>
  <c r="Y45" i="307"/>
  <c r="X45" i="307"/>
  <c r="W45" i="307"/>
  <c r="V45" i="307"/>
  <c r="U45" i="307"/>
  <c r="T45" i="307"/>
  <c r="S45" i="307"/>
  <c r="R45" i="307"/>
  <c r="Q45" i="307"/>
  <c r="Z43" i="307"/>
  <c r="Y43" i="307"/>
  <c r="X43" i="307"/>
  <c r="W43" i="307"/>
  <c r="V43" i="307"/>
  <c r="U43" i="307"/>
  <c r="T43" i="307"/>
  <c r="S43" i="307"/>
  <c r="R43" i="307"/>
  <c r="Q43" i="307"/>
  <c r="O42" i="307"/>
  <c r="O43" i="307" s="1"/>
  <c r="N42" i="307"/>
  <c r="N43" i="307" s="1"/>
  <c r="P40" i="307"/>
  <c r="O40" i="307"/>
  <c r="N40" i="307"/>
  <c r="P38" i="307"/>
  <c r="O38" i="307"/>
  <c r="N38" i="307"/>
  <c r="M38" i="307"/>
  <c r="Z37" i="307"/>
  <c r="Y37" i="307"/>
  <c r="X37" i="307"/>
  <c r="W37" i="307"/>
  <c r="V37" i="307"/>
  <c r="U37" i="307"/>
  <c r="T37" i="307"/>
  <c r="S37" i="307"/>
  <c r="R37" i="307"/>
  <c r="Q37" i="307"/>
  <c r="P37" i="307"/>
  <c r="O37" i="307"/>
  <c r="N37" i="307"/>
  <c r="M37" i="307"/>
  <c r="L37" i="307"/>
  <c r="P34" i="307"/>
  <c r="O34" i="307"/>
  <c r="N34" i="307"/>
  <c r="O30" i="307"/>
  <c r="N30" i="307"/>
  <c r="P29" i="307"/>
  <c r="P30" i="307" s="1"/>
  <c r="O29" i="307"/>
  <c r="N29" i="307"/>
  <c r="M29" i="307"/>
  <c r="L29" i="307"/>
  <c r="Z26" i="307"/>
  <c r="Y26" i="307"/>
  <c r="X26" i="307"/>
  <c r="W26" i="307"/>
  <c r="V26" i="307"/>
  <c r="U26" i="307"/>
  <c r="T26" i="307"/>
  <c r="Z24" i="307"/>
  <c r="Y24" i="307"/>
  <c r="X24" i="307"/>
  <c r="W24" i="307"/>
  <c r="V24" i="307"/>
  <c r="U24" i="307"/>
  <c r="T24" i="307"/>
  <c r="S24" i="307"/>
  <c r="R24" i="307"/>
  <c r="Q24" i="307"/>
  <c r="P24" i="307"/>
  <c r="O24" i="307"/>
  <c r="N24" i="307"/>
  <c r="P23" i="307"/>
  <c r="O23" i="307"/>
  <c r="N23" i="307"/>
  <c r="M23" i="307"/>
  <c r="L23" i="307"/>
  <c r="Z20" i="307"/>
  <c r="Y20" i="307"/>
  <c r="X20" i="307"/>
  <c r="W20" i="307"/>
  <c r="Z18" i="307"/>
  <c r="Y18" i="307"/>
  <c r="X18" i="307"/>
  <c r="W18" i="307"/>
  <c r="V18" i="307"/>
  <c r="U18" i="307"/>
  <c r="T18" i="307"/>
  <c r="S18" i="307"/>
  <c r="R18" i="307"/>
  <c r="T72" i="1" s="1"/>
  <c r="Q18" i="307"/>
  <c r="O18" i="307"/>
  <c r="O17" i="307"/>
  <c r="N17" i="307"/>
  <c r="M17" i="307"/>
  <c r="P16" i="307"/>
  <c r="P17" i="307" s="1"/>
  <c r="O16" i="307"/>
  <c r="N16" i="307"/>
  <c r="M16" i="307"/>
  <c r="L16" i="307"/>
  <c r="Q14" i="307"/>
  <c r="P12" i="307"/>
  <c r="O12" i="307"/>
  <c r="N12" i="307"/>
  <c r="M12" i="307"/>
  <c r="L12" i="307"/>
  <c r="EV9" i="307"/>
  <c r="EU9" i="307"/>
  <c r="ET9" i="307"/>
  <c r="ES9" i="307"/>
  <c r="ER9" i="307"/>
  <c r="EQ9" i="307"/>
  <c r="EP9" i="307"/>
  <c r="EO9" i="307"/>
  <c r="EN9" i="307"/>
  <c r="EM9" i="307"/>
  <c r="EL9" i="307"/>
  <c r="EK9" i="307"/>
  <c r="EJ9" i="307"/>
  <c r="EI9" i="307"/>
  <c r="EH9" i="307"/>
  <c r="EG9" i="307"/>
  <c r="EF9" i="307"/>
  <c r="EE9" i="307"/>
  <c r="ED9" i="307"/>
  <c r="EC9" i="307"/>
  <c r="EB9" i="307"/>
  <c r="EA9" i="307"/>
  <c r="DZ9" i="307"/>
  <c r="DY9" i="307"/>
  <c r="DX9" i="307"/>
  <c r="DW9" i="307"/>
  <c r="DV9" i="307"/>
  <c r="DU9" i="307"/>
  <c r="DT9" i="307"/>
  <c r="DS9" i="307"/>
  <c r="DR9" i="307"/>
  <c r="DQ9" i="307"/>
  <c r="DP9" i="307"/>
  <c r="DO9" i="307"/>
  <c r="DN9" i="307"/>
  <c r="DM9" i="307"/>
  <c r="DL9" i="307"/>
  <c r="DK9" i="307"/>
  <c r="DJ9" i="307"/>
  <c r="DI9" i="307"/>
  <c r="DH9" i="307"/>
  <c r="DG9" i="307"/>
  <c r="DF9" i="307"/>
  <c r="DE9" i="307"/>
  <c r="DD9" i="307"/>
  <c r="DC9" i="307"/>
  <c r="DB9" i="307"/>
  <c r="DA9" i="307"/>
  <c r="CZ9" i="307"/>
  <c r="CY9" i="307"/>
  <c r="CX9" i="307"/>
  <c r="CW9" i="307"/>
  <c r="CV9" i="307"/>
  <c r="CU9" i="307"/>
  <c r="CT9" i="307"/>
  <c r="CS9" i="307"/>
  <c r="CR9" i="307"/>
  <c r="CQ9" i="307"/>
  <c r="CP9" i="307"/>
  <c r="CO9" i="307"/>
  <c r="CN9" i="307"/>
  <c r="CM9" i="307"/>
  <c r="CL9" i="307"/>
  <c r="CK9" i="307"/>
  <c r="CJ9" i="307"/>
  <c r="CI9" i="307"/>
  <c r="CH9" i="307"/>
  <c r="CG9" i="307"/>
  <c r="CF9" i="307"/>
  <c r="CE9" i="307"/>
  <c r="CD9" i="307"/>
  <c r="CC9" i="307"/>
  <c r="CB9" i="307"/>
  <c r="CA9" i="307"/>
  <c r="BZ9" i="307"/>
  <c r="BY9" i="307"/>
  <c r="BX9" i="307"/>
  <c r="BW9" i="307"/>
  <c r="BV9" i="307"/>
  <c r="BU9" i="307"/>
  <c r="BT9" i="307"/>
  <c r="BS9" i="307"/>
  <c r="BR9" i="307"/>
  <c r="BQ9" i="307"/>
  <c r="BP9" i="307"/>
  <c r="BO9" i="307"/>
  <c r="BN9" i="307"/>
  <c r="BM9" i="307"/>
  <c r="BL9" i="307"/>
  <c r="BK9" i="307"/>
  <c r="BJ9" i="307"/>
  <c r="BI9" i="307"/>
  <c r="BH9" i="307"/>
  <c r="BG9" i="307"/>
  <c r="BF9" i="307"/>
  <c r="BE9" i="307"/>
  <c r="BD9" i="307"/>
  <c r="BC9" i="307"/>
  <c r="BB9" i="307"/>
  <c r="BA9" i="307"/>
  <c r="AZ9" i="307"/>
  <c r="AY9" i="307"/>
  <c r="AX9" i="307"/>
  <c r="AW9" i="307"/>
  <c r="AV9" i="307"/>
  <c r="AU9" i="307"/>
  <c r="AT9" i="307"/>
  <c r="AS9" i="307"/>
  <c r="AR9" i="307"/>
  <c r="AQ9" i="307"/>
  <c r="AP9" i="307"/>
  <c r="AO9" i="307"/>
  <c r="AN9" i="307"/>
  <c r="AM9" i="307"/>
  <c r="AL9" i="307"/>
  <c r="AK9" i="307"/>
  <c r="AJ9" i="307"/>
  <c r="AI9" i="307"/>
  <c r="AH9" i="307"/>
  <c r="AG9" i="307"/>
  <c r="AF9" i="307"/>
  <c r="AE9" i="307"/>
  <c r="AD9" i="307"/>
  <c r="AC9" i="307"/>
  <c r="AB9" i="307"/>
  <c r="Z9" i="307"/>
  <c r="Y9" i="307"/>
  <c r="X9" i="307"/>
  <c r="W9" i="307"/>
  <c r="V9" i="307"/>
  <c r="U9" i="307"/>
  <c r="T9" i="307"/>
  <c r="S9" i="307"/>
  <c r="R9" i="307"/>
  <c r="Q9" i="307"/>
  <c r="P9" i="307"/>
  <c r="O9" i="307"/>
  <c r="N9" i="307"/>
  <c r="M9" i="307"/>
  <c r="L9" i="307"/>
  <c r="K9" i="307"/>
  <c r="J9" i="307"/>
  <c r="I9" i="307"/>
  <c r="H9" i="307"/>
  <c r="G9" i="307"/>
  <c r="F9" i="307"/>
  <c r="E9" i="307"/>
  <c r="D9" i="307"/>
  <c r="C9" i="307"/>
  <c r="B9" i="307"/>
  <c r="A7" i="307"/>
  <c r="A6" i="307"/>
  <c r="O1" i="307"/>
  <c r="H145" i="3"/>
  <c r="G145" i="3"/>
  <c r="F145" i="3"/>
  <c r="E145" i="3"/>
  <c r="C145" i="3"/>
  <c r="D145" i="3" s="1"/>
  <c r="H144" i="3"/>
  <c r="G144" i="3"/>
  <c r="F144" i="3"/>
  <c r="E144" i="3"/>
  <c r="C144" i="3"/>
  <c r="D144" i="3" s="1"/>
  <c r="H143" i="3"/>
  <c r="G143" i="3"/>
  <c r="F143" i="3"/>
  <c r="E143" i="3"/>
  <c r="C143" i="3"/>
  <c r="D143" i="3" s="1"/>
  <c r="H142" i="3"/>
  <c r="G142" i="3"/>
  <c r="F142" i="3"/>
  <c r="E142" i="3"/>
  <c r="C142" i="3"/>
  <c r="D142" i="3" s="1"/>
  <c r="H141" i="3"/>
  <c r="G141" i="3"/>
  <c r="F141" i="3"/>
  <c r="E141" i="3"/>
  <c r="C141" i="3"/>
  <c r="D141" i="3" s="1"/>
  <c r="H140" i="3"/>
  <c r="G140" i="3"/>
  <c r="F140" i="3"/>
  <c r="E140" i="3"/>
  <c r="C140" i="3"/>
  <c r="D140" i="3" s="1"/>
  <c r="H139" i="3"/>
  <c r="G139" i="3"/>
  <c r="F139" i="3"/>
  <c r="E139" i="3"/>
  <c r="C139" i="3"/>
  <c r="D139" i="3" s="1"/>
  <c r="H138" i="3"/>
  <c r="G138" i="3"/>
  <c r="F138" i="3"/>
  <c r="E138" i="3"/>
  <c r="C138" i="3"/>
  <c r="D138" i="3" s="1"/>
  <c r="H137" i="3"/>
  <c r="G137" i="3"/>
  <c r="F137" i="3"/>
  <c r="E137" i="3"/>
  <c r="C137" i="3"/>
  <c r="D137" i="3" s="1"/>
  <c r="H136" i="3"/>
  <c r="G136" i="3"/>
  <c r="F136" i="3"/>
  <c r="E136" i="3"/>
  <c r="D136" i="3"/>
  <c r="C136" i="3"/>
  <c r="G135" i="3"/>
  <c r="F135" i="3"/>
  <c r="E135" i="3"/>
  <c r="D135" i="3"/>
  <c r="C135" i="3"/>
  <c r="G134" i="3"/>
  <c r="F134" i="3"/>
  <c r="E134" i="3"/>
  <c r="C134" i="3"/>
  <c r="H130" i="3"/>
  <c r="G130" i="3"/>
  <c r="F130" i="3"/>
  <c r="E130" i="3"/>
  <c r="C130" i="3"/>
  <c r="D130" i="3" s="1"/>
  <c r="H129" i="3"/>
  <c r="G129" i="3"/>
  <c r="F129" i="3"/>
  <c r="E129" i="3"/>
  <c r="C129" i="3"/>
  <c r="D129" i="3" s="1"/>
  <c r="H128" i="3"/>
  <c r="G128" i="3"/>
  <c r="F128" i="3"/>
  <c r="E128" i="3"/>
  <c r="C128" i="3"/>
  <c r="D128" i="3" s="1"/>
  <c r="H127" i="3"/>
  <c r="G127" i="3"/>
  <c r="F127" i="3"/>
  <c r="E127" i="3"/>
  <c r="C127" i="3"/>
  <c r="D127" i="3" s="1"/>
  <c r="H126" i="3"/>
  <c r="G126" i="3"/>
  <c r="F126" i="3"/>
  <c r="E126" i="3"/>
  <c r="C126" i="3"/>
  <c r="D126" i="3" s="1"/>
  <c r="H125" i="3"/>
  <c r="G125" i="3"/>
  <c r="F125" i="3"/>
  <c r="E125" i="3"/>
  <c r="C125" i="3"/>
  <c r="D125" i="3" s="1"/>
  <c r="H124" i="3"/>
  <c r="G124" i="3"/>
  <c r="F124" i="3"/>
  <c r="E124" i="3"/>
  <c r="C124" i="3"/>
  <c r="D124" i="3" s="1"/>
  <c r="H123" i="3"/>
  <c r="G123" i="3"/>
  <c r="F123" i="3"/>
  <c r="E123" i="3"/>
  <c r="C123" i="3"/>
  <c r="D123" i="3" s="1"/>
  <c r="H122" i="3"/>
  <c r="G122" i="3"/>
  <c r="F122" i="3"/>
  <c r="E122" i="3"/>
  <c r="C122" i="3"/>
  <c r="D122" i="3" s="1"/>
  <c r="H121" i="3"/>
  <c r="G121" i="3"/>
  <c r="F121" i="3"/>
  <c r="E121" i="3"/>
  <c r="D121" i="3"/>
  <c r="C121" i="3"/>
  <c r="G120" i="3"/>
  <c r="F120" i="3"/>
  <c r="E120" i="3"/>
  <c r="D120" i="3"/>
  <c r="C120" i="3"/>
  <c r="G119" i="3"/>
  <c r="E119" i="3"/>
  <c r="C119" i="3"/>
  <c r="H115" i="3"/>
  <c r="G115" i="3"/>
  <c r="F115" i="3"/>
  <c r="E115" i="3"/>
  <c r="C115" i="3"/>
  <c r="D115" i="3" s="1"/>
  <c r="H114" i="3"/>
  <c r="G114" i="3"/>
  <c r="F114" i="3"/>
  <c r="E114" i="3"/>
  <c r="C114" i="3"/>
  <c r="D114" i="3" s="1"/>
  <c r="H113" i="3"/>
  <c r="G113" i="3"/>
  <c r="F113" i="3"/>
  <c r="E113" i="3"/>
  <c r="C113" i="3"/>
  <c r="D113" i="3" s="1"/>
  <c r="H112" i="3"/>
  <c r="G112" i="3"/>
  <c r="F112" i="3"/>
  <c r="E112" i="3"/>
  <c r="C112" i="3"/>
  <c r="D112" i="3" s="1"/>
  <c r="H111" i="3"/>
  <c r="G111" i="3"/>
  <c r="F111" i="3"/>
  <c r="E111" i="3"/>
  <c r="C111" i="3"/>
  <c r="D111" i="3" s="1"/>
  <c r="H110" i="3"/>
  <c r="G110" i="3"/>
  <c r="F110" i="3"/>
  <c r="E110" i="3"/>
  <c r="C110" i="3"/>
  <c r="D110" i="3" s="1"/>
  <c r="H109" i="3"/>
  <c r="G109" i="3"/>
  <c r="F109" i="3"/>
  <c r="E109" i="3"/>
  <c r="C109" i="3"/>
  <c r="D109" i="3" s="1"/>
  <c r="H108" i="3"/>
  <c r="G108" i="3"/>
  <c r="F108" i="3"/>
  <c r="E108" i="3"/>
  <c r="C108" i="3"/>
  <c r="D108" i="3" s="1"/>
  <c r="H107" i="3"/>
  <c r="G107" i="3"/>
  <c r="F107" i="3"/>
  <c r="E107" i="3"/>
  <c r="C107" i="3"/>
  <c r="D107" i="3" s="1"/>
  <c r="H106" i="3"/>
  <c r="G106" i="3"/>
  <c r="F106" i="3"/>
  <c r="E106" i="3"/>
  <c r="D106" i="3"/>
  <c r="C106" i="3"/>
  <c r="G105" i="3"/>
  <c r="F105" i="3"/>
  <c r="E105" i="3"/>
  <c r="D105" i="3"/>
  <c r="C105" i="3"/>
  <c r="G104" i="3"/>
  <c r="F104" i="3"/>
  <c r="E104" i="3"/>
  <c r="C104" i="3"/>
  <c r="P101" i="3"/>
  <c r="O101" i="3"/>
  <c r="N101" i="3"/>
  <c r="M101" i="3"/>
  <c r="L101" i="3"/>
  <c r="K101" i="3"/>
  <c r="H101" i="3"/>
  <c r="G101" i="3"/>
  <c r="F101" i="3"/>
  <c r="E101" i="3"/>
  <c r="C101" i="3"/>
  <c r="D101" i="3" s="1"/>
  <c r="P100" i="3"/>
  <c r="O100" i="3"/>
  <c r="N100" i="3"/>
  <c r="M100" i="3"/>
  <c r="L100" i="3"/>
  <c r="K100" i="3"/>
  <c r="H100" i="3"/>
  <c r="G100" i="3"/>
  <c r="F100" i="3"/>
  <c r="E100" i="3"/>
  <c r="C100" i="3"/>
  <c r="D100" i="3" s="1"/>
  <c r="P99" i="3"/>
  <c r="O99" i="3"/>
  <c r="N99" i="3"/>
  <c r="M99" i="3"/>
  <c r="L99" i="3"/>
  <c r="K99" i="3"/>
  <c r="H99" i="3"/>
  <c r="G99" i="3"/>
  <c r="F99" i="3"/>
  <c r="E99" i="3"/>
  <c r="C99" i="3"/>
  <c r="D99" i="3" s="1"/>
  <c r="P98" i="3"/>
  <c r="O98" i="3"/>
  <c r="N98" i="3"/>
  <c r="M98" i="3"/>
  <c r="L98" i="3"/>
  <c r="K98" i="3"/>
  <c r="H98" i="3"/>
  <c r="G98" i="3"/>
  <c r="F98" i="3"/>
  <c r="E98" i="3"/>
  <c r="C98" i="3"/>
  <c r="D98" i="3" s="1"/>
  <c r="P97" i="3"/>
  <c r="O97" i="3"/>
  <c r="N97" i="3"/>
  <c r="M97" i="3"/>
  <c r="L97" i="3"/>
  <c r="K97" i="3"/>
  <c r="H97" i="3"/>
  <c r="G97" i="3"/>
  <c r="F97" i="3"/>
  <c r="E97" i="3"/>
  <c r="C97" i="3"/>
  <c r="D97" i="3" s="1"/>
  <c r="P96" i="3"/>
  <c r="O96" i="3"/>
  <c r="N96" i="3"/>
  <c r="M96" i="3"/>
  <c r="L96" i="3"/>
  <c r="K96" i="3"/>
  <c r="H96" i="3"/>
  <c r="G96" i="3"/>
  <c r="F96" i="3"/>
  <c r="E96" i="3"/>
  <c r="C96" i="3"/>
  <c r="D96" i="3" s="1"/>
  <c r="P95" i="3"/>
  <c r="O95" i="3"/>
  <c r="N95" i="3"/>
  <c r="M95" i="3"/>
  <c r="L95" i="3"/>
  <c r="K95" i="3"/>
  <c r="H95" i="3"/>
  <c r="G95" i="3"/>
  <c r="F95" i="3"/>
  <c r="E95" i="3"/>
  <c r="C95" i="3"/>
  <c r="D95" i="3" s="1"/>
  <c r="P94" i="3"/>
  <c r="O94" i="3"/>
  <c r="N94" i="3"/>
  <c r="M94" i="3"/>
  <c r="L94" i="3"/>
  <c r="K94" i="3"/>
  <c r="H94" i="3"/>
  <c r="G94" i="3"/>
  <c r="F94" i="3"/>
  <c r="E94" i="3"/>
  <c r="C94" i="3"/>
  <c r="D94" i="3" s="1"/>
  <c r="P93" i="3"/>
  <c r="O93" i="3"/>
  <c r="N93" i="3"/>
  <c r="M93" i="3"/>
  <c r="L93" i="3"/>
  <c r="K93" i="3"/>
  <c r="H93" i="3"/>
  <c r="G93" i="3"/>
  <c r="F93" i="3"/>
  <c r="E93" i="3"/>
  <c r="C93" i="3"/>
  <c r="D93" i="3" s="1"/>
  <c r="P92" i="3"/>
  <c r="O92" i="3"/>
  <c r="N92" i="3"/>
  <c r="M92" i="3"/>
  <c r="L92" i="3"/>
  <c r="K92" i="3"/>
  <c r="H92" i="3"/>
  <c r="G92" i="3"/>
  <c r="F92" i="3"/>
  <c r="E92" i="3"/>
  <c r="D92" i="3"/>
  <c r="C92" i="3"/>
  <c r="O91" i="3"/>
  <c r="N91" i="3"/>
  <c r="M91" i="3"/>
  <c r="L91" i="3"/>
  <c r="K91" i="3"/>
  <c r="G91" i="3"/>
  <c r="F91" i="3"/>
  <c r="E91" i="3"/>
  <c r="D91" i="3"/>
  <c r="C91" i="3"/>
  <c r="O90" i="3"/>
  <c r="N90" i="3"/>
  <c r="M90" i="3"/>
  <c r="L90" i="3"/>
  <c r="K90" i="3"/>
  <c r="G90" i="3"/>
  <c r="F90" i="3"/>
  <c r="E90" i="3"/>
  <c r="C90" i="3"/>
  <c r="P87" i="3"/>
  <c r="O87" i="3"/>
  <c r="N87" i="3"/>
  <c r="M87" i="3"/>
  <c r="L87" i="3"/>
  <c r="K87" i="3"/>
  <c r="H87" i="3"/>
  <c r="G87" i="3"/>
  <c r="F87" i="3"/>
  <c r="E87" i="3"/>
  <c r="D87" i="3"/>
  <c r="C87" i="3"/>
  <c r="P86" i="3"/>
  <c r="O86" i="3"/>
  <c r="N86" i="3"/>
  <c r="M86" i="3"/>
  <c r="L86" i="3"/>
  <c r="K86" i="3"/>
  <c r="H86" i="3"/>
  <c r="G86" i="3"/>
  <c r="F86" i="3"/>
  <c r="E86" i="3"/>
  <c r="D86" i="3"/>
  <c r="C86" i="3"/>
  <c r="P85" i="3"/>
  <c r="O85" i="3"/>
  <c r="N85" i="3"/>
  <c r="M85" i="3"/>
  <c r="L85" i="3"/>
  <c r="K85" i="3"/>
  <c r="H85" i="3"/>
  <c r="G85" i="3"/>
  <c r="F85" i="3"/>
  <c r="E85" i="3"/>
  <c r="D85" i="3"/>
  <c r="C85" i="3"/>
  <c r="P84" i="3"/>
  <c r="O84" i="3"/>
  <c r="N84" i="3"/>
  <c r="M84" i="3"/>
  <c r="L84" i="3"/>
  <c r="K84" i="3"/>
  <c r="H84" i="3"/>
  <c r="G84" i="3"/>
  <c r="F84" i="3"/>
  <c r="E84" i="3"/>
  <c r="D84" i="3"/>
  <c r="C84" i="3"/>
  <c r="P83" i="3"/>
  <c r="O83" i="3"/>
  <c r="N83" i="3"/>
  <c r="M83" i="3"/>
  <c r="L83" i="3"/>
  <c r="K83" i="3"/>
  <c r="H83" i="3"/>
  <c r="G83" i="3"/>
  <c r="F83" i="3"/>
  <c r="E83" i="3"/>
  <c r="D83" i="3"/>
  <c r="C83" i="3"/>
  <c r="P82" i="3"/>
  <c r="O82" i="3"/>
  <c r="N82" i="3"/>
  <c r="M82" i="3"/>
  <c r="L82" i="3"/>
  <c r="K82" i="3"/>
  <c r="H82" i="3"/>
  <c r="G82" i="3"/>
  <c r="F82" i="3"/>
  <c r="E82" i="3"/>
  <c r="D82" i="3"/>
  <c r="C82" i="3"/>
  <c r="P81" i="3"/>
  <c r="O81" i="3"/>
  <c r="N81" i="3"/>
  <c r="M81" i="3"/>
  <c r="L81" i="3"/>
  <c r="K81" i="3"/>
  <c r="H81" i="3"/>
  <c r="G81" i="3"/>
  <c r="F81" i="3"/>
  <c r="E81" i="3"/>
  <c r="D81" i="3"/>
  <c r="C81" i="3"/>
  <c r="P80" i="3"/>
  <c r="O80" i="3"/>
  <c r="N80" i="3"/>
  <c r="M80" i="3"/>
  <c r="L80" i="3"/>
  <c r="K80" i="3"/>
  <c r="H80" i="3"/>
  <c r="G80" i="3"/>
  <c r="F80" i="3"/>
  <c r="E80" i="3"/>
  <c r="D80" i="3"/>
  <c r="C80" i="3"/>
  <c r="P79" i="3"/>
  <c r="O79" i="3"/>
  <c r="N79" i="3"/>
  <c r="M79" i="3"/>
  <c r="L79" i="3"/>
  <c r="K79" i="3"/>
  <c r="H79" i="3"/>
  <c r="G79" i="3"/>
  <c r="F79" i="3"/>
  <c r="E79" i="3"/>
  <c r="D79" i="3"/>
  <c r="C79" i="3"/>
  <c r="P78" i="3"/>
  <c r="O78" i="3"/>
  <c r="N78" i="3"/>
  <c r="M78" i="3"/>
  <c r="L78" i="3"/>
  <c r="K78" i="3"/>
  <c r="H78" i="3"/>
  <c r="G78" i="3"/>
  <c r="F78" i="3"/>
  <c r="E78" i="3"/>
  <c r="D78" i="3"/>
  <c r="C78" i="3"/>
  <c r="O77" i="3"/>
  <c r="N77" i="3"/>
  <c r="M77" i="3"/>
  <c r="L77" i="3"/>
  <c r="K77" i="3"/>
  <c r="G77" i="3"/>
  <c r="F77" i="3"/>
  <c r="E77" i="3"/>
  <c r="D77" i="3"/>
  <c r="C77" i="3"/>
  <c r="O76" i="3"/>
  <c r="N76" i="3"/>
  <c r="M76" i="3"/>
  <c r="L76" i="3"/>
  <c r="K76" i="3"/>
  <c r="G76" i="3"/>
  <c r="F76" i="3"/>
  <c r="E76" i="3"/>
  <c r="D76" i="3"/>
  <c r="C76" i="3"/>
  <c r="P73" i="3"/>
  <c r="O73" i="3"/>
  <c r="N73" i="3"/>
  <c r="M73" i="3"/>
  <c r="L73" i="3"/>
  <c r="K73" i="3"/>
  <c r="H73" i="3"/>
  <c r="G73" i="3"/>
  <c r="F73" i="3"/>
  <c r="E73" i="3"/>
  <c r="D73" i="3"/>
  <c r="C73" i="3"/>
  <c r="P72" i="3"/>
  <c r="O72" i="3"/>
  <c r="N72" i="3"/>
  <c r="M72" i="3"/>
  <c r="L72" i="3"/>
  <c r="K72" i="3"/>
  <c r="H72" i="3"/>
  <c r="G72" i="3"/>
  <c r="F72" i="3"/>
  <c r="E72" i="3"/>
  <c r="D72" i="3"/>
  <c r="C72" i="3"/>
  <c r="P71" i="3"/>
  <c r="O71" i="3"/>
  <c r="N71" i="3"/>
  <c r="M71" i="3"/>
  <c r="L71" i="3"/>
  <c r="K71" i="3"/>
  <c r="H71" i="3"/>
  <c r="G71" i="3"/>
  <c r="F71" i="3"/>
  <c r="E71" i="3"/>
  <c r="D71" i="3"/>
  <c r="C71" i="3"/>
  <c r="P70" i="3"/>
  <c r="O70" i="3"/>
  <c r="N70" i="3"/>
  <c r="M70" i="3"/>
  <c r="L70" i="3"/>
  <c r="K70" i="3"/>
  <c r="H70" i="3"/>
  <c r="G70" i="3"/>
  <c r="F70" i="3"/>
  <c r="E70" i="3"/>
  <c r="D70" i="3"/>
  <c r="C70" i="3"/>
  <c r="P69" i="3"/>
  <c r="O69" i="3"/>
  <c r="N69" i="3"/>
  <c r="M69" i="3"/>
  <c r="L69" i="3"/>
  <c r="K69" i="3"/>
  <c r="H69" i="3"/>
  <c r="G69" i="3"/>
  <c r="F69" i="3"/>
  <c r="E69" i="3"/>
  <c r="D69" i="3"/>
  <c r="C69" i="3"/>
  <c r="P68" i="3"/>
  <c r="O68" i="3"/>
  <c r="N68" i="3"/>
  <c r="M68" i="3"/>
  <c r="L68" i="3"/>
  <c r="K68" i="3"/>
  <c r="H68" i="3"/>
  <c r="G68" i="3"/>
  <c r="F68" i="3"/>
  <c r="E68" i="3"/>
  <c r="D68" i="3"/>
  <c r="C68" i="3"/>
  <c r="P67" i="3"/>
  <c r="O67" i="3"/>
  <c r="N67" i="3"/>
  <c r="M67" i="3"/>
  <c r="L67" i="3"/>
  <c r="K67" i="3"/>
  <c r="H67" i="3"/>
  <c r="G67" i="3"/>
  <c r="F67" i="3"/>
  <c r="E67" i="3"/>
  <c r="D67" i="3"/>
  <c r="C67" i="3"/>
  <c r="P66" i="3"/>
  <c r="O66" i="3"/>
  <c r="N66" i="3"/>
  <c r="M66" i="3"/>
  <c r="L66" i="3"/>
  <c r="K66" i="3"/>
  <c r="H66" i="3"/>
  <c r="G66" i="3"/>
  <c r="F66" i="3"/>
  <c r="E66" i="3"/>
  <c r="D66" i="3"/>
  <c r="C66" i="3"/>
  <c r="P65" i="3"/>
  <c r="O65" i="3"/>
  <c r="N65" i="3"/>
  <c r="M65" i="3"/>
  <c r="L65" i="3"/>
  <c r="K65" i="3"/>
  <c r="H65" i="3"/>
  <c r="G65" i="3"/>
  <c r="F65" i="3"/>
  <c r="E65" i="3"/>
  <c r="D65" i="3"/>
  <c r="C65" i="3"/>
  <c r="P64" i="3"/>
  <c r="O64" i="3"/>
  <c r="N64" i="3"/>
  <c r="M64" i="3"/>
  <c r="L64" i="3"/>
  <c r="K64" i="3"/>
  <c r="H64" i="3"/>
  <c r="G64" i="3"/>
  <c r="F64" i="3"/>
  <c r="E64" i="3"/>
  <c r="D64" i="3"/>
  <c r="C64" i="3"/>
  <c r="O63" i="3"/>
  <c r="N63" i="3"/>
  <c r="M63" i="3"/>
  <c r="L63" i="3"/>
  <c r="K63" i="3"/>
  <c r="G63" i="3"/>
  <c r="F63" i="3"/>
  <c r="E63" i="3"/>
  <c r="D63" i="3"/>
  <c r="C63" i="3"/>
  <c r="O62" i="3"/>
  <c r="N62" i="3"/>
  <c r="M62" i="3"/>
  <c r="L62" i="3"/>
  <c r="K62" i="3"/>
  <c r="G62" i="3"/>
  <c r="F62" i="3"/>
  <c r="E62" i="3"/>
  <c r="D62" i="3"/>
  <c r="C62" i="3"/>
  <c r="P59" i="3"/>
  <c r="O59" i="3"/>
  <c r="N59" i="3"/>
  <c r="M59" i="3"/>
  <c r="L59" i="3"/>
  <c r="K59" i="3"/>
  <c r="H59" i="3"/>
  <c r="G59" i="3"/>
  <c r="F59" i="3"/>
  <c r="E59" i="3"/>
  <c r="D59" i="3"/>
  <c r="C59" i="3"/>
  <c r="P58" i="3"/>
  <c r="O58" i="3"/>
  <c r="N58" i="3"/>
  <c r="M58" i="3"/>
  <c r="L58" i="3"/>
  <c r="K58" i="3"/>
  <c r="H58" i="3"/>
  <c r="G58" i="3"/>
  <c r="F58" i="3"/>
  <c r="E58" i="3"/>
  <c r="D58" i="3"/>
  <c r="C58" i="3"/>
  <c r="P57" i="3"/>
  <c r="O57" i="3"/>
  <c r="N57" i="3"/>
  <c r="M57" i="3"/>
  <c r="L57" i="3"/>
  <c r="K57" i="3"/>
  <c r="H57" i="3"/>
  <c r="G57" i="3"/>
  <c r="F57" i="3"/>
  <c r="E57" i="3"/>
  <c r="D57" i="3"/>
  <c r="C57" i="3"/>
  <c r="P56" i="3"/>
  <c r="O56" i="3"/>
  <c r="N56" i="3"/>
  <c r="M56" i="3"/>
  <c r="L56" i="3"/>
  <c r="K56" i="3"/>
  <c r="H56" i="3"/>
  <c r="G56" i="3"/>
  <c r="F56" i="3"/>
  <c r="E56" i="3"/>
  <c r="D56" i="3"/>
  <c r="C56" i="3"/>
  <c r="P55" i="3"/>
  <c r="O55" i="3"/>
  <c r="N55" i="3"/>
  <c r="M55" i="3"/>
  <c r="L55" i="3"/>
  <c r="K55" i="3"/>
  <c r="H55" i="3"/>
  <c r="G55" i="3"/>
  <c r="F55" i="3"/>
  <c r="E55" i="3"/>
  <c r="D55" i="3"/>
  <c r="C55" i="3"/>
  <c r="P54" i="3"/>
  <c r="O54" i="3"/>
  <c r="N54" i="3"/>
  <c r="M54" i="3"/>
  <c r="L54" i="3"/>
  <c r="K54" i="3"/>
  <c r="H54" i="3"/>
  <c r="G54" i="3"/>
  <c r="F54" i="3"/>
  <c r="E54" i="3"/>
  <c r="D54" i="3"/>
  <c r="C54" i="3"/>
  <c r="P53" i="3"/>
  <c r="O53" i="3"/>
  <c r="N53" i="3"/>
  <c r="M53" i="3"/>
  <c r="L53" i="3"/>
  <c r="K53" i="3"/>
  <c r="H53" i="3"/>
  <c r="G53" i="3"/>
  <c r="F53" i="3"/>
  <c r="E53" i="3"/>
  <c r="D53" i="3"/>
  <c r="C53" i="3"/>
  <c r="P52" i="3"/>
  <c r="O52" i="3"/>
  <c r="N52" i="3"/>
  <c r="M52" i="3"/>
  <c r="L52" i="3"/>
  <c r="K52" i="3"/>
  <c r="H52" i="3"/>
  <c r="G52" i="3"/>
  <c r="F52" i="3"/>
  <c r="E52" i="3"/>
  <c r="D52" i="3"/>
  <c r="C52" i="3"/>
  <c r="P51" i="3"/>
  <c r="O51" i="3"/>
  <c r="N51" i="3"/>
  <c r="M51" i="3"/>
  <c r="L51" i="3"/>
  <c r="K51" i="3"/>
  <c r="H51" i="3"/>
  <c r="G51" i="3"/>
  <c r="F51" i="3"/>
  <c r="E51" i="3"/>
  <c r="D51" i="3"/>
  <c r="C51" i="3"/>
  <c r="P50" i="3"/>
  <c r="O50" i="3"/>
  <c r="N50" i="3"/>
  <c r="M50" i="3"/>
  <c r="L50" i="3"/>
  <c r="K50" i="3"/>
  <c r="H50" i="3"/>
  <c r="G50" i="3"/>
  <c r="F50" i="3"/>
  <c r="E50" i="3"/>
  <c r="D50" i="3"/>
  <c r="C50" i="3"/>
  <c r="O49" i="3"/>
  <c r="N49" i="3"/>
  <c r="M49" i="3"/>
  <c r="L49" i="3"/>
  <c r="K49" i="3"/>
  <c r="G49" i="3"/>
  <c r="F49" i="3"/>
  <c r="E49" i="3"/>
  <c r="D49" i="3"/>
  <c r="C49" i="3"/>
  <c r="O48" i="3"/>
  <c r="N48" i="3"/>
  <c r="M48" i="3"/>
  <c r="L48" i="3"/>
  <c r="K48" i="3"/>
  <c r="G48" i="3"/>
  <c r="F48" i="3"/>
  <c r="E48" i="3"/>
  <c r="D48" i="3"/>
  <c r="C48" i="3"/>
  <c r="P45" i="3"/>
  <c r="O45" i="3"/>
  <c r="N45" i="3"/>
  <c r="M45" i="3"/>
  <c r="L45" i="3"/>
  <c r="K45" i="3"/>
  <c r="H45" i="3"/>
  <c r="G45" i="3"/>
  <c r="F45" i="3"/>
  <c r="E45" i="3"/>
  <c r="D45" i="3"/>
  <c r="C45" i="3"/>
  <c r="P44" i="3"/>
  <c r="O44" i="3"/>
  <c r="N44" i="3"/>
  <c r="M44" i="3"/>
  <c r="L44" i="3"/>
  <c r="K44" i="3"/>
  <c r="H44" i="3"/>
  <c r="G44" i="3"/>
  <c r="F44" i="3"/>
  <c r="E44" i="3"/>
  <c r="D44" i="3"/>
  <c r="C44" i="3"/>
  <c r="P43" i="3"/>
  <c r="O43" i="3"/>
  <c r="N43" i="3"/>
  <c r="M43" i="3"/>
  <c r="L43" i="3"/>
  <c r="K43" i="3"/>
  <c r="H43" i="3"/>
  <c r="G43" i="3"/>
  <c r="F43" i="3"/>
  <c r="E43" i="3"/>
  <c r="D43" i="3"/>
  <c r="C43" i="3"/>
  <c r="P42" i="3"/>
  <c r="O42" i="3"/>
  <c r="N42" i="3"/>
  <c r="M42" i="3"/>
  <c r="L42" i="3"/>
  <c r="K42" i="3"/>
  <c r="H42" i="3"/>
  <c r="G42" i="3"/>
  <c r="F42" i="3"/>
  <c r="E42" i="3"/>
  <c r="D42" i="3"/>
  <c r="C42" i="3"/>
  <c r="P41" i="3"/>
  <c r="O41" i="3"/>
  <c r="N41" i="3"/>
  <c r="M41" i="3"/>
  <c r="L41" i="3"/>
  <c r="K41" i="3"/>
  <c r="H41" i="3"/>
  <c r="G41" i="3"/>
  <c r="F41" i="3"/>
  <c r="E41" i="3"/>
  <c r="D41" i="3"/>
  <c r="C41" i="3"/>
  <c r="P40" i="3"/>
  <c r="O40" i="3"/>
  <c r="N40" i="3"/>
  <c r="M40" i="3"/>
  <c r="L40" i="3"/>
  <c r="K40" i="3"/>
  <c r="H40" i="3"/>
  <c r="G40" i="3"/>
  <c r="F40" i="3"/>
  <c r="E40" i="3"/>
  <c r="D40" i="3"/>
  <c r="C40" i="3"/>
  <c r="P39" i="3"/>
  <c r="O39" i="3"/>
  <c r="N39" i="3"/>
  <c r="M39" i="3"/>
  <c r="L39" i="3"/>
  <c r="K39" i="3"/>
  <c r="H39" i="3"/>
  <c r="G39" i="3"/>
  <c r="F39" i="3"/>
  <c r="E39" i="3"/>
  <c r="D39" i="3"/>
  <c r="C39" i="3"/>
  <c r="P38" i="3"/>
  <c r="O38" i="3"/>
  <c r="N38" i="3"/>
  <c r="M38" i="3"/>
  <c r="L38" i="3"/>
  <c r="K38" i="3"/>
  <c r="H38" i="3"/>
  <c r="G38" i="3"/>
  <c r="F38" i="3"/>
  <c r="E38" i="3"/>
  <c r="D38" i="3"/>
  <c r="C38" i="3"/>
  <c r="P37" i="3"/>
  <c r="O37" i="3"/>
  <c r="N37" i="3"/>
  <c r="M37" i="3"/>
  <c r="L37" i="3"/>
  <c r="K37" i="3"/>
  <c r="H37" i="3"/>
  <c r="G37" i="3"/>
  <c r="F37" i="3"/>
  <c r="E37" i="3"/>
  <c r="D37" i="3"/>
  <c r="C37" i="3"/>
  <c r="P36" i="3"/>
  <c r="O36" i="3"/>
  <c r="N36" i="3"/>
  <c r="M36" i="3"/>
  <c r="L36" i="3"/>
  <c r="K36" i="3"/>
  <c r="H36" i="3"/>
  <c r="G36" i="3"/>
  <c r="F36" i="3"/>
  <c r="E36" i="3"/>
  <c r="D36" i="3"/>
  <c r="C36" i="3"/>
  <c r="O35" i="3"/>
  <c r="N35" i="3"/>
  <c r="M35" i="3"/>
  <c r="L35" i="3"/>
  <c r="K35" i="3"/>
  <c r="G35" i="3"/>
  <c r="F35" i="3"/>
  <c r="E35" i="3"/>
  <c r="D35" i="3"/>
  <c r="C35" i="3"/>
  <c r="O34" i="3"/>
  <c r="N34" i="3"/>
  <c r="M34" i="3"/>
  <c r="L34" i="3"/>
  <c r="K34" i="3"/>
  <c r="G34" i="3"/>
  <c r="F34" i="3"/>
  <c r="E34" i="3"/>
  <c r="D34" i="3"/>
  <c r="C34" i="3"/>
  <c r="K28" i="3"/>
  <c r="H28" i="3"/>
  <c r="L27" i="3"/>
  <c r="K27" i="3"/>
  <c r="H27" i="3"/>
  <c r="H26" i="3"/>
  <c r="K25" i="3"/>
  <c r="H25" i="3"/>
  <c r="K24" i="3"/>
  <c r="H24" i="3"/>
  <c r="H23" i="3"/>
  <c r="K22" i="3"/>
  <c r="H22" i="3"/>
  <c r="K21" i="3"/>
  <c r="H21" i="3"/>
  <c r="Q5" i="3"/>
  <c r="E5" i="3"/>
  <c r="Q4" i="3"/>
  <c r="Q3" i="3"/>
  <c r="CS218" i="301"/>
  <c r="CR218" i="301"/>
  <c r="CQ218" i="301"/>
  <c r="CP218" i="301"/>
  <c r="CO218" i="301"/>
  <c r="CN218" i="301"/>
  <c r="CM218" i="301"/>
  <c r="CL218" i="301"/>
  <c r="CK218" i="301"/>
  <c r="CJ218" i="301"/>
  <c r="CI218" i="301"/>
  <c r="CH218" i="301"/>
  <c r="CG218" i="301"/>
  <c r="CF218" i="301"/>
  <c r="CE218" i="301"/>
  <c r="CS217" i="301"/>
  <c r="CR217" i="301"/>
  <c r="CQ217" i="301"/>
  <c r="CP217" i="301"/>
  <c r="CO217" i="301"/>
  <c r="CN217" i="301"/>
  <c r="CM217" i="301"/>
  <c r="CL217" i="301"/>
  <c r="CK217" i="301"/>
  <c r="CJ217" i="301"/>
  <c r="CI217" i="301"/>
  <c r="CH217" i="301"/>
  <c r="CG217" i="301"/>
  <c r="CF217" i="301"/>
  <c r="CE217" i="301"/>
  <c r="CS216" i="301"/>
  <c r="CR216" i="301"/>
  <c r="CQ216" i="301"/>
  <c r="CP216" i="301"/>
  <c r="CO216" i="301"/>
  <c r="CN216" i="301"/>
  <c r="CM216" i="301"/>
  <c r="CL216" i="301"/>
  <c r="CK216" i="301"/>
  <c r="CJ216" i="301"/>
  <c r="CI216" i="301"/>
  <c r="CH216" i="301"/>
  <c r="CG216" i="301"/>
  <c r="CF216" i="301"/>
  <c r="CE216" i="301"/>
  <c r="CS215" i="301"/>
  <c r="CR215" i="301"/>
  <c r="CQ215" i="301"/>
  <c r="CP215" i="301"/>
  <c r="CO215" i="301"/>
  <c r="CN215" i="301"/>
  <c r="CM215" i="301"/>
  <c r="CL215" i="301"/>
  <c r="CK215" i="301"/>
  <c r="CJ215" i="301"/>
  <c r="CI215" i="301"/>
  <c r="CH215" i="301"/>
  <c r="CG215" i="301"/>
  <c r="CF215" i="301"/>
  <c r="CE215" i="301"/>
  <c r="CS214" i="301"/>
  <c r="CR214" i="301"/>
  <c r="CQ214" i="301"/>
  <c r="CP214" i="301"/>
  <c r="CO214" i="301"/>
  <c r="CN214" i="301"/>
  <c r="CM214" i="301"/>
  <c r="CL214" i="301"/>
  <c r="CK214" i="301"/>
  <c r="CJ214" i="301"/>
  <c r="CI214" i="301"/>
  <c r="CH214" i="301"/>
  <c r="CG214" i="301"/>
  <c r="CF214" i="301"/>
  <c r="CE214" i="301"/>
  <c r="CS213" i="301"/>
  <c r="CR213" i="301"/>
  <c r="CQ213" i="301"/>
  <c r="CP213" i="301"/>
  <c r="CO213" i="301"/>
  <c r="CN213" i="301"/>
  <c r="CM213" i="301"/>
  <c r="CL213" i="301"/>
  <c r="CK213" i="301"/>
  <c r="CJ213" i="301"/>
  <c r="CI213" i="301"/>
  <c r="CH213" i="301"/>
  <c r="CG213" i="301"/>
  <c r="CF213" i="301"/>
  <c r="CE213" i="301"/>
  <c r="CS212" i="301"/>
  <c r="CR212" i="301"/>
  <c r="CQ212" i="301"/>
  <c r="CP212" i="301"/>
  <c r="CO212" i="301"/>
  <c r="CN212" i="301"/>
  <c r="CM212" i="301"/>
  <c r="CL212" i="301"/>
  <c r="CK212" i="301"/>
  <c r="CJ212" i="301"/>
  <c r="CI212" i="301"/>
  <c r="CH212" i="301"/>
  <c r="CG212" i="301"/>
  <c r="CF212" i="301"/>
  <c r="CE212" i="301"/>
  <c r="CS211" i="301"/>
  <c r="CR211" i="301"/>
  <c r="CQ211" i="301"/>
  <c r="CP211" i="301"/>
  <c r="CO211" i="301"/>
  <c r="CN211" i="301"/>
  <c r="CM211" i="301"/>
  <c r="CL211" i="301"/>
  <c r="CK211" i="301"/>
  <c r="CJ211" i="301"/>
  <c r="CI211" i="301"/>
  <c r="CH211" i="301"/>
  <c r="CG211" i="301"/>
  <c r="CF211" i="301"/>
  <c r="CE211" i="301"/>
  <c r="CS210" i="301"/>
  <c r="CR210" i="301"/>
  <c r="CQ210" i="301"/>
  <c r="CP210" i="301"/>
  <c r="CO210" i="301"/>
  <c r="CN210" i="301"/>
  <c r="CM210" i="301"/>
  <c r="CL210" i="301"/>
  <c r="CK210" i="301"/>
  <c r="CJ210" i="301"/>
  <c r="CI210" i="301"/>
  <c r="CH210" i="301"/>
  <c r="CG210" i="301"/>
  <c r="CF210" i="301"/>
  <c r="CE210" i="301"/>
  <c r="CS207" i="301"/>
  <c r="CR207" i="301"/>
  <c r="CQ207" i="301"/>
  <c r="CP207" i="301"/>
  <c r="CO207" i="301"/>
  <c r="CN207" i="301"/>
  <c r="CM207" i="301"/>
  <c r="CL207" i="301"/>
  <c r="CK207" i="301"/>
  <c r="CJ207" i="301"/>
  <c r="CI207" i="301"/>
  <c r="CH207" i="301"/>
  <c r="CG207" i="301"/>
  <c r="CF207" i="301"/>
  <c r="CE207" i="301"/>
  <c r="CS206" i="301"/>
  <c r="CR206" i="301"/>
  <c r="CQ206" i="301"/>
  <c r="CP206" i="301"/>
  <c r="CO206" i="301"/>
  <c r="CN206" i="301"/>
  <c r="CM206" i="301"/>
  <c r="CL206" i="301"/>
  <c r="CK206" i="301"/>
  <c r="CJ206" i="301"/>
  <c r="CI206" i="301"/>
  <c r="CH206" i="301"/>
  <c r="CG206" i="301"/>
  <c r="CF206" i="301"/>
  <c r="CE206" i="301"/>
  <c r="CS205" i="301"/>
  <c r="CR205" i="301"/>
  <c r="CQ205" i="301"/>
  <c r="CP205" i="301"/>
  <c r="CO205" i="301"/>
  <c r="CN205" i="301"/>
  <c r="CM205" i="301"/>
  <c r="CL205" i="301"/>
  <c r="CK205" i="301"/>
  <c r="CJ205" i="301"/>
  <c r="CI205" i="301"/>
  <c r="CH205" i="301"/>
  <c r="CG205" i="301"/>
  <c r="CF205" i="301"/>
  <c r="CE205" i="301"/>
  <c r="CS204" i="301"/>
  <c r="CR204" i="301"/>
  <c r="CQ204" i="301"/>
  <c r="CP204" i="301"/>
  <c r="CO204" i="301"/>
  <c r="CN204" i="301"/>
  <c r="CM204" i="301"/>
  <c r="CL204" i="301"/>
  <c r="CK204" i="301"/>
  <c r="CJ204" i="301"/>
  <c r="CI204" i="301"/>
  <c r="CH204" i="301"/>
  <c r="CG204" i="301"/>
  <c r="CF204" i="301"/>
  <c r="CE204" i="301"/>
  <c r="CS203" i="301"/>
  <c r="CR203" i="301"/>
  <c r="CQ203" i="301"/>
  <c r="CP203" i="301"/>
  <c r="CO203" i="301"/>
  <c r="CN203" i="301"/>
  <c r="CM203" i="301"/>
  <c r="CL203" i="301"/>
  <c r="CK203" i="301"/>
  <c r="CJ203" i="301"/>
  <c r="CI203" i="301"/>
  <c r="CH203" i="301"/>
  <c r="CG203" i="301"/>
  <c r="CF203" i="301"/>
  <c r="CE203" i="301"/>
  <c r="CS202" i="301"/>
  <c r="CR202" i="301"/>
  <c r="CQ202" i="301"/>
  <c r="CP202" i="301"/>
  <c r="CO202" i="301"/>
  <c r="CN202" i="301"/>
  <c r="CM202" i="301"/>
  <c r="CL202" i="301"/>
  <c r="CK202" i="301"/>
  <c r="CJ202" i="301"/>
  <c r="CI202" i="301"/>
  <c r="CH202" i="301"/>
  <c r="CG202" i="301"/>
  <c r="CF202" i="301"/>
  <c r="CE202" i="301"/>
  <c r="CS198" i="301"/>
  <c r="CR198" i="301"/>
  <c r="CQ198" i="301"/>
  <c r="CP198" i="301"/>
  <c r="CO198" i="301"/>
  <c r="CN198" i="301"/>
  <c r="CM198" i="301"/>
  <c r="CL198" i="301"/>
  <c r="CK198" i="301"/>
  <c r="CJ198" i="301"/>
  <c r="CI198" i="301"/>
  <c r="CH198" i="301"/>
  <c r="CG198" i="301"/>
  <c r="CF198" i="301"/>
  <c r="CE198" i="301"/>
  <c r="CS197" i="301"/>
  <c r="CR197" i="301"/>
  <c r="CQ197" i="301"/>
  <c r="CP197" i="301"/>
  <c r="CO197" i="301"/>
  <c r="CN197" i="301"/>
  <c r="CM197" i="301"/>
  <c r="CL197" i="301"/>
  <c r="CK197" i="301"/>
  <c r="CJ197" i="301"/>
  <c r="CI197" i="301"/>
  <c r="CH197" i="301"/>
  <c r="CG197" i="301"/>
  <c r="CF197" i="301"/>
  <c r="CE197" i="301"/>
  <c r="CS196" i="301"/>
  <c r="CR196" i="301"/>
  <c r="CQ196" i="301"/>
  <c r="CP196" i="301"/>
  <c r="CO196" i="301"/>
  <c r="CN196" i="301"/>
  <c r="CM196" i="301"/>
  <c r="CL196" i="301"/>
  <c r="CK196" i="301"/>
  <c r="CJ196" i="301"/>
  <c r="CI196" i="301"/>
  <c r="CH196" i="301"/>
  <c r="CG196" i="301"/>
  <c r="CF196" i="301"/>
  <c r="CE196" i="301"/>
  <c r="CS195" i="301"/>
  <c r="CR195" i="301"/>
  <c r="CQ195" i="301"/>
  <c r="CP195" i="301"/>
  <c r="CO195" i="301"/>
  <c r="CN195" i="301"/>
  <c r="CM195" i="301"/>
  <c r="CL195" i="301"/>
  <c r="CK195" i="301"/>
  <c r="CJ195" i="301"/>
  <c r="CI195" i="301"/>
  <c r="CH195" i="301"/>
  <c r="CG195" i="301"/>
  <c r="CF195" i="301"/>
  <c r="CE195" i="301"/>
  <c r="CS194" i="301"/>
  <c r="CR194" i="301"/>
  <c r="CQ194" i="301"/>
  <c r="CP194" i="301"/>
  <c r="CO194" i="301"/>
  <c r="CN194" i="301"/>
  <c r="CM194" i="301"/>
  <c r="CL194" i="301"/>
  <c r="CK194" i="301"/>
  <c r="CJ194" i="301"/>
  <c r="CI194" i="301"/>
  <c r="CH194" i="301"/>
  <c r="CG194" i="301"/>
  <c r="CF194" i="301"/>
  <c r="CE194" i="301"/>
  <c r="CS193" i="301"/>
  <c r="CR193" i="301"/>
  <c r="CQ193" i="301"/>
  <c r="CP193" i="301"/>
  <c r="CO193" i="301"/>
  <c r="CN193" i="301"/>
  <c r="CM193" i="301"/>
  <c r="CL193" i="301"/>
  <c r="CK193" i="301"/>
  <c r="CJ193" i="301"/>
  <c r="CI193" i="301"/>
  <c r="CH193" i="301"/>
  <c r="CG193" i="301"/>
  <c r="CF193" i="301"/>
  <c r="CE193" i="301"/>
  <c r="CS192" i="301"/>
  <c r="CR192" i="301"/>
  <c r="CQ192" i="301"/>
  <c r="CP192" i="301"/>
  <c r="CO192" i="301"/>
  <c r="CN192" i="301"/>
  <c r="CM192" i="301"/>
  <c r="CL192" i="301"/>
  <c r="CK192" i="301"/>
  <c r="CJ192" i="301"/>
  <c r="CI192" i="301"/>
  <c r="CH192" i="301"/>
  <c r="CG192" i="301"/>
  <c r="CF192" i="301"/>
  <c r="CE192" i="301"/>
  <c r="CS191" i="301"/>
  <c r="CR191" i="301"/>
  <c r="CQ191" i="301"/>
  <c r="CP191" i="301"/>
  <c r="CO191" i="301"/>
  <c r="CN191" i="301"/>
  <c r="CM191" i="301"/>
  <c r="CL191" i="301"/>
  <c r="CK191" i="301"/>
  <c r="CJ191" i="301"/>
  <c r="CI191" i="301"/>
  <c r="CH191" i="301"/>
  <c r="CG191" i="301"/>
  <c r="CF191" i="301"/>
  <c r="CE191" i="301"/>
  <c r="CS189" i="301"/>
  <c r="CR189" i="301"/>
  <c r="CQ189" i="301"/>
  <c r="CP189" i="301"/>
  <c r="CO189" i="301"/>
  <c r="CN189" i="301"/>
  <c r="CM189" i="301"/>
  <c r="CL189" i="301"/>
  <c r="CK189" i="301"/>
  <c r="CJ189" i="301"/>
  <c r="CI189" i="301"/>
  <c r="CH189" i="301"/>
  <c r="CG189" i="301"/>
  <c r="CF189" i="301"/>
  <c r="CE189" i="301"/>
  <c r="CS187" i="301"/>
  <c r="CR187" i="301"/>
  <c r="CQ187" i="301"/>
  <c r="CP187" i="301"/>
  <c r="CO187" i="301"/>
  <c r="CN187" i="301"/>
  <c r="CM187" i="301"/>
  <c r="CL187" i="301"/>
  <c r="CK187" i="301"/>
  <c r="CJ187" i="301"/>
  <c r="CI187" i="301"/>
  <c r="CH187" i="301"/>
  <c r="CG187" i="301"/>
  <c r="CF187" i="301"/>
  <c r="CE187" i="301"/>
  <c r="CS185" i="301"/>
  <c r="CR185" i="301"/>
  <c r="CQ185" i="301"/>
  <c r="CP185" i="301"/>
  <c r="CO185" i="301"/>
  <c r="CN185" i="301"/>
  <c r="CM185" i="301"/>
  <c r="CL185" i="301"/>
  <c r="CK185" i="301"/>
  <c r="CJ185" i="301"/>
  <c r="CI185" i="301"/>
  <c r="CH185" i="301"/>
  <c r="CG185" i="301"/>
  <c r="CF185" i="301"/>
  <c r="CE185" i="301"/>
  <c r="CS184" i="301"/>
  <c r="CR184" i="301"/>
  <c r="CQ184" i="301"/>
  <c r="CP184" i="301"/>
  <c r="CO184" i="301"/>
  <c r="CN184" i="301"/>
  <c r="CM184" i="301"/>
  <c r="CL184" i="301"/>
  <c r="CK184" i="301"/>
  <c r="CJ184" i="301"/>
  <c r="CI184" i="301"/>
  <c r="CH184" i="301"/>
  <c r="CG184" i="301"/>
  <c r="CF184" i="301"/>
  <c r="CE184" i="301"/>
  <c r="CS183" i="301"/>
  <c r="CR183" i="301"/>
  <c r="CQ183" i="301"/>
  <c r="CP183" i="301"/>
  <c r="CO183" i="301"/>
  <c r="CN183" i="301"/>
  <c r="CM183" i="301"/>
  <c r="CL183" i="301"/>
  <c r="CK183" i="301"/>
  <c r="CJ183" i="301"/>
  <c r="CI183" i="301"/>
  <c r="CH183" i="301"/>
  <c r="CG183" i="301"/>
  <c r="CF183" i="301"/>
  <c r="CE183" i="301"/>
  <c r="CS182" i="301"/>
  <c r="CR182" i="301"/>
  <c r="CQ182" i="301"/>
  <c r="CP182" i="301"/>
  <c r="CO182" i="301"/>
  <c r="CN182" i="301"/>
  <c r="CM182" i="301"/>
  <c r="CL182" i="301"/>
  <c r="CK182" i="301"/>
  <c r="CJ182" i="301"/>
  <c r="CI182" i="301"/>
  <c r="CH182" i="301"/>
  <c r="CG182" i="301"/>
  <c r="CF182" i="301"/>
  <c r="CE182" i="301"/>
  <c r="CS181" i="301"/>
  <c r="CR181" i="301"/>
  <c r="CQ181" i="301"/>
  <c r="CP181" i="301"/>
  <c r="CO181" i="301"/>
  <c r="CN181" i="301"/>
  <c r="CM181" i="301"/>
  <c r="CL181" i="301"/>
  <c r="CK181" i="301"/>
  <c r="CJ181" i="301"/>
  <c r="CI181" i="301"/>
  <c r="CH181" i="301"/>
  <c r="CG181" i="301"/>
  <c r="CF181" i="301"/>
  <c r="CE181" i="301"/>
  <c r="CS180" i="301"/>
  <c r="CR180" i="301"/>
  <c r="CQ180" i="301"/>
  <c r="CP180" i="301"/>
  <c r="CO180" i="301"/>
  <c r="CN180" i="301"/>
  <c r="CM180" i="301"/>
  <c r="CL180" i="301"/>
  <c r="CK180" i="301"/>
  <c r="CJ180" i="301"/>
  <c r="CI180" i="301"/>
  <c r="CH180" i="301"/>
  <c r="CG180" i="301"/>
  <c r="CF180" i="301"/>
  <c r="CE180" i="301"/>
  <c r="CS179" i="301"/>
  <c r="CR179" i="301"/>
  <c r="CQ179" i="301"/>
  <c r="CP179" i="301"/>
  <c r="CO179" i="301"/>
  <c r="CN179" i="301"/>
  <c r="CM179" i="301"/>
  <c r="CL179" i="301"/>
  <c r="CK179" i="301"/>
  <c r="CJ179" i="301"/>
  <c r="CI179" i="301"/>
  <c r="CH179" i="301"/>
  <c r="CG179" i="301"/>
  <c r="CF179" i="301"/>
  <c r="CE179" i="301"/>
  <c r="CS178" i="301"/>
  <c r="CR178" i="301"/>
  <c r="CQ178" i="301"/>
  <c r="CP178" i="301"/>
  <c r="CO178" i="301"/>
  <c r="CN178" i="301"/>
  <c r="CM178" i="301"/>
  <c r="CL178" i="301"/>
  <c r="CK178" i="301"/>
  <c r="CJ178" i="301"/>
  <c r="CI178" i="301"/>
  <c r="CH178" i="301"/>
  <c r="CG178" i="301"/>
  <c r="CF178" i="301"/>
  <c r="CE178" i="301"/>
  <c r="CS177" i="301"/>
  <c r="CR177" i="301"/>
  <c r="CQ177" i="301"/>
  <c r="CP177" i="301"/>
  <c r="CO177" i="301"/>
  <c r="CN177" i="301"/>
  <c r="CM177" i="301"/>
  <c r="CL177" i="301"/>
  <c r="CK177" i="301"/>
  <c r="CJ177" i="301"/>
  <c r="CI177" i="301"/>
  <c r="CH177" i="301"/>
  <c r="CG177" i="301"/>
  <c r="CF177" i="301"/>
  <c r="CE177" i="301"/>
  <c r="CS176" i="301"/>
  <c r="CR176" i="301"/>
  <c r="CQ176" i="301"/>
  <c r="CP176" i="301"/>
  <c r="CO176" i="301"/>
  <c r="CN176" i="301"/>
  <c r="CM176" i="301"/>
  <c r="CL176" i="301"/>
  <c r="CK176" i="301"/>
  <c r="CJ176" i="301"/>
  <c r="CI176" i="301"/>
  <c r="CH176" i="301"/>
  <c r="CG176" i="301"/>
  <c r="CF176" i="301"/>
  <c r="CE176" i="301"/>
  <c r="CS175" i="301"/>
  <c r="CR175" i="301"/>
  <c r="CQ175" i="301"/>
  <c r="CP175" i="301"/>
  <c r="CO175" i="301"/>
  <c r="CN175" i="301"/>
  <c r="CM175" i="301"/>
  <c r="CL175" i="301"/>
  <c r="CK175" i="301"/>
  <c r="CJ175" i="301"/>
  <c r="CI175" i="301"/>
  <c r="CH175" i="301"/>
  <c r="CG175" i="301"/>
  <c r="CF175" i="301"/>
  <c r="CE175" i="301"/>
  <c r="CS174" i="301"/>
  <c r="CR174" i="301"/>
  <c r="CQ174" i="301"/>
  <c r="CP174" i="301"/>
  <c r="CO174" i="301"/>
  <c r="CN174" i="301"/>
  <c r="CM174" i="301"/>
  <c r="CL174" i="301"/>
  <c r="CK174" i="301"/>
  <c r="CJ174" i="301"/>
  <c r="CI174" i="301"/>
  <c r="CH174" i="301"/>
  <c r="CG174" i="301"/>
  <c r="CF174" i="301"/>
  <c r="CE174" i="301"/>
  <c r="CS173" i="301"/>
  <c r="CR173" i="301"/>
  <c r="CQ173" i="301"/>
  <c r="CP173" i="301"/>
  <c r="CO173" i="301"/>
  <c r="CN173" i="301"/>
  <c r="CM173" i="301"/>
  <c r="CL173" i="301"/>
  <c r="CK173" i="301"/>
  <c r="CJ173" i="301"/>
  <c r="CI173" i="301"/>
  <c r="CH173" i="301"/>
  <c r="CG173" i="301"/>
  <c r="CF173" i="301"/>
  <c r="CE173" i="301"/>
  <c r="CS172" i="301"/>
  <c r="CR172" i="301"/>
  <c r="CQ172" i="301"/>
  <c r="CP172" i="301"/>
  <c r="CO172" i="301"/>
  <c r="CN172" i="301"/>
  <c r="CM172" i="301"/>
  <c r="CL172" i="301"/>
  <c r="CK172" i="301"/>
  <c r="CJ172" i="301"/>
  <c r="CI172" i="301"/>
  <c r="CH172" i="301"/>
  <c r="CG172" i="301"/>
  <c r="CF172" i="301"/>
  <c r="CE172" i="301"/>
  <c r="CS171" i="301"/>
  <c r="CR171" i="301"/>
  <c r="CQ171" i="301"/>
  <c r="CP171" i="301"/>
  <c r="CO171" i="301"/>
  <c r="CN171" i="301"/>
  <c r="CM171" i="301"/>
  <c r="CL171" i="301"/>
  <c r="CK171" i="301"/>
  <c r="CJ171" i="301"/>
  <c r="CI171" i="301"/>
  <c r="CH171" i="301"/>
  <c r="CG171" i="301"/>
  <c r="CF171" i="301"/>
  <c r="CE171" i="301"/>
  <c r="CS170" i="301"/>
  <c r="CR170" i="301"/>
  <c r="CQ170" i="301"/>
  <c r="CP170" i="301"/>
  <c r="CO170" i="301"/>
  <c r="CN170" i="301"/>
  <c r="CM170" i="301"/>
  <c r="CL170" i="301"/>
  <c r="CK170" i="301"/>
  <c r="CJ170" i="301"/>
  <c r="CI170" i="301"/>
  <c r="CH170" i="301"/>
  <c r="CG170" i="301"/>
  <c r="CF170" i="301"/>
  <c r="CE170" i="301"/>
  <c r="CS169" i="301"/>
  <c r="CR169" i="301"/>
  <c r="CQ169" i="301"/>
  <c r="CP169" i="301"/>
  <c r="CO169" i="301"/>
  <c r="CN169" i="301"/>
  <c r="CM169" i="301"/>
  <c r="CL169" i="301"/>
  <c r="CK169" i="301"/>
  <c r="CJ169" i="301"/>
  <c r="CI169" i="301"/>
  <c r="CH169" i="301"/>
  <c r="CG169" i="301"/>
  <c r="CF169" i="301"/>
  <c r="CE169" i="301"/>
  <c r="CS168" i="301"/>
  <c r="CR168" i="301"/>
  <c r="CQ168" i="301"/>
  <c r="CP168" i="301"/>
  <c r="CO168" i="301"/>
  <c r="CN168" i="301"/>
  <c r="CM168" i="301"/>
  <c r="CL168" i="301"/>
  <c r="CK168" i="301"/>
  <c r="CJ168" i="301"/>
  <c r="CI168" i="301"/>
  <c r="CH168" i="301"/>
  <c r="CG168" i="301"/>
  <c r="CF168" i="301"/>
  <c r="CE168" i="301"/>
  <c r="CS167" i="301"/>
  <c r="CR167" i="301"/>
  <c r="CQ167" i="301"/>
  <c r="CP167" i="301"/>
  <c r="CO167" i="301"/>
  <c r="CN167" i="301"/>
  <c r="CM167" i="301"/>
  <c r="CL167" i="301"/>
  <c r="CK167" i="301"/>
  <c r="CJ167" i="301"/>
  <c r="CI167" i="301"/>
  <c r="CH167" i="301"/>
  <c r="CG167" i="301"/>
  <c r="CF167" i="301"/>
  <c r="CE167" i="301"/>
  <c r="CS166" i="301"/>
  <c r="CR166" i="301"/>
  <c r="CQ166" i="301"/>
  <c r="CP166" i="301"/>
  <c r="CO166" i="301"/>
  <c r="CN166" i="301"/>
  <c r="CM166" i="301"/>
  <c r="CL166" i="301"/>
  <c r="CK166" i="301"/>
  <c r="CJ166" i="301"/>
  <c r="CI166" i="301"/>
  <c r="CH166" i="301"/>
  <c r="CG166" i="301"/>
  <c r="CF166" i="301"/>
  <c r="CE166" i="301"/>
  <c r="CS165" i="301"/>
  <c r="CR165" i="301"/>
  <c r="CQ165" i="301"/>
  <c r="CP165" i="301"/>
  <c r="CO165" i="301"/>
  <c r="CN165" i="301"/>
  <c r="CM165" i="301"/>
  <c r="CL165" i="301"/>
  <c r="CK165" i="301"/>
  <c r="CJ165" i="301"/>
  <c r="CI165" i="301"/>
  <c r="CH165" i="301"/>
  <c r="CG165" i="301"/>
  <c r="CF165" i="301"/>
  <c r="CE165" i="301"/>
  <c r="CS164" i="301"/>
  <c r="CR164" i="301"/>
  <c r="CQ164" i="301"/>
  <c r="CP164" i="301"/>
  <c r="CO164" i="301"/>
  <c r="CN164" i="301"/>
  <c r="CM164" i="301"/>
  <c r="CL164" i="301"/>
  <c r="CK164" i="301"/>
  <c r="CJ164" i="301"/>
  <c r="CI164" i="301"/>
  <c r="CH164" i="301"/>
  <c r="CG164" i="301"/>
  <c r="CF164" i="301"/>
  <c r="CE164" i="301"/>
  <c r="CS163" i="301"/>
  <c r="CR163" i="301"/>
  <c r="CQ163" i="301"/>
  <c r="CP163" i="301"/>
  <c r="CO163" i="301"/>
  <c r="CN163" i="301"/>
  <c r="CM163" i="301"/>
  <c r="CL163" i="301"/>
  <c r="CK163" i="301"/>
  <c r="CJ163" i="301"/>
  <c r="CI163" i="301"/>
  <c r="CH163" i="301"/>
  <c r="CG163" i="301"/>
  <c r="CF163" i="301"/>
  <c r="CE163" i="301"/>
  <c r="CS162" i="301"/>
  <c r="CR162" i="301"/>
  <c r="CQ162" i="301"/>
  <c r="CP162" i="301"/>
  <c r="CO162" i="301"/>
  <c r="CN162" i="301"/>
  <c r="CM162" i="301"/>
  <c r="CL162" i="301"/>
  <c r="CK162" i="301"/>
  <c r="CJ162" i="301"/>
  <c r="CI162" i="301"/>
  <c r="CH162" i="301"/>
  <c r="CG162" i="301"/>
  <c r="CF162" i="301"/>
  <c r="CE162" i="301"/>
  <c r="CS161" i="301"/>
  <c r="CR161" i="301"/>
  <c r="CQ161" i="301"/>
  <c r="CP161" i="301"/>
  <c r="CO161" i="301"/>
  <c r="CN161" i="301"/>
  <c r="CM161" i="301"/>
  <c r="CL161" i="301"/>
  <c r="CK161" i="301"/>
  <c r="CJ161" i="301"/>
  <c r="CI161" i="301"/>
  <c r="CH161" i="301"/>
  <c r="CG161" i="301"/>
  <c r="CF161" i="301"/>
  <c r="CE161" i="301"/>
  <c r="CS160" i="301"/>
  <c r="CR160" i="301"/>
  <c r="CQ160" i="301"/>
  <c r="CP160" i="301"/>
  <c r="CO160" i="301"/>
  <c r="CN160" i="301"/>
  <c r="CM160" i="301"/>
  <c r="CL160" i="301"/>
  <c r="CK160" i="301"/>
  <c r="CJ160" i="301"/>
  <c r="CI160" i="301"/>
  <c r="CH160" i="301"/>
  <c r="CG160" i="301"/>
  <c r="CF160" i="301"/>
  <c r="CE160" i="301"/>
  <c r="CS159" i="301"/>
  <c r="CR159" i="301"/>
  <c r="CQ159" i="301"/>
  <c r="CP159" i="301"/>
  <c r="CO159" i="301"/>
  <c r="CN159" i="301"/>
  <c r="CM159" i="301"/>
  <c r="CL159" i="301"/>
  <c r="CK159" i="301"/>
  <c r="CJ159" i="301"/>
  <c r="CI159" i="301"/>
  <c r="CH159" i="301"/>
  <c r="CG159" i="301"/>
  <c r="CF159" i="301"/>
  <c r="CE159" i="301"/>
  <c r="CS158" i="301"/>
  <c r="CR158" i="301"/>
  <c r="CQ158" i="301"/>
  <c r="CP158" i="301"/>
  <c r="CO158" i="301"/>
  <c r="CN158" i="301"/>
  <c r="CM158" i="301"/>
  <c r="CL158" i="301"/>
  <c r="CK158" i="301"/>
  <c r="CJ158" i="301"/>
  <c r="CI158" i="301"/>
  <c r="CH158" i="301"/>
  <c r="CG158" i="301"/>
  <c r="CF158" i="301"/>
  <c r="CE158" i="301"/>
  <c r="CS157" i="301"/>
  <c r="CR157" i="301"/>
  <c r="CQ157" i="301"/>
  <c r="CP157" i="301"/>
  <c r="CO157" i="301"/>
  <c r="CN157" i="301"/>
  <c r="CM157" i="301"/>
  <c r="CL157" i="301"/>
  <c r="CK157" i="301"/>
  <c r="CJ157" i="301"/>
  <c r="CI157" i="301"/>
  <c r="CH157" i="301"/>
  <c r="CG157" i="301"/>
  <c r="CF157" i="301"/>
  <c r="CE157" i="301"/>
  <c r="CS156" i="301"/>
  <c r="CR156" i="301"/>
  <c r="CQ156" i="301"/>
  <c r="CP156" i="301"/>
  <c r="CO156" i="301"/>
  <c r="CN156" i="301"/>
  <c r="CM156" i="301"/>
  <c r="CL156" i="301"/>
  <c r="CK156" i="301"/>
  <c r="CJ156" i="301"/>
  <c r="CI156" i="301"/>
  <c r="CH156" i="301"/>
  <c r="CG156" i="301"/>
  <c r="CF156" i="301"/>
  <c r="CE156" i="301"/>
  <c r="CS155" i="301"/>
  <c r="CR155" i="301"/>
  <c r="CQ155" i="301"/>
  <c r="CP155" i="301"/>
  <c r="CO155" i="301"/>
  <c r="CN155" i="301"/>
  <c r="CM155" i="301"/>
  <c r="CL155" i="301"/>
  <c r="CK155" i="301"/>
  <c r="CJ155" i="301"/>
  <c r="CI155" i="301"/>
  <c r="CH155" i="301"/>
  <c r="CG155" i="301"/>
  <c r="CF155" i="301"/>
  <c r="CE155" i="301"/>
  <c r="CS154" i="301"/>
  <c r="CR154" i="301"/>
  <c r="CQ154" i="301"/>
  <c r="CP154" i="301"/>
  <c r="CO154" i="301"/>
  <c r="CN154" i="301"/>
  <c r="CM154" i="301"/>
  <c r="CL154" i="301"/>
  <c r="CK154" i="301"/>
  <c r="CJ154" i="301"/>
  <c r="CI154" i="301"/>
  <c r="CH154" i="301"/>
  <c r="CG154" i="301"/>
  <c r="CF154" i="301"/>
  <c r="CE154" i="301"/>
  <c r="CS153" i="301"/>
  <c r="CR153" i="301"/>
  <c r="CQ153" i="301"/>
  <c r="CP153" i="301"/>
  <c r="CO153" i="301"/>
  <c r="CN153" i="301"/>
  <c r="CM153" i="301"/>
  <c r="CL153" i="301"/>
  <c r="CK153" i="301"/>
  <c r="CJ153" i="301"/>
  <c r="CI153" i="301"/>
  <c r="CH153" i="301"/>
  <c r="CG153" i="301"/>
  <c r="CF153" i="301"/>
  <c r="CE153" i="301"/>
  <c r="CS152" i="301"/>
  <c r="CR152" i="301"/>
  <c r="CQ152" i="301"/>
  <c r="CP152" i="301"/>
  <c r="CO152" i="301"/>
  <c r="CN152" i="301"/>
  <c r="CM152" i="301"/>
  <c r="CL152" i="301"/>
  <c r="CK152" i="301"/>
  <c r="CJ152" i="301"/>
  <c r="CI152" i="301"/>
  <c r="CH152" i="301"/>
  <c r="CG152" i="301"/>
  <c r="CF152" i="301"/>
  <c r="CE152" i="301"/>
  <c r="CS151" i="301"/>
  <c r="CR151" i="301"/>
  <c r="CQ151" i="301"/>
  <c r="CP151" i="301"/>
  <c r="CO151" i="301"/>
  <c r="CN151" i="301"/>
  <c r="CM151" i="301"/>
  <c r="CL151" i="301"/>
  <c r="CK151" i="301"/>
  <c r="CJ151" i="301"/>
  <c r="CI151" i="301"/>
  <c r="CH151" i="301"/>
  <c r="CG151" i="301"/>
  <c r="CF151" i="301"/>
  <c r="CE151" i="301"/>
  <c r="CS149" i="301"/>
  <c r="CR149" i="301"/>
  <c r="CQ149" i="301"/>
  <c r="CP149" i="301"/>
  <c r="CO149" i="301"/>
  <c r="CN149" i="301"/>
  <c r="CM149" i="301"/>
  <c r="CL149" i="301"/>
  <c r="CK149" i="301"/>
  <c r="CJ149" i="301"/>
  <c r="CI149" i="301"/>
  <c r="CH149" i="301"/>
  <c r="CG149" i="301"/>
  <c r="CF149" i="301"/>
  <c r="CE149" i="301"/>
  <c r="CS147" i="301"/>
  <c r="CR147" i="301"/>
  <c r="CQ147" i="301"/>
  <c r="CP147" i="301"/>
  <c r="CO147" i="301"/>
  <c r="CN147" i="301"/>
  <c r="CM147" i="301"/>
  <c r="CL147" i="301"/>
  <c r="CK147" i="301"/>
  <c r="CJ147" i="301"/>
  <c r="CI147" i="301"/>
  <c r="CH147" i="301"/>
  <c r="CG147" i="301"/>
  <c r="CF147" i="301"/>
  <c r="CE147" i="301"/>
  <c r="CS145" i="301"/>
  <c r="CR145" i="301"/>
  <c r="CQ145" i="301"/>
  <c r="CP145" i="301"/>
  <c r="CO145" i="301"/>
  <c r="CN145" i="301"/>
  <c r="CM145" i="301"/>
  <c r="CL145" i="301"/>
  <c r="CK145" i="301"/>
  <c r="CJ145" i="301"/>
  <c r="CI145" i="301"/>
  <c r="CH145" i="301"/>
  <c r="CG145" i="301"/>
  <c r="CF145" i="301"/>
  <c r="CE145" i="301"/>
  <c r="CS144" i="301"/>
  <c r="CR144" i="301"/>
  <c r="CQ144" i="301"/>
  <c r="CP144" i="301"/>
  <c r="CO144" i="301"/>
  <c r="CN144" i="301"/>
  <c r="CM144" i="301"/>
  <c r="CL144" i="301"/>
  <c r="CK144" i="301"/>
  <c r="CJ144" i="301"/>
  <c r="CI144" i="301"/>
  <c r="CH144" i="301"/>
  <c r="CG144" i="301"/>
  <c r="CF144" i="301"/>
  <c r="CE144" i="301"/>
  <c r="CS143" i="301"/>
  <c r="CR143" i="301"/>
  <c r="CQ143" i="301"/>
  <c r="CP143" i="301"/>
  <c r="CO143" i="301"/>
  <c r="CN143" i="301"/>
  <c r="CM143" i="301"/>
  <c r="CL143" i="301"/>
  <c r="CK143" i="301"/>
  <c r="CJ143" i="301"/>
  <c r="CI143" i="301"/>
  <c r="CH143" i="301"/>
  <c r="CG143" i="301"/>
  <c r="CF143" i="301"/>
  <c r="CE143" i="301"/>
  <c r="CS142" i="301"/>
  <c r="CR142" i="301"/>
  <c r="CQ142" i="301"/>
  <c r="CP142" i="301"/>
  <c r="CO142" i="301"/>
  <c r="CN142" i="301"/>
  <c r="CM142" i="301"/>
  <c r="CL142" i="301"/>
  <c r="CK142" i="301"/>
  <c r="CJ142" i="301"/>
  <c r="CI142" i="301"/>
  <c r="CH142" i="301"/>
  <c r="CG142" i="301"/>
  <c r="CF142" i="301"/>
  <c r="CE142" i="301"/>
  <c r="CS141" i="301"/>
  <c r="CR141" i="301"/>
  <c r="CQ141" i="301"/>
  <c r="CP141" i="301"/>
  <c r="CO141" i="301"/>
  <c r="CN141" i="301"/>
  <c r="CM141" i="301"/>
  <c r="CL141" i="301"/>
  <c r="CK141" i="301"/>
  <c r="CJ141" i="301"/>
  <c r="CI141" i="301"/>
  <c r="CH141" i="301"/>
  <c r="CG141" i="301"/>
  <c r="CF141" i="301"/>
  <c r="CE141" i="301"/>
  <c r="CS140" i="301"/>
  <c r="CR140" i="301"/>
  <c r="CQ140" i="301"/>
  <c r="CP140" i="301"/>
  <c r="CO140" i="301"/>
  <c r="CN140" i="301"/>
  <c r="CM140" i="301"/>
  <c r="CL140" i="301"/>
  <c r="CK140" i="301"/>
  <c r="CJ140" i="301"/>
  <c r="CI140" i="301"/>
  <c r="CH140" i="301"/>
  <c r="CG140" i="301"/>
  <c r="CF140" i="301"/>
  <c r="CE140" i="301"/>
  <c r="CS139" i="301"/>
  <c r="CR139" i="301"/>
  <c r="CQ139" i="301"/>
  <c r="CP139" i="301"/>
  <c r="CO139" i="301"/>
  <c r="CN139" i="301"/>
  <c r="CM139" i="301"/>
  <c r="CL139" i="301"/>
  <c r="CK139" i="301"/>
  <c r="CJ139" i="301"/>
  <c r="CI139" i="301"/>
  <c r="CH139" i="301"/>
  <c r="CG139" i="301"/>
  <c r="CF139" i="301"/>
  <c r="CE139" i="301"/>
  <c r="CS138" i="301"/>
  <c r="CR138" i="301"/>
  <c r="CQ138" i="301"/>
  <c r="CP138" i="301"/>
  <c r="CO138" i="301"/>
  <c r="CN138" i="301"/>
  <c r="CM138" i="301"/>
  <c r="CL138" i="301"/>
  <c r="CK138" i="301"/>
  <c r="CJ138" i="301"/>
  <c r="CI138" i="301"/>
  <c r="CH138" i="301"/>
  <c r="CG138" i="301"/>
  <c r="CF138" i="301"/>
  <c r="CE138" i="301"/>
  <c r="CS137" i="301"/>
  <c r="CR137" i="301"/>
  <c r="CQ137" i="301"/>
  <c r="CP137" i="301"/>
  <c r="CO137" i="301"/>
  <c r="CN137" i="301"/>
  <c r="CM137" i="301"/>
  <c r="CL137" i="301"/>
  <c r="CK137" i="301"/>
  <c r="CJ137" i="301"/>
  <c r="CI137" i="301"/>
  <c r="CH137" i="301"/>
  <c r="CG137" i="301"/>
  <c r="CF137" i="301"/>
  <c r="CE137" i="301"/>
  <c r="CS136" i="301"/>
  <c r="CR136" i="301"/>
  <c r="CQ136" i="301"/>
  <c r="CP136" i="301"/>
  <c r="CO136" i="301"/>
  <c r="CN136" i="301"/>
  <c r="CM136" i="301"/>
  <c r="CL136" i="301"/>
  <c r="CK136" i="301"/>
  <c r="CJ136" i="301"/>
  <c r="CI136" i="301"/>
  <c r="CH136" i="301"/>
  <c r="CG136" i="301"/>
  <c r="CF136" i="301"/>
  <c r="CE136" i="301"/>
  <c r="CS135" i="301"/>
  <c r="CR135" i="301"/>
  <c r="CQ135" i="301"/>
  <c r="CP135" i="301"/>
  <c r="CO135" i="301"/>
  <c r="CN135" i="301"/>
  <c r="CM135" i="301"/>
  <c r="CL135" i="301"/>
  <c r="CK135" i="301"/>
  <c r="CJ135" i="301"/>
  <c r="CI135" i="301"/>
  <c r="CH135" i="301"/>
  <c r="CG135" i="301"/>
  <c r="CF135" i="301"/>
  <c r="CE135" i="301"/>
  <c r="CS134" i="301"/>
  <c r="CR134" i="301"/>
  <c r="CQ134" i="301"/>
  <c r="CP134" i="301"/>
  <c r="CO134" i="301"/>
  <c r="CN134" i="301"/>
  <c r="CM134" i="301"/>
  <c r="CL134" i="301"/>
  <c r="CK134" i="301"/>
  <c r="CJ134" i="301"/>
  <c r="CI134" i="301"/>
  <c r="CH134" i="301"/>
  <c r="CG134" i="301"/>
  <c r="CF134" i="301"/>
  <c r="CE134" i="301"/>
  <c r="CS133" i="301"/>
  <c r="CR133" i="301"/>
  <c r="CQ133" i="301"/>
  <c r="CP133" i="301"/>
  <c r="CO133" i="301"/>
  <c r="CN133" i="301"/>
  <c r="CM133" i="301"/>
  <c r="CL133" i="301"/>
  <c r="CK133" i="301"/>
  <c r="CJ133" i="301"/>
  <c r="CI133" i="301"/>
  <c r="CH133" i="301"/>
  <c r="CG133" i="301"/>
  <c r="CF133" i="301"/>
  <c r="CE133" i="301"/>
  <c r="CS132" i="301"/>
  <c r="CR132" i="301"/>
  <c r="CQ132" i="301"/>
  <c r="CP132" i="301"/>
  <c r="CO132" i="301"/>
  <c r="CN132" i="301"/>
  <c r="CM132" i="301"/>
  <c r="CL132" i="301"/>
  <c r="CK132" i="301"/>
  <c r="CJ132" i="301"/>
  <c r="CI132" i="301"/>
  <c r="CH132" i="301"/>
  <c r="CG132" i="301"/>
  <c r="CF132" i="301"/>
  <c r="CE132" i="301"/>
  <c r="CS131" i="301"/>
  <c r="CR131" i="301"/>
  <c r="CQ131" i="301"/>
  <c r="CP131" i="301"/>
  <c r="CO131" i="301"/>
  <c r="CN131" i="301"/>
  <c r="CM131" i="301"/>
  <c r="CL131" i="301"/>
  <c r="CK131" i="301"/>
  <c r="CJ131" i="301"/>
  <c r="CI131" i="301"/>
  <c r="CH131" i="301"/>
  <c r="CG131" i="301"/>
  <c r="CF131" i="301"/>
  <c r="CE131" i="301"/>
  <c r="CS130" i="301"/>
  <c r="CR130" i="301"/>
  <c r="CQ130" i="301"/>
  <c r="CP130" i="301"/>
  <c r="CO130" i="301"/>
  <c r="CN130" i="301"/>
  <c r="CM130" i="301"/>
  <c r="CL130" i="301"/>
  <c r="CK130" i="301"/>
  <c r="CJ130" i="301"/>
  <c r="CI130" i="301"/>
  <c r="CH130" i="301"/>
  <c r="CG130" i="301"/>
  <c r="CF130" i="301"/>
  <c r="CE130" i="301"/>
  <c r="CS129" i="301"/>
  <c r="CR129" i="301"/>
  <c r="CQ129" i="301"/>
  <c r="CP129" i="301"/>
  <c r="CO129" i="301"/>
  <c r="CN129" i="301"/>
  <c r="CM129" i="301"/>
  <c r="CL129" i="301"/>
  <c r="CK129" i="301"/>
  <c r="CJ129" i="301"/>
  <c r="CI129" i="301"/>
  <c r="CH129" i="301"/>
  <c r="CG129" i="301"/>
  <c r="CF129" i="301"/>
  <c r="CE129" i="301"/>
  <c r="CS128" i="301"/>
  <c r="CR128" i="301"/>
  <c r="CQ128" i="301"/>
  <c r="CP128" i="301"/>
  <c r="CO128" i="301"/>
  <c r="CN128" i="301"/>
  <c r="CM128" i="301"/>
  <c r="CL128" i="301"/>
  <c r="CK128" i="301"/>
  <c r="CJ128" i="301"/>
  <c r="CI128" i="301"/>
  <c r="CH128" i="301"/>
  <c r="CG128" i="301"/>
  <c r="CF128" i="301"/>
  <c r="CE128" i="301"/>
  <c r="CS127" i="301"/>
  <c r="CR127" i="301"/>
  <c r="CQ127" i="301"/>
  <c r="CP127" i="301"/>
  <c r="CO127" i="301"/>
  <c r="CN127" i="301"/>
  <c r="CM127" i="301"/>
  <c r="CL127" i="301"/>
  <c r="CK127" i="301"/>
  <c r="CJ127" i="301"/>
  <c r="CI127" i="301"/>
  <c r="CH127" i="301"/>
  <c r="CG127" i="301"/>
  <c r="CF127" i="301"/>
  <c r="CE127" i="301"/>
  <c r="CS126" i="301"/>
  <c r="CR126" i="301"/>
  <c r="CQ126" i="301"/>
  <c r="CP126" i="301"/>
  <c r="CO126" i="301"/>
  <c r="CN126" i="301"/>
  <c r="CM126" i="301"/>
  <c r="CL126" i="301"/>
  <c r="CK126" i="301"/>
  <c r="CJ126" i="301"/>
  <c r="CI126" i="301"/>
  <c r="CH126" i="301"/>
  <c r="CG126" i="301"/>
  <c r="CF126" i="301"/>
  <c r="CE126" i="301"/>
  <c r="CS125" i="301"/>
  <c r="CR125" i="301"/>
  <c r="CQ125" i="301"/>
  <c r="CP125" i="301"/>
  <c r="CO125" i="301"/>
  <c r="CN125" i="301"/>
  <c r="CM125" i="301"/>
  <c r="CL125" i="301"/>
  <c r="CK125" i="301"/>
  <c r="CJ125" i="301"/>
  <c r="CI125" i="301"/>
  <c r="CH125" i="301"/>
  <c r="CG125" i="301"/>
  <c r="CF125" i="301"/>
  <c r="CE125" i="301"/>
  <c r="CS124" i="301"/>
  <c r="CR124" i="301"/>
  <c r="CQ124" i="301"/>
  <c r="CP124" i="301"/>
  <c r="CO124" i="301"/>
  <c r="CN124" i="301"/>
  <c r="CM124" i="301"/>
  <c r="CL124" i="301"/>
  <c r="CK124" i="301"/>
  <c r="CJ124" i="301"/>
  <c r="CI124" i="301"/>
  <c r="CH124" i="301"/>
  <c r="CG124" i="301"/>
  <c r="CF124" i="301"/>
  <c r="CE124" i="301"/>
  <c r="CS123" i="301"/>
  <c r="CR123" i="301"/>
  <c r="CQ123" i="301"/>
  <c r="CP123" i="301"/>
  <c r="CO123" i="301"/>
  <c r="CN123" i="301"/>
  <c r="CM123" i="301"/>
  <c r="CL123" i="301"/>
  <c r="CK123" i="301"/>
  <c r="CJ123" i="301"/>
  <c r="CI123" i="301"/>
  <c r="CH123" i="301"/>
  <c r="CG123" i="301"/>
  <c r="CF123" i="301"/>
  <c r="CE123" i="301"/>
  <c r="CS122" i="301"/>
  <c r="CR122" i="301"/>
  <c r="CQ122" i="301"/>
  <c r="CP122" i="301"/>
  <c r="CO122" i="301"/>
  <c r="CN122" i="301"/>
  <c r="CM122" i="301"/>
  <c r="CL122" i="301"/>
  <c r="CK122" i="301"/>
  <c r="CJ122" i="301"/>
  <c r="CI122" i="301"/>
  <c r="CH122" i="301"/>
  <c r="CG122" i="301"/>
  <c r="CF122" i="301"/>
  <c r="CE122" i="301"/>
  <c r="CS121" i="301"/>
  <c r="CR121" i="301"/>
  <c r="CQ121" i="301"/>
  <c r="CP121" i="301"/>
  <c r="CO121" i="301"/>
  <c r="CN121" i="301"/>
  <c r="CM121" i="301"/>
  <c r="CL121" i="301"/>
  <c r="CK121" i="301"/>
  <c r="CJ121" i="301"/>
  <c r="CI121" i="301"/>
  <c r="CH121" i="301"/>
  <c r="CG121" i="301"/>
  <c r="CF121" i="301"/>
  <c r="CE121" i="301"/>
  <c r="CS120" i="301"/>
  <c r="CR120" i="301"/>
  <c r="CQ120" i="301"/>
  <c r="CP120" i="301"/>
  <c r="CO120" i="301"/>
  <c r="CN120" i="301"/>
  <c r="CM120" i="301"/>
  <c r="CL120" i="301"/>
  <c r="CK120" i="301"/>
  <c r="CJ120" i="301"/>
  <c r="CI120" i="301"/>
  <c r="CH120" i="301"/>
  <c r="CG120" i="301"/>
  <c r="CF120" i="301"/>
  <c r="CE120" i="301"/>
  <c r="CS119" i="301"/>
  <c r="CR119" i="301"/>
  <c r="CQ119" i="301"/>
  <c r="CP119" i="301"/>
  <c r="CO119" i="301"/>
  <c r="CN119" i="301"/>
  <c r="CM119" i="301"/>
  <c r="CL119" i="301"/>
  <c r="CK119" i="301"/>
  <c r="CJ119" i="301"/>
  <c r="CI119" i="301"/>
  <c r="CH119" i="301"/>
  <c r="CG119" i="301"/>
  <c r="CF119" i="301"/>
  <c r="CE119" i="301"/>
  <c r="CS118" i="301"/>
  <c r="CR118" i="301"/>
  <c r="CQ118" i="301"/>
  <c r="CP118" i="301"/>
  <c r="CO118" i="301"/>
  <c r="CN118" i="301"/>
  <c r="CM118" i="301"/>
  <c r="CL118" i="301"/>
  <c r="CK118" i="301"/>
  <c r="CJ118" i="301"/>
  <c r="CI118" i="301"/>
  <c r="CH118" i="301"/>
  <c r="CG118" i="301"/>
  <c r="CF118" i="301"/>
  <c r="CE118" i="301"/>
  <c r="CS117" i="301"/>
  <c r="CR117" i="301"/>
  <c r="CQ117" i="301"/>
  <c r="CP117" i="301"/>
  <c r="CO117" i="301"/>
  <c r="CN117" i="301"/>
  <c r="CM117" i="301"/>
  <c r="CL117" i="301"/>
  <c r="CK117" i="301"/>
  <c r="CJ117" i="301"/>
  <c r="CI117" i="301"/>
  <c r="CH117" i="301"/>
  <c r="CG117" i="301"/>
  <c r="CF117" i="301"/>
  <c r="CE117" i="301"/>
  <c r="CS116" i="301"/>
  <c r="CR116" i="301"/>
  <c r="CQ116" i="301"/>
  <c r="CP116" i="301"/>
  <c r="CO116" i="301"/>
  <c r="CN116" i="301"/>
  <c r="CM116" i="301"/>
  <c r="CL116" i="301"/>
  <c r="CK116" i="301"/>
  <c r="CJ116" i="301"/>
  <c r="CI116" i="301"/>
  <c r="CH116" i="301"/>
  <c r="CG116" i="301"/>
  <c r="CF116" i="301"/>
  <c r="CE116" i="301"/>
  <c r="CS115" i="301"/>
  <c r="CR115" i="301"/>
  <c r="CQ115" i="301"/>
  <c r="CP115" i="301"/>
  <c r="CO115" i="301"/>
  <c r="CN115" i="301"/>
  <c r="CM115" i="301"/>
  <c r="CL115" i="301"/>
  <c r="CK115" i="301"/>
  <c r="CJ115" i="301"/>
  <c r="CI115" i="301"/>
  <c r="CH115" i="301"/>
  <c r="CG115" i="301"/>
  <c r="CF115" i="301"/>
  <c r="CE115" i="301"/>
  <c r="CS114" i="301"/>
  <c r="CR114" i="301"/>
  <c r="CQ114" i="301"/>
  <c r="CP114" i="301"/>
  <c r="CO114" i="301"/>
  <c r="CN114" i="301"/>
  <c r="CM114" i="301"/>
  <c r="CL114" i="301"/>
  <c r="CK114" i="301"/>
  <c r="CJ114" i="301"/>
  <c r="CI114" i="301"/>
  <c r="CH114" i="301"/>
  <c r="CG114" i="301"/>
  <c r="CF114" i="301"/>
  <c r="CE114" i="301"/>
  <c r="CS113" i="301"/>
  <c r="CR113" i="301"/>
  <c r="CQ113" i="301"/>
  <c r="CP113" i="301"/>
  <c r="CO113" i="301"/>
  <c r="CN113" i="301"/>
  <c r="CM113" i="301"/>
  <c r="CL113" i="301"/>
  <c r="CK113" i="301"/>
  <c r="CJ113" i="301"/>
  <c r="CI113" i="301"/>
  <c r="CH113" i="301"/>
  <c r="CG113" i="301"/>
  <c r="CF113" i="301"/>
  <c r="CE113" i="301"/>
  <c r="CS111" i="301"/>
  <c r="CR111" i="301"/>
  <c r="CQ111" i="301"/>
  <c r="CP111" i="301"/>
  <c r="CO111" i="301"/>
  <c r="CN111" i="301"/>
  <c r="CM111" i="301"/>
  <c r="CL111" i="301"/>
  <c r="CK111" i="301"/>
  <c r="CJ111" i="301"/>
  <c r="CI111" i="301"/>
  <c r="CH111" i="301"/>
  <c r="CG111" i="301"/>
  <c r="CF111" i="301"/>
  <c r="CE111" i="301"/>
  <c r="CS110" i="301"/>
  <c r="CR110" i="301"/>
  <c r="CQ110" i="301"/>
  <c r="CP110" i="301"/>
  <c r="CO110" i="301"/>
  <c r="CN110" i="301"/>
  <c r="CM110" i="301"/>
  <c r="CL110" i="301"/>
  <c r="CK110" i="301"/>
  <c r="CJ110" i="301"/>
  <c r="CI110" i="301"/>
  <c r="CH110" i="301"/>
  <c r="CG110" i="301"/>
  <c r="CF110" i="301"/>
  <c r="CE110" i="301"/>
  <c r="CS109" i="301"/>
  <c r="CR109" i="301"/>
  <c r="CQ109" i="301"/>
  <c r="CP109" i="301"/>
  <c r="CO109" i="301"/>
  <c r="CN109" i="301"/>
  <c r="CM109" i="301"/>
  <c r="CL109" i="301"/>
  <c r="CK109" i="301"/>
  <c r="CJ109" i="301"/>
  <c r="CI109" i="301"/>
  <c r="CH109" i="301"/>
  <c r="CG109" i="301"/>
  <c r="CF109" i="301"/>
  <c r="CE109" i="301"/>
  <c r="CS108" i="301"/>
  <c r="CR108" i="301"/>
  <c r="CQ108" i="301"/>
  <c r="CP108" i="301"/>
  <c r="CO108" i="301"/>
  <c r="CN108" i="301"/>
  <c r="CM108" i="301"/>
  <c r="CL108" i="301"/>
  <c r="CK108" i="301"/>
  <c r="CJ108" i="301"/>
  <c r="CI108" i="301"/>
  <c r="CH108" i="301"/>
  <c r="CG108" i="301"/>
  <c r="CF108" i="301"/>
  <c r="CE108" i="301"/>
  <c r="CS107" i="301"/>
  <c r="CR107" i="301"/>
  <c r="CQ107" i="301"/>
  <c r="CP107" i="301"/>
  <c r="CO107" i="301"/>
  <c r="CN107" i="301"/>
  <c r="CM107" i="301"/>
  <c r="CL107" i="301"/>
  <c r="CK107" i="301"/>
  <c r="CJ107" i="301"/>
  <c r="CI107" i="301"/>
  <c r="CH107" i="301"/>
  <c r="CG107" i="301"/>
  <c r="CF107" i="301"/>
  <c r="CE107" i="301"/>
  <c r="CS106" i="301"/>
  <c r="CR106" i="301"/>
  <c r="CQ106" i="301"/>
  <c r="CP106" i="301"/>
  <c r="CO106" i="301"/>
  <c r="CN106" i="301"/>
  <c r="CM106" i="301"/>
  <c r="CL106" i="301"/>
  <c r="CK106" i="301"/>
  <c r="CJ106" i="301"/>
  <c r="CI106" i="301"/>
  <c r="CH106" i="301"/>
  <c r="CG106" i="301"/>
  <c r="CF106" i="301"/>
  <c r="CE106" i="301"/>
  <c r="CS105" i="301"/>
  <c r="CR105" i="301"/>
  <c r="CQ105" i="301"/>
  <c r="CP105" i="301"/>
  <c r="CO105" i="301"/>
  <c r="CN105" i="301"/>
  <c r="CM105" i="301"/>
  <c r="CL105" i="301"/>
  <c r="CK105" i="301"/>
  <c r="CJ105" i="301"/>
  <c r="CI105" i="301"/>
  <c r="CH105" i="301"/>
  <c r="CG105" i="301"/>
  <c r="CF105" i="301"/>
  <c r="CE105" i="301"/>
  <c r="CS104" i="301"/>
  <c r="CR104" i="301"/>
  <c r="CQ104" i="301"/>
  <c r="CP104" i="301"/>
  <c r="CO104" i="301"/>
  <c r="CN104" i="301"/>
  <c r="CM104" i="301"/>
  <c r="CL104" i="301"/>
  <c r="CK104" i="301"/>
  <c r="CJ104" i="301"/>
  <c r="CI104" i="301"/>
  <c r="CH104" i="301"/>
  <c r="CG104" i="301"/>
  <c r="CF104" i="301"/>
  <c r="CE104" i="301"/>
  <c r="CS103" i="301"/>
  <c r="CR103" i="301"/>
  <c r="CQ103" i="301"/>
  <c r="CP103" i="301"/>
  <c r="CO103" i="301"/>
  <c r="CN103" i="301"/>
  <c r="CM103" i="301"/>
  <c r="CL103" i="301"/>
  <c r="CK103" i="301"/>
  <c r="CJ103" i="301"/>
  <c r="CI103" i="301"/>
  <c r="CH103" i="301"/>
  <c r="CG103" i="301"/>
  <c r="CF103" i="301"/>
  <c r="CE103" i="301"/>
  <c r="CS102" i="301"/>
  <c r="CR102" i="301"/>
  <c r="CQ102" i="301"/>
  <c r="CP102" i="301"/>
  <c r="CO102" i="301"/>
  <c r="CN102" i="301"/>
  <c r="CM102" i="301"/>
  <c r="CL102" i="301"/>
  <c r="CK102" i="301"/>
  <c r="CJ102" i="301"/>
  <c r="CI102" i="301"/>
  <c r="CH102" i="301"/>
  <c r="CG102" i="301"/>
  <c r="CF102" i="301"/>
  <c r="CE102" i="301"/>
  <c r="CS101" i="301"/>
  <c r="CR101" i="301"/>
  <c r="CQ101" i="301"/>
  <c r="CP101" i="301"/>
  <c r="CO101" i="301"/>
  <c r="CN101" i="301"/>
  <c r="CM101" i="301"/>
  <c r="CL101" i="301"/>
  <c r="CK101" i="301"/>
  <c r="CJ101" i="301"/>
  <c r="CI101" i="301"/>
  <c r="CH101" i="301"/>
  <c r="CG101" i="301"/>
  <c r="CF101" i="301"/>
  <c r="CE101" i="301"/>
  <c r="CS100" i="301"/>
  <c r="CR100" i="301"/>
  <c r="CQ100" i="301"/>
  <c r="CP100" i="301"/>
  <c r="CO100" i="301"/>
  <c r="CN100" i="301"/>
  <c r="CM100" i="301"/>
  <c r="CL100" i="301"/>
  <c r="CK100" i="301"/>
  <c r="CJ100" i="301"/>
  <c r="CI100" i="301"/>
  <c r="CH100" i="301"/>
  <c r="CG100" i="301"/>
  <c r="CF100" i="301"/>
  <c r="CE100" i="301"/>
  <c r="CS99" i="301"/>
  <c r="CR99" i="301"/>
  <c r="CQ99" i="301"/>
  <c r="CP99" i="301"/>
  <c r="CO99" i="301"/>
  <c r="CN99" i="301"/>
  <c r="CM99" i="301"/>
  <c r="CL99" i="301"/>
  <c r="CK99" i="301"/>
  <c r="CJ99" i="301"/>
  <c r="CI99" i="301"/>
  <c r="CH99" i="301"/>
  <c r="CG99" i="301"/>
  <c r="CF99" i="301"/>
  <c r="CE99" i="301"/>
  <c r="CS98" i="301"/>
  <c r="CR98" i="301"/>
  <c r="CQ98" i="301"/>
  <c r="CP98" i="301"/>
  <c r="CO98" i="301"/>
  <c r="CN98" i="301"/>
  <c r="CM98" i="301"/>
  <c r="CL98" i="301"/>
  <c r="CK98" i="301"/>
  <c r="CJ98" i="301"/>
  <c r="CI98" i="301"/>
  <c r="CH98" i="301"/>
  <c r="CG98" i="301"/>
  <c r="CF98" i="301"/>
  <c r="CE98" i="301"/>
  <c r="CS96" i="301"/>
  <c r="CR96" i="301"/>
  <c r="CQ96" i="301"/>
  <c r="CP96" i="301"/>
  <c r="CO96" i="301"/>
  <c r="CN96" i="301"/>
  <c r="CM96" i="301"/>
  <c r="CL96" i="301"/>
  <c r="CK96" i="301"/>
  <c r="CJ96" i="301"/>
  <c r="CI96" i="301"/>
  <c r="CH96" i="301"/>
  <c r="CG96" i="301"/>
  <c r="CF96" i="301"/>
  <c r="CE96" i="301"/>
  <c r="CS95" i="301"/>
  <c r="CR95" i="301"/>
  <c r="CQ95" i="301"/>
  <c r="CP95" i="301"/>
  <c r="CO95" i="301"/>
  <c r="CN95" i="301"/>
  <c r="CM95" i="301"/>
  <c r="CL95" i="301"/>
  <c r="CK95" i="301"/>
  <c r="CJ95" i="301"/>
  <c r="CI95" i="301"/>
  <c r="CH95" i="301"/>
  <c r="CG95" i="301"/>
  <c r="CF95" i="301"/>
  <c r="CE95" i="301"/>
  <c r="CS94" i="301"/>
  <c r="CR94" i="301"/>
  <c r="CQ94" i="301"/>
  <c r="CP94" i="301"/>
  <c r="CO94" i="301"/>
  <c r="CN94" i="301"/>
  <c r="CM94" i="301"/>
  <c r="CL94" i="301"/>
  <c r="CK94" i="301"/>
  <c r="CJ94" i="301"/>
  <c r="CI94" i="301"/>
  <c r="CH94" i="301"/>
  <c r="CG94" i="301"/>
  <c r="CF94" i="301"/>
  <c r="CE94" i="301"/>
  <c r="CS93" i="301"/>
  <c r="CR93" i="301"/>
  <c r="CQ93" i="301"/>
  <c r="CP93" i="301"/>
  <c r="CO93" i="301"/>
  <c r="CN93" i="301"/>
  <c r="CM93" i="301"/>
  <c r="CL93" i="301"/>
  <c r="CK93" i="301"/>
  <c r="CJ93" i="301"/>
  <c r="CI93" i="301"/>
  <c r="CH93" i="301"/>
  <c r="CG93" i="301"/>
  <c r="CF93" i="301"/>
  <c r="CE93" i="301"/>
  <c r="CS92" i="301"/>
  <c r="CR92" i="301"/>
  <c r="CQ92" i="301"/>
  <c r="CP92" i="301"/>
  <c r="CO92" i="301"/>
  <c r="CN92" i="301"/>
  <c r="CM92" i="301"/>
  <c r="CL92" i="301"/>
  <c r="CK92" i="301"/>
  <c r="CJ92" i="301"/>
  <c r="CI92" i="301"/>
  <c r="CH92" i="301"/>
  <c r="CG92" i="301"/>
  <c r="CF92" i="301"/>
  <c r="CE92" i="301"/>
  <c r="CS91" i="301"/>
  <c r="CR91" i="301"/>
  <c r="CQ91" i="301"/>
  <c r="CP91" i="301"/>
  <c r="CO91" i="301"/>
  <c r="CN91" i="301"/>
  <c r="CM91" i="301"/>
  <c r="CL91" i="301"/>
  <c r="CK91" i="301"/>
  <c r="CJ91" i="301"/>
  <c r="CI91" i="301"/>
  <c r="CH91" i="301"/>
  <c r="CG91" i="301"/>
  <c r="CF91" i="301"/>
  <c r="CE91" i="301"/>
  <c r="CS90" i="301"/>
  <c r="CR90" i="301"/>
  <c r="CQ90" i="301"/>
  <c r="CP90" i="301"/>
  <c r="CO90" i="301"/>
  <c r="CN90" i="301"/>
  <c r="CM90" i="301"/>
  <c r="CL90" i="301"/>
  <c r="CK90" i="301"/>
  <c r="CJ90" i="301"/>
  <c r="CI90" i="301"/>
  <c r="CH90" i="301"/>
  <c r="CG90" i="301"/>
  <c r="CF90" i="301"/>
  <c r="CE90" i="301"/>
  <c r="CS89" i="301"/>
  <c r="CR89" i="301"/>
  <c r="CQ89" i="301"/>
  <c r="CP89" i="301"/>
  <c r="CO89" i="301"/>
  <c r="CN89" i="301"/>
  <c r="CM89" i="301"/>
  <c r="CL89" i="301"/>
  <c r="CK89" i="301"/>
  <c r="CJ89" i="301"/>
  <c r="CI89" i="301"/>
  <c r="CH89" i="301"/>
  <c r="CG89" i="301"/>
  <c r="CF89" i="301"/>
  <c r="CE89" i="301"/>
  <c r="CS88" i="301"/>
  <c r="CR88" i="301"/>
  <c r="CQ88" i="301"/>
  <c r="CP88" i="301"/>
  <c r="CO88" i="301"/>
  <c r="CN88" i="301"/>
  <c r="CM88" i="301"/>
  <c r="CL88" i="301"/>
  <c r="CK88" i="301"/>
  <c r="CJ88" i="301"/>
  <c r="CI88" i="301"/>
  <c r="CH88" i="301"/>
  <c r="CG88" i="301"/>
  <c r="CF88" i="301"/>
  <c r="CE88" i="301"/>
  <c r="CS87" i="301"/>
  <c r="CR87" i="301"/>
  <c r="CQ87" i="301"/>
  <c r="CP87" i="301"/>
  <c r="CO87" i="301"/>
  <c r="CN87" i="301"/>
  <c r="CM87" i="301"/>
  <c r="CL87" i="301"/>
  <c r="CK87" i="301"/>
  <c r="CJ87" i="301"/>
  <c r="CI87" i="301"/>
  <c r="CH87" i="301"/>
  <c r="CG87" i="301"/>
  <c r="CF87" i="301"/>
  <c r="CE87" i="301"/>
  <c r="CS86" i="301"/>
  <c r="CR86" i="301"/>
  <c r="CQ86" i="301"/>
  <c r="CP86" i="301"/>
  <c r="CO86" i="301"/>
  <c r="CN86" i="301"/>
  <c r="CM86" i="301"/>
  <c r="CL86" i="301"/>
  <c r="CK86" i="301"/>
  <c r="CJ86" i="301"/>
  <c r="CI86" i="301"/>
  <c r="CH86" i="301"/>
  <c r="CG86" i="301"/>
  <c r="CF86" i="301"/>
  <c r="CE86" i="301"/>
  <c r="CS85" i="301"/>
  <c r="CR85" i="301"/>
  <c r="CQ85" i="301"/>
  <c r="CP85" i="301"/>
  <c r="CO85" i="301"/>
  <c r="CN85" i="301"/>
  <c r="CM85" i="301"/>
  <c r="CL85" i="301"/>
  <c r="CK85" i="301"/>
  <c r="CJ85" i="301"/>
  <c r="CI85" i="301"/>
  <c r="CH85" i="301"/>
  <c r="CG85" i="301"/>
  <c r="CF85" i="301"/>
  <c r="CE85" i="301"/>
  <c r="CS84" i="301"/>
  <c r="CR84" i="301"/>
  <c r="CQ84" i="301"/>
  <c r="CP84" i="301"/>
  <c r="CO84" i="301"/>
  <c r="CN84" i="301"/>
  <c r="CM84" i="301"/>
  <c r="CL84" i="301"/>
  <c r="CK84" i="301"/>
  <c r="CJ84" i="301"/>
  <c r="CI84" i="301"/>
  <c r="CH84" i="301"/>
  <c r="CG84" i="301"/>
  <c r="CF84" i="301"/>
  <c r="CE84" i="301"/>
  <c r="CS83" i="301"/>
  <c r="CR83" i="301"/>
  <c r="CQ83" i="301"/>
  <c r="CP83" i="301"/>
  <c r="CO83" i="301"/>
  <c r="CN83" i="301"/>
  <c r="CM83" i="301"/>
  <c r="CL83" i="301"/>
  <c r="CK83" i="301"/>
  <c r="CJ83" i="301"/>
  <c r="CI83" i="301"/>
  <c r="CH83" i="301"/>
  <c r="CG83" i="301"/>
  <c r="CF83" i="301"/>
  <c r="CE83" i="301"/>
  <c r="CS82" i="301"/>
  <c r="CR82" i="301"/>
  <c r="CQ82" i="301"/>
  <c r="CP82" i="301"/>
  <c r="CO82" i="301"/>
  <c r="CN82" i="301"/>
  <c r="CM82" i="301"/>
  <c r="CL82" i="301"/>
  <c r="CK82" i="301"/>
  <c r="CJ82" i="301"/>
  <c r="CI82" i="301"/>
  <c r="CH82" i="301"/>
  <c r="CG82" i="301"/>
  <c r="CF82" i="301"/>
  <c r="CE82" i="301"/>
  <c r="CS81" i="301"/>
  <c r="CR81" i="301"/>
  <c r="CQ81" i="301"/>
  <c r="CP81" i="301"/>
  <c r="CO81" i="301"/>
  <c r="CN81" i="301"/>
  <c r="CM81" i="301"/>
  <c r="CL81" i="301"/>
  <c r="CK81" i="301"/>
  <c r="CJ81" i="301"/>
  <c r="CI81" i="301"/>
  <c r="CH81" i="301"/>
  <c r="CG81" i="301"/>
  <c r="CF81" i="301"/>
  <c r="CE81" i="301"/>
  <c r="CS80" i="301"/>
  <c r="CR80" i="301"/>
  <c r="CQ80" i="301"/>
  <c r="CP80" i="301"/>
  <c r="CO80" i="301"/>
  <c r="CN80" i="301"/>
  <c r="CM80" i="301"/>
  <c r="CL80" i="301"/>
  <c r="CK80" i="301"/>
  <c r="CJ80" i="301"/>
  <c r="CI80" i="301"/>
  <c r="CH80" i="301"/>
  <c r="CG80" i="301"/>
  <c r="CF80" i="301"/>
  <c r="CE80" i="301"/>
  <c r="CS79" i="301"/>
  <c r="CR79" i="301"/>
  <c r="CQ79" i="301"/>
  <c r="CP79" i="301"/>
  <c r="CO79" i="301"/>
  <c r="CN79" i="301"/>
  <c r="CM79" i="301"/>
  <c r="CL79" i="301"/>
  <c r="CK79" i="301"/>
  <c r="CJ79" i="301"/>
  <c r="CI79" i="301"/>
  <c r="CH79" i="301"/>
  <c r="CG79" i="301"/>
  <c r="CF79" i="301"/>
  <c r="CE79" i="301"/>
  <c r="CS78" i="301"/>
  <c r="CR78" i="301"/>
  <c r="CQ78" i="301"/>
  <c r="CP78" i="301"/>
  <c r="CO78" i="301"/>
  <c r="CN78" i="301"/>
  <c r="CM78" i="301"/>
  <c r="CL78" i="301"/>
  <c r="CK78" i="301"/>
  <c r="CJ78" i="301"/>
  <c r="CI78" i="301"/>
  <c r="CH78" i="301"/>
  <c r="CG78" i="301"/>
  <c r="CF78" i="301"/>
  <c r="CE78" i="301"/>
  <c r="CS77" i="301"/>
  <c r="CR77" i="301"/>
  <c r="CQ77" i="301"/>
  <c r="CP77" i="301"/>
  <c r="CO77" i="301"/>
  <c r="CN77" i="301"/>
  <c r="CM77" i="301"/>
  <c r="CL77" i="301"/>
  <c r="CK77" i="301"/>
  <c r="CJ77" i="301"/>
  <c r="CI77" i="301"/>
  <c r="CH77" i="301"/>
  <c r="CG77" i="301"/>
  <c r="CF77" i="301"/>
  <c r="CE77" i="301"/>
  <c r="CS76" i="301"/>
  <c r="CR76" i="301"/>
  <c r="CQ76" i="301"/>
  <c r="CP76" i="301"/>
  <c r="CO76" i="301"/>
  <c r="CN76" i="301"/>
  <c r="CM76" i="301"/>
  <c r="CL76" i="301"/>
  <c r="CK76" i="301"/>
  <c r="CJ76" i="301"/>
  <c r="CI76" i="301"/>
  <c r="CH76" i="301"/>
  <c r="CG76" i="301"/>
  <c r="CF76" i="301"/>
  <c r="CE76" i="301"/>
  <c r="CS75" i="301"/>
  <c r="CR75" i="301"/>
  <c r="CQ75" i="301"/>
  <c r="CP75" i="301"/>
  <c r="CO75" i="301"/>
  <c r="CN75" i="301"/>
  <c r="CM75" i="301"/>
  <c r="CL75" i="301"/>
  <c r="CK75" i="301"/>
  <c r="CJ75" i="301"/>
  <c r="CI75" i="301"/>
  <c r="CH75" i="301"/>
  <c r="CG75" i="301"/>
  <c r="CF75" i="301"/>
  <c r="CE75" i="301"/>
  <c r="CS74" i="301"/>
  <c r="CR74" i="301"/>
  <c r="CQ74" i="301"/>
  <c r="CP74" i="301"/>
  <c r="CO74" i="301"/>
  <c r="CN74" i="301"/>
  <c r="CM74" i="301"/>
  <c r="CL74" i="301"/>
  <c r="CK74" i="301"/>
  <c r="CJ74" i="301"/>
  <c r="CI74" i="301"/>
  <c r="CH74" i="301"/>
  <c r="CG74" i="301"/>
  <c r="CF74" i="301"/>
  <c r="CE74" i="301"/>
  <c r="CS73" i="301"/>
  <c r="CR73" i="301"/>
  <c r="CQ73" i="301"/>
  <c r="CP73" i="301"/>
  <c r="CO73" i="301"/>
  <c r="CN73" i="301"/>
  <c r="CM73" i="301"/>
  <c r="CL73" i="301"/>
  <c r="CK73" i="301"/>
  <c r="CJ73" i="301"/>
  <c r="CI73" i="301"/>
  <c r="CH73" i="301"/>
  <c r="CG73" i="301"/>
  <c r="CF73" i="301"/>
  <c r="CE73" i="301"/>
  <c r="CS72" i="301"/>
  <c r="CR72" i="301"/>
  <c r="CQ72" i="301"/>
  <c r="CP72" i="301"/>
  <c r="CO72" i="301"/>
  <c r="CN72" i="301"/>
  <c r="CM72" i="301"/>
  <c r="CL72" i="301"/>
  <c r="CK72" i="301"/>
  <c r="CJ72" i="301"/>
  <c r="CI72" i="301"/>
  <c r="CH72" i="301"/>
  <c r="CG72" i="301"/>
  <c r="CF72" i="301"/>
  <c r="CE72" i="301"/>
  <c r="CS71" i="301"/>
  <c r="CR71" i="301"/>
  <c r="CQ71" i="301"/>
  <c r="CP71" i="301"/>
  <c r="CO71" i="301"/>
  <c r="CN71" i="301"/>
  <c r="CM71" i="301"/>
  <c r="CL71" i="301"/>
  <c r="CK71" i="301"/>
  <c r="CJ71" i="301"/>
  <c r="CI71" i="301"/>
  <c r="CH71" i="301"/>
  <c r="CG71" i="301"/>
  <c r="CF71" i="301"/>
  <c r="CE71" i="301"/>
  <c r="CS70" i="301"/>
  <c r="CR70" i="301"/>
  <c r="CQ70" i="301"/>
  <c r="CP70" i="301"/>
  <c r="CO70" i="301"/>
  <c r="CN70" i="301"/>
  <c r="CM70" i="301"/>
  <c r="CL70" i="301"/>
  <c r="CK70" i="301"/>
  <c r="CJ70" i="301"/>
  <c r="CI70" i="301"/>
  <c r="CH70" i="301"/>
  <c r="CG70" i="301"/>
  <c r="CF70" i="301"/>
  <c r="CE70" i="301"/>
  <c r="CS69" i="301"/>
  <c r="CR69" i="301"/>
  <c r="CQ69" i="301"/>
  <c r="CP69" i="301"/>
  <c r="CO69" i="301"/>
  <c r="CN69" i="301"/>
  <c r="CM69" i="301"/>
  <c r="CL69" i="301"/>
  <c r="CK69" i="301"/>
  <c r="CJ69" i="301"/>
  <c r="CI69" i="301"/>
  <c r="CH69" i="301"/>
  <c r="CG69" i="301"/>
  <c r="CF69" i="301"/>
  <c r="CE69" i="301"/>
  <c r="CS67" i="301"/>
  <c r="CR67" i="301"/>
  <c r="CQ67" i="301"/>
  <c r="CP67" i="301"/>
  <c r="CO67" i="301"/>
  <c r="CN67" i="301"/>
  <c r="CM67" i="301"/>
  <c r="CL67" i="301"/>
  <c r="CK67" i="301"/>
  <c r="CJ67" i="301"/>
  <c r="CI67" i="301"/>
  <c r="CH67" i="301"/>
  <c r="CG67" i="301"/>
  <c r="CF67" i="301"/>
  <c r="CE67" i="301"/>
  <c r="CS66" i="301"/>
  <c r="CR66" i="301"/>
  <c r="CQ66" i="301"/>
  <c r="CP66" i="301"/>
  <c r="CO66" i="301"/>
  <c r="CN66" i="301"/>
  <c r="CM66" i="301"/>
  <c r="CL66" i="301"/>
  <c r="CK66" i="301"/>
  <c r="CJ66" i="301"/>
  <c r="CI66" i="301"/>
  <c r="CH66" i="301"/>
  <c r="CG66" i="301"/>
  <c r="CF66" i="301"/>
  <c r="CE66" i="301"/>
  <c r="CS65" i="301"/>
  <c r="CR65" i="301"/>
  <c r="CQ65" i="301"/>
  <c r="CP65" i="301"/>
  <c r="CO65" i="301"/>
  <c r="CN65" i="301"/>
  <c r="CM65" i="301"/>
  <c r="CL65" i="301"/>
  <c r="CK65" i="301"/>
  <c r="CJ65" i="301"/>
  <c r="CI65" i="301"/>
  <c r="CH65" i="301"/>
  <c r="CG65" i="301"/>
  <c r="CF65" i="301"/>
  <c r="CE65" i="301"/>
  <c r="CS64" i="301"/>
  <c r="CR64" i="301"/>
  <c r="CQ64" i="301"/>
  <c r="CP64" i="301"/>
  <c r="CO64" i="301"/>
  <c r="CN64" i="301"/>
  <c r="CM64" i="301"/>
  <c r="CL64" i="301"/>
  <c r="CK64" i="301"/>
  <c r="CJ64" i="301"/>
  <c r="CI64" i="301"/>
  <c r="CH64" i="301"/>
  <c r="CG64" i="301"/>
  <c r="CF64" i="301"/>
  <c r="CE64" i="301"/>
  <c r="CS63" i="301"/>
  <c r="CR63" i="301"/>
  <c r="CQ63" i="301"/>
  <c r="CP63" i="301"/>
  <c r="CO63" i="301"/>
  <c r="CN63" i="301"/>
  <c r="CM63" i="301"/>
  <c r="CL63" i="301"/>
  <c r="CK63" i="301"/>
  <c r="CJ63" i="301"/>
  <c r="CI63" i="301"/>
  <c r="CH63" i="301"/>
  <c r="CG63" i="301"/>
  <c r="CF63" i="301"/>
  <c r="CE63" i="301"/>
  <c r="CS62" i="301"/>
  <c r="CR62" i="301"/>
  <c r="CQ62" i="301"/>
  <c r="CP62" i="301"/>
  <c r="CO62" i="301"/>
  <c r="CN62" i="301"/>
  <c r="CM62" i="301"/>
  <c r="CL62" i="301"/>
  <c r="CK62" i="301"/>
  <c r="CJ62" i="301"/>
  <c r="CI62" i="301"/>
  <c r="CH62" i="301"/>
  <c r="CG62" i="301"/>
  <c r="CF62" i="301"/>
  <c r="CE62" i="301"/>
  <c r="CS61" i="301"/>
  <c r="CR61" i="301"/>
  <c r="CQ61" i="301"/>
  <c r="CP61" i="301"/>
  <c r="CO61" i="301"/>
  <c r="CN61" i="301"/>
  <c r="CM61" i="301"/>
  <c r="CL61" i="301"/>
  <c r="CK61" i="301"/>
  <c r="CJ61" i="301"/>
  <c r="CI61" i="301"/>
  <c r="CH61" i="301"/>
  <c r="CG61" i="301"/>
  <c r="CF61" i="301"/>
  <c r="CE61" i="301"/>
  <c r="CS60" i="301"/>
  <c r="CR60" i="301"/>
  <c r="CQ60" i="301"/>
  <c r="CP60" i="301"/>
  <c r="CO60" i="301"/>
  <c r="CN60" i="301"/>
  <c r="CM60" i="301"/>
  <c r="CL60" i="301"/>
  <c r="CK60" i="301"/>
  <c r="CJ60" i="301"/>
  <c r="CI60" i="301"/>
  <c r="CH60" i="301"/>
  <c r="CG60" i="301"/>
  <c r="CF60" i="301"/>
  <c r="CE60" i="301"/>
  <c r="CS59" i="301"/>
  <c r="CR59" i="301"/>
  <c r="CQ59" i="301"/>
  <c r="CP59" i="301"/>
  <c r="CO59" i="301"/>
  <c r="CN59" i="301"/>
  <c r="CM59" i="301"/>
  <c r="CL59" i="301"/>
  <c r="CK59" i="301"/>
  <c r="CJ59" i="301"/>
  <c r="CI59" i="301"/>
  <c r="CH59" i="301"/>
  <c r="CG59" i="301"/>
  <c r="CF59" i="301"/>
  <c r="CE59" i="301"/>
  <c r="CS58" i="301"/>
  <c r="CR58" i="301"/>
  <c r="CQ58" i="301"/>
  <c r="CP58" i="301"/>
  <c r="CO58" i="301"/>
  <c r="CN58" i="301"/>
  <c r="CM58" i="301"/>
  <c r="CL58" i="301"/>
  <c r="CK58" i="301"/>
  <c r="CJ58" i="301"/>
  <c r="CI58" i="301"/>
  <c r="CH58" i="301"/>
  <c r="CG58" i="301"/>
  <c r="CF58" i="301"/>
  <c r="CE58" i="301"/>
  <c r="CS57" i="301"/>
  <c r="CR57" i="301"/>
  <c r="CQ57" i="301"/>
  <c r="CP57" i="301"/>
  <c r="CO57" i="301"/>
  <c r="CN57" i="301"/>
  <c r="CM57" i="301"/>
  <c r="CL57" i="301"/>
  <c r="CK57" i="301"/>
  <c r="CJ57" i="301"/>
  <c r="CI57" i="301"/>
  <c r="CH57" i="301"/>
  <c r="CG57" i="301"/>
  <c r="CF57" i="301"/>
  <c r="CE57" i="301"/>
  <c r="CS56" i="301"/>
  <c r="CR56" i="301"/>
  <c r="CQ56" i="301"/>
  <c r="CP56" i="301"/>
  <c r="CO56" i="301"/>
  <c r="CN56" i="301"/>
  <c r="CM56" i="301"/>
  <c r="CL56" i="301"/>
  <c r="CK56" i="301"/>
  <c r="CJ56" i="301"/>
  <c r="CI56" i="301"/>
  <c r="CH56" i="301"/>
  <c r="CG56" i="301"/>
  <c r="CF56" i="301"/>
  <c r="CE56" i="301"/>
  <c r="CS55" i="301"/>
  <c r="CR55" i="301"/>
  <c r="CQ55" i="301"/>
  <c r="CP55" i="301"/>
  <c r="CO55" i="301"/>
  <c r="CN55" i="301"/>
  <c r="CM55" i="301"/>
  <c r="CL55" i="301"/>
  <c r="CK55" i="301"/>
  <c r="CJ55" i="301"/>
  <c r="CI55" i="301"/>
  <c r="CH55" i="301"/>
  <c r="CG55" i="301"/>
  <c r="CF55" i="301"/>
  <c r="CE55" i="301"/>
  <c r="CS54" i="301"/>
  <c r="CR54" i="301"/>
  <c r="CQ54" i="301"/>
  <c r="CP54" i="301"/>
  <c r="CO54" i="301"/>
  <c r="CN54" i="301"/>
  <c r="CM54" i="301"/>
  <c r="CL54" i="301"/>
  <c r="CK54" i="301"/>
  <c r="CJ54" i="301"/>
  <c r="CI54" i="301"/>
  <c r="CH54" i="301"/>
  <c r="CG54" i="301"/>
  <c r="CF54" i="301"/>
  <c r="CE54" i="301"/>
  <c r="CS53" i="301"/>
  <c r="CR53" i="301"/>
  <c r="CQ53" i="301"/>
  <c r="CP53" i="301"/>
  <c r="CO53" i="301"/>
  <c r="CN53" i="301"/>
  <c r="CM53" i="301"/>
  <c r="CL53" i="301"/>
  <c r="CK53" i="301"/>
  <c r="CJ53" i="301"/>
  <c r="CI53" i="301"/>
  <c r="CH53" i="301"/>
  <c r="CG53" i="301"/>
  <c r="CF53" i="301"/>
  <c r="CE53" i="301"/>
  <c r="CS52" i="301"/>
  <c r="CR52" i="301"/>
  <c r="CQ52" i="301"/>
  <c r="CP52" i="301"/>
  <c r="CO52" i="301"/>
  <c r="CN52" i="301"/>
  <c r="CM52" i="301"/>
  <c r="CL52" i="301"/>
  <c r="CK52" i="301"/>
  <c r="CJ52" i="301"/>
  <c r="CI52" i="301"/>
  <c r="CH52" i="301"/>
  <c r="CG52" i="301"/>
  <c r="CF52" i="301"/>
  <c r="CE52" i="301"/>
  <c r="CS51" i="301"/>
  <c r="CR51" i="301"/>
  <c r="CQ51" i="301"/>
  <c r="CP51" i="301"/>
  <c r="CO51" i="301"/>
  <c r="CN51" i="301"/>
  <c r="CM51" i="301"/>
  <c r="CL51" i="301"/>
  <c r="CK51" i="301"/>
  <c r="CJ51" i="301"/>
  <c r="CI51" i="301"/>
  <c r="CH51" i="301"/>
  <c r="CG51" i="301"/>
  <c r="CF51" i="301"/>
  <c r="CE51" i="301"/>
  <c r="CS50" i="301"/>
  <c r="CR50" i="301"/>
  <c r="CQ50" i="301"/>
  <c r="CP50" i="301"/>
  <c r="CO50" i="301"/>
  <c r="CN50" i="301"/>
  <c r="CM50" i="301"/>
  <c r="CL50" i="301"/>
  <c r="CK50" i="301"/>
  <c r="CJ50" i="301"/>
  <c r="CI50" i="301"/>
  <c r="CH50" i="301"/>
  <c r="CG50" i="301"/>
  <c r="CF50" i="301"/>
  <c r="CE50" i="301"/>
  <c r="CS49" i="301"/>
  <c r="CR49" i="301"/>
  <c r="CQ49" i="301"/>
  <c r="CP49" i="301"/>
  <c r="CO49" i="301"/>
  <c r="CN49" i="301"/>
  <c r="CM49" i="301"/>
  <c r="CL49" i="301"/>
  <c r="CK49" i="301"/>
  <c r="CJ49" i="301"/>
  <c r="CI49" i="301"/>
  <c r="CH49" i="301"/>
  <c r="CG49" i="301"/>
  <c r="CF49" i="301"/>
  <c r="CE49" i="301"/>
  <c r="CS48" i="301"/>
  <c r="CR48" i="301"/>
  <c r="CQ48" i="301"/>
  <c r="CP48" i="301"/>
  <c r="CO48" i="301"/>
  <c r="CN48" i="301"/>
  <c r="CM48" i="301"/>
  <c r="CL48" i="301"/>
  <c r="CK48" i="301"/>
  <c r="CJ48" i="301"/>
  <c r="CI48" i="301"/>
  <c r="CH48" i="301"/>
  <c r="CG48" i="301"/>
  <c r="CF48" i="301"/>
  <c r="CE48" i="301"/>
  <c r="CS47" i="301"/>
  <c r="CR47" i="301"/>
  <c r="CQ47" i="301"/>
  <c r="CP47" i="301"/>
  <c r="CO47" i="301"/>
  <c r="CN47" i="301"/>
  <c r="CM47" i="301"/>
  <c r="CL47" i="301"/>
  <c r="CK47" i="301"/>
  <c r="CJ47" i="301"/>
  <c r="CI47" i="301"/>
  <c r="CH47" i="301"/>
  <c r="CG47" i="301"/>
  <c r="CF47" i="301"/>
  <c r="CE47" i="301"/>
  <c r="CS46" i="301"/>
  <c r="CR46" i="301"/>
  <c r="CQ46" i="301"/>
  <c r="CP46" i="301"/>
  <c r="CO46" i="301"/>
  <c r="CN46" i="301"/>
  <c r="CM46" i="301"/>
  <c r="CL46" i="301"/>
  <c r="CK46" i="301"/>
  <c r="CJ46" i="301"/>
  <c r="CI46" i="301"/>
  <c r="CH46" i="301"/>
  <c r="CG46" i="301"/>
  <c r="CF46" i="301"/>
  <c r="CE46" i="301"/>
  <c r="CS45" i="301"/>
  <c r="CR45" i="301"/>
  <c r="CQ45" i="301"/>
  <c r="CP45" i="301"/>
  <c r="CO45" i="301"/>
  <c r="CN45" i="301"/>
  <c r="CM45" i="301"/>
  <c r="CL45" i="301"/>
  <c r="CK45" i="301"/>
  <c r="CJ45" i="301"/>
  <c r="CI45" i="301"/>
  <c r="CH45" i="301"/>
  <c r="CG45" i="301"/>
  <c r="CF45" i="301"/>
  <c r="CE45" i="301"/>
  <c r="CS44" i="301"/>
  <c r="CR44" i="301"/>
  <c r="CQ44" i="301"/>
  <c r="CP44" i="301"/>
  <c r="CO44" i="301"/>
  <c r="CN44" i="301"/>
  <c r="CM44" i="301"/>
  <c r="CL44" i="301"/>
  <c r="CK44" i="301"/>
  <c r="CJ44" i="301"/>
  <c r="CI44" i="301"/>
  <c r="CH44" i="301"/>
  <c r="CG44" i="301"/>
  <c r="CF44" i="301"/>
  <c r="CE44" i="301"/>
  <c r="CS43" i="301"/>
  <c r="CR43" i="301"/>
  <c r="CQ43" i="301"/>
  <c r="CP43" i="301"/>
  <c r="CO43" i="301"/>
  <c r="CN43" i="301"/>
  <c r="CM43" i="301"/>
  <c r="CL43" i="301"/>
  <c r="CK43" i="301"/>
  <c r="CJ43" i="301"/>
  <c r="CI43" i="301"/>
  <c r="CH43" i="301"/>
  <c r="CG43" i="301"/>
  <c r="CF43" i="301"/>
  <c r="CE43" i="301"/>
  <c r="CS42" i="301"/>
  <c r="CR42" i="301"/>
  <c r="CQ42" i="301"/>
  <c r="CP42" i="301"/>
  <c r="CO42" i="301"/>
  <c r="CN42" i="301"/>
  <c r="CM42" i="301"/>
  <c r="CL42" i="301"/>
  <c r="CK42" i="301"/>
  <c r="CJ42" i="301"/>
  <c r="CI42" i="301"/>
  <c r="CH42" i="301"/>
  <c r="CG42" i="301"/>
  <c r="CF42" i="301"/>
  <c r="CE42" i="301"/>
  <c r="CS41" i="301"/>
  <c r="CR41" i="301"/>
  <c r="CQ41" i="301"/>
  <c r="CP41" i="301"/>
  <c r="CO41" i="301"/>
  <c r="CN41" i="301"/>
  <c r="CM41" i="301"/>
  <c r="CL41" i="301"/>
  <c r="CK41" i="301"/>
  <c r="CJ41" i="301"/>
  <c r="CI41" i="301"/>
  <c r="CH41" i="301"/>
  <c r="CG41" i="301"/>
  <c r="CF41" i="301"/>
  <c r="CE41" i="301"/>
  <c r="CS40" i="301"/>
  <c r="CR40" i="301"/>
  <c r="CQ40" i="301"/>
  <c r="CP40" i="301"/>
  <c r="CO40" i="301"/>
  <c r="CN40" i="301"/>
  <c r="CM40" i="301"/>
  <c r="CL40" i="301"/>
  <c r="CK40" i="301"/>
  <c r="CJ40" i="301"/>
  <c r="CI40" i="301"/>
  <c r="CH40" i="301"/>
  <c r="CG40" i="301"/>
  <c r="CF40" i="301"/>
  <c r="CE40" i="301"/>
  <c r="CS39" i="301"/>
  <c r="CR39" i="301"/>
  <c r="CQ39" i="301"/>
  <c r="CP39" i="301"/>
  <c r="CO39" i="301"/>
  <c r="CN39" i="301"/>
  <c r="CM39" i="301"/>
  <c r="CL39" i="301"/>
  <c r="CK39" i="301"/>
  <c r="CJ39" i="301"/>
  <c r="CI39" i="301"/>
  <c r="CH39" i="301"/>
  <c r="CG39" i="301"/>
  <c r="CF39" i="301"/>
  <c r="CE39" i="301"/>
  <c r="CS38" i="301"/>
  <c r="CR38" i="301"/>
  <c r="CQ38" i="301"/>
  <c r="CP38" i="301"/>
  <c r="CO38" i="301"/>
  <c r="CN38" i="301"/>
  <c r="CM38" i="301"/>
  <c r="CL38" i="301"/>
  <c r="CK38" i="301"/>
  <c r="CJ38" i="301"/>
  <c r="CI38" i="301"/>
  <c r="CH38" i="301"/>
  <c r="CG38" i="301"/>
  <c r="CF38" i="301"/>
  <c r="CE38" i="301"/>
  <c r="CS37" i="301"/>
  <c r="CR37" i="301"/>
  <c r="CQ37" i="301"/>
  <c r="CP37" i="301"/>
  <c r="CO37" i="301"/>
  <c r="CN37" i="301"/>
  <c r="CM37" i="301"/>
  <c r="CL37" i="301"/>
  <c r="CK37" i="301"/>
  <c r="CJ37" i="301"/>
  <c r="CI37" i="301"/>
  <c r="CH37" i="301"/>
  <c r="CG37" i="301"/>
  <c r="CF37" i="301"/>
  <c r="CE37" i="301"/>
  <c r="CS36" i="301"/>
  <c r="CR36" i="301"/>
  <c r="CQ36" i="301"/>
  <c r="CP36" i="301"/>
  <c r="CO36" i="301"/>
  <c r="CN36" i="301"/>
  <c r="CM36" i="301"/>
  <c r="CL36" i="301"/>
  <c r="CK36" i="301"/>
  <c r="CJ36" i="301"/>
  <c r="CI36" i="301"/>
  <c r="CH36" i="301"/>
  <c r="CG36" i="301"/>
  <c r="CF36" i="301"/>
  <c r="CE36" i="301"/>
  <c r="CS35" i="301"/>
  <c r="CR35" i="301"/>
  <c r="CQ35" i="301"/>
  <c r="CP35" i="301"/>
  <c r="CO35" i="301"/>
  <c r="CN35" i="301"/>
  <c r="CM35" i="301"/>
  <c r="CL35" i="301"/>
  <c r="CK35" i="301"/>
  <c r="CJ35" i="301"/>
  <c r="CI35" i="301"/>
  <c r="CH35" i="301"/>
  <c r="CG35" i="301"/>
  <c r="CF35" i="301"/>
  <c r="CE35" i="301"/>
  <c r="CS34" i="301"/>
  <c r="CR34" i="301"/>
  <c r="CQ34" i="301"/>
  <c r="CP34" i="301"/>
  <c r="CO34" i="301"/>
  <c r="CN34" i="301"/>
  <c r="CM34" i="301"/>
  <c r="CL34" i="301"/>
  <c r="CK34" i="301"/>
  <c r="CJ34" i="301"/>
  <c r="CI34" i="301"/>
  <c r="CH34" i="301"/>
  <c r="CG34" i="301"/>
  <c r="CF34" i="301"/>
  <c r="CE34" i="301"/>
  <c r="CS33" i="301"/>
  <c r="CR33" i="301"/>
  <c r="CQ33" i="301"/>
  <c r="CP33" i="301"/>
  <c r="CO33" i="301"/>
  <c r="CN33" i="301"/>
  <c r="CM33" i="301"/>
  <c r="CL33" i="301"/>
  <c r="CK33" i="301"/>
  <c r="CJ33" i="301"/>
  <c r="CI33" i="301"/>
  <c r="CH33" i="301"/>
  <c r="CG33" i="301"/>
  <c r="CF33" i="301"/>
  <c r="CE33" i="301"/>
  <c r="CS32" i="301"/>
  <c r="CR32" i="301"/>
  <c r="CQ32" i="301"/>
  <c r="CP32" i="301"/>
  <c r="CO32" i="301"/>
  <c r="CN32" i="301"/>
  <c r="CM32" i="301"/>
  <c r="CL32" i="301"/>
  <c r="CK32" i="301"/>
  <c r="CJ32" i="301"/>
  <c r="CI32" i="301"/>
  <c r="CH32" i="301"/>
  <c r="CG32" i="301"/>
  <c r="CF32" i="301"/>
  <c r="CE32" i="301"/>
  <c r="CS31" i="301"/>
  <c r="CR31" i="301"/>
  <c r="CQ31" i="301"/>
  <c r="CP31" i="301"/>
  <c r="CO31" i="301"/>
  <c r="CN31" i="301"/>
  <c r="CM31" i="301"/>
  <c r="CL31" i="301"/>
  <c r="CK31" i="301"/>
  <c r="CJ31" i="301"/>
  <c r="CI31" i="301"/>
  <c r="CH31" i="301"/>
  <c r="CG31" i="301"/>
  <c r="CF31" i="301"/>
  <c r="CE31" i="301"/>
  <c r="CS30" i="301"/>
  <c r="CR30" i="301"/>
  <c r="CQ30" i="301"/>
  <c r="CP30" i="301"/>
  <c r="CO30" i="301"/>
  <c r="CN30" i="301"/>
  <c r="CM30" i="301"/>
  <c r="CL30" i="301"/>
  <c r="CK30" i="301"/>
  <c r="CJ30" i="301"/>
  <c r="CI30" i="301"/>
  <c r="CH30" i="301"/>
  <c r="CG30" i="301"/>
  <c r="CF30" i="301"/>
  <c r="CE30" i="301"/>
  <c r="CS29" i="301"/>
  <c r="CR29" i="301"/>
  <c r="CQ29" i="301"/>
  <c r="CP29" i="301"/>
  <c r="CO29" i="301"/>
  <c r="CN29" i="301"/>
  <c r="CM29" i="301"/>
  <c r="CL29" i="301"/>
  <c r="CK29" i="301"/>
  <c r="CJ29" i="301"/>
  <c r="CI29" i="301"/>
  <c r="CH29" i="301"/>
  <c r="CG29" i="301"/>
  <c r="CF29" i="301"/>
  <c r="CE29" i="301"/>
  <c r="CS27" i="301"/>
  <c r="CR27" i="301"/>
  <c r="CQ27" i="301"/>
  <c r="CP27" i="301"/>
  <c r="CO27" i="301"/>
  <c r="CN27" i="301"/>
  <c r="CM27" i="301"/>
  <c r="CL27" i="301"/>
  <c r="CK27" i="301"/>
  <c r="CJ27" i="301"/>
  <c r="CI27" i="301"/>
  <c r="CH27" i="301"/>
  <c r="CG27" i="301"/>
  <c r="CF27" i="301"/>
  <c r="CE27" i="301"/>
  <c r="CS25" i="301"/>
  <c r="CR25" i="301"/>
  <c r="CQ25" i="301"/>
  <c r="CP25" i="301"/>
  <c r="CO25" i="301"/>
  <c r="CN25" i="301"/>
  <c r="CM25" i="301"/>
  <c r="CL25" i="301"/>
  <c r="CK25" i="301"/>
  <c r="CJ25" i="301"/>
  <c r="CI25" i="301"/>
  <c r="CH25" i="301"/>
  <c r="CG25" i="301"/>
  <c r="CF25" i="301"/>
  <c r="CE25" i="301"/>
  <c r="CS24" i="301"/>
  <c r="CR24" i="301"/>
  <c r="CQ24" i="301"/>
  <c r="CP24" i="301"/>
  <c r="CO24" i="301"/>
  <c r="CN24" i="301"/>
  <c r="CM24" i="301"/>
  <c r="CL24" i="301"/>
  <c r="CK24" i="301"/>
  <c r="CJ24" i="301"/>
  <c r="CI24" i="301"/>
  <c r="CH24" i="301"/>
  <c r="CG24" i="301"/>
  <c r="CF24" i="301"/>
  <c r="CE24" i="301"/>
  <c r="CS23" i="301"/>
  <c r="CR23" i="301"/>
  <c r="CQ23" i="301"/>
  <c r="CP23" i="301"/>
  <c r="CO23" i="301"/>
  <c r="CN23" i="301"/>
  <c r="CM23" i="301"/>
  <c r="CL23" i="301"/>
  <c r="CK23" i="301"/>
  <c r="CJ23" i="301"/>
  <c r="CI23" i="301"/>
  <c r="CH23" i="301"/>
  <c r="CG23" i="301"/>
  <c r="CF23" i="301"/>
  <c r="CE23" i="301"/>
  <c r="CS22" i="301"/>
  <c r="CR22" i="301"/>
  <c r="CQ22" i="301"/>
  <c r="CP22" i="301"/>
  <c r="CO22" i="301"/>
  <c r="CN22" i="301"/>
  <c r="CM22" i="301"/>
  <c r="CL22" i="301"/>
  <c r="CK22" i="301"/>
  <c r="CJ22" i="301"/>
  <c r="CI22" i="301"/>
  <c r="CH22" i="301"/>
  <c r="CG22" i="301"/>
  <c r="CF22" i="301"/>
  <c r="CE22" i="301"/>
  <c r="CS21" i="301"/>
  <c r="CR21" i="301"/>
  <c r="CQ21" i="301"/>
  <c r="CP21" i="301"/>
  <c r="CO21" i="301"/>
  <c r="CN21" i="301"/>
  <c r="CM21" i="301"/>
  <c r="CL21" i="301"/>
  <c r="CK21" i="301"/>
  <c r="CJ21" i="301"/>
  <c r="CI21" i="301"/>
  <c r="CH21" i="301"/>
  <c r="CG21" i="301"/>
  <c r="CF21" i="301"/>
  <c r="CE21" i="301"/>
  <c r="CS20" i="301"/>
  <c r="CR20" i="301"/>
  <c r="CQ20" i="301"/>
  <c r="CP20" i="301"/>
  <c r="CO20" i="301"/>
  <c r="CN20" i="301"/>
  <c r="CM20" i="301"/>
  <c r="CL20" i="301"/>
  <c r="CK20" i="301"/>
  <c r="CJ20" i="301"/>
  <c r="CI20" i="301"/>
  <c r="CH20" i="301"/>
  <c r="CG20" i="301"/>
  <c r="CF20" i="301"/>
  <c r="CE20" i="301"/>
  <c r="CS19" i="301"/>
  <c r="CR19" i="301"/>
  <c r="CQ19" i="301"/>
  <c r="CP19" i="301"/>
  <c r="CO19" i="301"/>
  <c r="CN19" i="301"/>
  <c r="CM19" i="301"/>
  <c r="CL19" i="301"/>
  <c r="CK19" i="301"/>
  <c r="CJ19" i="301"/>
  <c r="CI19" i="301"/>
  <c r="CH19" i="301"/>
  <c r="CG19" i="301"/>
  <c r="CF19" i="301"/>
  <c r="CE19" i="301"/>
  <c r="CS18" i="301"/>
  <c r="CR18" i="301"/>
  <c r="CQ18" i="301"/>
  <c r="CP18" i="301"/>
  <c r="CO18" i="301"/>
  <c r="CN18" i="301"/>
  <c r="CM18" i="301"/>
  <c r="CL18" i="301"/>
  <c r="CK18" i="301"/>
  <c r="CJ18" i="301"/>
  <c r="CI18" i="301"/>
  <c r="CH18" i="301"/>
  <c r="CG18" i="301"/>
  <c r="CF18" i="301"/>
  <c r="CE18" i="301"/>
  <c r="CS17" i="301"/>
  <c r="CR17" i="301"/>
  <c r="CQ17" i="301"/>
  <c r="CP17" i="301"/>
  <c r="CO17" i="301"/>
  <c r="CN17" i="301"/>
  <c r="CM17" i="301"/>
  <c r="CL17" i="301"/>
  <c r="CK17" i="301"/>
  <c r="CJ17" i="301"/>
  <c r="CI17" i="301"/>
  <c r="CH17" i="301"/>
  <c r="CG17" i="301"/>
  <c r="CF17" i="301"/>
  <c r="CE17" i="301"/>
  <c r="CS16" i="301"/>
  <c r="CR16" i="301"/>
  <c r="CQ16" i="301"/>
  <c r="CP16" i="301"/>
  <c r="CO16" i="301"/>
  <c r="CN16" i="301"/>
  <c r="CM16" i="301"/>
  <c r="CL16" i="301"/>
  <c r="CK16" i="301"/>
  <c r="CJ16" i="301"/>
  <c r="CI16" i="301"/>
  <c r="CH16" i="301"/>
  <c r="CG16" i="301"/>
  <c r="CF16" i="301"/>
  <c r="CE16" i="301"/>
  <c r="CS15" i="301"/>
  <c r="CR15" i="301"/>
  <c r="CQ15" i="301"/>
  <c r="CP15" i="301"/>
  <c r="CO15" i="301"/>
  <c r="CN15" i="301"/>
  <c r="CM15" i="301"/>
  <c r="CL15" i="301"/>
  <c r="CK15" i="301"/>
  <c r="CJ15" i="301"/>
  <c r="CI15" i="301"/>
  <c r="CH15" i="301"/>
  <c r="CG15" i="301"/>
  <c r="CF15" i="301"/>
  <c r="CE15" i="301"/>
  <c r="CS14" i="301"/>
  <c r="CR14" i="301"/>
  <c r="CQ14" i="301"/>
  <c r="CP14" i="301"/>
  <c r="CO14" i="301"/>
  <c r="CN14" i="301"/>
  <c r="CM14" i="301"/>
  <c r="CL14" i="301"/>
  <c r="CK14" i="301"/>
  <c r="CJ14" i="301"/>
  <c r="CI14" i="301"/>
  <c r="CH14" i="301"/>
  <c r="CG14" i="301"/>
  <c r="CF14" i="301"/>
  <c r="CE14" i="301"/>
  <c r="CS13" i="301"/>
  <c r="CR13" i="301"/>
  <c r="CQ13" i="301"/>
  <c r="CP13" i="301"/>
  <c r="CO13" i="301"/>
  <c r="CN13" i="301"/>
  <c r="CM13" i="301"/>
  <c r="CL13" i="301"/>
  <c r="CK13" i="301"/>
  <c r="CJ13" i="301"/>
  <c r="CI13" i="301"/>
  <c r="CH13" i="301"/>
  <c r="CG13" i="301"/>
  <c r="CF13" i="301"/>
  <c r="CE13" i="301"/>
  <c r="CS12" i="301"/>
  <c r="CR12" i="301"/>
  <c r="CQ12" i="301"/>
  <c r="CP12" i="301"/>
  <c r="CO12" i="301"/>
  <c r="CN12" i="301"/>
  <c r="CM12" i="301"/>
  <c r="CL12" i="301"/>
  <c r="CK12" i="301"/>
  <c r="CJ12" i="301"/>
  <c r="CI12" i="301"/>
  <c r="CH12" i="301"/>
  <c r="CG12" i="301"/>
  <c r="CF12" i="301"/>
  <c r="CE12" i="301"/>
  <c r="CS11" i="301"/>
  <c r="CR11" i="301"/>
  <c r="CQ11" i="301"/>
  <c r="CP11" i="301"/>
  <c r="CO11" i="301"/>
  <c r="CN11" i="301"/>
  <c r="CM11" i="301"/>
  <c r="CL11" i="301"/>
  <c r="CK11" i="301"/>
  <c r="CJ11" i="301"/>
  <c r="CI11" i="301"/>
  <c r="CH11" i="301"/>
  <c r="CG11" i="301"/>
  <c r="CF11" i="301"/>
  <c r="CE11" i="301"/>
  <c r="CS10" i="301"/>
  <c r="CR10" i="301"/>
  <c r="CQ10" i="301"/>
  <c r="CP10" i="301"/>
  <c r="CO10" i="301"/>
  <c r="CN10" i="301"/>
  <c r="CM10" i="301"/>
  <c r="CL10" i="301"/>
  <c r="CK10" i="301"/>
  <c r="CJ10" i="301"/>
  <c r="CI10" i="301"/>
  <c r="CH10" i="301"/>
  <c r="CG10" i="301"/>
  <c r="CF10" i="301"/>
  <c r="CE10" i="301"/>
  <c r="CS9" i="301"/>
  <c r="CR9" i="301"/>
  <c r="CQ9" i="301"/>
  <c r="CP9" i="301"/>
  <c r="CO9" i="301"/>
  <c r="CN9" i="301"/>
  <c r="CM9" i="301"/>
  <c r="CL9" i="301"/>
  <c r="CK9" i="301"/>
  <c r="CJ9" i="301"/>
  <c r="CI9" i="301"/>
  <c r="CH9" i="301"/>
  <c r="CG9" i="301"/>
  <c r="CF9" i="301"/>
  <c r="CE9" i="301"/>
  <c r="CS8" i="301"/>
  <c r="CR8" i="301"/>
  <c r="CQ8" i="301"/>
  <c r="CP8" i="301"/>
  <c r="CO8" i="301"/>
  <c r="CN8" i="301"/>
  <c r="CM8" i="301"/>
  <c r="CL8" i="301"/>
  <c r="CK8" i="301"/>
  <c r="CJ8" i="301"/>
  <c r="CI8" i="301"/>
  <c r="CH8" i="301"/>
  <c r="CG8" i="301"/>
  <c r="CF8" i="301"/>
  <c r="CE8" i="301"/>
  <c r="CS7" i="301"/>
  <c r="CR7" i="301"/>
  <c r="CQ7" i="301"/>
  <c r="CP7" i="301"/>
  <c r="CO7" i="301"/>
  <c r="CN7" i="301"/>
  <c r="CM7" i="301"/>
  <c r="CL7" i="301"/>
  <c r="CK7" i="301"/>
  <c r="CJ7" i="301"/>
  <c r="CI7" i="301"/>
  <c r="CH7" i="301"/>
  <c r="CG7" i="301"/>
  <c r="CF7" i="301"/>
  <c r="CE7" i="301"/>
  <c r="CS5" i="301"/>
  <c r="CR5" i="301"/>
  <c r="CQ5" i="301"/>
  <c r="CP5" i="301"/>
  <c r="CO5" i="301"/>
  <c r="CN5" i="301"/>
  <c r="CM5" i="301"/>
  <c r="CL5" i="301"/>
  <c r="CK5" i="301"/>
  <c r="CJ5" i="301"/>
  <c r="CI5" i="301"/>
  <c r="CH5" i="301"/>
  <c r="CG5" i="301"/>
  <c r="CF5" i="301"/>
  <c r="CE5" i="301"/>
  <c r="BZ5" i="301"/>
  <c r="BY5" i="301"/>
  <c r="BX5" i="301"/>
  <c r="BW5" i="301"/>
  <c r="BV5" i="301"/>
  <c r="BU5" i="301"/>
  <c r="BT5" i="301"/>
  <c r="BS5" i="301"/>
  <c r="BR5" i="301"/>
  <c r="BQ5" i="301"/>
  <c r="BP5" i="301"/>
  <c r="BO5" i="301"/>
  <c r="BN5" i="301"/>
  <c r="BM5" i="301"/>
  <c r="BL5" i="301"/>
  <c r="BK5" i="301"/>
  <c r="BJ5" i="301"/>
  <c r="BI5" i="301"/>
  <c r="BH5" i="301"/>
  <c r="BG5" i="301"/>
  <c r="BF5" i="301"/>
  <c r="BE5" i="301"/>
  <c r="BD5" i="301"/>
  <c r="BC5" i="301"/>
  <c r="BB5" i="301"/>
  <c r="BA5" i="301"/>
  <c r="AZ5" i="301"/>
  <c r="AY5" i="301"/>
  <c r="AX5" i="301"/>
  <c r="AW5" i="301"/>
  <c r="AV5" i="301"/>
  <c r="AU5" i="301"/>
  <c r="AT5" i="301"/>
  <c r="AS5" i="301"/>
  <c r="AR5" i="301"/>
  <c r="AQ5" i="301"/>
  <c r="AP5" i="301"/>
  <c r="AO5" i="301"/>
  <c r="AN5" i="301"/>
  <c r="AM5" i="301"/>
  <c r="AL5" i="301"/>
  <c r="AK5" i="301"/>
  <c r="AJ5" i="301"/>
  <c r="AI5" i="301"/>
  <c r="AH5" i="301"/>
  <c r="AG5" i="301"/>
  <c r="AF5" i="301"/>
  <c r="AE5" i="301"/>
  <c r="AD5" i="301"/>
  <c r="AC5" i="301"/>
  <c r="AB5" i="301"/>
  <c r="AA5" i="301"/>
  <c r="Z5" i="301"/>
  <c r="Y5" i="301"/>
  <c r="X5" i="301"/>
  <c r="W5" i="301"/>
  <c r="V5" i="301"/>
  <c r="U5" i="301"/>
  <c r="T5" i="301"/>
  <c r="S5" i="301"/>
  <c r="R5" i="301"/>
  <c r="Q5" i="301"/>
  <c r="P5" i="301"/>
  <c r="O5" i="301"/>
  <c r="N5" i="301"/>
  <c r="M5" i="301"/>
  <c r="L5" i="301"/>
  <c r="K5" i="301"/>
  <c r="J5" i="301"/>
  <c r="I5" i="301"/>
  <c r="H5" i="301"/>
  <c r="G5" i="301"/>
  <c r="F5" i="301"/>
  <c r="E5" i="301"/>
  <c r="D5" i="301"/>
  <c r="C5" i="301"/>
  <c r="CD5" i="301" s="1"/>
  <c r="CS364" i="300"/>
  <c r="CR364" i="300"/>
  <c r="CQ364" i="300"/>
  <c r="CP364" i="300"/>
  <c r="CO364" i="300"/>
  <c r="CN364" i="300"/>
  <c r="CM364" i="300"/>
  <c r="CL364" i="300"/>
  <c r="CK364" i="300"/>
  <c r="CJ364" i="300"/>
  <c r="CI364" i="300"/>
  <c r="CH364" i="300"/>
  <c r="CG364" i="300"/>
  <c r="CF364" i="300"/>
  <c r="CE364" i="300"/>
  <c r="CS363" i="300"/>
  <c r="CR363" i="300"/>
  <c r="CQ363" i="300"/>
  <c r="CP363" i="300"/>
  <c r="CO363" i="300"/>
  <c r="CN363" i="300"/>
  <c r="CM363" i="300"/>
  <c r="CL363" i="300"/>
  <c r="CK363" i="300"/>
  <c r="CJ363" i="300"/>
  <c r="CI363" i="300"/>
  <c r="CH363" i="300"/>
  <c r="CG363" i="300"/>
  <c r="CF363" i="300"/>
  <c r="CE363" i="300"/>
  <c r="CS362" i="300"/>
  <c r="CR362" i="300"/>
  <c r="CQ362" i="300"/>
  <c r="CP362" i="300"/>
  <c r="CO362" i="300"/>
  <c r="CN362" i="300"/>
  <c r="CM362" i="300"/>
  <c r="CL362" i="300"/>
  <c r="CK362" i="300"/>
  <c r="CJ362" i="300"/>
  <c r="CI362" i="300"/>
  <c r="CH362" i="300"/>
  <c r="CG362" i="300"/>
  <c r="CF362" i="300"/>
  <c r="CE362" i="300"/>
  <c r="CS361" i="300"/>
  <c r="CR361" i="300"/>
  <c r="CQ361" i="300"/>
  <c r="CP361" i="300"/>
  <c r="CO361" i="300"/>
  <c r="CN361" i="300"/>
  <c r="CM361" i="300"/>
  <c r="CL361" i="300"/>
  <c r="CK361" i="300"/>
  <c r="CJ361" i="300"/>
  <c r="CI361" i="300"/>
  <c r="CH361" i="300"/>
  <c r="CG361" i="300"/>
  <c r="CF361" i="300"/>
  <c r="CE361" i="300"/>
  <c r="CS360" i="300"/>
  <c r="CR360" i="300"/>
  <c r="CQ360" i="300"/>
  <c r="CP360" i="300"/>
  <c r="CO360" i="300"/>
  <c r="CN360" i="300"/>
  <c r="CM360" i="300"/>
  <c r="CL360" i="300"/>
  <c r="CK360" i="300"/>
  <c r="CJ360" i="300"/>
  <c r="CI360" i="300"/>
  <c r="CH360" i="300"/>
  <c r="CG360" i="300"/>
  <c r="CF360" i="300"/>
  <c r="CE360" i="300"/>
  <c r="CS359" i="300"/>
  <c r="CR359" i="300"/>
  <c r="CQ359" i="300"/>
  <c r="CP359" i="300"/>
  <c r="CO359" i="300"/>
  <c r="CN359" i="300"/>
  <c r="CM359" i="300"/>
  <c r="CL359" i="300"/>
  <c r="CK359" i="300"/>
  <c r="CJ359" i="300"/>
  <c r="CI359" i="300"/>
  <c r="CH359" i="300"/>
  <c r="CG359" i="300"/>
  <c r="CF359" i="300"/>
  <c r="CE359" i="300"/>
  <c r="CS358" i="300"/>
  <c r="CR358" i="300"/>
  <c r="CQ358" i="300"/>
  <c r="CP358" i="300"/>
  <c r="CO358" i="300"/>
  <c r="CN358" i="300"/>
  <c r="CM358" i="300"/>
  <c r="CL358" i="300"/>
  <c r="CK358" i="300"/>
  <c r="CJ358" i="300"/>
  <c r="CI358" i="300"/>
  <c r="CH358" i="300"/>
  <c r="CG358" i="300"/>
  <c r="CF358" i="300"/>
  <c r="CE358" i="300"/>
  <c r="CS357" i="300"/>
  <c r="CR357" i="300"/>
  <c r="CQ357" i="300"/>
  <c r="CP357" i="300"/>
  <c r="CO357" i="300"/>
  <c r="CN357" i="300"/>
  <c r="CM357" i="300"/>
  <c r="CL357" i="300"/>
  <c r="CK357" i="300"/>
  <c r="CJ357" i="300"/>
  <c r="CI357" i="300"/>
  <c r="CH357" i="300"/>
  <c r="CG357" i="300"/>
  <c r="CF357" i="300"/>
  <c r="CE357" i="300"/>
  <c r="CS355" i="300"/>
  <c r="CR355" i="300"/>
  <c r="CQ355" i="300"/>
  <c r="CP355" i="300"/>
  <c r="CO355" i="300"/>
  <c r="CN355" i="300"/>
  <c r="CM355" i="300"/>
  <c r="CL355" i="300"/>
  <c r="CK355" i="300"/>
  <c r="CJ355" i="300"/>
  <c r="CI355" i="300"/>
  <c r="CH355" i="300"/>
  <c r="CG355" i="300"/>
  <c r="CF355" i="300"/>
  <c r="CE355" i="300"/>
  <c r="CS354" i="300"/>
  <c r="CR354" i="300"/>
  <c r="CQ354" i="300"/>
  <c r="CP354" i="300"/>
  <c r="CO354" i="300"/>
  <c r="CN354" i="300"/>
  <c r="CM354" i="300"/>
  <c r="CL354" i="300"/>
  <c r="CK354" i="300"/>
  <c r="CJ354" i="300"/>
  <c r="CI354" i="300"/>
  <c r="CH354" i="300"/>
  <c r="CG354" i="300"/>
  <c r="CF354" i="300"/>
  <c r="CE354" i="300"/>
  <c r="CS353" i="300"/>
  <c r="CR353" i="300"/>
  <c r="CQ353" i="300"/>
  <c r="CP353" i="300"/>
  <c r="CO353" i="300"/>
  <c r="CN353" i="300"/>
  <c r="CM353" i="300"/>
  <c r="CL353" i="300"/>
  <c r="CK353" i="300"/>
  <c r="CJ353" i="300"/>
  <c r="CI353" i="300"/>
  <c r="CH353" i="300"/>
  <c r="CG353" i="300"/>
  <c r="CF353" i="300"/>
  <c r="CE353" i="300"/>
  <c r="CS352" i="300"/>
  <c r="CR352" i="300"/>
  <c r="CQ352" i="300"/>
  <c r="CP352" i="300"/>
  <c r="CO352" i="300"/>
  <c r="CN352" i="300"/>
  <c r="CM352" i="300"/>
  <c r="CL352" i="300"/>
  <c r="CK352" i="300"/>
  <c r="CJ352" i="300"/>
  <c r="CI352" i="300"/>
  <c r="CH352" i="300"/>
  <c r="CG352" i="300"/>
  <c r="CF352" i="300"/>
  <c r="CE352" i="300"/>
  <c r="CS351" i="300"/>
  <c r="CR351" i="300"/>
  <c r="CQ351" i="300"/>
  <c r="CP351" i="300"/>
  <c r="CO351" i="300"/>
  <c r="CN351" i="300"/>
  <c r="CM351" i="300"/>
  <c r="CL351" i="300"/>
  <c r="CK351" i="300"/>
  <c r="CJ351" i="300"/>
  <c r="CI351" i="300"/>
  <c r="CH351" i="300"/>
  <c r="CG351" i="300"/>
  <c r="CF351" i="300"/>
  <c r="CE351" i="300"/>
  <c r="CS350" i="300"/>
  <c r="CR350" i="300"/>
  <c r="CQ350" i="300"/>
  <c r="CP350" i="300"/>
  <c r="CO350" i="300"/>
  <c r="CN350" i="300"/>
  <c r="CM350" i="300"/>
  <c r="CL350" i="300"/>
  <c r="CK350" i="300"/>
  <c r="CJ350" i="300"/>
  <c r="CI350" i="300"/>
  <c r="CH350" i="300"/>
  <c r="CG350" i="300"/>
  <c r="CF350" i="300"/>
  <c r="CE350" i="300"/>
  <c r="CS349" i="300"/>
  <c r="CR349" i="300"/>
  <c r="CQ349" i="300"/>
  <c r="CP349" i="300"/>
  <c r="CO349" i="300"/>
  <c r="CN349" i="300"/>
  <c r="CM349" i="300"/>
  <c r="CL349" i="300"/>
  <c r="CK349" i="300"/>
  <c r="CJ349" i="300"/>
  <c r="CI349" i="300"/>
  <c r="CH349" i="300"/>
  <c r="CG349" i="300"/>
  <c r="CF349" i="300"/>
  <c r="CE349" i="300"/>
  <c r="CS348" i="300"/>
  <c r="CR348" i="300"/>
  <c r="CQ348" i="300"/>
  <c r="CP348" i="300"/>
  <c r="CO348" i="300"/>
  <c r="CN348" i="300"/>
  <c r="CM348" i="300"/>
  <c r="CL348" i="300"/>
  <c r="CK348" i="300"/>
  <c r="CJ348" i="300"/>
  <c r="CI348" i="300"/>
  <c r="CH348" i="300"/>
  <c r="CG348" i="300"/>
  <c r="CF348" i="300"/>
  <c r="CE348" i="300"/>
  <c r="CS346" i="300"/>
  <c r="CR346" i="300"/>
  <c r="CQ346" i="300"/>
  <c r="CP346" i="300"/>
  <c r="CO346" i="300"/>
  <c r="CN346" i="300"/>
  <c r="CM346" i="300"/>
  <c r="CL346" i="300"/>
  <c r="CK346" i="300"/>
  <c r="CJ346" i="300"/>
  <c r="CI346" i="300"/>
  <c r="CH346" i="300"/>
  <c r="CG346" i="300"/>
  <c r="CF346" i="300"/>
  <c r="CE346" i="300"/>
  <c r="CS345" i="300"/>
  <c r="CR345" i="300"/>
  <c r="CQ345" i="300"/>
  <c r="CP345" i="300"/>
  <c r="CO345" i="300"/>
  <c r="CN345" i="300"/>
  <c r="CM345" i="300"/>
  <c r="CL345" i="300"/>
  <c r="CK345" i="300"/>
  <c r="CJ345" i="300"/>
  <c r="CI345" i="300"/>
  <c r="CH345" i="300"/>
  <c r="CG345" i="300"/>
  <c r="CF345" i="300"/>
  <c r="CE345" i="300"/>
  <c r="CS344" i="300"/>
  <c r="CR344" i="300"/>
  <c r="CQ344" i="300"/>
  <c r="CP344" i="300"/>
  <c r="CO344" i="300"/>
  <c r="CN344" i="300"/>
  <c r="CM344" i="300"/>
  <c r="CL344" i="300"/>
  <c r="CK344" i="300"/>
  <c r="CJ344" i="300"/>
  <c r="CI344" i="300"/>
  <c r="CH344" i="300"/>
  <c r="CG344" i="300"/>
  <c r="CF344" i="300"/>
  <c r="CE344" i="300"/>
  <c r="CS343" i="300"/>
  <c r="CR343" i="300"/>
  <c r="CQ343" i="300"/>
  <c r="CP343" i="300"/>
  <c r="CO343" i="300"/>
  <c r="CN343" i="300"/>
  <c r="CM343" i="300"/>
  <c r="CL343" i="300"/>
  <c r="CK343" i="300"/>
  <c r="CJ343" i="300"/>
  <c r="CI343" i="300"/>
  <c r="CH343" i="300"/>
  <c r="CG343" i="300"/>
  <c r="CF343" i="300"/>
  <c r="CE343" i="300"/>
  <c r="CS342" i="300"/>
  <c r="CR342" i="300"/>
  <c r="CQ342" i="300"/>
  <c r="CP342" i="300"/>
  <c r="CO342" i="300"/>
  <c r="CN342" i="300"/>
  <c r="CM342" i="300"/>
  <c r="CL342" i="300"/>
  <c r="CK342" i="300"/>
  <c r="CJ342" i="300"/>
  <c r="CI342" i="300"/>
  <c r="CH342" i="300"/>
  <c r="CG342" i="300"/>
  <c r="CF342" i="300"/>
  <c r="CE342" i="300"/>
  <c r="CS341" i="300"/>
  <c r="CR341" i="300"/>
  <c r="CQ341" i="300"/>
  <c r="CP341" i="300"/>
  <c r="CO341" i="300"/>
  <c r="CN341" i="300"/>
  <c r="CM341" i="300"/>
  <c r="CL341" i="300"/>
  <c r="CK341" i="300"/>
  <c r="CJ341" i="300"/>
  <c r="CI341" i="300"/>
  <c r="CH341" i="300"/>
  <c r="CG341" i="300"/>
  <c r="CF341" i="300"/>
  <c r="CE341" i="300"/>
  <c r="CS340" i="300"/>
  <c r="CR340" i="300"/>
  <c r="CQ340" i="300"/>
  <c r="CP340" i="300"/>
  <c r="CO340" i="300"/>
  <c r="CN340" i="300"/>
  <c r="CM340" i="300"/>
  <c r="CL340" i="300"/>
  <c r="CK340" i="300"/>
  <c r="CJ340" i="300"/>
  <c r="CI340" i="300"/>
  <c r="CH340" i="300"/>
  <c r="CG340" i="300"/>
  <c r="CF340" i="300"/>
  <c r="CE340" i="300"/>
  <c r="CS339" i="300"/>
  <c r="CR339" i="300"/>
  <c r="CQ339" i="300"/>
  <c r="CP339" i="300"/>
  <c r="CO339" i="300"/>
  <c r="CN339" i="300"/>
  <c r="CM339" i="300"/>
  <c r="CL339" i="300"/>
  <c r="CK339" i="300"/>
  <c r="CJ339" i="300"/>
  <c r="CI339" i="300"/>
  <c r="CH339" i="300"/>
  <c r="CG339" i="300"/>
  <c r="CF339" i="300"/>
  <c r="CE339" i="300"/>
  <c r="CS337" i="300"/>
  <c r="CR337" i="300"/>
  <c r="CQ337" i="300"/>
  <c r="CP337" i="300"/>
  <c r="CO337" i="300"/>
  <c r="CN337" i="300"/>
  <c r="CM337" i="300"/>
  <c r="CL337" i="300"/>
  <c r="CK337" i="300"/>
  <c r="CJ337" i="300"/>
  <c r="CI337" i="300"/>
  <c r="CH337" i="300"/>
  <c r="CG337" i="300"/>
  <c r="CF337" i="300"/>
  <c r="CE337" i="300"/>
  <c r="CS336" i="300"/>
  <c r="CR336" i="300"/>
  <c r="CQ336" i="300"/>
  <c r="CP336" i="300"/>
  <c r="CO336" i="300"/>
  <c r="CN336" i="300"/>
  <c r="CM336" i="300"/>
  <c r="CL336" i="300"/>
  <c r="CK336" i="300"/>
  <c r="CJ336" i="300"/>
  <c r="CI336" i="300"/>
  <c r="CH336" i="300"/>
  <c r="CG336" i="300"/>
  <c r="CF336" i="300"/>
  <c r="CE336" i="300"/>
  <c r="CS335" i="300"/>
  <c r="CR335" i="300"/>
  <c r="CQ335" i="300"/>
  <c r="CP335" i="300"/>
  <c r="CO335" i="300"/>
  <c r="CN335" i="300"/>
  <c r="CM335" i="300"/>
  <c r="CL335" i="300"/>
  <c r="CK335" i="300"/>
  <c r="CJ335" i="300"/>
  <c r="CI335" i="300"/>
  <c r="CH335" i="300"/>
  <c r="CG335" i="300"/>
  <c r="CF335" i="300"/>
  <c r="CE335" i="300"/>
  <c r="CS334" i="300"/>
  <c r="CR334" i="300"/>
  <c r="CQ334" i="300"/>
  <c r="CP334" i="300"/>
  <c r="CO334" i="300"/>
  <c r="CN334" i="300"/>
  <c r="CM334" i="300"/>
  <c r="CL334" i="300"/>
  <c r="CK334" i="300"/>
  <c r="CJ334" i="300"/>
  <c r="CI334" i="300"/>
  <c r="CH334" i="300"/>
  <c r="CG334" i="300"/>
  <c r="CF334" i="300"/>
  <c r="CE334" i="300"/>
  <c r="CS333" i="300"/>
  <c r="CR333" i="300"/>
  <c r="CQ333" i="300"/>
  <c r="CP333" i="300"/>
  <c r="CO333" i="300"/>
  <c r="CN333" i="300"/>
  <c r="CM333" i="300"/>
  <c r="CL333" i="300"/>
  <c r="CK333" i="300"/>
  <c r="CJ333" i="300"/>
  <c r="CI333" i="300"/>
  <c r="CH333" i="300"/>
  <c r="CG333" i="300"/>
  <c r="CF333" i="300"/>
  <c r="CE333" i="300"/>
  <c r="CS332" i="300"/>
  <c r="CR332" i="300"/>
  <c r="CQ332" i="300"/>
  <c r="CP332" i="300"/>
  <c r="CO332" i="300"/>
  <c r="CN332" i="300"/>
  <c r="CM332" i="300"/>
  <c r="CL332" i="300"/>
  <c r="CK332" i="300"/>
  <c r="CJ332" i="300"/>
  <c r="CI332" i="300"/>
  <c r="CH332" i="300"/>
  <c r="CG332" i="300"/>
  <c r="CF332" i="300"/>
  <c r="CE332" i="300"/>
  <c r="CS331" i="300"/>
  <c r="CR331" i="300"/>
  <c r="CQ331" i="300"/>
  <c r="CP331" i="300"/>
  <c r="CO331" i="300"/>
  <c r="CN331" i="300"/>
  <c r="CM331" i="300"/>
  <c r="CL331" i="300"/>
  <c r="CK331" i="300"/>
  <c r="CJ331" i="300"/>
  <c r="CI331" i="300"/>
  <c r="CH331" i="300"/>
  <c r="CG331" i="300"/>
  <c r="CF331" i="300"/>
  <c r="CE331" i="300"/>
  <c r="CS330" i="300"/>
  <c r="CR330" i="300"/>
  <c r="CQ330" i="300"/>
  <c r="CP330" i="300"/>
  <c r="CO330" i="300"/>
  <c r="CN330" i="300"/>
  <c r="CM330" i="300"/>
  <c r="CL330" i="300"/>
  <c r="CK330" i="300"/>
  <c r="CJ330" i="300"/>
  <c r="CI330" i="300"/>
  <c r="CH330" i="300"/>
  <c r="CG330" i="300"/>
  <c r="CF330" i="300"/>
  <c r="CE330" i="300"/>
  <c r="CS328" i="300"/>
  <c r="CR328" i="300"/>
  <c r="CQ328" i="300"/>
  <c r="CP328" i="300"/>
  <c r="CO328" i="300"/>
  <c r="CN328" i="300"/>
  <c r="CM328" i="300"/>
  <c r="CL328" i="300"/>
  <c r="CK328" i="300"/>
  <c r="CJ328" i="300"/>
  <c r="CI328" i="300"/>
  <c r="CH328" i="300"/>
  <c r="CG328" i="300"/>
  <c r="CF328" i="300"/>
  <c r="CE328" i="300"/>
  <c r="CS327" i="300"/>
  <c r="CR327" i="300"/>
  <c r="CQ327" i="300"/>
  <c r="CP327" i="300"/>
  <c r="CO327" i="300"/>
  <c r="CN327" i="300"/>
  <c r="CM327" i="300"/>
  <c r="CL327" i="300"/>
  <c r="CK327" i="300"/>
  <c r="CJ327" i="300"/>
  <c r="CI327" i="300"/>
  <c r="CH327" i="300"/>
  <c r="CG327" i="300"/>
  <c r="CF327" i="300"/>
  <c r="CE327" i="300"/>
  <c r="CS326" i="300"/>
  <c r="CR326" i="300"/>
  <c r="CQ326" i="300"/>
  <c r="CP326" i="300"/>
  <c r="CO326" i="300"/>
  <c r="CN326" i="300"/>
  <c r="CM326" i="300"/>
  <c r="CL326" i="300"/>
  <c r="CK326" i="300"/>
  <c r="CJ326" i="300"/>
  <c r="CI326" i="300"/>
  <c r="CH326" i="300"/>
  <c r="CG326" i="300"/>
  <c r="CF326" i="300"/>
  <c r="CE326" i="300"/>
  <c r="CS325" i="300"/>
  <c r="CR325" i="300"/>
  <c r="CQ325" i="300"/>
  <c r="CP325" i="300"/>
  <c r="CO325" i="300"/>
  <c r="CN325" i="300"/>
  <c r="CM325" i="300"/>
  <c r="CL325" i="300"/>
  <c r="CK325" i="300"/>
  <c r="CJ325" i="300"/>
  <c r="CI325" i="300"/>
  <c r="CH325" i="300"/>
  <c r="CG325" i="300"/>
  <c r="CF325" i="300"/>
  <c r="CE325" i="300"/>
  <c r="CS324" i="300"/>
  <c r="CR324" i="300"/>
  <c r="CQ324" i="300"/>
  <c r="CP324" i="300"/>
  <c r="CO324" i="300"/>
  <c r="CN324" i="300"/>
  <c r="CM324" i="300"/>
  <c r="CL324" i="300"/>
  <c r="CK324" i="300"/>
  <c r="CJ324" i="300"/>
  <c r="CI324" i="300"/>
  <c r="CH324" i="300"/>
  <c r="CG324" i="300"/>
  <c r="CF324" i="300"/>
  <c r="CE324" i="300"/>
  <c r="CS323" i="300"/>
  <c r="CR323" i="300"/>
  <c r="CQ323" i="300"/>
  <c r="CP323" i="300"/>
  <c r="CO323" i="300"/>
  <c r="CN323" i="300"/>
  <c r="CM323" i="300"/>
  <c r="CL323" i="300"/>
  <c r="CK323" i="300"/>
  <c r="CJ323" i="300"/>
  <c r="CI323" i="300"/>
  <c r="CH323" i="300"/>
  <c r="CG323" i="300"/>
  <c r="CF323" i="300"/>
  <c r="CE323" i="300"/>
  <c r="CS322" i="300"/>
  <c r="CR322" i="300"/>
  <c r="CQ322" i="300"/>
  <c r="CP322" i="300"/>
  <c r="CO322" i="300"/>
  <c r="CN322" i="300"/>
  <c r="CM322" i="300"/>
  <c r="CL322" i="300"/>
  <c r="CK322" i="300"/>
  <c r="CJ322" i="300"/>
  <c r="CI322" i="300"/>
  <c r="CH322" i="300"/>
  <c r="CG322" i="300"/>
  <c r="CF322" i="300"/>
  <c r="CE322" i="300"/>
  <c r="CS321" i="300"/>
  <c r="CR321" i="300"/>
  <c r="CQ321" i="300"/>
  <c r="CP321" i="300"/>
  <c r="CO321" i="300"/>
  <c r="CN321" i="300"/>
  <c r="CM321" i="300"/>
  <c r="CL321" i="300"/>
  <c r="CK321" i="300"/>
  <c r="CJ321" i="300"/>
  <c r="CI321" i="300"/>
  <c r="CH321" i="300"/>
  <c r="CG321" i="300"/>
  <c r="CF321" i="300"/>
  <c r="CE321" i="300"/>
  <c r="CS319" i="300"/>
  <c r="CR319" i="300"/>
  <c r="CQ319" i="300"/>
  <c r="CP319" i="300"/>
  <c r="CO319" i="300"/>
  <c r="CN319" i="300"/>
  <c r="CM319" i="300"/>
  <c r="CL319" i="300"/>
  <c r="CK319" i="300"/>
  <c r="CJ319" i="300"/>
  <c r="CI319" i="300"/>
  <c r="CH319" i="300"/>
  <c r="CG319" i="300"/>
  <c r="CF319" i="300"/>
  <c r="CE319" i="300"/>
  <c r="CS318" i="300"/>
  <c r="CR318" i="300"/>
  <c r="CQ318" i="300"/>
  <c r="CP318" i="300"/>
  <c r="CO318" i="300"/>
  <c r="CN318" i="300"/>
  <c r="CM318" i="300"/>
  <c r="CL318" i="300"/>
  <c r="CK318" i="300"/>
  <c r="CJ318" i="300"/>
  <c r="CI318" i="300"/>
  <c r="CH318" i="300"/>
  <c r="CG318" i="300"/>
  <c r="CF318" i="300"/>
  <c r="CE318" i="300"/>
  <c r="CS317" i="300"/>
  <c r="CR317" i="300"/>
  <c r="CQ317" i="300"/>
  <c r="CP317" i="300"/>
  <c r="CO317" i="300"/>
  <c r="CN317" i="300"/>
  <c r="CM317" i="300"/>
  <c r="CL317" i="300"/>
  <c r="CK317" i="300"/>
  <c r="CJ317" i="300"/>
  <c r="CI317" i="300"/>
  <c r="CH317" i="300"/>
  <c r="CG317" i="300"/>
  <c r="CF317" i="300"/>
  <c r="CE317" i="300"/>
  <c r="CS316" i="300"/>
  <c r="CR316" i="300"/>
  <c r="CQ316" i="300"/>
  <c r="CP316" i="300"/>
  <c r="CO316" i="300"/>
  <c r="CN316" i="300"/>
  <c r="CM316" i="300"/>
  <c r="CL316" i="300"/>
  <c r="CK316" i="300"/>
  <c r="CJ316" i="300"/>
  <c r="CI316" i="300"/>
  <c r="CH316" i="300"/>
  <c r="CG316" i="300"/>
  <c r="CF316" i="300"/>
  <c r="CE316" i="300"/>
  <c r="CS315" i="300"/>
  <c r="CR315" i="300"/>
  <c r="CQ315" i="300"/>
  <c r="CP315" i="300"/>
  <c r="CO315" i="300"/>
  <c r="CN315" i="300"/>
  <c r="CM315" i="300"/>
  <c r="CL315" i="300"/>
  <c r="CK315" i="300"/>
  <c r="CJ315" i="300"/>
  <c r="CI315" i="300"/>
  <c r="CH315" i="300"/>
  <c r="CG315" i="300"/>
  <c r="CF315" i="300"/>
  <c r="CE315" i="300"/>
  <c r="CS314" i="300"/>
  <c r="CR314" i="300"/>
  <c r="CQ314" i="300"/>
  <c r="CP314" i="300"/>
  <c r="CO314" i="300"/>
  <c r="CN314" i="300"/>
  <c r="CM314" i="300"/>
  <c r="CL314" i="300"/>
  <c r="CK314" i="300"/>
  <c r="CJ314" i="300"/>
  <c r="CI314" i="300"/>
  <c r="CH314" i="300"/>
  <c r="CG314" i="300"/>
  <c r="CF314" i="300"/>
  <c r="CE314" i="300"/>
  <c r="CS313" i="300"/>
  <c r="CR313" i="300"/>
  <c r="CQ313" i="300"/>
  <c r="CP313" i="300"/>
  <c r="CO313" i="300"/>
  <c r="CN313" i="300"/>
  <c r="CM313" i="300"/>
  <c r="CL313" i="300"/>
  <c r="CK313" i="300"/>
  <c r="CJ313" i="300"/>
  <c r="CI313" i="300"/>
  <c r="CH313" i="300"/>
  <c r="CG313" i="300"/>
  <c r="CF313" i="300"/>
  <c r="CE313" i="300"/>
  <c r="CS312" i="300"/>
  <c r="CR312" i="300"/>
  <c r="CQ312" i="300"/>
  <c r="CP312" i="300"/>
  <c r="CO312" i="300"/>
  <c r="CN312" i="300"/>
  <c r="CM312" i="300"/>
  <c r="CL312" i="300"/>
  <c r="CK312" i="300"/>
  <c r="CJ312" i="300"/>
  <c r="CI312" i="300"/>
  <c r="CH312" i="300"/>
  <c r="CG312" i="300"/>
  <c r="CF312" i="300"/>
  <c r="CE312" i="300"/>
  <c r="CS310" i="300"/>
  <c r="CR310" i="300"/>
  <c r="CQ310" i="300"/>
  <c r="CP310" i="300"/>
  <c r="CO310" i="300"/>
  <c r="CN310" i="300"/>
  <c r="CM310" i="300"/>
  <c r="CL310" i="300"/>
  <c r="CK310" i="300"/>
  <c r="CJ310" i="300"/>
  <c r="CI310" i="300"/>
  <c r="CH310" i="300"/>
  <c r="CG310" i="300"/>
  <c r="CF310" i="300"/>
  <c r="CE310" i="300"/>
  <c r="CS309" i="300"/>
  <c r="CR309" i="300"/>
  <c r="CQ309" i="300"/>
  <c r="CP309" i="300"/>
  <c r="CO309" i="300"/>
  <c r="CN309" i="300"/>
  <c r="CM309" i="300"/>
  <c r="CL309" i="300"/>
  <c r="CK309" i="300"/>
  <c r="CJ309" i="300"/>
  <c r="CI309" i="300"/>
  <c r="CH309" i="300"/>
  <c r="CG309" i="300"/>
  <c r="CF309" i="300"/>
  <c r="CE309" i="300"/>
  <c r="CS308" i="300"/>
  <c r="CR308" i="300"/>
  <c r="CQ308" i="300"/>
  <c r="CP308" i="300"/>
  <c r="CO308" i="300"/>
  <c r="CN308" i="300"/>
  <c r="CM308" i="300"/>
  <c r="CL308" i="300"/>
  <c r="CK308" i="300"/>
  <c r="CJ308" i="300"/>
  <c r="CI308" i="300"/>
  <c r="CH308" i="300"/>
  <c r="CG308" i="300"/>
  <c r="CF308" i="300"/>
  <c r="CE308" i="300"/>
  <c r="CS307" i="300"/>
  <c r="CR307" i="300"/>
  <c r="CQ307" i="300"/>
  <c r="CP307" i="300"/>
  <c r="CO307" i="300"/>
  <c r="CN307" i="300"/>
  <c r="CM307" i="300"/>
  <c r="CL307" i="300"/>
  <c r="CK307" i="300"/>
  <c r="CJ307" i="300"/>
  <c r="CI307" i="300"/>
  <c r="CH307" i="300"/>
  <c r="CG307" i="300"/>
  <c r="CF307" i="300"/>
  <c r="CE307" i="300"/>
  <c r="CS306" i="300"/>
  <c r="CR306" i="300"/>
  <c r="CQ306" i="300"/>
  <c r="CP306" i="300"/>
  <c r="CO306" i="300"/>
  <c r="CN306" i="300"/>
  <c r="CM306" i="300"/>
  <c r="CL306" i="300"/>
  <c r="CK306" i="300"/>
  <c r="CJ306" i="300"/>
  <c r="CI306" i="300"/>
  <c r="CH306" i="300"/>
  <c r="CG306" i="300"/>
  <c r="CF306" i="300"/>
  <c r="CE306" i="300"/>
  <c r="CS305" i="300"/>
  <c r="CR305" i="300"/>
  <c r="CQ305" i="300"/>
  <c r="CP305" i="300"/>
  <c r="CO305" i="300"/>
  <c r="CN305" i="300"/>
  <c r="CM305" i="300"/>
  <c r="CL305" i="300"/>
  <c r="CK305" i="300"/>
  <c r="CJ305" i="300"/>
  <c r="CI305" i="300"/>
  <c r="CH305" i="300"/>
  <c r="CG305" i="300"/>
  <c r="CF305" i="300"/>
  <c r="CE305" i="300"/>
  <c r="CS304" i="300"/>
  <c r="CR304" i="300"/>
  <c r="CQ304" i="300"/>
  <c r="CP304" i="300"/>
  <c r="CO304" i="300"/>
  <c r="CN304" i="300"/>
  <c r="CM304" i="300"/>
  <c r="CL304" i="300"/>
  <c r="CK304" i="300"/>
  <c r="CJ304" i="300"/>
  <c r="CI304" i="300"/>
  <c r="CH304" i="300"/>
  <c r="CG304" i="300"/>
  <c r="CF304" i="300"/>
  <c r="CE304" i="300"/>
  <c r="CS303" i="300"/>
  <c r="CR303" i="300"/>
  <c r="CQ303" i="300"/>
  <c r="CP303" i="300"/>
  <c r="CO303" i="300"/>
  <c r="CN303" i="300"/>
  <c r="CM303" i="300"/>
  <c r="CL303" i="300"/>
  <c r="CK303" i="300"/>
  <c r="CJ303" i="300"/>
  <c r="CI303" i="300"/>
  <c r="CH303" i="300"/>
  <c r="CG303" i="300"/>
  <c r="CF303" i="300"/>
  <c r="CE303" i="300"/>
  <c r="CS302" i="300"/>
  <c r="CR302" i="300"/>
  <c r="CQ302" i="300"/>
  <c r="CP302" i="300"/>
  <c r="CO302" i="300"/>
  <c r="CN302" i="300"/>
  <c r="CM302" i="300"/>
  <c r="CL302" i="300"/>
  <c r="CK302" i="300"/>
  <c r="CJ302" i="300"/>
  <c r="CI302" i="300"/>
  <c r="CH302" i="300"/>
  <c r="CG302" i="300"/>
  <c r="CF302" i="300"/>
  <c r="CE302" i="300"/>
  <c r="CS301" i="300"/>
  <c r="CR301" i="300"/>
  <c r="CQ301" i="300"/>
  <c r="CP301" i="300"/>
  <c r="CO301" i="300"/>
  <c r="CN301" i="300"/>
  <c r="CM301" i="300"/>
  <c r="CL301" i="300"/>
  <c r="CK301" i="300"/>
  <c r="CJ301" i="300"/>
  <c r="CI301" i="300"/>
  <c r="CH301" i="300"/>
  <c r="CG301" i="300"/>
  <c r="CF301" i="300"/>
  <c r="CE301" i="300"/>
  <c r="CS300" i="300"/>
  <c r="CR300" i="300"/>
  <c r="CQ300" i="300"/>
  <c r="CP300" i="300"/>
  <c r="CO300" i="300"/>
  <c r="CN300" i="300"/>
  <c r="CM300" i="300"/>
  <c r="CL300" i="300"/>
  <c r="CK300" i="300"/>
  <c r="CJ300" i="300"/>
  <c r="CI300" i="300"/>
  <c r="CH300" i="300"/>
  <c r="CG300" i="300"/>
  <c r="CF300" i="300"/>
  <c r="CE300" i="300"/>
  <c r="CS299" i="300"/>
  <c r="CR299" i="300"/>
  <c r="CQ299" i="300"/>
  <c r="CP299" i="300"/>
  <c r="CO299" i="300"/>
  <c r="CN299" i="300"/>
  <c r="CM299" i="300"/>
  <c r="CL299" i="300"/>
  <c r="CK299" i="300"/>
  <c r="CJ299" i="300"/>
  <c r="CI299" i="300"/>
  <c r="CH299" i="300"/>
  <c r="CG299" i="300"/>
  <c r="CF299" i="300"/>
  <c r="CE299" i="300"/>
  <c r="CS298" i="300"/>
  <c r="CR298" i="300"/>
  <c r="CQ298" i="300"/>
  <c r="CP298" i="300"/>
  <c r="CO298" i="300"/>
  <c r="CN298" i="300"/>
  <c r="CM298" i="300"/>
  <c r="CL298" i="300"/>
  <c r="CK298" i="300"/>
  <c r="CJ298" i="300"/>
  <c r="CI298" i="300"/>
  <c r="CH298" i="300"/>
  <c r="CG298" i="300"/>
  <c r="CF298" i="300"/>
  <c r="CE298" i="300"/>
  <c r="CS297" i="300"/>
  <c r="CR297" i="300"/>
  <c r="CQ297" i="300"/>
  <c r="CP297" i="300"/>
  <c r="CO297" i="300"/>
  <c r="CN297" i="300"/>
  <c r="CM297" i="300"/>
  <c r="CL297" i="300"/>
  <c r="CK297" i="300"/>
  <c r="CJ297" i="300"/>
  <c r="CI297" i="300"/>
  <c r="CH297" i="300"/>
  <c r="CG297" i="300"/>
  <c r="CF297" i="300"/>
  <c r="CE297" i="300"/>
  <c r="CS296" i="300"/>
  <c r="CR296" i="300"/>
  <c r="CQ296" i="300"/>
  <c r="CP296" i="300"/>
  <c r="CO296" i="300"/>
  <c r="CN296" i="300"/>
  <c r="CM296" i="300"/>
  <c r="CL296" i="300"/>
  <c r="CK296" i="300"/>
  <c r="CJ296" i="300"/>
  <c r="CI296" i="300"/>
  <c r="CH296" i="300"/>
  <c r="CG296" i="300"/>
  <c r="CF296" i="300"/>
  <c r="CE296" i="300"/>
  <c r="CS294" i="300"/>
  <c r="CR294" i="300"/>
  <c r="CQ294" i="300"/>
  <c r="CP294" i="300"/>
  <c r="CO294" i="300"/>
  <c r="CN294" i="300"/>
  <c r="CM294" i="300"/>
  <c r="CL294" i="300"/>
  <c r="CK294" i="300"/>
  <c r="CJ294" i="300"/>
  <c r="CI294" i="300"/>
  <c r="CH294" i="300"/>
  <c r="CG294" i="300"/>
  <c r="CF294" i="300"/>
  <c r="CE294" i="300"/>
  <c r="CS292" i="300"/>
  <c r="CR292" i="300"/>
  <c r="CQ292" i="300"/>
  <c r="CP292" i="300"/>
  <c r="CO292" i="300"/>
  <c r="CN292" i="300"/>
  <c r="CM292" i="300"/>
  <c r="CL292" i="300"/>
  <c r="CK292" i="300"/>
  <c r="CJ292" i="300"/>
  <c r="CI292" i="300"/>
  <c r="CH292" i="300"/>
  <c r="CG292" i="300"/>
  <c r="CF292" i="300"/>
  <c r="CE292" i="300"/>
  <c r="CS291" i="300"/>
  <c r="CR291" i="300"/>
  <c r="CQ291" i="300"/>
  <c r="CP291" i="300"/>
  <c r="CO291" i="300"/>
  <c r="CN291" i="300"/>
  <c r="CM291" i="300"/>
  <c r="CL291" i="300"/>
  <c r="CK291" i="300"/>
  <c r="CJ291" i="300"/>
  <c r="CI291" i="300"/>
  <c r="CH291" i="300"/>
  <c r="CG291" i="300"/>
  <c r="CF291" i="300"/>
  <c r="CE291" i="300"/>
  <c r="CS290" i="300"/>
  <c r="CR290" i="300"/>
  <c r="CQ290" i="300"/>
  <c r="CP290" i="300"/>
  <c r="CO290" i="300"/>
  <c r="CN290" i="300"/>
  <c r="CM290" i="300"/>
  <c r="CL290" i="300"/>
  <c r="CK290" i="300"/>
  <c r="CJ290" i="300"/>
  <c r="CI290" i="300"/>
  <c r="CH290" i="300"/>
  <c r="CG290" i="300"/>
  <c r="CF290" i="300"/>
  <c r="CE290" i="300"/>
  <c r="CS289" i="300"/>
  <c r="CR289" i="300"/>
  <c r="CQ289" i="300"/>
  <c r="CP289" i="300"/>
  <c r="CO289" i="300"/>
  <c r="CN289" i="300"/>
  <c r="CM289" i="300"/>
  <c r="CL289" i="300"/>
  <c r="CK289" i="300"/>
  <c r="CJ289" i="300"/>
  <c r="CI289" i="300"/>
  <c r="CH289" i="300"/>
  <c r="CG289" i="300"/>
  <c r="CF289" i="300"/>
  <c r="CE289" i="300"/>
  <c r="CS288" i="300"/>
  <c r="CR288" i="300"/>
  <c r="CQ288" i="300"/>
  <c r="CP288" i="300"/>
  <c r="CO288" i="300"/>
  <c r="CN288" i="300"/>
  <c r="CM288" i="300"/>
  <c r="CL288" i="300"/>
  <c r="CK288" i="300"/>
  <c r="CJ288" i="300"/>
  <c r="CI288" i="300"/>
  <c r="CH288" i="300"/>
  <c r="CG288" i="300"/>
  <c r="CF288" i="300"/>
  <c r="CE288" i="300"/>
  <c r="CS287" i="300"/>
  <c r="CR287" i="300"/>
  <c r="CQ287" i="300"/>
  <c r="CP287" i="300"/>
  <c r="CO287" i="300"/>
  <c r="CN287" i="300"/>
  <c r="CM287" i="300"/>
  <c r="CL287" i="300"/>
  <c r="CK287" i="300"/>
  <c r="CJ287" i="300"/>
  <c r="CI287" i="300"/>
  <c r="CH287" i="300"/>
  <c r="CG287" i="300"/>
  <c r="CF287" i="300"/>
  <c r="CE287" i="300"/>
  <c r="CS286" i="300"/>
  <c r="CR286" i="300"/>
  <c r="CQ286" i="300"/>
  <c r="CP286" i="300"/>
  <c r="CO286" i="300"/>
  <c r="CN286" i="300"/>
  <c r="CM286" i="300"/>
  <c r="CL286" i="300"/>
  <c r="CK286" i="300"/>
  <c r="CJ286" i="300"/>
  <c r="CI286" i="300"/>
  <c r="CH286" i="300"/>
  <c r="CG286" i="300"/>
  <c r="CF286" i="300"/>
  <c r="CE286" i="300"/>
  <c r="CS285" i="300"/>
  <c r="CR285" i="300"/>
  <c r="CQ285" i="300"/>
  <c r="CP285" i="300"/>
  <c r="CO285" i="300"/>
  <c r="CN285" i="300"/>
  <c r="CM285" i="300"/>
  <c r="CL285" i="300"/>
  <c r="CK285" i="300"/>
  <c r="CJ285" i="300"/>
  <c r="CI285" i="300"/>
  <c r="CH285" i="300"/>
  <c r="CG285" i="300"/>
  <c r="CF285" i="300"/>
  <c r="CE285" i="300"/>
  <c r="CS284" i="300"/>
  <c r="CR284" i="300"/>
  <c r="CQ284" i="300"/>
  <c r="CP284" i="300"/>
  <c r="CO284" i="300"/>
  <c r="CN284" i="300"/>
  <c r="CM284" i="300"/>
  <c r="CL284" i="300"/>
  <c r="CK284" i="300"/>
  <c r="CJ284" i="300"/>
  <c r="CI284" i="300"/>
  <c r="CH284" i="300"/>
  <c r="CG284" i="300"/>
  <c r="CF284" i="300"/>
  <c r="CE284" i="300"/>
  <c r="CS283" i="300"/>
  <c r="CR283" i="300"/>
  <c r="CQ283" i="300"/>
  <c r="CP283" i="300"/>
  <c r="CO283" i="300"/>
  <c r="CN283" i="300"/>
  <c r="CM283" i="300"/>
  <c r="CL283" i="300"/>
  <c r="CK283" i="300"/>
  <c r="CJ283" i="300"/>
  <c r="CI283" i="300"/>
  <c r="CH283" i="300"/>
  <c r="CG283" i="300"/>
  <c r="CF283" i="300"/>
  <c r="CE283" i="300"/>
  <c r="CS282" i="300"/>
  <c r="CR282" i="300"/>
  <c r="CQ282" i="300"/>
  <c r="CP282" i="300"/>
  <c r="CO282" i="300"/>
  <c r="CN282" i="300"/>
  <c r="CM282" i="300"/>
  <c r="CL282" i="300"/>
  <c r="CK282" i="300"/>
  <c r="CJ282" i="300"/>
  <c r="CI282" i="300"/>
  <c r="CH282" i="300"/>
  <c r="CG282" i="300"/>
  <c r="CF282" i="300"/>
  <c r="CE282" i="300"/>
  <c r="CS281" i="300"/>
  <c r="CR281" i="300"/>
  <c r="CQ281" i="300"/>
  <c r="CP281" i="300"/>
  <c r="CO281" i="300"/>
  <c r="CN281" i="300"/>
  <c r="CM281" i="300"/>
  <c r="CL281" i="300"/>
  <c r="CK281" i="300"/>
  <c r="CJ281" i="300"/>
  <c r="CI281" i="300"/>
  <c r="CH281" i="300"/>
  <c r="CG281" i="300"/>
  <c r="CF281" i="300"/>
  <c r="CE281" i="300"/>
  <c r="CS280" i="300"/>
  <c r="CR280" i="300"/>
  <c r="CQ280" i="300"/>
  <c r="CP280" i="300"/>
  <c r="CO280" i="300"/>
  <c r="CN280" i="300"/>
  <c r="CM280" i="300"/>
  <c r="CL280" i="300"/>
  <c r="CK280" i="300"/>
  <c r="CJ280" i="300"/>
  <c r="CI280" i="300"/>
  <c r="CH280" i="300"/>
  <c r="CG280" i="300"/>
  <c r="CF280" i="300"/>
  <c r="CE280" i="300"/>
  <c r="CS279" i="300"/>
  <c r="CR279" i="300"/>
  <c r="CQ279" i="300"/>
  <c r="CP279" i="300"/>
  <c r="CO279" i="300"/>
  <c r="CN279" i="300"/>
  <c r="CM279" i="300"/>
  <c r="CL279" i="300"/>
  <c r="CK279" i="300"/>
  <c r="CJ279" i="300"/>
  <c r="CI279" i="300"/>
  <c r="CH279" i="300"/>
  <c r="CG279" i="300"/>
  <c r="CF279" i="300"/>
  <c r="CE279" i="300"/>
  <c r="CS278" i="300"/>
  <c r="CR278" i="300"/>
  <c r="CQ278" i="300"/>
  <c r="CP278" i="300"/>
  <c r="CO278" i="300"/>
  <c r="CN278" i="300"/>
  <c r="CM278" i="300"/>
  <c r="CL278" i="300"/>
  <c r="CK278" i="300"/>
  <c r="CJ278" i="300"/>
  <c r="CI278" i="300"/>
  <c r="CH278" i="300"/>
  <c r="CG278" i="300"/>
  <c r="CF278" i="300"/>
  <c r="CE278" i="300"/>
  <c r="CS277" i="300"/>
  <c r="CR277" i="300"/>
  <c r="CQ277" i="300"/>
  <c r="CP277" i="300"/>
  <c r="CO277" i="300"/>
  <c r="CN277" i="300"/>
  <c r="CM277" i="300"/>
  <c r="CL277" i="300"/>
  <c r="CK277" i="300"/>
  <c r="CJ277" i="300"/>
  <c r="CI277" i="300"/>
  <c r="CH277" i="300"/>
  <c r="CG277" i="300"/>
  <c r="CF277" i="300"/>
  <c r="CE277" i="300"/>
  <c r="CS276" i="300"/>
  <c r="CR276" i="300"/>
  <c r="CQ276" i="300"/>
  <c r="CP276" i="300"/>
  <c r="CO276" i="300"/>
  <c r="CN276" i="300"/>
  <c r="CM276" i="300"/>
  <c r="CL276" i="300"/>
  <c r="CK276" i="300"/>
  <c r="CJ276" i="300"/>
  <c r="CI276" i="300"/>
  <c r="CH276" i="300"/>
  <c r="CG276" i="300"/>
  <c r="CF276" i="300"/>
  <c r="CE276" i="300"/>
  <c r="CS275" i="300"/>
  <c r="CR275" i="300"/>
  <c r="CQ275" i="300"/>
  <c r="CP275" i="300"/>
  <c r="CO275" i="300"/>
  <c r="CN275" i="300"/>
  <c r="CM275" i="300"/>
  <c r="CL275" i="300"/>
  <c r="CK275" i="300"/>
  <c r="CJ275" i="300"/>
  <c r="CI275" i="300"/>
  <c r="CH275" i="300"/>
  <c r="CG275" i="300"/>
  <c r="CF275" i="300"/>
  <c r="CE275" i="300"/>
  <c r="CS274" i="300"/>
  <c r="CR274" i="300"/>
  <c r="CQ274" i="300"/>
  <c r="CP274" i="300"/>
  <c r="CO274" i="300"/>
  <c r="CN274" i="300"/>
  <c r="CM274" i="300"/>
  <c r="CL274" i="300"/>
  <c r="CK274" i="300"/>
  <c r="CJ274" i="300"/>
  <c r="CI274" i="300"/>
  <c r="CH274" i="300"/>
  <c r="CG274" i="300"/>
  <c r="CF274" i="300"/>
  <c r="CE274" i="300"/>
  <c r="CS273" i="300"/>
  <c r="CR273" i="300"/>
  <c r="CQ273" i="300"/>
  <c r="CP273" i="300"/>
  <c r="CO273" i="300"/>
  <c r="CN273" i="300"/>
  <c r="CM273" i="300"/>
  <c r="CL273" i="300"/>
  <c r="CK273" i="300"/>
  <c r="CJ273" i="300"/>
  <c r="CI273" i="300"/>
  <c r="CH273" i="300"/>
  <c r="CG273" i="300"/>
  <c r="CF273" i="300"/>
  <c r="CE273" i="300"/>
  <c r="CS272" i="300"/>
  <c r="CR272" i="300"/>
  <c r="CQ272" i="300"/>
  <c r="CP272" i="300"/>
  <c r="CO272" i="300"/>
  <c r="CN272" i="300"/>
  <c r="CM272" i="300"/>
  <c r="CL272" i="300"/>
  <c r="CK272" i="300"/>
  <c r="CJ272" i="300"/>
  <c r="CI272" i="300"/>
  <c r="CH272" i="300"/>
  <c r="CG272" i="300"/>
  <c r="CF272" i="300"/>
  <c r="CE272" i="300"/>
  <c r="CS271" i="300"/>
  <c r="CR271" i="300"/>
  <c r="CQ271" i="300"/>
  <c r="CP271" i="300"/>
  <c r="CO271" i="300"/>
  <c r="CN271" i="300"/>
  <c r="CM271" i="300"/>
  <c r="CL271" i="300"/>
  <c r="CK271" i="300"/>
  <c r="CJ271" i="300"/>
  <c r="CI271" i="300"/>
  <c r="CH271" i="300"/>
  <c r="CG271" i="300"/>
  <c r="CF271" i="300"/>
  <c r="CE271" i="300"/>
  <c r="CS270" i="300"/>
  <c r="CR270" i="300"/>
  <c r="CQ270" i="300"/>
  <c r="CP270" i="300"/>
  <c r="CO270" i="300"/>
  <c r="CN270" i="300"/>
  <c r="CM270" i="300"/>
  <c r="CL270" i="300"/>
  <c r="CK270" i="300"/>
  <c r="CJ270" i="300"/>
  <c r="CI270" i="300"/>
  <c r="CH270" i="300"/>
  <c r="CG270" i="300"/>
  <c r="CF270" i="300"/>
  <c r="CE270" i="300"/>
  <c r="CS269" i="300"/>
  <c r="CR269" i="300"/>
  <c r="CQ269" i="300"/>
  <c r="CP269" i="300"/>
  <c r="CO269" i="300"/>
  <c r="CN269" i="300"/>
  <c r="CM269" i="300"/>
  <c r="CL269" i="300"/>
  <c r="CK269" i="300"/>
  <c r="CJ269" i="300"/>
  <c r="CI269" i="300"/>
  <c r="CH269" i="300"/>
  <c r="CG269" i="300"/>
  <c r="CF269" i="300"/>
  <c r="CE269" i="300"/>
  <c r="CS268" i="300"/>
  <c r="CR268" i="300"/>
  <c r="CQ268" i="300"/>
  <c r="CP268" i="300"/>
  <c r="CO268" i="300"/>
  <c r="CN268" i="300"/>
  <c r="CM268" i="300"/>
  <c r="CL268" i="300"/>
  <c r="CK268" i="300"/>
  <c r="CJ268" i="300"/>
  <c r="CI268" i="300"/>
  <c r="CH268" i="300"/>
  <c r="CG268" i="300"/>
  <c r="CF268" i="300"/>
  <c r="CE268" i="300"/>
  <c r="CS267" i="300"/>
  <c r="CR267" i="300"/>
  <c r="CQ267" i="300"/>
  <c r="CP267" i="300"/>
  <c r="CO267" i="300"/>
  <c r="CN267" i="300"/>
  <c r="CM267" i="300"/>
  <c r="CL267" i="300"/>
  <c r="CK267" i="300"/>
  <c r="CJ267" i="300"/>
  <c r="CI267" i="300"/>
  <c r="CH267" i="300"/>
  <c r="CG267" i="300"/>
  <c r="CF267" i="300"/>
  <c r="CE267" i="300"/>
  <c r="CS266" i="300"/>
  <c r="CR266" i="300"/>
  <c r="CQ266" i="300"/>
  <c r="CP266" i="300"/>
  <c r="CO266" i="300"/>
  <c r="CN266" i="300"/>
  <c r="CM266" i="300"/>
  <c r="CL266" i="300"/>
  <c r="CK266" i="300"/>
  <c r="CJ266" i="300"/>
  <c r="CI266" i="300"/>
  <c r="CH266" i="300"/>
  <c r="CG266" i="300"/>
  <c r="CF266" i="300"/>
  <c r="CE266" i="300"/>
  <c r="CS265" i="300"/>
  <c r="CR265" i="300"/>
  <c r="CQ265" i="300"/>
  <c r="CP265" i="300"/>
  <c r="CO265" i="300"/>
  <c r="CN265" i="300"/>
  <c r="CM265" i="300"/>
  <c r="CL265" i="300"/>
  <c r="CK265" i="300"/>
  <c r="CJ265" i="300"/>
  <c r="CI265" i="300"/>
  <c r="CH265" i="300"/>
  <c r="CG265" i="300"/>
  <c r="CF265" i="300"/>
  <c r="CE265" i="300"/>
  <c r="CS264" i="300"/>
  <c r="CR264" i="300"/>
  <c r="CQ264" i="300"/>
  <c r="CP264" i="300"/>
  <c r="CO264" i="300"/>
  <c r="CN264" i="300"/>
  <c r="CM264" i="300"/>
  <c r="CL264" i="300"/>
  <c r="CK264" i="300"/>
  <c r="CJ264" i="300"/>
  <c r="CI264" i="300"/>
  <c r="CH264" i="300"/>
  <c r="CG264" i="300"/>
  <c r="CF264" i="300"/>
  <c r="CE264" i="300"/>
  <c r="CS263" i="300"/>
  <c r="CR263" i="300"/>
  <c r="CQ263" i="300"/>
  <c r="CP263" i="300"/>
  <c r="CO263" i="300"/>
  <c r="CN263" i="300"/>
  <c r="CM263" i="300"/>
  <c r="CL263" i="300"/>
  <c r="CK263" i="300"/>
  <c r="CJ263" i="300"/>
  <c r="CI263" i="300"/>
  <c r="CH263" i="300"/>
  <c r="CG263" i="300"/>
  <c r="CF263" i="300"/>
  <c r="CE263" i="300"/>
  <c r="CS262" i="300"/>
  <c r="CR262" i="300"/>
  <c r="CQ262" i="300"/>
  <c r="CP262" i="300"/>
  <c r="CO262" i="300"/>
  <c r="CN262" i="300"/>
  <c r="CM262" i="300"/>
  <c r="CL262" i="300"/>
  <c r="CK262" i="300"/>
  <c r="CJ262" i="300"/>
  <c r="CI262" i="300"/>
  <c r="CH262" i="300"/>
  <c r="CG262" i="300"/>
  <c r="CF262" i="300"/>
  <c r="CE262" i="300"/>
  <c r="CS261" i="300"/>
  <c r="CR261" i="300"/>
  <c r="CQ261" i="300"/>
  <c r="CP261" i="300"/>
  <c r="CO261" i="300"/>
  <c r="CN261" i="300"/>
  <c r="CM261" i="300"/>
  <c r="CL261" i="300"/>
  <c r="CK261" i="300"/>
  <c r="CJ261" i="300"/>
  <c r="CI261" i="300"/>
  <c r="CH261" i="300"/>
  <c r="CG261" i="300"/>
  <c r="CF261" i="300"/>
  <c r="CE261" i="300"/>
  <c r="CS260" i="300"/>
  <c r="CR260" i="300"/>
  <c r="CQ260" i="300"/>
  <c r="CP260" i="300"/>
  <c r="CO260" i="300"/>
  <c r="CN260" i="300"/>
  <c r="CM260" i="300"/>
  <c r="CL260" i="300"/>
  <c r="CK260" i="300"/>
  <c r="CJ260" i="300"/>
  <c r="CI260" i="300"/>
  <c r="CH260" i="300"/>
  <c r="CG260" i="300"/>
  <c r="CF260" i="300"/>
  <c r="CE260" i="300"/>
  <c r="CS259" i="300"/>
  <c r="CR259" i="300"/>
  <c r="CQ259" i="300"/>
  <c r="CP259" i="300"/>
  <c r="CO259" i="300"/>
  <c r="CN259" i="300"/>
  <c r="CM259" i="300"/>
  <c r="CL259" i="300"/>
  <c r="CK259" i="300"/>
  <c r="CJ259" i="300"/>
  <c r="CI259" i="300"/>
  <c r="CH259" i="300"/>
  <c r="CG259" i="300"/>
  <c r="CF259" i="300"/>
  <c r="CE259" i="300"/>
  <c r="CS258" i="300"/>
  <c r="CR258" i="300"/>
  <c r="CQ258" i="300"/>
  <c r="CP258" i="300"/>
  <c r="CO258" i="300"/>
  <c r="CN258" i="300"/>
  <c r="CM258" i="300"/>
  <c r="CL258" i="300"/>
  <c r="CK258" i="300"/>
  <c r="CJ258" i="300"/>
  <c r="CI258" i="300"/>
  <c r="CH258" i="300"/>
  <c r="CG258" i="300"/>
  <c r="CF258" i="300"/>
  <c r="CE258" i="300"/>
  <c r="CS256" i="300"/>
  <c r="CR256" i="300"/>
  <c r="CQ256" i="300"/>
  <c r="CP256" i="300"/>
  <c r="CO256" i="300"/>
  <c r="CN256" i="300"/>
  <c r="CM256" i="300"/>
  <c r="CL256" i="300"/>
  <c r="CK256" i="300"/>
  <c r="CJ256" i="300"/>
  <c r="CI256" i="300"/>
  <c r="CH256" i="300"/>
  <c r="CG256" i="300"/>
  <c r="CF256" i="300"/>
  <c r="CE256" i="300"/>
  <c r="CS255" i="300"/>
  <c r="CR255" i="300"/>
  <c r="CQ255" i="300"/>
  <c r="CP255" i="300"/>
  <c r="CO255" i="300"/>
  <c r="CN255" i="300"/>
  <c r="CM255" i="300"/>
  <c r="CL255" i="300"/>
  <c r="CK255" i="300"/>
  <c r="CJ255" i="300"/>
  <c r="CI255" i="300"/>
  <c r="CH255" i="300"/>
  <c r="CG255" i="300"/>
  <c r="CF255" i="300"/>
  <c r="CE255" i="300"/>
  <c r="CS254" i="300"/>
  <c r="CR254" i="300"/>
  <c r="CQ254" i="300"/>
  <c r="CP254" i="300"/>
  <c r="CO254" i="300"/>
  <c r="CN254" i="300"/>
  <c r="CM254" i="300"/>
  <c r="CL254" i="300"/>
  <c r="CK254" i="300"/>
  <c r="CJ254" i="300"/>
  <c r="CI254" i="300"/>
  <c r="CH254" i="300"/>
  <c r="CG254" i="300"/>
  <c r="CF254" i="300"/>
  <c r="CE254" i="300"/>
  <c r="CS253" i="300"/>
  <c r="CR253" i="300"/>
  <c r="CQ253" i="300"/>
  <c r="CP253" i="300"/>
  <c r="CO253" i="300"/>
  <c r="CN253" i="300"/>
  <c r="CM253" i="300"/>
  <c r="CL253" i="300"/>
  <c r="CK253" i="300"/>
  <c r="CJ253" i="300"/>
  <c r="CI253" i="300"/>
  <c r="CH253" i="300"/>
  <c r="CG253" i="300"/>
  <c r="CF253" i="300"/>
  <c r="CE253" i="300"/>
  <c r="CS252" i="300"/>
  <c r="CR252" i="300"/>
  <c r="CQ252" i="300"/>
  <c r="CP252" i="300"/>
  <c r="CO252" i="300"/>
  <c r="CN252" i="300"/>
  <c r="CM252" i="300"/>
  <c r="CL252" i="300"/>
  <c r="CK252" i="300"/>
  <c r="CJ252" i="300"/>
  <c r="CI252" i="300"/>
  <c r="CH252" i="300"/>
  <c r="CG252" i="300"/>
  <c r="CF252" i="300"/>
  <c r="CE252" i="300"/>
  <c r="CS251" i="300"/>
  <c r="CR251" i="300"/>
  <c r="CQ251" i="300"/>
  <c r="CP251" i="300"/>
  <c r="CO251" i="300"/>
  <c r="CN251" i="300"/>
  <c r="CM251" i="300"/>
  <c r="CL251" i="300"/>
  <c r="CK251" i="300"/>
  <c r="CJ251" i="300"/>
  <c r="CI251" i="300"/>
  <c r="CH251" i="300"/>
  <c r="CG251" i="300"/>
  <c r="CF251" i="300"/>
  <c r="CE251" i="300"/>
  <c r="CS250" i="300"/>
  <c r="CR250" i="300"/>
  <c r="CQ250" i="300"/>
  <c r="CP250" i="300"/>
  <c r="CO250" i="300"/>
  <c r="CN250" i="300"/>
  <c r="CM250" i="300"/>
  <c r="CL250" i="300"/>
  <c r="CK250" i="300"/>
  <c r="CJ250" i="300"/>
  <c r="CI250" i="300"/>
  <c r="CH250" i="300"/>
  <c r="CG250" i="300"/>
  <c r="CF250" i="300"/>
  <c r="CE250" i="300"/>
  <c r="CS249" i="300"/>
  <c r="CR249" i="300"/>
  <c r="CQ249" i="300"/>
  <c r="CP249" i="300"/>
  <c r="CO249" i="300"/>
  <c r="CN249" i="300"/>
  <c r="CM249" i="300"/>
  <c r="CL249" i="300"/>
  <c r="CK249" i="300"/>
  <c r="CJ249" i="300"/>
  <c r="CI249" i="300"/>
  <c r="CH249" i="300"/>
  <c r="CG249" i="300"/>
  <c r="CF249" i="300"/>
  <c r="CE249" i="300"/>
  <c r="CS248" i="300"/>
  <c r="CR248" i="300"/>
  <c r="CQ248" i="300"/>
  <c r="CP248" i="300"/>
  <c r="CO248" i="300"/>
  <c r="CN248" i="300"/>
  <c r="CM248" i="300"/>
  <c r="CL248" i="300"/>
  <c r="CK248" i="300"/>
  <c r="CJ248" i="300"/>
  <c r="CI248" i="300"/>
  <c r="CH248" i="300"/>
  <c r="CG248" i="300"/>
  <c r="CF248" i="300"/>
  <c r="CE248" i="300"/>
  <c r="CS247" i="300"/>
  <c r="CR247" i="300"/>
  <c r="CQ247" i="300"/>
  <c r="CP247" i="300"/>
  <c r="CO247" i="300"/>
  <c r="CN247" i="300"/>
  <c r="CM247" i="300"/>
  <c r="CL247" i="300"/>
  <c r="CK247" i="300"/>
  <c r="CJ247" i="300"/>
  <c r="CI247" i="300"/>
  <c r="CH247" i="300"/>
  <c r="CG247" i="300"/>
  <c r="CF247" i="300"/>
  <c r="CE247" i="300"/>
  <c r="CS246" i="300"/>
  <c r="CR246" i="300"/>
  <c r="CQ246" i="300"/>
  <c r="CP246" i="300"/>
  <c r="CO246" i="300"/>
  <c r="CN246" i="300"/>
  <c r="CM246" i="300"/>
  <c r="CL246" i="300"/>
  <c r="CK246" i="300"/>
  <c r="CJ246" i="300"/>
  <c r="CI246" i="300"/>
  <c r="CH246" i="300"/>
  <c r="CG246" i="300"/>
  <c r="CF246" i="300"/>
  <c r="CE246" i="300"/>
  <c r="CS245" i="300"/>
  <c r="CR245" i="300"/>
  <c r="CQ245" i="300"/>
  <c r="CP245" i="300"/>
  <c r="CO245" i="300"/>
  <c r="CN245" i="300"/>
  <c r="CM245" i="300"/>
  <c r="CL245" i="300"/>
  <c r="CK245" i="300"/>
  <c r="CJ245" i="300"/>
  <c r="CI245" i="300"/>
  <c r="CH245" i="300"/>
  <c r="CG245" i="300"/>
  <c r="CF245" i="300"/>
  <c r="CE245" i="300"/>
  <c r="CS244" i="300"/>
  <c r="CR244" i="300"/>
  <c r="CQ244" i="300"/>
  <c r="CP244" i="300"/>
  <c r="CO244" i="300"/>
  <c r="CN244" i="300"/>
  <c r="CM244" i="300"/>
  <c r="CL244" i="300"/>
  <c r="CK244" i="300"/>
  <c r="CJ244" i="300"/>
  <c r="CI244" i="300"/>
  <c r="CH244" i="300"/>
  <c r="CG244" i="300"/>
  <c r="CF244" i="300"/>
  <c r="CE244" i="300"/>
  <c r="CS243" i="300"/>
  <c r="CR243" i="300"/>
  <c r="CQ243" i="300"/>
  <c r="CP243" i="300"/>
  <c r="CO243" i="300"/>
  <c r="CN243" i="300"/>
  <c r="CM243" i="300"/>
  <c r="CL243" i="300"/>
  <c r="CK243" i="300"/>
  <c r="CJ243" i="300"/>
  <c r="CI243" i="300"/>
  <c r="CH243" i="300"/>
  <c r="CG243" i="300"/>
  <c r="CF243" i="300"/>
  <c r="CE243" i="300"/>
  <c r="CS242" i="300"/>
  <c r="CR242" i="300"/>
  <c r="CQ242" i="300"/>
  <c r="CP242" i="300"/>
  <c r="CO242" i="300"/>
  <c r="CN242" i="300"/>
  <c r="CM242" i="300"/>
  <c r="CL242" i="300"/>
  <c r="CK242" i="300"/>
  <c r="CJ242" i="300"/>
  <c r="CI242" i="300"/>
  <c r="CH242" i="300"/>
  <c r="CG242" i="300"/>
  <c r="CF242" i="300"/>
  <c r="CE242" i="300"/>
  <c r="CS241" i="300"/>
  <c r="CR241" i="300"/>
  <c r="CQ241" i="300"/>
  <c r="CP241" i="300"/>
  <c r="CO241" i="300"/>
  <c r="CN241" i="300"/>
  <c r="CM241" i="300"/>
  <c r="CL241" i="300"/>
  <c r="CK241" i="300"/>
  <c r="CJ241" i="300"/>
  <c r="CI241" i="300"/>
  <c r="CH241" i="300"/>
  <c r="CG241" i="300"/>
  <c r="CF241" i="300"/>
  <c r="CE241" i="300"/>
  <c r="CS240" i="300"/>
  <c r="CR240" i="300"/>
  <c r="CQ240" i="300"/>
  <c r="CP240" i="300"/>
  <c r="CO240" i="300"/>
  <c r="CN240" i="300"/>
  <c r="CM240" i="300"/>
  <c r="CL240" i="300"/>
  <c r="CK240" i="300"/>
  <c r="CJ240" i="300"/>
  <c r="CI240" i="300"/>
  <c r="CH240" i="300"/>
  <c r="CG240" i="300"/>
  <c r="CF240" i="300"/>
  <c r="CE240" i="300"/>
  <c r="CS239" i="300"/>
  <c r="CR239" i="300"/>
  <c r="CQ239" i="300"/>
  <c r="CP239" i="300"/>
  <c r="CO239" i="300"/>
  <c r="CN239" i="300"/>
  <c r="CM239" i="300"/>
  <c r="CL239" i="300"/>
  <c r="CK239" i="300"/>
  <c r="CJ239" i="300"/>
  <c r="CI239" i="300"/>
  <c r="CH239" i="300"/>
  <c r="CG239" i="300"/>
  <c r="CF239" i="300"/>
  <c r="CE239" i="300"/>
  <c r="CS238" i="300"/>
  <c r="CR238" i="300"/>
  <c r="CQ238" i="300"/>
  <c r="CP238" i="300"/>
  <c r="CO238" i="300"/>
  <c r="CN238" i="300"/>
  <c r="CM238" i="300"/>
  <c r="CL238" i="300"/>
  <c r="CK238" i="300"/>
  <c r="CJ238" i="300"/>
  <c r="CI238" i="300"/>
  <c r="CH238" i="300"/>
  <c r="CG238" i="300"/>
  <c r="CF238" i="300"/>
  <c r="CE238" i="300"/>
  <c r="CS237" i="300"/>
  <c r="CR237" i="300"/>
  <c r="CQ237" i="300"/>
  <c r="CP237" i="300"/>
  <c r="CO237" i="300"/>
  <c r="CN237" i="300"/>
  <c r="CM237" i="300"/>
  <c r="CL237" i="300"/>
  <c r="CK237" i="300"/>
  <c r="CJ237" i="300"/>
  <c r="CI237" i="300"/>
  <c r="CH237" i="300"/>
  <c r="CG237" i="300"/>
  <c r="CF237" i="300"/>
  <c r="CE237" i="300"/>
  <c r="CS236" i="300"/>
  <c r="CR236" i="300"/>
  <c r="CQ236" i="300"/>
  <c r="CP236" i="300"/>
  <c r="CO236" i="300"/>
  <c r="CN236" i="300"/>
  <c r="CM236" i="300"/>
  <c r="CL236" i="300"/>
  <c r="CK236" i="300"/>
  <c r="CJ236" i="300"/>
  <c r="CI236" i="300"/>
  <c r="CH236" i="300"/>
  <c r="CG236" i="300"/>
  <c r="CF236" i="300"/>
  <c r="CE236" i="300"/>
  <c r="CS235" i="300"/>
  <c r="CR235" i="300"/>
  <c r="CQ235" i="300"/>
  <c r="CP235" i="300"/>
  <c r="CO235" i="300"/>
  <c r="CN235" i="300"/>
  <c r="CM235" i="300"/>
  <c r="CL235" i="300"/>
  <c r="CK235" i="300"/>
  <c r="CJ235" i="300"/>
  <c r="CI235" i="300"/>
  <c r="CH235" i="300"/>
  <c r="CG235" i="300"/>
  <c r="CF235" i="300"/>
  <c r="CE235" i="300"/>
  <c r="CS234" i="300"/>
  <c r="CR234" i="300"/>
  <c r="CQ234" i="300"/>
  <c r="CP234" i="300"/>
  <c r="CO234" i="300"/>
  <c r="CN234" i="300"/>
  <c r="CM234" i="300"/>
  <c r="CL234" i="300"/>
  <c r="CK234" i="300"/>
  <c r="CJ234" i="300"/>
  <c r="CI234" i="300"/>
  <c r="CH234" i="300"/>
  <c r="CG234" i="300"/>
  <c r="CF234" i="300"/>
  <c r="CE234" i="300"/>
  <c r="CS233" i="300"/>
  <c r="CR233" i="300"/>
  <c r="CQ233" i="300"/>
  <c r="CP233" i="300"/>
  <c r="CO233" i="300"/>
  <c r="CN233" i="300"/>
  <c r="CM233" i="300"/>
  <c r="CL233" i="300"/>
  <c r="CK233" i="300"/>
  <c r="CJ233" i="300"/>
  <c r="CI233" i="300"/>
  <c r="CH233" i="300"/>
  <c r="CG233" i="300"/>
  <c r="CF233" i="300"/>
  <c r="CE233" i="300"/>
  <c r="CS232" i="300"/>
  <c r="CR232" i="300"/>
  <c r="CQ232" i="300"/>
  <c r="CP232" i="300"/>
  <c r="CO232" i="300"/>
  <c r="CN232" i="300"/>
  <c r="CM232" i="300"/>
  <c r="CL232" i="300"/>
  <c r="CK232" i="300"/>
  <c r="CJ232" i="300"/>
  <c r="CI232" i="300"/>
  <c r="CH232" i="300"/>
  <c r="CG232" i="300"/>
  <c r="CF232" i="300"/>
  <c r="CE232" i="300"/>
  <c r="CS231" i="300"/>
  <c r="CR231" i="300"/>
  <c r="CQ231" i="300"/>
  <c r="CP231" i="300"/>
  <c r="CO231" i="300"/>
  <c r="CN231" i="300"/>
  <c r="CM231" i="300"/>
  <c r="CL231" i="300"/>
  <c r="CK231" i="300"/>
  <c r="CJ231" i="300"/>
  <c r="CI231" i="300"/>
  <c r="CH231" i="300"/>
  <c r="CG231" i="300"/>
  <c r="CF231" i="300"/>
  <c r="CE231" i="300"/>
  <c r="CS230" i="300"/>
  <c r="CR230" i="300"/>
  <c r="CQ230" i="300"/>
  <c r="CP230" i="300"/>
  <c r="CO230" i="300"/>
  <c r="CN230" i="300"/>
  <c r="CM230" i="300"/>
  <c r="CL230" i="300"/>
  <c r="CK230" i="300"/>
  <c r="CJ230" i="300"/>
  <c r="CI230" i="300"/>
  <c r="CH230" i="300"/>
  <c r="CG230" i="300"/>
  <c r="CF230" i="300"/>
  <c r="CE230" i="300"/>
  <c r="CS229" i="300"/>
  <c r="CR229" i="300"/>
  <c r="CQ229" i="300"/>
  <c r="CP229" i="300"/>
  <c r="CO229" i="300"/>
  <c r="CN229" i="300"/>
  <c r="CM229" i="300"/>
  <c r="CL229" i="300"/>
  <c r="CK229" i="300"/>
  <c r="CJ229" i="300"/>
  <c r="CI229" i="300"/>
  <c r="CH229" i="300"/>
  <c r="CG229" i="300"/>
  <c r="CF229" i="300"/>
  <c r="CE229" i="300"/>
  <c r="CS228" i="300"/>
  <c r="CR228" i="300"/>
  <c r="CQ228" i="300"/>
  <c r="CP228" i="300"/>
  <c r="CO228" i="300"/>
  <c r="CN228" i="300"/>
  <c r="CM228" i="300"/>
  <c r="CL228" i="300"/>
  <c r="CK228" i="300"/>
  <c r="CJ228" i="300"/>
  <c r="CI228" i="300"/>
  <c r="CH228" i="300"/>
  <c r="CG228" i="300"/>
  <c r="CF228" i="300"/>
  <c r="CE228" i="300"/>
  <c r="CS227" i="300"/>
  <c r="CR227" i="300"/>
  <c r="CQ227" i="300"/>
  <c r="CP227" i="300"/>
  <c r="CO227" i="300"/>
  <c r="CN227" i="300"/>
  <c r="CM227" i="300"/>
  <c r="CL227" i="300"/>
  <c r="CK227" i="300"/>
  <c r="CJ227" i="300"/>
  <c r="CI227" i="300"/>
  <c r="CH227" i="300"/>
  <c r="CG227" i="300"/>
  <c r="CF227" i="300"/>
  <c r="CE227" i="300"/>
  <c r="CS226" i="300"/>
  <c r="CR226" i="300"/>
  <c r="CQ226" i="300"/>
  <c r="CP226" i="300"/>
  <c r="CO226" i="300"/>
  <c r="CN226" i="300"/>
  <c r="CM226" i="300"/>
  <c r="CL226" i="300"/>
  <c r="CK226" i="300"/>
  <c r="CJ226" i="300"/>
  <c r="CI226" i="300"/>
  <c r="CH226" i="300"/>
  <c r="CG226" i="300"/>
  <c r="CF226" i="300"/>
  <c r="CE226" i="300"/>
  <c r="CS225" i="300"/>
  <c r="CR225" i="300"/>
  <c r="CQ225" i="300"/>
  <c r="CP225" i="300"/>
  <c r="CO225" i="300"/>
  <c r="CN225" i="300"/>
  <c r="CM225" i="300"/>
  <c r="CL225" i="300"/>
  <c r="CK225" i="300"/>
  <c r="CJ225" i="300"/>
  <c r="CI225" i="300"/>
  <c r="CH225" i="300"/>
  <c r="CG225" i="300"/>
  <c r="CF225" i="300"/>
  <c r="CE225" i="300"/>
  <c r="CS224" i="300"/>
  <c r="CR224" i="300"/>
  <c r="CQ224" i="300"/>
  <c r="CP224" i="300"/>
  <c r="CO224" i="300"/>
  <c r="CN224" i="300"/>
  <c r="CM224" i="300"/>
  <c r="CL224" i="300"/>
  <c r="CK224" i="300"/>
  <c r="CJ224" i="300"/>
  <c r="CI224" i="300"/>
  <c r="CH224" i="300"/>
  <c r="CG224" i="300"/>
  <c r="CF224" i="300"/>
  <c r="CE224" i="300"/>
  <c r="CS223" i="300"/>
  <c r="CR223" i="300"/>
  <c r="CQ223" i="300"/>
  <c r="CP223" i="300"/>
  <c r="CO223" i="300"/>
  <c r="CN223" i="300"/>
  <c r="CM223" i="300"/>
  <c r="CL223" i="300"/>
  <c r="CK223" i="300"/>
  <c r="CJ223" i="300"/>
  <c r="CI223" i="300"/>
  <c r="CH223" i="300"/>
  <c r="CG223" i="300"/>
  <c r="CF223" i="300"/>
  <c r="CE223" i="300"/>
  <c r="CS222" i="300"/>
  <c r="CR222" i="300"/>
  <c r="CQ222" i="300"/>
  <c r="CP222" i="300"/>
  <c r="CO222" i="300"/>
  <c r="CN222" i="300"/>
  <c r="CM222" i="300"/>
  <c r="CL222" i="300"/>
  <c r="CK222" i="300"/>
  <c r="CJ222" i="300"/>
  <c r="CI222" i="300"/>
  <c r="CH222" i="300"/>
  <c r="CG222" i="300"/>
  <c r="CF222" i="300"/>
  <c r="CE222" i="300"/>
  <c r="CS221" i="300"/>
  <c r="CR221" i="300"/>
  <c r="CQ221" i="300"/>
  <c r="CP221" i="300"/>
  <c r="CO221" i="300"/>
  <c r="CN221" i="300"/>
  <c r="CM221" i="300"/>
  <c r="CL221" i="300"/>
  <c r="CK221" i="300"/>
  <c r="CJ221" i="300"/>
  <c r="CI221" i="300"/>
  <c r="CH221" i="300"/>
  <c r="CG221" i="300"/>
  <c r="CF221" i="300"/>
  <c r="CE221" i="300"/>
  <c r="CS220" i="300"/>
  <c r="CR220" i="300"/>
  <c r="CQ220" i="300"/>
  <c r="CP220" i="300"/>
  <c r="CO220" i="300"/>
  <c r="CN220" i="300"/>
  <c r="CM220" i="300"/>
  <c r="CL220" i="300"/>
  <c r="CK220" i="300"/>
  <c r="CJ220" i="300"/>
  <c r="CI220" i="300"/>
  <c r="CH220" i="300"/>
  <c r="CG220" i="300"/>
  <c r="CF220" i="300"/>
  <c r="CE220" i="300"/>
  <c r="CS219" i="300"/>
  <c r="CR219" i="300"/>
  <c r="CQ219" i="300"/>
  <c r="CP219" i="300"/>
  <c r="CO219" i="300"/>
  <c r="CN219" i="300"/>
  <c r="CM219" i="300"/>
  <c r="CL219" i="300"/>
  <c r="CK219" i="300"/>
  <c r="CJ219" i="300"/>
  <c r="CI219" i="300"/>
  <c r="CH219" i="300"/>
  <c r="CG219" i="300"/>
  <c r="CF219" i="300"/>
  <c r="CE219" i="300"/>
  <c r="CS218" i="300"/>
  <c r="CR218" i="300"/>
  <c r="CQ218" i="300"/>
  <c r="CP218" i="300"/>
  <c r="CO218" i="300"/>
  <c r="CN218" i="300"/>
  <c r="CM218" i="300"/>
  <c r="CL218" i="300"/>
  <c r="CK218" i="300"/>
  <c r="CJ218" i="300"/>
  <c r="CI218" i="300"/>
  <c r="CH218" i="300"/>
  <c r="CG218" i="300"/>
  <c r="CF218" i="300"/>
  <c r="CE218" i="300"/>
  <c r="CS217" i="300"/>
  <c r="CR217" i="300"/>
  <c r="CQ217" i="300"/>
  <c r="CP217" i="300"/>
  <c r="CO217" i="300"/>
  <c r="CN217" i="300"/>
  <c r="CM217" i="300"/>
  <c r="CL217" i="300"/>
  <c r="CK217" i="300"/>
  <c r="CJ217" i="300"/>
  <c r="CI217" i="300"/>
  <c r="CH217" i="300"/>
  <c r="CG217" i="300"/>
  <c r="CF217" i="300"/>
  <c r="CE217" i="300"/>
  <c r="CS216" i="300"/>
  <c r="CR216" i="300"/>
  <c r="CQ216" i="300"/>
  <c r="CP216" i="300"/>
  <c r="CO216" i="300"/>
  <c r="CN216" i="300"/>
  <c r="CM216" i="300"/>
  <c r="CL216" i="300"/>
  <c r="CK216" i="300"/>
  <c r="CJ216" i="300"/>
  <c r="CI216" i="300"/>
  <c r="CH216" i="300"/>
  <c r="CG216" i="300"/>
  <c r="CF216" i="300"/>
  <c r="CE216" i="300"/>
  <c r="CS215" i="300"/>
  <c r="CR215" i="300"/>
  <c r="CQ215" i="300"/>
  <c r="CP215" i="300"/>
  <c r="CO215" i="300"/>
  <c r="CN215" i="300"/>
  <c r="CM215" i="300"/>
  <c r="CL215" i="300"/>
  <c r="CK215" i="300"/>
  <c r="CJ215" i="300"/>
  <c r="CI215" i="300"/>
  <c r="CH215" i="300"/>
  <c r="CG215" i="300"/>
  <c r="CF215" i="300"/>
  <c r="CE215" i="300"/>
  <c r="CS214" i="300"/>
  <c r="CR214" i="300"/>
  <c r="CQ214" i="300"/>
  <c r="CP214" i="300"/>
  <c r="CO214" i="300"/>
  <c r="CN214" i="300"/>
  <c r="CM214" i="300"/>
  <c r="CL214" i="300"/>
  <c r="CK214" i="300"/>
  <c r="CJ214" i="300"/>
  <c r="CI214" i="300"/>
  <c r="CH214" i="300"/>
  <c r="CG214" i="300"/>
  <c r="CF214" i="300"/>
  <c r="CE214" i="300"/>
  <c r="CS213" i="300"/>
  <c r="CR213" i="300"/>
  <c r="CQ213" i="300"/>
  <c r="CP213" i="300"/>
  <c r="CO213" i="300"/>
  <c r="CN213" i="300"/>
  <c r="CM213" i="300"/>
  <c r="CL213" i="300"/>
  <c r="CK213" i="300"/>
  <c r="CJ213" i="300"/>
  <c r="CI213" i="300"/>
  <c r="CH213" i="300"/>
  <c r="CG213" i="300"/>
  <c r="CF213" i="300"/>
  <c r="CE213" i="300"/>
  <c r="CS212" i="300"/>
  <c r="CR212" i="300"/>
  <c r="CQ212" i="300"/>
  <c r="CP212" i="300"/>
  <c r="CO212" i="300"/>
  <c r="CN212" i="300"/>
  <c r="CM212" i="300"/>
  <c r="CL212" i="300"/>
  <c r="CK212" i="300"/>
  <c r="CJ212" i="300"/>
  <c r="CI212" i="300"/>
  <c r="CH212" i="300"/>
  <c r="CG212" i="300"/>
  <c r="CF212" i="300"/>
  <c r="CE212" i="300"/>
  <c r="CS211" i="300"/>
  <c r="CR211" i="300"/>
  <c r="CQ211" i="300"/>
  <c r="CP211" i="300"/>
  <c r="CO211" i="300"/>
  <c r="CN211" i="300"/>
  <c r="CM211" i="300"/>
  <c r="CL211" i="300"/>
  <c r="CK211" i="300"/>
  <c r="CJ211" i="300"/>
  <c r="CI211" i="300"/>
  <c r="CH211" i="300"/>
  <c r="CG211" i="300"/>
  <c r="CF211" i="300"/>
  <c r="CE211" i="300"/>
  <c r="CS210" i="300"/>
  <c r="CR210" i="300"/>
  <c r="CQ210" i="300"/>
  <c r="CP210" i="300"/>
  <c r="CO210" i="300"/>
  <c r="CN210" i="300"/>
  <c r="CM210" i="300"/>
  <c r="CL210" i="300"/>
  <c r="CK210" i="300"/>
  <c r="CJ210" i="300"/>
  <c r="CI210" i="300"/>
  <c r="CH210" i="300"/>
  <c r="CG210" i="300"/>
  <c r="CF210" i="300"/>
  <c r="CE210" i="300"/>
  <c r="CS209" i="300"/>
  <c r="CR209" i="300"/>
  <c r="CQ209" i="300"/>
  <c r="CP209" i="300"/>
  <c r="CO209" i="300"/>
  <c r="CN209" i="300"/>
  <c r="CM209" i="300"/>
  <c r="CL209" i="300"/>
  <c r="CK209" i="300"/>
  <c r="CJ209" i="300"/>
  <c r="CI209" i="300"/>
  <c r="CH209" i="300"/>
  <c r="CG209" i="300"/>
  <c r="CF209" i="300"/>
  <c r="CE209" i="300"/>
  <c r="CS208" i="300"/>
  <c r="CR208" i="300"/>
  <c r="CQ208" i="300"/>
  <c r="CP208" i="300"/>
  <c r="CO208" i="300"/>
  <c r="CN208" i="300"/>
  <c r="CM208" i="300"/>
  <c r="CL208" i="300"/>
  <c r="CK208" i="300"/>
  <c r="CJ208" i="300"/>
  <c r="CI208" i="300"/>
  <c r="CH208" i="300"/>
  <c r="CG208" i="300"/>
  <c r="CF208" i="300"/>
  <c r="CE208" i="300"/>
  <c r="CS207" i="300"/>
  <c r="CR207" i="300"/>
  <c r="CQ207" i="300"/>
  <c r="CP207" i="300"/>
  <c r="CO207" i="300"/>
  <c r="CN207" i="300"/>
  <c r="CM207" i="300"/>
  <c r="CL207" i="300"/>
  <c r="CK207" i="300"/>
  <c r="CJ207" i="300"/>
  <c r="CI207" i="300"/>
  <c r="CH207" i="300"/>
  <c r="CG207" i="300"/>
  <c r="CF207" i="300"/>
  <c r="CE207" i="300"/>
  <c r="CS206" i="300"/>
  <c r="CR206" i="300"/>
  <c r="CQ206" i="300"/>
  <c r="CP206" i="300"/>
  <c r="CO206" i="300"/>
  <c r="CN206" i="300"/>
  <c r="CM206" i="300"/>
  <c r="CL206" i="300"/>
  <c r="CK206" i="300"/>
  <c r="CJ206" i="300"/>
  <c r="CI206" i="300"/>
  <c r="CH206" i="300"/>
  <c r="CG206" i="300"/>
  <c r="CF206" i="300"/>
  <c r="CE206" i="300"/>
  <c r="CS205" i="300"/>
  <c r="CR205" i="300"/>
  <c r="CQ205" i="300"/>
  <c r="CP205" i="300"/>
  <c r="CO205" i="300"/>
  <c r="CN205" i="300"/>
  <c r="CM205" i="300"/>
  <c r="CL205" i="300"/>
  <c r="CK205" i="300"/>
  <c r="CJ205" i="300"/>
  <c r="CI205" i="300"/>
  <c r="CH205" i="300"/>
  <c r="CG205" i="300"/>
  <c r="CF205" i="300"/>
  <c r="CE205" i="300"/>
  <c r="CS204" i="300"/>
  <c r="CR204" i="300"/>
  <c r="CQ204" i="300"/>
  <c r="CP204" i="300"/>
  <c r="CO204" i="300"/>
  <c r="CN204" i="300"/>
  <c r="CM204" i="300"/>
  <c r="CL204" i="300"/>
  <c r="CK204" i="300"/>
  <c r="CJ204" i="300"/>
  <c r="CI204" i="300"/>
  <c r="CH204" i="300"/>
  <c r="CG204" i="300"/>
  <c r="CF204" i="300"/>
  <c r="CE204" i="300"/>
  <c r="CS203" i="300"/>
  <c r="CR203" i="300"/>
  <c r="CQ203" i="300"/>
  <c r="CP203" i="300"/>
  <c r="CO203" i="300"/>
  <c r="CN203" i="300"/>
  <c r="CM203" i="300"/>
  <c r="CL203" i="300"/>
  <c r="CK203" i="300"/>
  <c r="CJ203" i="300"/>
  <c r="CI203" i="300"/>
  <c r="CH203" i="300"/>
  <c r="CG203" i="300"/>
  <c r="CF203" i="300"/>
  <c r="CE203" i="300"/>
  <c r="CS202" i="300"/>
  <c r="CR202" i="300"/>
  <c r="CQ202" i="300"/>
  <c r="CP202" i="300"/>
  <c r="CO202" i="300"/>
  <c r="CN202" i="300"/>
  <c r="CM202" i="300"/>
  <c r="CL202" i="300"/>
  <c r="CK202" i="300"/>
  <c r="CJ202" i="300"/>
  <c r="CI202" i="300"/>
  <c r="CH202" i="300"/>
  <c r="CG202" i="300"/>
  <c r="CF202" i="300"/>
  <c r="CE202" i="300"/>
  <c r="CS201" i="300"/>
  <c r="CR201" i="300"/>
  <c r="CQ201" i="300"/>
  <c r="CP201" i="300"/>
  <c r="CO201" i="300"/>
  <c r="CN201" i="300"/>
  <c r="CM201" i="300"/>
  <c r="CL201" i="300"/>
  <c r="CK201" i="300"/>
  <c r="CJ201" i="300"/>
  <c r="CI201" i="300"/>
  <c r="CH201" i="300"/>
  <c r="CG201" i="300"/>
  <c r="CF201" i="300"/>
  <c r="CE201" i="300"/>
  <c r="CS200" i="300"/>
  <c r="CR200" i="300"/>
  <c r="CQ200" i="300"/>
  <c r="CP200" i="300"/>
  <c r="CO200" i="300"/>
  <c r="CN200" i="300"/>
  <c r="CM200" i="300"/>
  <c r="CL200" i="300"/>
  <c r="CK200" i="300"/>
  <c r="CJ200" i="300"/>
  <c r="CI200" i="300"/>
  <c r="CH200" i="300"/>
  <c r="CG200" i="300"/>
  <c r="CF200" i="300"/>
  <c r="CE200" i="300"/>
  <c r="CS199" i="300"/>
  <c r="CR199" i="300"/>
  <c r="CQ199" i="300"/>
  <c r="CP199" i="300"/>
  <c r="CO199" i="300"/>
  <c r="CN199" i="300"/>
  <c r="CM199" i="300"/>
  <c r="CL199" i="300"/>
  <c r="CK199" i="300"/>
  <c r="CJ199" i="300"/>
  <c r="CI199" i="300"/>
  <c r="CH199" i="300"/>
  <c r="CG199" i="300"/>
  <c r="CF199" i="300"/>
  <c r="CE199" i="300"/>
  <c r="CS198" i="300"/>
  <c r="CR198" i="300"/>
  <c r="CQ198" i="300"/>
  <c r="CP198" i="300"/>
  <c r="CO198" i="300"/>
  <c r="CN198" i="300"/>
  <c r="CM198" i="300"/>
  <c r="CL198" i="300"/>
  <c r="CK198" i="300"/>
  <c r="CJ198" i="300"/>
  <c r="CI198" i="300"/>
  <c r="CH198" i="300"/>
  <c r="CG198" i="300"/>
  <c r="CF198" i="300"/>
  <c r="CE198" i="300"/>
  <c r="CS197" i="300"/>
  <c r="CR197" i="300"/>
  <c r="CQ197" i="300"/>
  <c r="CP197" i="300"/>
  <c r="CO197" i="300"/>
  <c r="CN197" i="300"/>
  <c r="CM197" i="300"/>
  <c r="CL197" i="300"/>
  <c r="CK197" i="300"/>
  <c r="CJ197" i="300"/>
  <c r="CI197" i="300"/>
  <c r="CH197" i="300"/>
  <c r="CG197" i="300"/>
  <c r="CF197" i="300"/>
  <c r="CE197" i="300"/>
  <c r="CS196" i="300"/>
  <c r="CR196" i="300"/>
  <c r="CQ196" i="300"/>
  <c r="CP196" i="300"/>
  <c r="CO196" i="300"/>
  <c r="CN196" i="300"/>
  <c r="CM196" i="300"/>
  <c r="CL196" i="300"/>
  <c r="CK196" i="300"/>
  <c r="CJ196" i="300"/>
  <c r="CI196" i="300"/>
  <c r="CH196" i="300"/>
  <c r="CG196" i="300"/>
  <c r="CF196" i="300"/>
  <c r="CE196" i="300"/>
  <c r="CS195" i="300"/>
  <c r="CR195" i="300"/>
  <c r="CQ195" i="300"/>
  <c r="CP195" i="300"/>
  <c r="CO195" i="300"/>
  <c r="CN195" i="300"/>
  <c r="CM195" i="300"/>
  <c r="CL195" i="300"/>
  <c r="CK195" i="300"/>
  <c r="CJ195" i="300"/>
  <c r="CI195" i="300"/>
  <c r="CH195" i="300"/>
  <c r="CG195" i="300"/>
  <c r="CF195" i="300"/>
  <c r="CE195" i="300"/>
  <c r="CS194" i="300"/>
  <c r="CR194" i="300"/>
  <c r="CQ194" i="300"/>
  <c r="CP194" i="300"/>
  <c r="CO194" i="300"/>
  <c r="CN194" i="300"/>
  <c r="CM194" i="300"/>
  <c r="CL194" i="300"/>
  <c r="CK194" i="300"/>
  <c r="CJ194" i="300"/>
  <c r="CI194" i="300"/>
  <c r="CH194" i="300"/>
  <c r="CG194" i="300"/>
  <c r="CF194" i="300"/>
  <c r="CE194" i="300"/>
  <c r="CS193" i="300"/>
  <c r="CR193" i="300"/>
  <c r="CQ193" i="300"/>
  <c r="CP193" i="300"/>
  <c r="CO193" i="300"/>
  <c r="CN193" i="300"/>
  <c r="CM193" i="300"/>
  <c r="CL193" i="300"/>
  <c r="CK193" i="300"/>
  <c r="CJ193" i="300"/>
  <c r="CI193" i="300"/>
  <c r="CH193" i="300"/>
  <c r="CG193" i="300"/>
  <c r="CF193" i="300"/>
  <c r="CE193" i="300"/>
  <c r="CS192" i="300"/>
  <c r="CR192" i="300"/>
  <c r="CQ192" i="300"/>
  <c r="CP192" i="300"/>
  <c r="CO192" i="300"/>
  <c r="CN192" i="300"/>
  <c r="CM192" i="300"/>
  <c r="CL192" i="300"/>
  <c r="CK192" i="300"/>
  <c r="CJ192" i="300"/>
  <c r="CI192" i="300"/>
  <c r="CH192" i="300"/>
  <c r="CG192" i="300"/>
  <c r="CF192" i="300"/>
  <c r="CE192" i="300"/>
  <c r="CS191" i="300"/>
  <c r="CR191" i="300"/>
  <c r="CQ191" i="300"/>
  <c r="CP191" i="300"/>
  <c r="CO191" i="300"/>
  <c r="CN191" i="300"/>
  <c r="CM191" i="300"/>
  <c r="CL191" i="300"/>
  <c r="CK191" i="300"/>
  <c r="CJ191" i="300"/>
  <c r="CI191" i="300"/>
  <c r="CH191" i="300"/>
  <c r="CG191" i="300"/>
  <c r="CF191" i="300"/>
  <c r="CE191" i="300"/>
  <c r="CS190" i="300"/>
  <c r="CR190" i="300"/>
  <c r="CQ190" i="300"/>
  <c r="CP190" i="300"/>
  <c r="CO190" i="300"/>
  <c r="CN190" i="300"/>
  <c r="CM190" i="300"/>
  <c r="CL190" i="300"/>
  <c r="CK190" i="300"/>
  <c r="CJ190" i="300"/>
  <c r="CI190" i="300"/>
  <c r="CH190" i="300"/>
  <c r="CG190" i="300"/>
  <c r="CF190" i="300"/>
  <c r="CE190" i="300"/>
  <c r="CS189" i="300"/>
  <c r="CR189" i="300"/>
  <c r="CQ189" i="300"/>
  <c r="CP189" i="300"/>
  <c r="CO189" i="300"/>
  <c r="CN189" i="300"/>
  <c r="CM189" i="300"/>
  <c r="CL189" i="300"/>
  <c r="CK189" i="300"/>
  <c r="CJ189" i="300"/>
  <c r="CI189" i="300"/>
  <c r="CH189" i="300"/>
  <c r="CG189" i="300"/>
  <c r="CF189" i="300"/>
  <c r="CE189" i="300"/>
  <c r="CS188" i="300"/>
  <c r="CR188" i="300"/>
  <c r="CQ188" i="300"/>
  <c r="CP188" i="300"/>
  <c r="CO188" i="300"/>
  <c r="CN188" i="300"/>
  <c r="CM188" i="300"/>
  <c r="CL188" i="300"/>
  <c r="CK188" i="300"/>
  <c r="CJ188" i="300"/>
  <c r="CI188" i="300"/>
  <c r="CH188" i="300"/>
  <c r="CG188" i="300"/>
  <c r="CF188" i="300"/>
  <c r="CE188" i="300"/>
  <c r="CS187" i="300"/>
  <c r="CR187" i="300"/>
  <c r="CQ187" i="300"/>
  <c r="CP187" i="300"/>
  <c r="CO187" i="300"/>
  <c r="CN187" i="300"/>
  <c r="CM187" i="300"/>
  <c r="CL187" i="300"/>
  <c r="CK187" i="300"/>
  <c r="CJ187" i="300"/>
  <c r="CI187" i="300"/>
  <c r="CH187" i="300"/>
  <c r="CG187" i="300"/>
  <c r="CF187" i="300"/>
  <c r="CE187" i="300"/>
  <c r="CS186" i="300"/>
  <c r="CR186" i="300"/>
  <c r="CQ186" i="300"/>
  <c r="CP186" i="300"/>
  <c r="CO186" i="300"/>
  <c r="CN186" i="300"/>
  <c r="CM186" i="300"/>
  <c r="CL186" i="300"/>
  <c r="CK186" i="300"/>
  <c r="CJ186" i="300"/>
  <c r="CI186" i="300"/>
  <c r="CH186" i="300"/>
  <c r="CG186" i="300"/>
  <c r="CF186" i="300"/>
  <c r="CE186" i="300"/>
  <c r="CS185" i="300"/>
  <c r="CR185" i="300"/>
  <c r="CQ185" i="300"/>
  <c r="CP185" i="300"/>
  <c r="CO185" i="300"/>
  <c r="CN185" i="300"/>
  <c r="CM185" i="300"/>
  <c r="CL185" i="300"/>
  <c r="CK185" i="300"/>
  <c r="CJ185" i="300"/>
  <c r="CI185" i="300"/>
  <c r="CH185" i="300"/>
  <c r="CG185" i="300"/>
  <c r="CF185" i="300"/>
  <c r="CE185" i="300"/>
  <c r="CS184" i="300"/>
  <c r="CR184" i="300"/>
  <c r="CQ184" i="300"/>
  <c r="CP184" i="300"/>
  <c r="CO184" i="300"/>
  <c r="CN184" i="300"/>
  <c r="CM184" i="300"/>
  <c r="CL184" i="300"/>
  <c r="CK184" i="300"/>
  <c r="CJ184" i="300"/>
  <c r="CI184" i="300"/>
  <c r="CH184" i="300"/>
  <c r="CG184" i="300"/>
  <c r="CF184" i="300"/>
  <c r="CE184" i="300"/>
  <c r="CS183" i="300"/>
  <c r="CR183" i="300"/>
  <c r="CQ183" i="300"/>
  <c r="CP183" i="300"/>
  <c r="CO183" i="300"/>
  <c r="CN183" i="300"/>
  <c r="CM183" i="300"/>
  <c r="CL183" i="300"/>
  <c r="CK183" i="300"/>
  <c r="CJ183" i="300"/>
  <c r="CI183" i="300"/>
  <c r="CH183" i="300"/>
  <c r="CG183" i="300"/>
  <c r="CF183" i="300"/>
  <c r="CE183" i="300"/>
  <c r="CS182" i="300"/>
  <c r="CR182" i="300"/>
  <c r="CQ182" i="300"/>
  <c r="CP182" i="300"/>
  <c r="CO182" i="300"/>
  <c r="CN182" i="300"/>
  <c r="CM182" i="300"/>
  <c r="CL182" i="300"/>
  <c r="CK182" i="300"/>
  <c r="CJ182" i="300"/>
  <c r="CI182" i="300"/>
  <c r="CH182" i="300"/>
  <c r="CG182" i="300"/>
  <c r="CF182" i="300"/>
  <c r="CE182" i="300"/>
  <c r="CS181" i="300"/>
  <c r="CR181" i="300"/>
  <c r="CQ181" i="300"/>
  <c r="CP181" i="300"/>
  <c r="CO181" i="300"/>
  <c r="CN181" i="300"/>
  <c r="CM181" i="300"/>
  <c r="CL181" i="300"/>
  <c r="CK181" i="300"/>
  <c r="CJ181" i="300"/>
  <c r="CI181" i="300"/>
  <c r="CH181" i="300"/>
  <c r="CG181" i="300"/>
  <c r="CF181" i="300"/>
  <c r="CE181" i="300"/>
  <c r="CS180" i="300"/>
  <c r="CR180" i="300"/>
  <c r="CQ180" i="300"/>
  <c r="CP180" i="300"/>
  <c r="CO180" i="300"/>
  <c r="CN180" i="300"/>
  <c r="CM180" i="300"/>
  <c r="CL180" i="300"/>
  <c r="CK180" i="300"/>
  <c r="CJ180" i="300"/>
  <c r="CI180" i="300"/>
  <c r="CH180" i="300"/>
  <c r="CG180" i="300"/>
  <c r="CF180" i="300"/>
  <c r="CE180" i="300"/>
  <c r="CS179" i="300"/>
  <c r="CR179" i="300"/>
  <c r="CQ179" i="300"/>
  <c r="CP179" i="300"/>
  <c r="CO179" i="300"/>
  <c r="CN179" i="300"/>
  <c r="CM179" i="300"/>
  <c r="CL179" i="300"/>
  <c r="CK179" i="300"/>
  <c r="CJ179" i="300"/>
  <c r="CI179" i="300"/>
  <c r="CH179" i="300"/>
  <c r="CG179" i="300"/>
  <c r="CF179" i="300"/>
  <c r="CE179" i="300"/>
  <c r="CS178" i="300"/>
  <c r="CR178" i="300"/>
  <c r="CQ178" i="300"/>
  <c r="CP178" i="300"/>
  <c r="CO178" i="300"/>
  <c r="CN178" i="300"/>
  <c r="CM178" i="300"/>
  <c r="CL178" i="300"/>
  <c r="CK178" i="300"/>
  <c r="CJ178" i="300"/>
  <c r="CI178" i="300"/>
  <c r="CH178" i="300"/>
  <c r="CG178" i="300"/>
  <c r="CF178" i="300"/>
  <c r="CE178" i="300"/>
  <c r="CS177" i="300"/>
  <c r="CR177" i="300"/>
  <c r="CQ177" i="300"/>
  <c r="CP177" i="300"/>
  <c r="CO177" i="300"/>
  <c r="CN177" i="300"/>
  <c r="CM177" i="300"/>
  <c r="CL177" i="300"/>
  <c r="CK177" i="300"/>
  <c r="CJ177" i="300"/>
  <c r="CI177" i="300"/>
  <c r="CH177" i="300"/>
  <c r="CG177" i="300"/>
  <c r="CF177" i="300"/>
  <c r="CE177" i="300"/>
  <c r="CS176" i="300"/>
  <c r="CR176" i="300"/>
  <c r="CQ176" i="300"/>
  <c r="CP176" i="300"/>
  <c r="CO176" i="300"/>
  <c r="CN176" i="300"/>
  <c r="CM176" i="300"/>
  <c r="CL176" i="300"/>
  <c r="CK176" i="300"/>
  <c r="CJ176" i="300"/>
  <c r="CI176" i="300"/>
  <c r="CH176" i="300"/>
  <c r="CG176" i="300"/>
  <c r="CF176" i="300"/>
  <c r="CE176" i="300"/>
  <c r="CS175" i="300"/>
  <c r="CR175" i="300"/>
  <c r="CQ175" i="300"/>
  <c r="CP175" i="300"/>
  <c r="CO175" i="300"/>
  <c r="CN175" i="300"/>
  <c r="CM175" i="300"/>
  <c r="CL175" i="300"/>
  <c r="CK175" i="300"/>
  <c r="CJ175" i="300"/>
  <c r="CI175" i="300"/>
  <c r="CH175" i="300"/>
  <c r="CG175" i="300"/>
  <c r="CF175" i="300"/>
  <c r="CE175" i="300"/>
  <c r="CS174" i="300"/>
  <c r="CR174" i="300"/>
  <c r="CQ174" i="300"/>
  <c r="CP174" i="300"/>
  <c r="CO174" i="300"/>
  <c r="CN174" i="300"/>
  <c r="CM174" i="300"/>
  <c r="CL174" i="300"/>
  <c r="CK174" i="300"/>
  <c r="CJ174" i="300"/>
  <c r="CI174" i="300"/>
  <c r="CH174" i="300"/>
  <c r="CG174" i="300"/>
  <c r="CF174" i="300"/>
  <c r="CE174" i="300"/>
  <c r="CS173" i="300"/>
  <c r="CR173" i="300"/>
  <c r="CQ173" i="300"/>
  <c r="CP173" i="300"/>
  <c r="CO173" i="300"/>
  <c r="CN173" i="300"/>
  <c r="CM173" i="300"/>
  <c r="CL173" i="300"/>
  <c r="CK173" i="300"/>
  <c r="CJ173" i="300"/>
  <c r="CI173" i="300"/>
  <c r="CH173" i="300"/>
  <c r="CG173" i="300"/>
  <c r="CF173" i="300"/>
  <c r="CE173" i="300"/>
  <c r="CS172" i="300"/>
  <c r="CR172" i="300"/>
  <c r="CQ172" i="300"/>
  <c r="CP172" i="300"/>
  <c r="CO172" i="300"/>
  <c r="CN172" i="300"/>
  <c r="CM172" i="300"/>
  <c r="CL172" i="300"/>
  <c r="CK172" i="300"/>
  <c r="CJ172" i="300"/>
  <c r="CI172" i="300"/>
  <c r="CH172" i="300"/>
  <c r="CG172" i="300"/>
  <c r="CF172" i="300"/>
  <c r="CE172" i="300"/>
  <c r="CS171" i="300"/>
  <c r="CR171" i="300"/>
  <c r="CQ171" i="300"/>
  <c r="CP171" i="300"/>
  <c r="CO171" i="300"/>
  <c r="CN171" i="300"/>
  <c r="CM171" i="300"/>
  <c r="CL171" i="300"/>
  <c r="CK171" i="300"/>
  <c r="CJ171" i="300"/>
  <c r="CI171" i="300"/>
  <c r="CH171" i="300"/>
  <c r="CG171" i="300"/>
  <c r="CF171" i="300"/>
  <c r="CE171" i="300"/>
  <c r="CS170" i="300"/>
  <c r="CR170" i="300"/>
  <c r="CQ170" i="300"/>
  <c r="CP170" i="300"/>
  <c r="CO170" i="300"/>
  <c r="CN170" i="300"/>
  <c r="CM170" i="300"/>
  <c r="CL170" i="300"/>
  <c r="CK170" i="300"/>
  <c r="CJ170" i="300"/>
  <c r="CI170" i="300"/>
  <c r="CH170" i="300"/>
  <c r="CG170" i="300"/>
  <c r="CF170" i="300"/>
  <c r="CE170" i="300"/>
  <c r="CS169" i="300"/>
  <c r="CR169" i="300"/>
  <c r="CQ169" i="300"/>
  <c r="CP169" i="300"/>
  <c r="CO169" i="300"/>
  <c r="CN169" i="300"/>
  <c r="CM169" i="300"/>
  <c r="CL169" i="300"/>
  <c r="CK169" i="300"/>
  <c r="CJ169" i="300"/>
  <c r="CI169" i="300"/>
  <c r="CH169" i="300"/>
  <c r="CG169" i="300"/>
  <c r="CF169" i="300"/>
  <c r="CE169" i="300"/>
  <c r="CS168" i="300"/>
  <c r="CR168" i="300"/>
  <c r="CQ168" i="300"/>
  <c r="CP168" i="300"/>
  <c r="CO168" i="300"/>
  <c r="CN168" i="300"/>
  <c r="CM168" i="300"/>
  <c r="CL168" i="300"/>
  <c r="CK168" i="300"/>
  <c r="CJ168" i="300"/>
  <c r="CI168" i="300"/>
  <c r="CH168" i="300"/>
  <c r="CG168" i="300"/>
  <c r="CF168" i="300"/>
  <c r="CE168" i="300"/>
  <c r="CS167" i="300"/>
  <c r="CR167" i="300"/>
  <c r="CQ167" i="300"/>
  <c r="CP167" i="300"/>
  <c r="CO167" i="300"/>
  <c r="CN167" i="300"/>
  <c r="CM167" i="300"/>
  <c r="CL167" i="300"/>
  <c r="CK167" i="300"/>
  <c r="CJ167" i="300"/>
  <c r="CI167" i="300"/>
  <c r="CH167" i="300"/>
  <c r="CG167" i="300"/>
  <c r="CF167" i="300"/>
  <c r="CE167" i="300"/>
  <c r="CS166" i="300"/>
  <c r="CR166" i="300"/>
  <c r="CQ166" i="300"/>
  <c r="CP166" i="300"/>
  <c r="CO166" i="300"/>
  <c r="CN166" i="300"/>
  <c r="CM166" i="300"/>
  <c r="CL166" i="300"/>
  <c r="CK166" i="300"/>
  <c r="CJ166" i="300"/>
  <c r="CI166" i="300"/>
  <c r="CH166" i="300"/>
  <c r="CG166" i="300"/>
  <c r="CF166" i="300"/>
  <c r="CE166" i="300"/>
  <c r="CS165" i="300"/>
  <c r="CR165" i="300"/>
  <c r="CQ165" i="300"/>
  <c r="CP165" i="300"/>
  <c r="CO165" i="300"/>
  <c r="CN165" i="300"/>
  <c r="CM165" i="300"/>
  <c r="CL165" i="300"/>
  <c r="CK165" i="300"/>
  <c r="CJ165" i="300"/>
  <c r="CI165" i="300"/>
  <c r="CH165" i="300"/>
  <c r="CG165" i="300"/>
  <c r="CF165" i="300"/>
  <c r="CE165" i="300"/>
  <c r="CS163" i="300"/>
  <c r="CR163" i="300"/>
  <c r="CQ163" i="300"/>
  <c r="CP163" i="300"/>
  <c r="CO163" i="300"/>
  <c r="CN163" i="300"/>
  <c r="CM163" i="300"/>
  <c r="CL163" i="300"/>
  <c r="CK163" i="300"/>
  <c r="CJ163" i="300"/>
  <c r="CI163" i="300"/>
  <c r="CH163" i="300"/>
  <c r="CG163" i="300"/>
  <c r="CF163" i="300"/>
  <c r="CE163" i="300"/>
  <c r="CS162" i="300"/>
  <c r="CR162" i="300"/>
  <c r="CQ162" i="300"/>
  <c r="CP162" i="300"/>
  <c r="CO162" i="300"/>
  <c r="CN162" i="300"/>
  <c r="CM162" i="300"/>
  <c r="CL162" i="300"/>
  <c r="CK162" i="300"/>
  <c r="CJ162" i="300"/>
  <c r="CI162" i="300"/>
  <c r="CH162" i="300"/>
  <c r="CG162" i="300"/>
  <c r="CF162" i="300"/>
  <c r="CE162" i="300"/>
  <c r="CS161" i="300"/>
  <c r="CR161" i="300"/>
  <c r="CQ161" i="300"/>
  <c r="CP161" i="300"/>
  <c r="CO161" i="300"/>
  <c r="CN161" i="300"/>
  <c r="CM161" i="300"/>
  <c r="CL161" i="300"/>
  <c r="CK161" i="300"/>
  <c r="CJ161" i="300"/>
  <c r="CI161" i="300"/>
  <c r="CH161" i="300"/>
  <c r="CG161" i="300"/>
  <c r="CF161" i="300"/>
  <c r="CE161" i="300"/>
  <c r="CS160" i="300"/>
  <c r="CR160" i="300"/>
  <c r="CQ160" i="300"/>
  <c r="CP160" i="300"/>
  <c r="CO160" i="300"/>
  <c r="CN160" i="300"/>
  <c r="CM160" i="300"/>
  <c r="CL160" i="300"/>
  <c r="CK160" i="300"/>
  <c r="CJ160" i="300"/>
  <c r="CI160" i="300"/>
  <c r="CH160" i="300"/>
  <c r="CG160" i="300"/>
  <c r="CF160" i="300"/>
  <c r="CE160" i="300"/>
  <c r="CS159" i="300"/>
  <c r="CR159" i="300"/>
  <c r="CQ159" i="300"/>
  <c r="CP159" i="300"/>
  <c r="CO159" i="300"/>
  <c r="CN159" i="300"/>
  <c r="CM159" i="300"/>
  <c r="CL159" i="300"/>
  <c r="CK159" i="300"/>
  <c r="CJ159" i="300"/>
  <c r="CI159" i="300"/>
  <c r="CH159" i="300"/>
  <c r="CG159" i="300"/>
  <c r="CF159" i="300"/>
  <c r="CE159" i="300"/>
  <c r="CS158" i="300"/>
  <c r="CR158" i="300"/>
  <c r="CQ158" i="300"/>
  <c r="CP158" i="300"/>
  <c r="CO158" i="300"/>
  <c r="CN158" i="300"/>
  <c r="CM158" i="300"/>
  <c r="CL158" i="300"/>
  <c r="CK158" i="300"/>
  <c r="CJ158" i="300"/>
  <c r="CI158" i="300"/>
  <c r="CH158" i="300"/>
  <c r="CG158" i="300"/>
  <c r="CF158" i="300"/>
  <c r="CE158" i="300"/>
  <c r="CS157" i="300"/>
  <c r="CR157" i="300"/>
  <c r="CQ157" i="300"/>
  <c r="CP157" i="300"/>
  <c r="CO157" i="300"/>
  <c r="CN157" i="300"/>
  <c r="CM157" i="300"/>
  <c r="CL157" i="300"/>
  <c r="CK157" i="300"/>
  <c r="CJ157" i="300"/>
  <c r="CI157" i="300"/>
  <c r="CH157" i="300"/>
  <c r="CG157" i="300"/>
  <c r="CF157" i="300"/>
  <c r="CE157" i="300"/>
  <c r="CS156" i="300"/>
  <c r="CR156" i="300"/>
  <c r="CQ156" i="300"/>
  <c r="CP156" i="300"/>
  <c r="CO156" i="300"/>
  <c r="CN156" i="300"/>
  <c r="CM156" i="300"/>
  <c r="CL156" i="300"/>
  <c r="CK156" i="300"/>
  <c r="CJ156" i="300"/>
  <c r="CI156" i="300"/>
  <c r="CH156" i="300"/>
  <c r="CG156" i="300"/>
  <c r="CF156" i="300"/>
  <c r="CE156" i="300"/>
  <c r="CS155" i="300"/>
  <c r="CR155" i="300"/>
  <c r="CQ155" i="300"/>
  <c r="CP155" i="300"/>
  <c r="CO155" i="300"/>
  <c r="CN155" i="300"/>
  <c r="CM155" i="300"/>
  <c r="CL155" i="300"/>
  <c r="CK155" i="300"/>
  <c r="CJ155" i="300"/>
  <c r="CI155" i="300"/>
  <c r="CH155" i="300"/>
  <c r="CG155" i="300"/>
  <c r="CF155" i="300"/>
  <c r="CE155" i="300"/>
  <c r="CS154" i="300"/>
  <c r="CR154" i="300"/>
  <c r="CQ154" i="300"/>
  <c r="CP154" i="300"/>
  <c r="CO154" i="300"/>
  <c r="CN154" i="300"/>
  <c r="CM154" i="300"/>
  <c r="CL154" i="300"/>
  <c r="CK154" i="300"/>
  <c r="CJ154" i="300"/>
  <c r="CI154" i="300"/>
  <c r="CH154" i="300"/>
  <c r="CG154" i="300"/>
  <c r="CF154" i="300"/>
  <c r="CE154" i="300"/>
  <c r="CS153" i="300"/>
  <c r="CR153" i="300"/>
  <c r="CQ153" i="300"/>
  <c r="CP153" i="300"/>
  <c r="CO153" i="300"/>
  <c r="CN153" i="300"/>
  <c r="CM153" i="300"/>
  <c r="CL153" i="300"/>
  <c r="CK153" i="300"/>
  <c r="CJ153" i="300"/>
  <c r="CI153" i="300"/>
  <c r="CH153" i="300"/>
  <c r="CG153" i="300"/>
  <c r="CF153" i="300"/>
  <c r="CE153" i="300"/>
  <c r="CS152" i="300"/>
  <c r="CR152" i="300"/>
  <c r="CQ152" i="300"/>
  <c r="CP152" i="300"/>
  <c r="CO152" i="300"/>
  <c r="CN152" i="300"/>
  <c r="CM152" i="300"/>
  <c r="CL152" i="300"/>
  <c r="CK152" i="300"/>
  <c r="CJ152" i="300"/>
  <c r="CI152" i="300"/>
  <c r="CH152" i="300"/>
  <c r="CG152" i="300"/>
  <c r="CF152" i="300"/>
  <c r="CE152" i="300"/>
  <c r="CS151" i="300"/>
  <c r="CR151" i="300"/>
  <c r="CQ151" i="300"/>
  <c r="CP151" i="300"/>
  <c r="CO151" i="300"/>
  <c r="CN151" i="300"/>
  <c r="CM151" i="300"/>
  <c r="CL151" i="300"/>
  <c r="CK151" i="300"/>
  <c r="CJ151" i="300"/>
  <c r="CI151" i="300"/>
  <c r="CH151" i="300"/>
  <c r="CG151" i="300"/>
  <c r="CF151" i="300"/>
  <c r="CE151" i="300"/>
  <c r="CS150" i="300"/>
  <c r="CR150" i="300"/>
  <c r="CQ150" i="300"/>
  <c r="CP150" i="300"/>
  <c r="CO150" i="300"/>
  <c r="CN150" i="300"/>
  <c r="CM150" i="300"/>
  <c r="CL150" i="300"/>
  <c r="CK150" i="300"/>
  <c r="CJ150" i="300"/>
  <c r="CI150" i="300"/>
  <c r="CH150" i="300"/>
  <c r="CG150" i="300"/>
  <c r="CF150" i="300"/>
  <c r="CE150" i="300"/>
  <c r="CS149" i="300"/>
  <c r="CR149" i="300"/>
  <c r="CQ149" i="300"/>
  <c r="CP149" i="300"/>
  <c r="CO149" i="300"/>
  <c r="CN149" i="300"/>
  <c r="CM149" i="300"/>
  <c r="CL149" i="300"/>
  <c r="CK149" i="300"/>
  <c r="CJ149" i="300"/>
  <c r="CI149" i="300"/>
  <c r="CH149" i="300"/>
  <c r="CG149" i="300"/>
  <c r="CF149" i="300"/>
  <c r="CE149" i="300"/>
  <c r="CS148" i="300"/>
  <c r="CR148" i="300"/>
  <c r="CQ148" i="300"/>
  <c r="CP148" i="300"/>
  <c r="CO148" i="300"/>
  <c r="CN148" i="300"/>
  <c r="CM148" i="300"/>
  <c r="CL148" i="300"/>
  <c r="CK148" i="300"/>
  <c r="CJ148" i="300"/>
  <c r="CI148" i="300"/>
  <c r="CH148" i="300"/>
  <c r="CG148" i="300"/>
  <c r="CF148" i="300"/>
  <c r="CE148" i="300"/>
  <c r="CS147" i="300"/>
  <c r="CR147" i="300"/>
  <c r="CQ147" i="300"/>
  <c r="CP147" i="300"/>
  <c r="CO147" i="300"/>
  <c r="CN147" i="300"/>
  <c r="CM147" i="300"/>
  <c r="CL147" i="300"/>
  <c r="CK147" i="300"/>
  <c r="CJ147" i="300"/>
  <c r="CI147" i="300"/>
  <c r="CH147" i="300"/>
  <c r="CG147" i="300"/>
  <c r="CF147" i="300"/>
  <c r="CE147" i="300"/>
  <c r="CS146" i="300"/>
  <c r="CR146" i="300"/>
  <c r="CQ146" i="300"/>
  <c r="CP146" i="300"/>
  <c r="CO146" i="300"/>
  <c r="CN146" i="300"/>
  <c r="CM146" i="300"/>
  <c r="CL146" i="300"/>
  <c r="CK146" i="300"/>
  <c r="CJ146" i="300"/>
  <c r="CI146" i="300"/>
  <c r="CH146" i="300"/>
  <c r="CG146" i="300"/>
  <c r="CF146" i="300"/>
  <c r="CE146" i="300"/>
  <c r="CS145" i="300"/>
  <c r="CR145" i="300"/>
  <c r="CQ145" i="300"/>
  <c r="CP145" i="300"/>
  <c r="CO145" i="300"/>
  <c r="CN145" i="300"/>
  <c r="CM145" i="300"/>
  <c r="CL145" i="300"/>
  <c r="CK145" i="300"/>
  <c r="CJ145" i="300"/>
  <c r="CI145" i="300"/>
  <c r="CH145" i="300"/>
  <c r="CG145" i="300"/>
  <c r="CF145" i="300"/>
  <c r="CE145" i="300"/>
  <c r="CS144" i="300"/>
  <c r="CR144" i="300"/>
  <c r="CQ144" i="300"/>
  <c r="CP144" i="300"/>
  <c r="CO144" i="300"/>
  <c r="CN144" i="300"/>
  <c r="CM144" i="300"/>
  <c r="CL144" i="300"/>
  <c r="CK144" i="300"/>
  <c r="CJ144" i="300"/>
  <c r="CI144" i="300"/>
  <c r="CH144" i="300"/>
  <c r="CG144" i="300"/>
  <c r="CF144" i="300"/>
  <c r="CE144" i="300"/>
  <c r="CS143" i="300"/>
  <c r="CR143" i="300"/>
  <c r="CQ143" i="300"/>
  <c r="CP143" i="300"/>
  <c r="CO143" i="300"/>
  <c r="CN143" i="300"/>
  <c r="CM143" i="300"/>
  <c r="CL143" i="300"/>
  <c r="CK143" i="300"/>
  <c r="CJ143" i="300"/>
  <c r="CI143" i="300"/>
  <c r="CH143" i="300"/>
  <c r="CG143" i="300"/>
  <c r="CF143" i="300"/>
  <c r="CE143" i="300"/>
  <c r="CS142" i="300"/>
  <c r="CR142" i="300"/>
  <c r="CQ142" i="300"/>
  <c r="CP142" i="300"/>
  <c r="CO142" i="300"/>
  <c r="CN142" i="300"/>
  <c r="CM142" i="300"/>
  <c r="CL142" i="300"/>
  <c r="CK142" i="300"/>
  <c r="CJ142" i="300"/>
  <c r="CI142" i="300"/>
  <c r="CH142" i="300"/>
  <c r="CG142" i="300"/>
  <c r="CF142" i="300"/>
  <c r="CE142" i="300"/>
  <c r="CS141" i="300"/>
  <c r="CR141" i="300"/>
  <c r="CQ141" i="300"/>
  <c r="CP141" i="300"/>
  <c r="CO141" i="300"/>
  <c r="CN141" i="300"/>
  <c r="CM141" i="300"/>
  <c r="CL141" i="300"/>
  <c r="CK141" i="300"/>
  <c r="CJ141" i="300"/>
  <c r="CI141" i="300"/>
  <c r="CH141" i="300"/>
  <c r="CG141" i="300"/>
  <c r="CF141" i="300"/>
  <c r="CE141" i="300"/>
  <c r="CS140" i="300"/>
  <c r="CR140" i="300"/>
  <c r="CQ140" i="300"/>
  <c r="CP140" i="300"/>
  <c r="CO140" i="300"/>
  <c r="CN140" i="300"/>
  <c r="CM140" i="300"/>
  <c r="CL140" i="300"/>
  <c r="CK140" i="300"/>
  <c r="CJ140" i="300"/>
  <c r="CI140" i="300"/>
  <c r="CH140" i="300"/>
  <c r="CG140" i="300"/>
  <c r="CF140" i="300"/>
  <c r="CE140" i="300"/>
  <c r="CS139" i="300"/>
  <c r="CR139" i="300"/>
  <c r="CQ139" i="300"/>
  <c r="CP139" i="300"/>
  <c r="CO139" i="300"/>
  <c r="CN139" i="300"/>
  <c r="CM139" i="300"/>
  <c r="CL139" i="300"/>
  <c r="CK139" i="300"/>
  <c r="CJ139" i="300"/>
  <c r="CI139" i="300"/>
  <c r="CH139" i="300"/>
  <c r="CG139" i="300"/>
  <c r="CF139" i="300"/>
  <c r="CE139" i="300"/>
  <c r="CS138" i="300"/>
  <c r="CR138" i="300"/>
  <c r="CQ138" i="300"/>
  <c r="CP138" i="300"/>
  <c r="CO138" i="300"/>
  <c r="CN138" i="300"/>
  <c r="CM138" i="300"/>
  <c r="CL138" i="300"/>
  <c r="CK138" i="300"/>
  <c r="CJ138" i="300"/>
  <c r="CI138" i="300"/>
  <c r="CH138" i="300"/>
  <c r="CG138" i="300"/>
  <c r="CF138" i="300"/>
  <c r="CE138" i="300"/>
  <c r="CS137" i="300"/>
  <c r="CR137" i="300"/>
  <c r="CQ137" i="300"/>
  <c r="CP137" i="300"/>
  <c r="CO137" i="300"/>
  <c r="CN137" i="300"/>
  <c r="CM137" i="300"/>
  <c r="CL137" i="300"/>
  <c r="CK137" i="300"/>
  <c r="CJ137" i="300"/>
  <c r="CI137" i="300"/>
  <c r="CH137" i="300"/>
  <c r="CG137" i="300"/>
  <c r="CF137" i="300"/>
  <c r="CE137" i="300"/>
  <c r="CS136" i="300"/>
  <c r="CR136" i="300"/>
  <c r="CQ136" i="300"/>
  <c r="CP136" i="300"/>
  <c r="CO136" i="300"/>
  <c r="CN136" i="300"/>
  <c r="CM136" i="300"/>
  <c r="CL136" i="300"/>
  <c r="CK136" i="300"/>
  <c r="CJ136" i="300"/>
  <c r="CI136" i="300"/>
  <c r="CH136" i="300"/>
  <c r="CG136" i="300"/>
  <c r="CF136" i="300"/>
  <c r="CE136" i="300"/>
  <c r="CS135" i="300"/>
  <c r="CR135" i="300"/>
  <c r="CQ135" i="300"/>
  <c r="CP135" i="300"/>
  <c r="CO135" i="300"/>
  <c r="CN135" i="300"/>
  <c r="CM135" i="300"/>
  <c r="CL135" i="300"/>
  <c r="CK135" i="300"/>
  <c r="CJ135" i="300"/>
  <c r="CI135" i="300"/>
  <c r="CH135" i="300"/>
  <c r="CG135" i="300"/>
  <c r="CF135" i="300"/>
  <c r="CE135" i="300"/>
  <c r="CS134" i="300"/>
  <c r="CR134" i="300"/>
  <c r="CQ134" i="300"/>
  <c r="CP134" i="300"/>
  <c r="CO134" i="300"/>
  <c r="CN134" i="300"/>
  <c r="CM134" i="300"/>
  <c r="CL134" i="300"/>
  <c r="CK134" i="300"/>
  <c r="CJ134" i="300"/>
  <c r="CI134" i="300"/>
  <c r="CH134" i="300"/>
  <c r="CG134" i="300"/>
  <c r="CF134" i="300"/>
  <c r="CE134" i="300"/>
  <c r="CS133" i="300"/>
  <c r="CR133" i="300"/>
  <c r="CQ133" i="300"/>
  <c r="CP133" i="300"/>
  <c r="CO133" i="300"/>
  <c r="CN133" i="300"/>
  <c r="CM133" i="300"/>
  <c r="CL133" i="300"/>
  <c r="CK133" i="300"/>
  <c r="CJ133" i="300"/>
  <c r="CI133" i="300"/>
  <c r="CH133" i="300"/>
  <c r="CG133" i="300"/>
  <c r="CF133" i="300"/>
  <c r="CE133" i="300"/>
  <c r="CS132" i="300"/>
  <c r="CR132" i="300"/>
  <c r="CQ132" i="300"/>
  <c r="CP132" i="300"/>
  <c r="CO132" i="300"/>
  <c r="CN132" i="300"/>
  <c r="CM132" i="300"/>
  <c r="CL132" i="300"/>
  <c r="CK132" i="300"/>
  <c r="CJ132" i="300"/>
  <c r="CI132" i="300"/>
  <c r="CH132" i="300"/>
  <c r="CG132" i="300"/>
  <c r="CF132" i="300"/>
  <c r="CE132" i="300"/>
  <c r="CS131" i="300"/>
  <c r="CR131" i="300"/>
  <c r="CQ131" i="300"/>
  <c r="CP131" i="300"/>
  <c r="CO131" i="300"/>
  <c r="CN131" i="300"/>
  <c r="CM131" i="300"/>
  <c r="CL131" i="300"/>
  <c r="CK131" i="300"/>
  <c r="CJ131" i="300"/>
  <c r="CI131" i="300"/>
  <c r="CH131" i="300"/>
  <c r="CG131" i="300"/>
  <c r="CF131" i="300"/>
  <c r="CE131" i="300"/>
  <c r="CS130" i="300"/>
  <c r="CR130" i="300"/>
  <c r="CQ130" i="300"/>
  <c r="CP130" i="300"/>
  <c r="CO130" i="300"/>
  <c r="CN130" i="300"/>
  <c r="CM130" i="300"/>
  <c r="CL130" i="300"/>
  <c r="CK130" i="300"/>
  <c r="CJ130" i="300"/>
  <c r="CI130" i="300"/>
  <c r="CH130" i="300"/>
  <c r="CG130" i="300"/>
  <c r="CF130" i="300"/>
  <c r="CE130" i="300"/>
  <c r="CS129" i="300"/>
  <c r="CR129" i="300"/>
  <c r="CQ129" i="300"/>
  <c r="CP129" i="300"/>
  <c r="CO129" i="300"/>
  <c r="CN129" i="300"/>
  <c r="CM129" i="300"/>
  <c r="CL129" i="300"/>
  <c r="CK129" i="300"/>
  <c r="CJ129" i="300"/>
  <c r="CI129" i="300"/>
  <c r="CH129" i="300"/>
  <c r="CG129" i="300"/>
  <c r="CF129" i="300"/>
  <c r="CE129" i="300"/>
  <c r="CS128" i="300"/>
  <c r="CR128" i="300"/>
  <c r="CQ128" i="300"/>
  <c r="CP128" i="300"/>
  <c r="CO128" i="300"/>
  <c r="CN128" i="300"/>
  <c r="CM128" i="300"/>
  <c r="CL128" i="300"/>
  <c r="CK128" i="300"/>
  <c r="CJ128" i="300"/>
  <c r="CI128" i="300"/>
  <c r="CH128" i="300"/>
  <c r="CG128" i="300"/>
  <c r="CF128" i="300"/>
  <c r="CE128" i="300"/>
  <c r="CS127" i="300"/>
  <c r="CR127" i="300"/>
  <c r="CQ127" i="300"/>
  <c r="CP127" i="300"/>
  <c r="CO127" i="300"/>
  <c r="CN127" i="300"/>
  <c r="CM127" i="300"/>
  <c r="CL127" i="300"/>
  <c r="CK127" i="300"/>
  <c r="CJ127" i="300"/>
  <c r="CI127" i="300"/>
  <c r="CH127" i="300"/>
  <c r="CG127" i="300"/>
  <c r="CF127" i="300"/>
  <c r="CE127" i="300"/>
  <c r="CS126" i="300"/>
  <c r="CR126" i="300"/>
  <c r="CQ126" i="300"/>
  <c r="CP126" i="300"/>
  <c r="CO126" i="300"/>
  <c r="CN126" i="300"/>
  <c r="CM126" i="300"/>
  <c r="CL126" i="300"/>
  <c r="CK126" i="300"/>
  <c r="CJ126" i="300"/>
  <c r="CI126" i="300"/>
  <c r="CH126" i="300"/>
  <c r="CG126" i="300"/>
  <c r="CF126" i="300"/>
  <c r="CE126" i="300"/>
  <c r="CS125" i="300"/>
  <c r="CR125" i="300"/>
  <c r="CQ125" i="300"/>
  <c r="CP125" i="300"/>
  <c r="CO125" i="300"/>
  <c r="CN125" i="300"/>
  <c r="CM125" i="300"/>
  <c r="CL125" i="300"/>
  <c r="CK125" i="300"/>
  <c r="CJ125" i="300"/>
  <c r="CI125" i="300"/>
  <c r="CH125" i="300"/>
  <c r="CG125" i="300"/>
  <c r="CF125" i="300"/>
  <c r="CE125" i="300"/>
  <c r="CS124" i="300"/>
  <c r="CR124" i="300"/>
  <c r="CQ124" i="300"/>
  <c r="CP124" i="300"/>
  <c r="CO124" i="300"/>
  <c r="CN124" i="300"/>
  <c r="CM124" i="300"/>
  <c r="CL124" i="300"/>
  <c r="CK124" i="300"/>
  <c r="CJ124" i="300"/>
  <c r="CI124" i="300"/>
  <c r="CH124" i="300"/>
  <c r="CG124" i="300"/>
  <c r="CF124" i="300"/>
  <c r="CE124" i="300"/>
  <c r="CS123" i="300"/>
  <c r="CR123" i="300"/>
  <c r="CQ123" i="300"/>
  <c r="CP123" i="300"/>
  <c r="CO123" i="300"/>
  <c r="CN123" i="300"/>
  <c r="CM123" i="300"/>
  <c r="CL123" i="300"/>
  <c r="CK123" i="300"/>
  <c r="CJ123" i="300"/>
  <c r="CI123" i="300"/>
  <c r="CH123" i="300"/>
  <c r="CG123" i="300"/>
  <c r="CF123" i="300"/>
  <c r="CE123" i="300"/>
  <c r="CS122" i="300"/>
  <c r="CR122" i="300"/>
  <c r="CQ122" i="300"/>
  <c r="CP122" i="300"/>
  <c r="CO122" i="300"/>
  <c r="CN122" i="300"/>
  <c r="CM122" i="300"/>
  <c r="CL122" i="300"/>
  <c r="CK122" i="300"/>
  <c r="CJ122" i="300"/>
  <c r="CI122" i="300"/>
  <c r="CH122" i="300"/>
  <c r="CG122" i="300"/>
  <c r="CF122" i="300"/>
  <c r="CE122" i="300"/>
  <c r="CS121" i="300"/>
  <c r="CR121" i="300"/>
  <c r="CQ121" i="300"/>
  <c r="CP121" i="300"/>
  <c r="CO121" i="300"/>
  <c r="CN121" i="300"/>
  <c r="CM121" i="300"/>
  <c r="CL121" i="300"/>
  <c r="CK121" i="300"/>
  <c r="CJ121" i="300"/>
  <c r="CI121" i="300"/>
  <c r="CH121" i="300"/>
  <c r="CG121" i="300"/>
  <c r="CF121" i="300"/>
  <c r="CE121" i="300"/>
  <c r="CS120" i="300"/>
  <c r="CR120" i="300"/>
  <c r="CQ120" i="300"/>
  <c r="CP120" i="300"/>
  <c r="CO120" i="300"/>
  <c r="CN120" i="300"/>
  <c r="CM120" i="300"/>
  <c r="CL120" i="300"/>
  <c r="CK120" i="300"/>
  <c r="CJ120" i="300"/>
  <c r="CI120" i="300"/>
  <c r="CH120" i="300"/>
  <c r="CG120" i="300"/>
  <c r="CF120" i="300"/>
  <c r="CE120" i="300"/>
  <c r="CS119" i="300"/>
  <c r="CR119" i="300"/>
  <c r="CQ119" i="300"/>
  <c r="CP119" i="300"/>
  <c r="CO119" i="300"/>
  <c r="CN119" i="300"/>
  <c r="CM119" i="300"/>
  <c r="CL119" i="300"/>
  <c r="CK119" i="300"/>
  <c r="CJ119" i="300"/>
  <c r="CI119" i="300"/>
  <c r="CH119" i="300"/>
  <c r="CG119" i="300"/>
  <c r="CF119" i="300"/>
  <c r="CE119" i="300"/>
  <c r="CS118" i="300"/>
  <c r="CR118" i="300"/>
  <c r="CQ118" i="300"/>
  <c r="CP118" i="300"/>
  <c r="CO118" i="300"/>
  <c r="CN118" i="300"/>
  <c r="CM118" i="300"/>
  <c r="CL118" i="300"/>
  <c r="CK118" i="300"/>
  <c r="CJ118" i="300"/>
  <c r="CI118" i="300"/>
  <c r="CH118" i="300"/>
  <c r="CG118" i="300"/>
  <c r="CF118" i="300"/>
  <c r="CE118" i="300"/>
  <c r="CS117" i="300"/>
  <c r="CR117" i="300"/>
  <c r="CQ117" i="300"/>
  <c r="CP117" i="300"/>
  <c r="CO117" i="300"/>
  <c r="CN117" i="300"/>
  <c r="CM117" i="300"/>
  <c r="CL117" i="300"/>
  <c r="CK117" i="300"/>
  <c r="CJ117" i="300"/>
  <c r="CI117" i="300"/>
  <c r="CH117" i="300"/>
  <c r="CG117" i="300"/>
  <c r="CF117" i="300"/>
  <c r="CE117" i="300"/>
  <c r="CS116" i="300"/>
  <c r="CR116" i="300"/>
  <c r="CQ116" i="300"/>
  <c r="CP116" i="300"/>
  <c r="CO116" i="300"/>
  <c r="CN116" i="300"/>
  <c r="CM116" i="300"/>
  <c r="CL116" i="300"/>
  <c r="CK116" i="300"/>
  <c r="CJ116" i="300"/>
  <c r="CI116" i="300"/>
  <c r="CH116" i="300"/>
  <c r="CG116" i="300"/>
  <c r="CF116" i="300"/>
  <c r="CE116" i="300"/>
  <c r="CS115" i="300"/>
  <c r="CR115" i="300"/>
  <c r="CQ115" i="300"/>
  <c r="CP115" i="300"/>
  <c r="CO115" i="300"/>
  <c r="CN115" i="300"/>
  <c r="CM115" i="300"/>
  <c r="CL115" i="300"/>
  <c r="CK115" i="300"/>
  <c r="CJ115" i="300"/>
  <c r="CI115" i="300"/>
  <c r="CH115" i="300"/>
  <c r="CG115" i="300"/>
  <c r="CF115" i="300"/>
  <c r="CE115" i="300"/>
  <c r="CS114" i="300"/>
  <c r="CR114" i="300"/>
  <c r="CQ114" i="300"/>
  <c r="CP114" i="300"/>
  <c r="CO114" i="300"/>
  <c r="CN114" i="300"/>
  <c r="CM114" i="300"/>
  <c r="CL114" i="300"/>
  <c r="CK114" i="300"/>
  <c r="CJ114" i="300"/>
  <c r="CI114" i="300"/>
  <c r="CH114" i="300"/>
  <c r="CG114" i="300"/>
  <c r="CF114" i="300"/>
  <c r="CE114" i="300"/>
  <c r="CS113" i="300"/>
  <c r="CR113" i="300"/>
  <c r="CQ113" i="300"/>
  <c r="CP113" i="300"/>
  <c r="CO113" i="300"/>
  <c r="CN113" i="300"/>
  <c r="CM113" i="300"/>
  <c r="CL113" i="300"/>
  <c r="CK113" i="300"/>
  <c r="CJ113" i="300"/>
  <c r="CI113" i="300"/>
  <c r="CH113" i="300"/>
  <c r="CG113" i="300"/>
  <c r="CF113" i="300"/>
  <c r="CE113" i="300"/>
  <c r="CS112" i="300"/>
  <c r="CR112" i="300"/>
  <c r="CQ112" i="300"/>
  <c r="CP112" i="300"/>
  <c r="CO112" i="300"/>
  <c r="CN112" i="300"/>
  <c r="CM112" i="300"/>
  <c r="CL112" i="300"/>
  <c r="CK112" i="300"/>
  <c r="CJ112" i="300"/>
  <c r="CI112" i="300"/>
  <c r="CH112" i="300"/>
  <c r="CG112" i="300"/>
  <c r="CF112" i="300"/>
  <c r="CE112" i="300"/>
  <c r="CS111" i="300"/>
  <c r="CR111" i="300"/>
  <c r="CQ111" i="300"/>
  <c r="CP111" i="300"/>
  <c r="CO111" i="300"/>
  <c r="CN111" i="300"/>
  <c r="CM111" i="300"/>
  <c r="CL111" i="300"/>
  <c r="CK111" i="300"/>
  <c r="CJ111" i="300"/>
  <c r="CI111" i="300"/>
  <c r="CH111" i="300"/>
  <c r="CG111" i="300"/>
  <c r="CF111" i="300"/>
  <c r="CE111" i="300"/>
  <c r="CS110" i="300"/>
  <c r="CR110" i="300"/>
  <c r="CQ110" i="300"/>
  <c r="CP110" i="300"/>
  <c r="CO110" i="300"/>
  <c r="CN110" i="300"/>
  <c r="CM110" i="300"/>
  <c r="CL110" i="300"/>
  <c r="CK110" i="300"/>
  <c r="CJ110" i="300"/>
  <c r="CI110" i="300"/>
  <c r="CH110" i="300"/>
  <c r="CG110" i="300"/>
  <c r="CF110" i="300"/>
  <c r="CE110" i="300"/>
  <c r="CS109" i="300"/>
  <c r="CR109" i="300"/>
  <c r="CQ109" i="300"/>
  <c r="CP109" i="300"/>
  <c r="CO109" i="300"/>
  <c r="CN109" i="300"/>
  <c r="CM109" i="300"/>
  <c r="CL109" i="300"/>
  <c r="CK109" i="300"/>
  <c r="CJ109" i="300"/>
  <c r="CI109" i="300"/>
  <c r="CH109" i="300"/>
  <c r="CG109" i="300"/>
  <c r="CF109" i="300"/>
  <c r="CE109" i="300"/>
  <c r="CS108" i="300"/>
  <c r="CR108" i="300"/>
  <c r="CQ108" i="300"/>
  <c r="CP108" i="300"/>
  <c r="CO108" i="300"/>
  <c r="CN108" i="300"/>
  <c r="CM108" i="300"/>
  <c r="CL108" i="300"/>
  <c r="CK108" i="300"/>
  <c r="CJ108" i="300"/>
  <c r="CI108" i="300"/>
  <c r="CH108" i="300"/>
  <c r="CG108" i="300"/>
  <c r="CF108" i="300"/>
  <c r="CE108" i="300"/>
  <c r="CS107" i="300"/>
  <c r="CR107" i="300"/>
  <c r="CQ107" i="300"/>
  <c r="CP107" i="300"/>
  <c r="CO107" i="300"/>
  <c r="CN107" i="300"/>
  <c r="CM107" i="300"/>
  <c r="CL107" i="300"/>
  <c r="CK107" i="300"/>
  <c r="CJ107" i="300"/>
  <c r="CI107" i="300"/>
  <c r="CH107" i="300"/>
  <c r="CG107" i="300"/>
  <c r="CF107" i="300"/>
  <c r="CE107" i="300"/>
  <c r="CS106" i="300"/>
  <c r="CR106" i="300"/>
  <c r="CQ106" i="300"/>
  <c r="CP106" i="300"/>
  <c r="CO106" i="300"/>
  <c r="CN106" i="300"/>
  <c r="CM106" i="300"/>
  <c r="CL106" i="300"/>
  <c r="CK106" i="300"/>
  <c r="CJ106" i="300"/>
  <c r="CI106" i="300"/>
  <c r="CH106" i="300"/>
  <c r="CG106" i="300"/>
  <c r="CF106" i="300"/>
  <c r="CE106" i="300"/>
  <c r="CS105" i="300"/>
  <c r="CR105" i="300"/>
  <c r="CQ105" i="300"/>
  <c r="CP105" i="300"/>
  <c r="CO105" i="300"/>
  <c r="CN105" i="300"/>
  <c r="CM105" i="300"/>
  <c r="CL105" i="300"/>
  <c r="CK105" i="300"/>
  <c r="CJ105" i="300"/>
  <c r="CI105" i="300"/>
  <c r="CH105" i="300"/>
  <c r="CG105" i="300"/>
  <c r="CF105" i="300"/>
  <c r="CE105" i="300"/>
  <c r="CS104" i="300"/>
  <c r="CR104" i="300"/>
  <c r="CQ104" i="300"/>
  <c r="CP104" i="300"/>
  <c r="CO104" i="300"/>
  <c r="CN104" i="300"/>
  <c r="CM104" i="300"/>
  <c r="CL104" i="300"/>
  <c r="CK104" i="300"/>
  <c r="CJ104" i="300"/>
  <c r="CI104" i="300"/>
  <c r="CH104" i="300"/>
  <c r="CG104" i="300"/>
  <c r="CF104" i="300"/>
  <c r="CE104" i="300"/>
  <c r="CS103" i="300"/>
  <c r="CR103" i="300"/>
  <c r="CQ103" i="300"/>
  <c r="CP103" i="300"/>
  <c r="CO103" i="300"/>
  <c r="CN103" i="300"/>
  <c r="CM103" i="300"/>
  <c r="CL103" i="300"/>
  <c r="CK103" i="300"/>
  <c r="CJ103" i="300"/>
  <c r="CI103" i="300"/>
  <c r="CH103" i="300"/>
  <c r="CG103" i="300"/>
  <c r="CF103" i="300"/>
  <c r="CE103" i="300"/>
  <c r="CS102" i="300"/>
  <c r="CR102" i="300"/>
  <c r="CQ102" i="300"/>
  <c r="CP102" i="300"/>
  <c r="CO102" i="300"/>
  <c r="CN102" i="300"/>
  <c r="CM102" i="300"/>
  <c r="CL102" i="300"/>
  <c r="CK102" i="300"/>
  <c r="CJ102" i="300"/>
  <c r="CI102" i="300"/>
  <c r="CH102" i="300"/>
  <c r="CG102" i="300"/>
  <c r="CF102" i="300"/>
  <c r="CE102" i="300"/>
  <c r="CS101" i="300"/>
  <c r="CR101" i="300"/>
  <c r="CQ101" i="300"/>
  <c r="CP101" i="300"/>
  <c r="CO101" i="300"/>
  <c r="CN101" i="300"/>
  <c r="CM101" i="300"/>
  <c r="CL101" i="300"/>
  <c r="CK101" i="300"/>
  <c r="CJ101" i="300"/>
  <c r="CI101" i="300"/>
  <c r="CH101" i="300"/>
  <c r="CG101" i="300"/>
  <c r="CF101" i="300"/>
  <c r="CE101" i="300"/>
  <c r="CS100" i="300"/>
  <c r="CR100" i="300"/>
  <c r="CQ100" i="300"/>
  <c r="CP100" i="300"/>
  <c r="CO100" i="300"/>
  <c r="CN100" i="300"/>
  <c r="CM100" i="300"/>
  <c r="CL100" i="300"/>
  <c r="CK100" i="300"/>
  <c r="CJ100" i="300"/>
  <c r="CI100" i="300"/>
  <c r="CH100" i="300"/>
  <c r="CG100" i="300"/>
  <c r="CF100" i="300"/>
  <c r="CE100" i="300"/>
  <c r="CS99" i="300"/>
  <c r="CR99" i="300"/>
  <c r="CQ99" i="300"/>
  <c r="CP99" i="300"/>
  <c r="CO99" i="300"/>
  <c r="CN99" i="300"/>
  <c r="CM99" i="300"/>
  <c r="CL99" i="300"/>
  <c r="CK99" i="300"/>
  <c r="CJ99" i="300"/>
  <c r="CI99" i="300"/>
  <c r="CH99" i="300"/>
  <c r="CG99" i="300"/>
  <c r="CF99" i="300"/>
  <c r="CE99" i="300"/>
  <c r="CS98" i="300"/>
  <c r="CR98" i="300"/>
  <c r="CQ98" i="300"/>
  <c r="CP98" i="300"/>
  <c r="CO98" i="300"/>
  <c r="CN98" i="300"/>
  <c r="CM98" i="300"/>
  <c r="CL98" i="300"/>
  <c r="CK98" i="300"/>
  <c r="CJ98" i="300"/>
  <c r="CI98" i="300"/>
  <c r="CH98" i="300"/>
  <c r="CG98" i="300"/>
  <c r="CF98" i="300"/>
  <c r="CE98" i="300"/>
  <c r="CS97" i="300"/>
  <c r="CR97" i="300"/>
  <c r="CQ97" i="300"/>
  <c r="CP97" i="300"/>
  <c r="CO97" i="300"/>
  <c r="CN97" i="300"/>
  <c r="CM97" i="300"/>
  <c r="CL97" i="300"/>
  <c r="CK97" i="300"/>
  <c r="CJ97" i="300"/>
  <c r="CI97" i="300"/>
  <c r="CH97" i="300"/>
  <c r="CG97" i="300"/>
  <c r="CF97" i="300"/>
  <c r="CE97" i="300"/>
  <c r="CS96" i="300"/>
  <c r="CR96" i="300"/>
  <c r="CQ96" i="300"/>
  <c r="CP96" i="300"/>
  <c r="CO96" i="300"/>
  <c r="CN96" i="300"/>
  <c r="CM96" i="300"/>
  <c r="CL96" i="300"/>
  <c r="CK96" i="300"/>
  <c r="CJ96" i="300"/>
  <c r="CI96" i="300"/>
  <c r="CH96" i="300"/>
  <c r="CG96" i="300"/>
  <c r="CF96" i="300"/>
  <c r="CE96" i="300"/>
  <c r="CS95" i="300"/>
  <c r="CR95" i="300"/>
  <c r="CQ95" i="300"/>
  <c r="CP95" i="300"/>
  <c r="CO95" i="300"/>
  <c r="CN95" i="300"/>
  <c r="CM95" i="300"/>
  <c r="CL95" i="300"/>
  <c r="CK95" i="300"/>
  <c r="CJ95" i="300"/>
  <c r="CI95" i="300"/>
  <c r="CH95" i="300"/>
  <c r="CG95" i="300"/>
  <c r="CF95" i="300"/>
  <c r="CE95" i="300"/>
  <c r="CS94" i="300"/>
  <c r="CR94" i="300"/>
  <c r="CQ94" i="300"/>
  <c r="CP94" i="300"/>
  <c r="CO94" i="300"/>
  <c r="CN94" i="300"/>
  <c r="CM94" i="300"/>
  <c r="CL94" i="300"/>
  <c r="CK94" i="300"/>
  <c r="CJ94" i="300"/>
  <c r="CI94" i="300"/>
  <c r="CH94" i="300"/>
  <c r="CG94" i="300"/>
  <c r="CF94" i="300"/>
  <c r="CE94" i="300"/>
  <c r="CS93" i="300"/>
  <c r="CR93" i="300"/>
  <c r="CQ93" i="300"/>
  <c r="CP93" i="300"/>
  <c r="CO93" i="300"/>
  <c r="CN93" i="300"/>
  <c r="CM93" i="300"/>
  <c r="CL93" i="300"/>
  <c r="CK93" i="300"/>
  <c r="CJ93" i="300"/>
  <c r="CI93" i="300"/>
  <c r="CH93" i="300"/>
  <c r="CG93" i="300"/>
  <c r="CF93" i="300"/>
  <c r="CE93" i="300"/>
  <c r="CS92" i="300"/>
  <c r="CR92" i="300"/>
  <c r="CQ92" i="300"/>
  <c r="CP92" i="300"/>
  <c r="CO92" i="300"/>
  <c r="CN92" i="300"/>
  <c r="CM92" i="300"/>
  <c r="CL92" i="300"/>
  <c r="CK92" i="300"/>
  <c r="CJ92" i="300"/>
  <c r="CI92" i="300"/>
  <c r="CH92" i="300"/>
  <c r="CG92" i="300"/>
  <c r="CF92" i="300"/>
  <c r="CE92" i="300"/>
  <c r="CS91" i="300"/>
  <c r="CR91" i="300"/>
  <c r="CQ91" i="300"/>
  <c r="CP91" i="300"/>
  <c r="CO91" i="300"/>
  <c r="CN91" i="300"/>
  <c r="CM91" i="300"/>
  <c r="CL91" i="300"/>
  <c r="CK91" i="300"/>
  <c r="CJ91" i="300"/>
  <c r="CI91" i="300"/>
  <c r="CH91" i="300"/>
  <c r="CG91" i="300"/>
  <c r="CF91" i="300"/>
  <c r="CE91" i="300"/>
  <c r="CS90" i="300"/>
  <c r="CR90" i="300"/>
  <c r="CQ90" i="300"/>
  <c r="CP90" i="300"/>
  <c r="CO90" i="300"/>
  <c r="CN90" i="300"/>
  <c r="CM90" i="300"/>
  <c r="CL90" i="300"/>
  <c r="CK90" i="300"/>
  <c r="CJ90" i="300"/>
  <c r="CI90" i="300"/>
  <c r="CH90" i="300"/>
  <c r="CG90" i="300"/>
  <c r="CF90" i="300"/>
  <c r="CE90" i="300"/>
  <c r="CS89" i="300"/>
  <c r="CR89" i="300"/>
  <c r="CQ89" i="300"/>
  <c r="CP89" i="300"/>
  <c r="CO89" i="300"/>
  <c r="CN89" i="300"/>
  <c r="CM89" i="300"/>
  <c r="CL89" i="300"/>
  <c r="CK89" i="300"/>
  <c r="CJ89" i="300"/>
  <c r="CI89" i="300"/>
  <c r="CH89" i="300"/>
  <c r="CG89" i="300"/>
  <c r="CF89" i="300"/>
  <c r="CE89" i="300"/>
  <c r="CS88" i="300"/>
  <c r="CR88" i="300"/>
  <c r="CQ88" i="300"/>
  <c r="CP88" i="300"/>
  <c r="CO88" i="300"/>
  <c r="CN88" i="300"/>
  <c r="CM88" i="300"/>
  <c r="CL88" i="300"/>
  <c r="CK88" i="300"/>
  <c r="CJ88" i="300"/>
  <c r="CI88" i="300"/>
  <c r="CH88" i="300"/>
  <c r="CG88" i="300"/>
  <c r="CF88" i="300"/>
  <c r="CE88" i="300"/>
  <c r="CS87" i="300"/>
  <c r="CR87" i="300"/>
  <c r="CQ87" i="300"/>
  <c r="CP87" i="300"/>
  <c r="CO87" i="300"/>
  <c r="CN87" i="300"/>
  <c r="CM87" i="300"/>
  <c r="CL87" i="300"/>
  <c r="CK87" i="300"/>
  <c r="CJ87" i="300"/>
  <c r="CI87" i="300"/>
  <c r="CH87" i="300"/>
  <c r="CG87" i="300"/>
  <c r="CF87" i="300"/>
  <c r="CE87" i="300"/>
  <c r="CS86" i="300"/>
  <c r="CR86" i="300"/>
  <c r="CQ86" i="300"/>
  <c r="CP86" i="300"/>
  <c r="CO86" i="300"/>
  <c r="CN86" i="300"/>
  <c r="CM86" i="300"/>
  <c r="CL86" i="300"/>
  <c r="CK86" i="300"/>
  <c r="CJ86" i="300"/>
  <c r="CI86" i="300"/>
  <c r="CH86" i="300"/>
  <c r="CG86" i="300"/>
  <c r="CF86" i="300"/>
  <c r="CE86" i="300"/>
  <c r="CS85" i="300"/>
  <c r="CR85" i="300"/>
  <c r="CQ85" i="300"/>
  <c r="CP85" i="300"/>
  <c r="CO85" i="300"/>
  <c r="CN85" i="300"/>
  <c r="CM85" i="300"/>
  <c r="CL85" i="300"/>
  <c r="CK85" i="300"/>
  <c r="CJ85" i="300"/>
  <c r="CI85" i="300"/>
  <c r="CH85" i="300"/>
  <c r="CG85" i="300"/>
  <c r="CF85" i="300"/>
  <c r="CE85" i="300"/>
  <c r="CS84" i="300"/>
  <c r="CR84" i="300"/>
  <c r="CQ84" i="300"/>
  <c r="CP84" i="300"/>
  <c r="CO84" i="300"/>
  <c r="CN84" i="300"/>
  <c r="CM84" i="300"/>
  <c r="CL84" i="300"/>
  <c r="CK84" i="300"/>
  <c r="CJ84" i="300"/>
  <c r="CI84" i="300"/>
  <c r="CH84" i="300"/>
  <c r="CG84" i="300"/>
  <c r="CF84" i="300"/>
  <c r="CE84" i="300"/>
  <c r="CS83" i="300"/>
  <c r="CR83" i="300"/>
  <c r="CQ83" i="300"/>
  <c r="CP83" i="300"/>
  <c r="CO83" i="300"/>
  <c r="CN83" i="300"/>
  <c r="CM83" i="300"/>
  <c r="CL83" i="300"/>
  <c r="CK83" i="300"/>
  <c r="CJ83" i="300"/>
  <c r="CI83" i="300"/>
  <c r="CH83" i="300"/>
  <c r="CG83" i="300"/>
  <c r="CF83" i="300"/>
  <c r="CE83" i="300"/>
  <c r="CS82" i="300"/>
  <c r="CR82" i="300"/>
  <c r="CQ82" i="300"/>
  <c r="CP82" i="300"/>
  <c r="CO82" i="300"/>
  <c r="CN82" i="300"/>
  <c r="CM82" i="300"/>
  <c r="CL82" i="300"/>
  <c r="CK82" i="300"/>
  <c r="CJ82" i="300"/>
  <c r="CI82" i="300"/>
  <c r="CH82" i="300"/>
  <c r="CG82" i="300"/>
  <c r="CF82" i="300"/>
  <c r="CE82" i="300"/>
  <c r="CS81" i="300"/>
  <c r="CR81" i="300"/>
  <c r="CQ81" i="300"/>
  <c r="CP81" i="300"/>
  <c r="CO81" i="300"/>
  <c r="CN81" i="300"/>
  <c r="CM81" i="300"/>
  <c r="CL81" i="300"/>
  <c r="CK81" i="300"/>
  <c r="CJ81" i="300"/>
  <c r="CI81" i="300"/>
  <c r="CH81" i="300"/>
  <c r="CG81" i="300"/>
  <c r="CF81" i="300"/>
  <c r="CE81" i="300"/>
  <c r="CS80" i="300"/>
  <c r="CR80" i="300"/>
  <c r="CQ80" i="300"/>
  <c r="CP80" i="300"/>
  <c r="CO80" i="300"/>
  <c r="CN80" i="300"/>
  <c r="CM80" i="300"/>
  <c r="CL80" i="300"/>
  <c r="CK80" i="300"/>
  <c r="CJ80" i="300"/>
  <c r="CI80" i="300"/>
  <c r="CH80" i="300"/>
  <c r="CG80" i="300"/>
  <c r="CF80" i="300"/>
  <c r="CE80" i="300"/>
  <c r="CS79" i="300"/>
  <c r="CR79" i="300"/>
  <c r="CQ79" i="300"/>
  <c r="CP79" i="300"/>
  <c r="CO79" i="300"/>
  <c r="CN79" i="300"/>
  <c r="CM79" i="300"/>
  <c r="CL79" i="300"/>
  <c r="CK79" i="300"/>
  <c r="CJ79" i="300"/>
  <c r="CI79" i="300"/>
  <c r="CH79" i="300"/>
  <c r="CG79" i="300"/>
  <c r="CF79" i="300"/>
  <c r="CE79" i="300"/>
  <c r="CS78" i="300"/>
  <c r="CR78" i="300"/>
  <c r="CQ78" i="300"/>
  <c r="CP78" i="300"/>
  <c r="CO78" i="300"/>
  <c r="CN78" i="300"/>
  <c r="CM78" i="300"/>
  <c r="CL78" i="300"/>
  <c r="CK78" i="300"/>
  <c r="CJ78" i="300"/>
  <c r="CI78" i="300"/>
  <c r="CH78" i="300"/>
  <c r="CG78" i="300"/>
  <c r="CF78" i="300"/>
  <c r="CE78" i="300"/>
  <c r="CS77" i="300"/>
  <c r="CR77" i="300"/>
  <c r="CQ77" i="300"/>
  <c r="CP77" i="300"/>
  <c r="CO77" i="300"/>
  <c r="CN77" i="300"/>
  <c r="CM77" i="300"/>
  <c r="CL77" i="300"/>
  <c r="CK77" i="300"/>
  <c r="CJ77" i="300"/>
  <c r="CI77" i="300"/>
  <c r="CH77" i="300"/>
  <c r="CG77" i="300"/>
  <c r="CF77" i="300"/>
  <c r="CE77" i="300"/>
  <c r="CS76" i="300"/>
  <c r="CR76" i="300"/>
  <c r="CQ76" i="300"/>
  <c r="CP76" i="300"/>
  <c r="CO76" i="300"/>
  <c r="CN76" i="300"/>
  <c r="CM76" i="300"/>
  <c r="CL76" i="300"/>
  <c r="CK76" i="300"/>
  <c r="CJ76" i="300"/>
  <c r="CI76" i="300"/>
  <c r="CH76" i="300"/>
  <c r="CG76" i="300"/>
  <c r="CF76" i="300"/>
  <c r="CE76" i="300"/>
  <c r="CS75" i="300"/>
  <c r="CR75" i="300"/>
  <c r="CQ75" i="300"/>
  <c r="CP75" i="300"/>
  <c r="CO75" i="300"/>
  <c r="CN75" i="300"/>
  <c r="CM75" i="300"/>
  <c r="CL75" i="300"/>
  <c r="CK75" i="300"/>
  <c r="CJ75" i="300"/>
  <c r="CI75" i="300"/>
  <c r="CH75" i="300"/>
  <c r="CG75" i="300"/>
  <c r="CF75" i="300"/>
  <c r="CE75" i="300"/>
  <c r="CS74" i="300"/>
  <c r="CR74" i="300"/>
  <c r="CQ74" i="300"/>
  <c r="CP74" i="300"/>
  <c r="CO74" i="300"/>
  <c r="CN74" i="300"/>
  <c r="CM74" i="300"/>
  <c r="CL74" i="300"/>
  <c r="CK74" i="300"/>
  <c r="CJ74" i="300"/>
  <c r="CI74" i="300"/>
  <c r="CH74" i="300"/>
  <c r="CG74" i="300"/>
  <c r="CF74" i="300"/>
  <c r="CE74" i="300"/>
  <c r="CS73" i="300"/>
  <c r="CR73" i="300"/>
  <c r="CQ73" i="300"/>
  <c r="CP73" i="300"/>
  <c r="CO73" i="300"/>
  <c r="CN73" i="300"/>
  <c r="CM73" i="300"/>
  <c r="CL73" i="300"/>
  <c r="CK73" i="300"/>
  <c r="CJ73" i="300"/>
  <c r="CI73" i="300"/>
  <c r="CH73" i="300"/>
  <c r="CG73" i="300"/>
  <c r="CF73" i="300"/>
  <c r="CE73" i="300"/>
  <c r="CS72" i="300"/>
  <c r="CR72" i="300"/>
  <c r="CQ72" i="300"/>
  <c r="CP72" i="300"/>
  <c r="CO72" i="300"/>
  <c r="CN72" i="300"/>
  <c r="CM72" i="300"/>
  <c r="CL72" i="300"/>
  <c r="CK72" i="300"/>
  <c r="CJ72" i="300"/>
  <c r="CI72" i="300"/>
  <c r="CH72" i="300"/>
  <c r="CG72" i="300"/>
  <c r="CF72" i="300"/>
  <c r="CE72" i="300"/>
  <c r="CS71" i="300"/>
  <c r="CR71" i="300"/>
  <c r="CQ71" i="300"/>
  <c r="CP71" i="300"/>
  <c r="CO71" i="300"/>
  <c r="CN71" i="300"/>
  <c r="CM71" i="300"/>
  <c r="CL71" i="300"/>
  <c r="CK71" i="300"/>
  <c r="CJ71" i="300"/>
  <c r="CI71" i="300"/>
  <c r="CH71" i="300"/>
  <c r="CG71" i="300"/>
  <c r="CF71" i="300"/>
  <c r="CE71" i="300"/>
  <c r="CS70" i="300"/>
  <c r="CR70" i="300"/>
  <c r="CQ70" i="300"/>
  <c r="CP70" i="300"/>
  <c r="CO70" i="300"/>
  <c r="CN70" i="300"/>
  <c r="CM70" i="300"/>
  <c r="CL70" i="300"/>
  <c r="CK70" i="300"/>
  <c r="CJ70" i="300"/>
  <c r="CI70" i="300"/>
  <c r="CH70" i="300"/>
  <c r="CG70" i="300"/>
  <c r="CF70" i="300"/>
  <c r="CE70" i="300"/>
  <c r="CS69" i="300"/>
  <c r="CR69" i="300"/>
  <c r="CQ69" i="300"/>
  <c r="CP69" i="300"/>
  <c r="CO69" i="300"/>
  <c r="CN69" i="300"/>
  <c r="CM69" i="300"/>
  <c r="CL69" i="300"/>
  <c r="CK69" i="300"/>
  <c r="CJ69" i="300"/>
  <c r="CI69" i="300"/>
  <c r="CH69" i="300"/>
  <c r="CG69" i="300"/>
  <c r="CF69" i="300"/>
  <c r="CE69" i="300"/>
  <c r="CS68" i="300"/>
  <c r="CR68" i="300"/>
  <c r="CQ68" i="300"/>
  <c r="CP68" i="300"/>
  <c r="CO68" i="300"/>
  <c r="CN68" i="300"/>
  <c r="CM68" i="300"/>
  <c r="CL68" i="300"/>
  <c r="CK68" i="300"/>
  <c r="CJ68" i="300"/>
  <c r="CI68" i="300"/>
  <c r="CH68" i="300"/>
  <c r="CG68" i="300"/>
  <c r="CF68" i="300"/>
  <c r="CE68" i="300"/>
  <c r="CS67" i="300"/>
  <c r="CR67" i="300"/>
  <c r="CQ67" i="300"/>
  <c r="CP67" i="300"/>
  <c r="CO67" i="300"/>
  <c r="CN67" i="300"/>
  <c r="CM67" i="300"/>
  <c r="CL67" i="300"/>
  <c r="CK67" i="300"/>
  <c r="CJ67" i="300"/>
  <c r="CI67" i="300"/>
  <c r="CH67" i="300"/>
  <c r="CG67" i="300"/>
  <c r="CF67" i="300"/>
  <c r="CE67" i="300"/>
  <c r="CS66" i="300"/>
  <c r="CR66" i="300"/>
  <c r="CQ66" i="300"/>
  <c r="CP66" i="300"/>
  <c r="CO66" i="300"/>
  <c r="CN66" i="300"/>
  <c r="CM66" i="300"/>
  <c r="CL66" i="300"/>
  <c r="CK66" i="300"/>
  <c r="CJ66" i="300"/>
  <c r="CI66" i="300"/>
  <c r="CH66" i="300"/>
  <c r="CG66" i="300"/>
  <c r="CF66" i="300"/>
  <c r="CE66" i="300"/>
  <c r="CS65" i="300"/>
  <c r="CR65" i="300"/>
  <c r="CQ65" i="300"/>
  <c r="CP65" i="300"/>
  <c r="CO65" i="300"/>
  <c r="CN65" i="300"/>
  <c r="CM65" i="300"/>
  <c r="CL65" i="300"/>
  <c r="CK65" i="300"/>
  <c r="CJ65" i="300"/>
  <c r="CI65" i="300"/>
  <c r="CH65" i="300"/>
  <c r="CG65" i="300"/>
  <c r="CF65" i="300"/>
  <c r="CE65" i="300"/>
  <c r="CS64" i="300"/>
  <c r="CR64" i="300"/>
  <c r="CQ64" i="300"/>
  <c r="CP64" i="300"/>
  <c r="CO64" i="300"/>
  <c r="CN64" i="300"/>
  <c r="CM64" i="300"/>
  <c r="CL64" i="300"/>
  <c r="CK64" i="300"/>
  <c r="CJ64" i="300"/>
  <c r="CI64" i="300"/>
  <c r="CH64" i="300"/>
  <c r="CG64" i="300"/>
  <c r="CF64" i="300"/>
  <c r="CE64" i="300"/>
  <c r="CS63" i="300"/>
  <c r="CR63" i="300"/>
  <c r="CQ63" i="300"/>
  <c r="CP63" i="300"/>
  <c r="CO63" i="300"/>
  <c r="CN63" i="300"/>
  <c r="CM63" i="300"/>
  <c r="CL63" i="300"/>
  <c r="CK63" i="300"/>
  <c r="CJ63" i="300"/>
  <c r="CI63" i="300"/>
  <c r="CH63" i="300"/>
  <c r="CG63" i="300"/>
  <c r="CF63" i="300"/>
  <c r="CE63" i="300"/>
  <c r="CS62" i="300"/>
  <c r="CR62" i="300"/>
  <c r="CQ62" i="300"/>
  <c r="CP62" i="300"/>
  <c r="CO62" i="300"/>
  <c r="CN62" i="300"/>
  <c r="CM62" i="300"/>
  <c r="CL62" i="300"/>
  <c r="CK62" i="300"/>
  <c r="CJ62" i="300"/>
  <c r="CI62" i="300"/>
  <c r="CH62" i="300"/>
  <c r="CG62" i="300"/>
  <c r="CF62" i="300"/>
  <c r="CE62" i="300"/>
  <c r="CS61" i="300"/>
  <c r="CR61" i="300"/>
  <c r="CQ61" i="300"/>
  <c r="CP61" i="300"/>
  <c r="CO61" i="300"/>
  <c r="CN61" i="300"/>
  <c r="CM61" i="300"/>
  <c r="CL61" i="300"/>
  <c r="CK61" i="300"/>
  <c r="CJ61" i="300"/>
  <c r="CI61" i="300"/>
  <c r="CH61" i="300"/>
  <c r="CG61" i="300"/>
  <c r="CF61" i="300"/>
  <c r="CE61" i="300"/>
  <c r="CS60" i="300"/>
  <c r="CR60" i="300"/>
  <c r="CQ60" i="300"/>
  <c r="CP60" i="300"/>
  <c r="CO60" i="300"/>
  <c r="CN60" i="300"/>
  <c r="CM60" i="300"/>
  <c r="CL60" i="300"/>
  <c r="CK60" i="300"/>
  <c r="CJ60" i="300"/>
  <c r="CI60" i="300"/>
  <c r="CH60" i="300"/>
  <c r="CG60" i="300"/>
  <c r="CF60" i="300"/>
  <c r="CE60" i="300"/>
  <c r="CS59" i="300"/>
  <c r="CR59" i="300"/>
  <c r="CQ59" i="300"/>
  <c r="CP59" i="300"/>
  <c r="CO59" i="300"/>
  <c r="CN59" i="300"/>
  <c r="CM59" i="300"/>
  <c r="CL59" i="300"/>
  <c r="CK59" i="300"/>
  <c r="CJ59" i="300"/>
  <c r="CI59" i="300"/>
  <c r="CH59" i="300"/>
  <c r="CG59" i="300"/>
  <c r="CF59" i="300"/>
  <c r="CE59" i="300"/>
  <c r="CS58" i="300"/>
  <c r="CR58" i="300"/>
  <c r="CQ58" i="300"/>
  <c r="CP58" i="300"/>
  <c r="CO58" i="300"/>
  <c r="CN58" i="300"/>
  <c r="CM58" i="300"/>
  <c r="CL58" i="300"/>
  <c r="CK58" i="300"/>
  <c r="CJ58" i="300"/>
  <c r="CI58" i="300"/>
  <c r="CH58" i="300"/>
  <c r="CG58" i="300"/>
  <c r="CF58" i="300"/>
  <c r="CE58" i="300"/>
  <c r="CS57" i="300"/>
  <c r="CR57" i="300"/>
  <c r="CQ57" i="300"/>
  <c r="CP57" i="300"/>
  <c r="CO57" i="300"/>
  <c r="CN57" i="300"/>
  <c r="CM57" i="300"/>
  <c r="CL57" i="300"/>
  <c r="CK57" i="300"/>
  <c r="CJ57" i="300"/>
  <c r="CI57" i="300"/>
  <c r="CH57" i="300"/>
  <c r="CG57" i="300"/>
  <c r="CF57" i="300"/>
  <c r="CE57" i="300"/>
  <c r="CS56" i="300"/>
  <c r="CR56" i="300"/>
  <c r="CQ56" i="300"/>
  <c r="CP56" i="300"/>
  <c r="CO56" i="300"/>
  <c r="CN56" i="300"/>
  <c r="CM56" i="300"/>
  <c r="CL56" i="300"/>
  <c r="CK56" i="300"/>
  <c r="CJ56" i="300"/>
  <c r="CI56" i="300"/>
  <c r="CH56" i="300"/>
  <c r="CG56" i="300"/>
  <c r="CF56" i="300"/>
  <c r="CE56" i="300"/>
  <c r="CS55" i="300"/>
  <c r="CR55" i="300"/>
  <c r="CQ55" i="300"/>
  <c r="CP55" i="300"/>
  <c r="CO55" i="300"/>
  <c r="CN55" i="300"/>
  <c r="CM55" i="300"/>
  <c r="CL55" i="300"/>
  <c r="CK55" i="300"/>
  <c r="CJ55" i="300"/>
  <c r="CI55" i="300"/>
  <c r="CH55" i="300"/>
  <c r="CG55" i="300"/>
  <c r="CF55" i="300"/>
  <c r="CE55" i="300"/>
  <c r="CS54" i="300"/>
  <c r="CR54" i="300"/>
  <c r="CQ54" i="300"/>
  <c r="CP54" i="300"/>
  <c r="CO54" i="300"/>
  <c r="CN54" i="300"/>
  <c r="CM54" i="300"/>
  <c r="CL54" i="300"/>
  <c r="CK54" i="300"/>
  <c r="CJ54" i="300"/>
  <c r="CI54" i="300"/>
  <c r="CH54" i="300"/>
  <c r="CG54" i="300"/>
  <c r="CF54" i="300"/>
  <c r="CE54" i="300"/>
  <c r="CS53" i="300"/>
  <c r="CR53" i="300"/>
  <c r="CQ53" i="300"/>
  <c r="CP53" i="300"/>
  <c r="CO53" i="300"/>
  <c r="CN53" i="300"/>
  <c r="CM53" i="300"/>
  <c r="CL53" i="300"/>
  <c r="CK53" i="300"/>
  <c r="CJ53" i="300"/>
  <c r="CI53" i="300"/>
  <c r="CH53" i="300"/>
  <c r="CG53" i="300"/>
  <c r="CF53" i="300"/>
  <c r="CE53" i="300"/>
  <c r="CS52" i="300"/>
  <c r="CR52" i="300"/>
  <c r="CQ52" i="300"/>
  <c r="CP52" i="300"/>
  <c r="CO52" i="300"/>
  <c r="CN52" i="300"/>
  <c r="CM52" i="300"/>
  <c r="CL52" i="300"/>
  <c r="CK52" i="300"/>
  <c r="CJ52" i="300"/>
  <c r="CI52" i="300"/>
  <c r="CH52" i="300"/>
  <c r="CG52" i="300"/>
  <c r="CF52" i="300"/>
  <c r="CE52" i="300"/>
  <c r="CS51" i="300"/>
  <c r="CR51" i="300"/>
  <c r="CQ51" i="300"/>
  <c r="CP51" i="300"/>
  <c r="CO51" i="300"/>
  <c r="CN51" i="300"/>
  <c r="CM51" i="300"/>
  <c r="CL51" i="300"/>
  <c r="CK51" i="300"/>
  <c r="CJ51" i="300"/>
  <c r="CI51" i="300"/>
  <c r="CH51" i="300"/>
  <c r="CG51" i="300"/>
  <c r="CF51" i="300"/>
  <c r="CE51" i="300"/>
  <c r="CS50" i="300"/>
  <c r="CR50" i="300"/>
  <c r="CQ50" i="300"/>
  <c r="CP50" i="300"/>
  <c r="CO50" i="300"/>
  <c r="CN50" i="300"/>
  <c r="CM50" i="300"/>
  <c r="CL50" i="300"/>
  <c r="CK50" i="300"/>
  <c r="CJ50" i="300"/>
  <c r="CI50" i="300"/>
  <c r="CH50" i="300"/>
  <c r="CG50" i="300"/>
  <c r="CF50" i="300"/>
  <c r="CE50" i="300"/>
  <c r="CS48" i="300"/>
  <c r="CR48" i="300"/>
  <c r="CQ48" i="300"/>
  <c r="CP48" i="300"/>
  <c r="CO48" i="300"/>
  <c r="CN48" i="300"/>
  <c r="CM48" i="300"/>
  <c r="CL48" i="300"/>
  <c r="CK48" i="300"/>
  <c r="CJ48" i="300"/>
  <c r="CI48" i="300"/>
  <c r="CH48" i="300"/>
  <c r="CG48" i="300"/>
  <c r="CF48" i="300"/>
  <c r="CE48" i="300"/>
  <c r="CS47" i="300"/>
  <c r="CR47" i="300"/>
  <c r="CQ47" i="300"/>
  <c r="CP47" i="300"/>
  <c r="CO47" i="300"/>
  <c r="CN47" i="300"/>
  <c r="CM47" i="300"/>
  <c r="CL47" i="300"/>
  <c r="CK47" i="300"/>
  <c r="CJ47" i="300"/>
  <c r="CI47" i="300"/>
  <c r="CH47" i="300"/>
  <c r="CG47" i="300"/>
  <c r="CF47" i="300"/>
  <c r="CE47" i="300"/>
  <c r="CS46" i="300"/>
  <c r="CR46" i="300"/>
  <c r="CQ46" i="300"/>
  <c r="CP46" i="300"/>
  <c r="CO46" i="300"/>
  <c r="CN46" i="300"/>
  <c r="CM46" i="300"/>
  <c r="CL46" i="300"/>
  <c r="CK46" i="300"/>
  <c r="CJ46" i="300"/>
  <c r="CI46" i="300"/>
  <c r="CH46" i="300"/>
  <c r="CG46" i="300"/>
  <c r="CF46" i="300"/>
  <c r="CE46" i="300"/>
  <c r="CS45" i="300"/>
  <c r="CR45" i="300"/>
  <c r="CQ45" i="300"/>
  <c r="CP45" i="300"/>
  <c r="CO45" i="300"/>
  <c r="CN45" i="300"/>
  <c r="CM45" i="300"/>
  <c r="CL45" i="300"/>
  <c r="CK45" i="300"/>
  <c r="CJ45" i="300"/>
  <c r="CI45" i="300"/>
  <c r="CH45" i="300"/>
  <c r="CG45" i="300"/>
  <c r="CF45" i="300"/>
  <c r="CE45" i="300"/>
  <c r="CS44" i="300"/>
  <c r="CR44" i="300"/>
  <c r="CQ44" i="300"/>
  <c r="CP44" i="300"/>
  <c r="CO44" i="300"/>
  <c r="CN44" i="300"/>
  <c r="CM44" i="300"/>
  <c r="CL44" i="300"/>
  <c r="CK44" i="300"/>
  <c r="CJ44" i="300"/>
  <c r="CI44" i="300"/>
  <c r="CH44" i="300"/>
  <c r="CG44" i="300"/>
  <c r="CF44" i="300"/>
  <c r="CE44" i="300"/>
  <c r="CS43" i="300"/>
  <c r="CR43" i="300"/>
  <c r="CQ43" i="300"/>
  <c r="CP43" i="300"/>
  <c r="CO43" i="300"/>
  <c r="CN43" i="300"/>
  <c r="CM43" i="300"/>
  <c r="CL43" i="300"/>
  <c r="CK43" i="300"/>
  <c r="CJ43" i="300"/>
  <c r="CI43" i="300"/>
  <c r="CH43" i="300"/>
  <c r="CG43" i="300"/>
  <c r="CF43" i="300"/>
  <c r="CE43" i="300"/>
  <c r="CS42" i="300"/>
  <c r="CR42" i="300"/>
  <c r="CQ42" i="300"/>
  <c r="CP42" i="300"/>
  <c r="CO42" i="300"/>
  <c r="CN42" i="300"/>
  <c r="CM42" i="300"/>
  <c r="CL42" i="300"/>
  <c r="CK42" i="300"/>
  <c r="CJ42" i="300"/>
  <c r="CI42" i="300"/>
  <c r="CH42" i="300"/>
  <c r="CG42" i="300"/>
  <c r="CF42" i="300"/>
  <c r="CE42" i="300"/>
  <c r="CS41" i="300"/>
  <c r="CR41" i="300"/>
  <c r="CQ41" i="300"/>
  <c r="CP41" i="300"/>
  <c r="CO41" i="300"/>
  <c r="CN41" i="300"/>
  <c r="CM41" i="300"/>
  <c r="CL41" i="300"/>
  <c r="CK41" i="300"/>
  <c r="CJ41" i="300"/>
  <c r="CI41" i="300"/>
  <c r="CH41" i="300"/>
  <c r="CG41" i="300"/>
  <c r="CF41" i="300"/>
  <c r="CE41" i="300"/>
  <c r="CS40" i="300"/>
  <c r="CR40" i="300"/>
  <c r="CQ40" i="300"/>
  <c r="CP40" i="300"/>
  <c r="CO40" i="300"/>
  <c r="CN40" i="300"/>
  <c r="CM40" i="300"/>
  <c r="CL40" i="300"/>
  <c r="CK40" i="300"/>
  <c r="CJ40" i="300"/>
  <c r="CI40" i="300"/>
  <c r="CH40" i="300"/>
  <c r="CG40" i="300"/>
  <c r="CF40" i="300"/>
  <c r="CE40" i="300"/>
  <c r="CS39" i="300"/>
  <c r="CR39" i="300"/>
  <c r="CQ39" i="300"/>
  <c r="CP39" i="300"/>
  <c r="CO39" i="300"/>
  <c r="CN39" i="300"/>
  <c r="CM39" i="300"/>
  <c r="CL39" i="300"/>
  <c r="CK39" i="300"/>
  <c r="CJ39" i="300"/>
  <c r="CI39" i="300"/>
  <c r="CH39" i="300"/>
  <c r="CG39" i="300"/>
  <c r="CF39" i="300"/>
  <c r="CE39" i="300"/>
  <c r="CS38" i="300"/>
  <c r="CR38" i="300"/>
  <c r="CQ38" i="300"/>
  <c r="CP38" i="300"/>
  <c r="CO38" i="300"/>
  <c r="CN38" i="300"/>
  <c r="CM38" i="300"/>
  <c r="CL38" i="300"/>
  <c r="CK38" i="300"/>
  <c r="CJ38" i="300"/>
  <c r="CI38" i="300"/>
  <c r="CH38" i="300"/>
  <c r="CG38" i="300"/>
  <c r="CF38" i="300"/>
  <c r="CE38" i="300"/>
  <c r="CS37" i="300"/>
  <c r="CR37" i="300"/>
  <c r="CQ37" i="300"/>
  <c r="CP37" i="300"/>
  <c r="CO37" i="300"/>
  <c r="CN37" i="300"/>
  <c r="CM37" i="300"/>
  <c r="CL37" i="300"/>
  <c r="CK37" i="300"/>
  <c r="CJ37" i="300"/>
  <c r="CI37" i="300"/>
  <c r="CH37" i="300"/>
  <c r="CG37" i="300"/>
  <c r="CF37" i="300"/>
  <c r="CE37" i="300"/>
  <c r="CS36" i="300"/>
  <c r="CR36" i="300"/>
  <c r="CQ36" i="300"/>
  <c r="CP36" i="300"/>
  <c r="CO36" i="300"/>
  <c r="CN36" i="300"/>
  <c r="CM36" i="300"/>
  <c r="CL36" i="300"/>
  <c r="CK36" i="300"/>
  <c r="CJ36" i="300"/>
  <c r="CI36" i="300"/>
  <c r="CH36" i="300"/>
  <c r="CG36" i="300"/>
  <c r="CF36" i="300"/>
  <c r="CE36" i="300"/>
  <c r="CS35" i="300"/>
  <c r="CR35" i="300"/>
  <c r="CQ35" i="300"/>
  <c r="CP35" i="300"/>
  <c r="CO35" i="300"/>
  <c r="CN35" i="300"/>
  <c r="CM35" i="300"/>
  <c r="CL35" i="300"/>
  <c r="CK35" i="300"/>
  <c r="CJ35" i="300"/>
  <c r="CI35" i="300"/>
  <c r="CH35" i="300"/>
  <c r="CG35" i="300"/>
  <c r="CF35" i="300"/>
  <c r="CE35" i="300"/>
  <c r="CS34" i="300"/>
  <c r="CR34" i="300"/>
  <c r="CQ34" i="300"/>
  <c r="CP34" i="300"/>
  <c r="CO34" i="300"/>
  <c r="CN34" i="300"/>
  <c r="CM34" i="300"/>
  <c r="CL34" i="300"/>
  <c r="CK34" i="300"/>
  <c r="CJ34" i="300"/>
  <c r="CI34" i="300"/>
  <c r="CH34" i="300"/>
  <c r="CG34" i="300"/>
  <c r="CF34" i="300"/>
  <c r="CE34" i="300"/>
  <c r="CS33" i="300"/>
  <c r="CR33" i="300"/>
  <c r="CQ33" i="300"/>
  <c r="CP33" i="300"/>
  <c r="CO33" i="300"/>
  <c r="CN33" i="300"/>
  <c r="CM33" i="300"/>
  <c r="CL33" i="300"/>
  <c r="CK33" i="300"/>
  <c r="CJ33" i="300"/>
  <c r="CI33" i="300"/>
  <c r="CH33" i="300"/>
  <c r="CG33" i="300"/>
  <c r="CF33" i="300"/>
  <c r="CE33" i="300"/>
  <c r="CS32" i="300"/>
  <c r="CR32" i="300"/>
  <c r="CQ32" i="300"/>
  <c r="CP32" i="300"/>
  <c r="CO32" i="300"/>
  <c r="CN32" i="300"/>
  <c r="CM32" i="300"/>
  <c r="CL32" i="300"/>
  <c r="CK32" i="300"/>
  <c r="CJ32" i="300"/>
  <c r="CI32" i="300"/>
  <c r="CH32" i="300"/>
  <c r="CG32" i="300"/>
  <c r="CF32" i="300"/>
  <c r="CE32" i="300"/>
  <c r="CS31" i="300"/>
  <c r="CR31" i="300"/>
  <c r="CQ31" i="300"/>
  <c r="CP31" i="300"/>
  <c r="CO31" i="300"/>
  <c r="CN31" i="300"/>
  <c r="CM31" i="300"/>
  <c r="CL31" i="300"/>
  <c r="CK31" i="300"/>
  <c r="CJ31" i="300"/>
  <c r="CI31" i="300"/>
  <c r="CH31" i="300"/>
  <c r="CG31" i="300"/>
  <c r="CF31" i="300"/>
  <c r="CE31" i="300"/>
  <c r="CS30" i="300"/>
  <c r="CR30" i="300"/>
  <c r="CQ30" i="300"/>
  <c r="CP30" i="300"/>
  <c r="CO30" i="300"/>
  <c r="CN30" i="300"/>
  <c r="CM30" i="300"/>
  <c r="CL30" i="300"/>
  <c r="CK30" i="300"/>
  <c r="CJ30" i="300"/>
  <c r="CI30" i="300"/>
  <c r="CH30" i="300"/>
  <c r="CG30" i="300"/>
  <c r="CF30" i="300"/>
  <c r="CE30" i="300"/>
  <c r="CS29" i="300"/>
  <c r="CR29" i="300"/>
  <c r="CQ29" i="300"/>
  <c r="CP29" i="300"/>
  <c r="CO29" i="300"/>
  <c r="CN29" i="300"/>
  <c r="CM29" i="300"/>
  <c r="CL29" i="300"/>
  <c r="CK29" i="300"/>
  <c r="CJ29" i="300"/>
  <c r="CI29" i="300"/>
  <c r="CH29" i="300"/>
  <c r="CG29" i="300"/>
  <c r="CF29" i="300"/>
  <c r="CE29" i="300"/>
  <c r="CS28" i="300"/>
  <c r="CR28" i="300"/>
  <c r="CQ28" i="300"/>
  <c r="CP28" i="300"/>
  <c r="CO28" i="300"/>
  <c r="CN28" i="300"/>
  <c r="CM28" i="300"/>
  <c r="CL28" i="300"/>
  <c r="CK28" i="300"/>
  <c r="CJ28" i="300"/>
  <c r="CI28" i="300"/>
  <c r="CH28" i="300"/>
  <c r="CG28" i="300"/>
  <c r="CF28" i="300"/>
  <c r="CE28" i="300"/>
  <c r="CS27" i="300"/>
  <c r="CR27" i="300"/>
  <c r="CQ27" i="300"/>
  <c r="CP27" i="300"/>
  <c r="CO27" i="300"/>
  <c r="CN27" i="300"/>
  <c r="CM27" i="300"/>
  <c r="CL27" i="300"/>
  <c r="CK27" i="300"/>
  <c r="CJ27" i="300"/>
  <c r="CI27" i="300"/>
  <c r="CH27" i="300"/>
  <c r="CG27" i="300"/>
  <c r="CF27" i="300"/>
  <c r="CE27" i="300"/>
  <c r="CS26" i="300"/>
  <c r="CR26" i="300"/>
  <c r="CQ26" i="300"/>
  <c r="CP26" i="300"/>
  <c r="CO26" i="300"/>
  <c r="CN26" i="300"/>
  <c r="CM26" i="300"/>
  <c r="CL26" i="300"/>
  <c r="CK26" i="300"/>
  <c r="CJ26" i="300"/>
  <c r="CI26" i="300"/>
  <c r="CH26" i="300"/>
  <c r="CG26" i="300"/>
  <c r="CF26" i="300"/>
  <c r="CE26" i="300"/>
  <c r="CS25" i="300"/>
  <c r="CR25" i="300"/>
  <c r="CQ25" i="300"/>
  <c r="CP25" i="300"/>
  <c r="CO25" i="300"/>
  <c r="CN25" i="300"/>
  <c r="CM25" i="300"/>
  <c r="CL25" i="300"/>
  <c r="CK25" i="300"/>
  <c r="CJ25" i="300"/>
  <c r="CI25" i="300"/>
  <c r="CH25" i="300"/>
  <c r="CG25" i="300"/>
  <c r="CF25" i="300"/>
  <c r="CE25" i="300"/>
  <c r="CS24" i="300"/>
  <c r="CR24" i="300"/>
  <c r="CQ24" i="300"/>
  <c r="CP24" i="300"/>
  <c r="CO24" i="300"/>
  <c r="CN24" i="300"/>
  <c r="CM24" i="300"/>
  <c r="CL24" i="300"/>
  <c r="CK24" i="300"/>
  <c r="CJ24" i="300"/>
  <c r="CI24" i="300"/>
  <c r="CH24" i="300"/>
  <c r="CG24" i="300"/>
  <c r="CF24" i="300"/>
  <c r="CE24" i="300"/>
  <c r="CS23" i="300"/>
  <c r="CR23" i="300"/>
  <c r="CQ23" i="300"/>
  <c r="CP23" i="300"/>
  <c r="CO23" i="300"/>
  <c r="CN23" i="300"/>
  <c r="CM23" i="300"/>
  <c r="CL23" i="300"/>
  <c r="CK23" i="300"/>
  <c r="CJ23" i="300"/>
  <c r="CI23" i="300"/>
  <c r="CH23" i="300"/>
  <c r="CG23" i="300"/>
  <c r="CF23" i="300"/>
  <c r="CE23" i="300"/>
  <c r="CS22" i="300"/>
  <c r="CR22" i="300"/>
  <c r="CQ22" i="300"/>
  <c r="CP22" i="300"/>
  <c r="CO22" i="300"/>
  <c r="CN22" i="300"/>
  <c r="CM22" i="300"/>
  <c r="CL22" i="300"/>
  <c r="CK22" i="300"/>
  <c r="CJ22" i="300"/>
  <c r="CI22" i="300"/>
  <c r="CH22" i="300"/>
  <c r="CG22" i="300"/>
  <c r="CF22" i="300"/>
  <c r="CE22" i="300"/>
  <c r="CS21" i="300"/>
  <c r="CR21" i="300"/>
  <c r="CQ21" i="300"/>
  <c r="CP21" i="300"/>
  <c r="CO21" i="300"/>
  <c r="CN21" i="300"/>
  <c r="CM21" i="300"/>
  <c r="CL21" i="300"/>
  <c r="CK21" i="300"/>
  <c r="CJ21" i="300"/>
  <c r="CI21" i="300"/>
  <c r="CH21" i="300"/>
  <c r="CG21" i="300"/>
  <c r="CF21" i="300"/>
  <c r="CE21" i="300"/>
  <c r="CS20" i="300"/>
  <c r="CR20" i="300"/>
  <c r="CQ20" i="300"/>
  <c r="CP20" i="300"/>
  <c r="CO20" i="300"/>
  <c r="CN20" i="300"/>
  <c r="CM20" i="300"/>
  <c r="CL20" i="300"/>
  <c r="CK20" i="300"/>
  <c r="CJ20" i="300"/>
  <c r="CI20" i="300"/>
  <c r="CH20" i="300"/>
  <c r="CG20" i="300"/>
  <c r="CF20" i="300"/>
  <c r="CE20" i="300"/>
  <c r="CS19" i="300"/>
  <c r="CR19" i="300"/>
  <c r="CQ19" i="300"/>
  <c r="CP19" i="300"/>
  <c r="CO19" i="300"/>
  <c r="CN19" i="300"/>
  <c r="CM19" i="300"/>
  <c r="CL19" i="300"/>
  <c r="CK19" i="300"/>
  <c r="CJ19" i="300"/>
  <c r="CI19" i="300"/>
  <c r="CH19" i="300"/>
  <c r="CG19" i="300"/>
  <c r="CF19" i="300"/>
  <c r="CE19" i="300"/>
  <c r="CS18" i="300"/>
  <c r="CR18" i="300"/>
  <c r="CQ18" i="300"/>
  <c r="CP18" i="300"/>
  <c r="CO18" i="300"/>
  <c r="CN18" i="300"/>
  <c r="CM18" i="300"/>
  <c r="CL18" i="300"/>
  <c r="CK18" i="300"/>
  <c r="CJ18" i="300"/>
  <c r="CI18" i="300"/>
  <c r="CH18" i="300"/>
  <c r="CG18" i="300"/>
  <c r="CF18" i="300"/>
  <c r="CE18" i="300"/>
  <c r="CS17" i="300"/>
  <c r="CR17" i="300"/>
  <c r="CQ17" i="300"/>
  <c r="CP17" i="300"/>
  <c r="CO17" i="300"/>
  <c r="CN17" i="300"/>
  <c r="CM17" i="300"/>
  <c r="CL17" i="300"/>
  <c r="CK17" i="300"/>
  <c r="CJ17" i="300"/>
  <c r="CI17" i="300"/>
  <c r="CH17" i="300"/>
  <c r="CG17" i="300"/>
  <c r="CF17" i="300"/>
  <c r="CE17" i="300"/>
  <c r="CS16" i="300"/>
  <c r="CR16" i="300"/>
  <c r="CQ16" i="300"/>
  <c r="CP16" i="300"/>
  <c r="CO16" i="300"/>
  <c r="CN16" i="300"/>
  <c r="CM16" i="300"/>
  <c r="CL16" i="300"/>
  <c r="CK16" i="300"/>
  <c r="CJ16" i="300"/>
  <c r="CI16" i="300"/>
  <c r="CH16" i="300"/>
  <c r="CG16" i="300"/>
  <c r="CF16" i="300"/>
  <c r="CE16" i="300"/>
  <c r="CS15" i="300"/>
  <c r="CR15" i="300"/>
  <c r="CQ15" i="300"/>
  <c r="CP15" i="300"/>
  <c r="CO15" i="300"/>
  <c r="CN15" i="300"/>
  <c r="CM15" i="300"/>
  <c r="CL15" i="300"/>
  <c r="CK15" i="300"/>
  <c r="CJ15" i="300"/>
  <c r="CI15" i="300"/>
  <c r="CH15" i="300"/>
  <c r="CG15" i="300"/>
  <c r="CF15" i="300"/>
  <c r="CE15" i="300"/>
  <c r="CS14" i="300"/>
  <c r="CR14" i="300"/>
  <c r="CQ14" i="300"/>
  <c r="CP14" i="300"/>
  <c r="CO14" i="300"/>
  <c r="CN14" i="300"/>
  <c r="CM14" i="300"/>
  <c r="CL14" i="300"/>
  <c r="CK14" i="300"/>
  <c r="CJ14" i="300"/>
  <c r="CI14" i="300"/>
  <c r="CH14" i="300"/>
  <c r="CG14" i="300"/>
  <c r="CF14" i="300"/>
  <c r="CE14" i="300"/>
  <c r="CS13" i="300"/>
  <c r="CR13" i="300"/>
  <c r="CQ13" i="300"/>
  <c r="CP13" i="300"/>
  <c r="CO13" i="300"/>
  <c r="CN13" i="300"/>
  <c r="CM13" i="300"/>
  <c r="CL13" i="300"/>
  <c r="CK13" i="300"/>
  <c r="CJ13" i="300"/>
  <c r="CI13" i="300"/>
  <c r="CH13" i="300"/>
  <c r="CG13" i="300"/>
  <c r="CF13" i="300"/>
  <c r="CE13" i="300"/>
  <c r="CS12" i="300"/>
  <c r="CR12" i="300"/>
  <c r="CQ12" i="300"/>
  <c r="CP12" i="300"/>
  <c r="CO12" i="300"/>
  <c r="CN12" i="300"/>
  <c r="CM12" i="300"/>
  <c r="CL12" i="300"/>
  <c r="CK12" i="300"/>
  <c r="CJ12" i="300"/>
  <c r="CI12" i="300"/>
  <c r="CH12" i="300"/>
  <c r="CG12" i="300"/>
  <c r="CF12" i="300"/>
  <c r="CE12" i="300"/>
  <c r="CS11" i="300"/>
  <c r="CR11" i="300"/>
  <c r="CQ11" i="300"/>
  <c r="CP11" i="300"/>
  <c r="CO11" i="300"/>
  <c r="CN11" i="300"/>
  <c r="CM11" i="300"/>
  <c r="CL11" i="300"/>
  <c r="CK11" i="300"/>
  <c r="CJ11" i="300"/>
  <c r="CI11" i="300"/>
  <c r="CH11" i="300"/>
  <c r="CG11" i="300"/>
  <c r="CF11" i="300"/>
  <c r="CE11" i="300"/>
  <c r="CS10" i="300"/>
  <c r="CR10" i="300"/>
  <c r="CQ10" i="300"/>
  <c r="CP10" i="300"/>
  <c r="CO10" i="300"/>
  <c r="CN10" i="300"/>
  <c r="CM10" i="300"/>
  <c r="CL10" i="300"/>
  <c r="CK10" i="300"/>
  <c r="CJ10" i="300"/>
  <c r="CI10" i="300"/>
  <c r="CH10" i="300"/>
  <c r="CG10" i="300"/>
  <c r="CF10" i="300"/>
  <c r="CE10" i="300"/>
  <c r="CS9" i="300"/>
  <c r="CR9" i="300"/>
  <c r="CQ9" i="300"/>
  <c r="CP9" i="300"/>
  <c r="CO9" i="300"/>
  <c r="CN9" i="300"/>
  <c r="CM9" i="300"/>
  <c r="CL9" i="300"/>
  <c r="CK9" i="300"/>
  <c r="CJ9" i="300"/>
  <c r="CI9" i="300"/>
  <c r="CH9" i="300"/>
  <c r="CG9" i="300"/>
  <c r="CF9" i="300"/>
  <c r="CE9" i="300"/>
  <c r="CS8" i="300"/>
  <c r="CR8" i="300"/>
  <c r="CQ8" i="300"/>
  <c r="CP8" i="300"/>
  <c r="CO8" i="300"/>
  <c r="CN8" i="300"/>
  <c r="CM8" i="300"/>
  <c r="CL8" i="300"/>
  <c r="CK8" i="300"/>
  <c r="CJ8" i="300"/>
  <c r="CI8" i="300"/>
  <c r="CH8" i="300"/>
  <c r="CG8" i="300"/>
  <c r="CF8" i="300"/>
  <c r="CE8" i="300"/>
  <c r="CS7" i="300"/>
  <c r="CR7" i="300"/>
  <c r="CQ7" i="300"/>
  <c r="CP7" i="300"/>
  <c r="CO7" i="300"/>
  <c r="CN7" i="300"/>
  <c r="CM7" i="300"/>
  <c r="CL7" i="300"/>
  <c r="CK7" i="300"/>
  <c r="CJ7" i="300"/>
  <c r="CI7" i="300"/>
  <c r="CH7" i="300"/>
  <c r="CG7" i="300"/>
  <c r="CF7" i="300"/>
  <c r="CE7" i="300"/>
  <c r="CS5" i="300"/>
  <c r="CR5" i="300"/>
  <c r="CQ5" i="300"/>
  <c r="CP5" i="300"/>
  <c r="CO5" i="300"/>
  <c r="CN5" i="300"/>
  <c r="CM5" i="300"/>
  <c r="CL5" i="300"/>
  <c r="CK5" i="300"/>
  <c r="CJ5" i="300"/>
  <c r="CI5" i="300"/>
  <c r="CH5" i="300"/>
  <c r="CG5" i="300"/>
  <c r="CF5" i="300"/>
  <c r="CE5" i="300"/>
  <c r="BZ5" i="300"/>
  <c r="BY5" i="300"/>
  <c r="BX5" i="300"/>
  <c r="BW5" i="300"/>
  <c r="BV5" i="300"/>
  <c r="BU5" i="300"/>
  <c r="BT5" i="300"/>
  <c r="BS5" i="300"/>
  <c r="BR5" i="300"/>
  <c r="BQ5" i="300"/>
  <c r="BP5" i="300"/>
  <c r="BO5" i="300"/>
  <c r="BN5" i="300"/>
  <c r="BM5" i="300"/>
  <c r="BL5" i="300"/>
  <c r="BK5" i="300"/>
  <c r="BJ5" i="300"/>
  <c r="BI5" i="300"/>
  <c r="BH5" i="300"/>
  <c r="BG5" i="300"/>
  <c r="BF5" i="300"/>
  <c r="BE5" i="300"/>
  <c r="BD5" i="300"/>
  <c r="BC5" i="300"/>
  <c r="BB5" i="300"/>
  <c r="BA5" i="300"/>
  <c r="AZ5" i="300"/>
  <c r="AY5" i="300"/>
  <c r="AX5" i="300"/>
  <c r="AW5" i="300"/>
  <c r="AV5" i="300"/>
  <c r="AU5" i="300"/>
  <c r="AT5" i="300"/>
  <c r="AS5" i="300"/>
  <c r="AR5" i="300"/>
  <c r="AQ5" i="300"/>
  <c r="AP5" i="300"/>
  <c r="AO5" i="300"/>
  <c r="AN5" i="300"/>
  <c r="AM5" i="300"/>
  <c r="AL5" i="300"/>
  <c r="AK5" i="300"/>
  <c r="AJ5" i="300"/>
  <c r="AI5" i="300"/>
  <c r="AH5" i="300"/>
  <c r="AG5" i="300"/>
  <c r="AF5" i="300"/>
  <c r="AE5" i="300"/>
  <c r="AD5" i="300"/>
  <c r="AC5" i="300"/>
  <c r="AB5" i="300"/>
  <c r="AA5" i="300"/>
  <c r="Z5" i="300"/>
  <c r="Y5" i="300"/>
  <c r="X5" i="300"/>
  <c r="W5" i="300"/>
  <c r="V5" i="300"/>
  <c r="U5" i="300"/>
  <c r="T5" i="300"/>
  <c r="S5" i="300"/>
  <c r="R5" i="300"/>
  <c r="Q5" i="300"/>
  <c r="P5" i="300"/>
  <c r="O5" i="300"/>
  <c r="N5" i="300"/>
  <c r="M5" i="300"/>
  <c r="L5" i="300"/>
  <c r="K5" i="300"/>
  <c r="J5" i="300"/>
  <c r="I5" i="300"/>
  <c r="H5" i="300"/>
  <c r="G5" i="300"/>
  <c r="F5" i="300"/>
  <c r="E5" i="300"/>
  <c r="D5" i="300"/>
  <c r="C5" i="300"/>
  <c r="CS170" i="299"/>
  <c r="CR170" i="299"/>
  <c r="CQ170" i="299"/>
  <c r="CP170" i="299"/>
  <c r="CO170" i="299"/>
  <c r="CN170" i="299"/>
  <c r="CM170" i="299"/>
  <c r="CL170" i="299"/>
  <c r="CK170" i="299"/>
  <c r="CJ170" i="299"/>
  <c r="CI170" i="299"/>
  <c r="CH170" i="299"/>
  <c r="CG170" i="299"/>
  <c r="CF170" i="299"/>
  <c r="CE170" i="299"/>
  <c r="CS169" i="299"/>
  <c r="CR169" i="299"/>
  <c r="CQ169" i="299"/>
  <c r="CP169" i="299"/>
  <c r="CO169" i="299"/>
  <c r="CN169" i="299"/>
  <c r="CM169" i="299"/>
  <c r="CL169" i="299"/>
  <c r="CK169" i="299"/>
  <c r="CJ169" i="299"/>
  <c r="CI169" i="299"/>
  <c r="CH169" i="299"/>
  <c r="CG169" i="299"/>
  <c r="CF169" i="299"/>
  <c r="CE169" i="299"/>
  <c r="CS168" i="299"/>
  <c r="CR168" i="299"/>
  <c r="CQ168" i="299"/>
  <c r="CP168" i="299"/>
  <c r="CO168" i="299"/>
  <c r="CN168" i="299"/>
  <c r="CM168" i="299"/>
  <c r="CL168" i="299"/>
  <c r="CK168" i="299"/>
  <c r="CJ168" i="299"/>
  <c r="CI168" i="299"/>
  <c r="CH168" i="299"/>
  <c r="CG168" i="299"/>
  <c r="CF168" i="299"/>
  <c r="CE168" i="299"/>
  <c r="CS167" i="299"/>
  <c r="CR167" i="299"/>
  <c r="CQ167" i="299"/>
  <c r="CP167" i="299"/>
  <c r="CO167" i="299"/>
  <c r="CN167" i="299"/>
  <c r="CM167" i="299"/>
  <c r="CL167" i="299"/>
  <c r="CK167" i="299"/>
  <c r="CJ167" i="299"/>
  <c r="CI167" i="299"/>
  <c r="CH167" i="299"/>
  <c r="CG167" i="299"/>
  <c r="CF167" i="299"/>
  <c r="CE167" i="299"/>
  <c r="CS166" i="299"/>
  <c r="CR166" i="299"/>
  <c r="CQ166" i="299"/>
  <c r="CP166" i="299"/>
  <c r="CO166" i="299"/>
  <c r="CN166" i="299"/>
  <c r="CM166" i="299"/>
  <c r="CL166" i="299"/>
  <c r="CK166" i="299"/>
  <c r="CJ166" i="299"/>
  <c r="CI166" i="299"/>
  <c r="CH166" i="299"/>
  <c r="CG166" i="299"/>
  <c r="CF166" i="299"/>
  <c r="CE166" i="299"/>
  <c r="CS165" i="299"/>
  <c r="CR165" i="299"/>
  <c r="CQ165" i="299"/>
  <c r="CP165" i="299"/>
  <c r="CO165" i="299"/>
  <c r="CN165" i="299"/>
  <c r="CM165" i="299"/>
  <c r="CL165" i="299"/>
  <c r="CK165" i="299"/>
  <c r="CJ165" i="299"/>
  <c r="CI165" i="299"/>
  <c r="CH165" i="299"/>
  <c r="CG165" i="299"/>
  <c r="CF165" i="299"/>
  <c r="CE165" i="299"/>
  <c r="CS164" i="299"/>
  <c r="CR164" i="299"/>
  <c r="CQ164" i="299"/>
  <c r="CP164" i="299"/>
  <c r="CO164" i="299"/>
  <c r="CN164" i="299"/>
  <c r="CM164" i="299"/>
  <c r="CL164" i="299"/>
  <c r="CK164" i="299"/>
  <c r="CJ164" i="299"/>
  <c r="CI164" i="299"/>
  <c r="CH164" i="299"/>
  <c r="CG164" i="299"/>
  <c r="CF164" i="299"/>
  <c r="CE164" i="299"/>
  <c r="CS163" i="299"/>
  <c r="CR163" i="299"/>
  <c r="CQ163" i="299"/>
  <c r="CP163" i="299"/>
  <c r="CO163" i="299"/>
  <c r="CN163" i="299"/>
  <c r="CM163" i="299"/>
  <c r="CL163" i="299"/>
  <c r="CK163" i="299"/>
  <c r="CJ163" i="299"/>
  <c r="CI163" i="299"/>
  <c r="CH163" i="299"/>
  <c r="CG163" i="299"/>
  <c r="CF163" i="299"/>
  <c r="CE163" i="299"/>
  <c r="CS161" i="299"/>
  <c r="CR161" i="299"/>
  <c r="CQ161" i="299"/>
  <c r="CP161" i="299"/>
  <c r="CO161" i="299"/>
  <c r="CN161" i="299"/>
  <c r="CM161" i="299"/>
  <c r="CL161" i="299"/>
  <c r="CK161" i="299"/>
  <c r="CJ161" i="299"/>
  <c r="CI161" i="299"/>
  <c r="CH161" i="299"/>
  <c r="CG161" i="299"/>
  <c r="CF161" i="299"/>
  <c r="CE161" i="299"/>
  <c r="CS160" i="299"/>
  <c r="CR160" i="299"/>
  <c r="CQ160" i="299"/>
  <c r="CP160" i="299"/>
  <c r="CO160" i="299"/>
  <c r="CN160" i="299"/>
  <c r="CM160" i="299"/>
  <c r="CL160" i="299"/>
  <c r="CK160" i="299"/>
  <c r="CJ160" i="299"/>
  <c r="CI160" i="299"/>
  <c r="CH160" i="299"/>
  <c r="CG160" i="299"/>
  <c r="CF160" i="299"/>
  <c r="CE160" i="299"/>
  <c r="CS159" i="299"/>
  <c r="CR159" i="299"/>
  <c r="CQ159" i="299"/>
  <c r="CP159" i="299"/>
  <c r="CO159" i="299"/>
  <c r="CN159" i="299"/>
  <c r="CM159" i="299"/>
  <c r="CL159" i="299"/>
  <c r="CK159" i="299"/>
  <c r="CJ159" i="299"/>
  <c r="CI159" i="299"/>
  <c r="CH159" i="299"/>
  <c r="CG159" i="299"/>
  <c r="CF159" i="299"/>
  <c r="CE159" i="299"/>
  <c r="CS158" i="299"/>
  <c r="CR158" i="299"/>
  <c r="CQ158" i="299"/>
  <c r="CP158" i="299"/>
  <c r="CO158" i="299"/>
  <c r="CN158" i="299"/>
  <c r="CM158" i="299"/>
  <c r="CL158" i="299"/>
  <c r="CK158" i="299"/>
  <c r="CJ158" i="299"/>
  <c r="CI158" i="299"/>
  <c r="CH158" i="299"/>
  <c r="CG158" i="299"/>
  <c r="CF158" i="299"/>
  <c r="CE158" i="299"/>
  <c r="CS157" i="299"/>
  <c r="CR157" i="299"/>
  <c r="CQ157" i="299"/>
  <c r="CP157" i="299"/>
  <c r="CO157" i="299"/>
  <c r="CN157" i="299"/>
  <c r="CM157" i="299"/>
  <c r="CL157" i="299"/>
  <c r="CK157" i="299"/>
  <c r="CJ157" i="299"/>
  <c r="CI157" i="299"/>
  <c r="CH157" i="299"/>
  <c r="CG157" i="299"/>
  <c r="CF157" i="299"/>
  <c r="CE157" i="299"/>
  <c r="CS156" i="299"/>
  <c r="CR156" i="299"/>
  <c r="CQ156" i="299"/>
  <c r="CP156" i="299"/>
  <c r="CO156" i="299"/>
  <c r="CN156" i="299"/>
  <c r="CM156" i="299"/>
  <c r="CL156" i="299"/>
  <c r="CK156" i="299"/>
  <c r="CJ156" i="299"/>
  <c r="CI156" i="299"/>
  <c r="CH156" i="299"/>
  <c r="CG156" i="299"/>
  <c r="CF156" i="299"/>
  <c r="CE156" i="299"/>
  <c r="CS155" i="299"/>
  <c r="CR155" i="299"/>
  <c r="CQ155" i="299"/>
  <c r="CP155" i="299"/>
  <c r="CO155" i="299"/>
  <c r="CN155" i="299"/>
  <c r="CM155" i="299"/>
  <c r="CL155" i="299"/>
  <c r="CK155" i="299"/>
  <c r="CJ155" i="299"/>
  <c r="CI155" i="299"/>
  <c r="CH155" i="299"/>
  <c r="CG155" i="299"/>
  <c r="CF155" i="299"/>
  <c r="CE155" i="299"/>
  <c r="CS154" i="299"/>
  <c r="CR154" i="299"/>
  <c r="CQ154" i="299"/>
  <c r="CP154" i="299"/>
  <c r="CO154" i="299"/>
  <c r="CN154" i="299"/>
  <c r="CM154" i="299"/>
  <c r="CL154" i="299"/>
  <c r="CK154" i="299"/>
  <c r="CJ154" i="299"/>
  <c r="CI154" i="299"/>
  <c r="CH154" i="299"/>
  <c r="CG154" i="299"/>
  <c r="CF154" i="299"/>
  <c r="CE154" i="299"/>
  <c r="CS153" i="299"/>
  <c r="CR153" i="299"/>
  <c r="CQ153" i="299"/>
  <c r="CP153" i="299"/>
  <c r="CO153" i="299"/>
  <c r="CN153" i="299"/>
  <c r="CM153" i="299"/>
  <c r="CL153" i="299"/>
  <c r="CK153" i="299"/>
  <c r="CJ153" i="299"/>
  <c r="CI153" i="299"/>
  <c r="CH153" i="299"/>
  <c r="CG153" i="299"/>
  <c r="CF153" i="299"/>
  <c r="CE153" i="299"/>
  <c r="CS151" i="299"/>
  <c r="CR151" i="299"/>
  <c r="CQ151" i="299"/>
  <c r="CP151" i="299"/>
  <c r="CO151" i="299"/>
  <c r="CN151" i="299"/>
  <c r="CM151" i="299"/>
  <c r="CL151" i="299"/>
  <c r="CK151" i="299"/>
  <c r="CJ151" i="299"/>
  <c r="CI151" i="299"/>
  <c r="CH151" i="299"/>
  <c r="CG151" i="299"/>
  <c r="CF151" i="299"/>
  <c r="CE151" i="299"/>
  <c r="CS150" i="299"/>
  <c r="CR150" i="299"/>
  <c r="CQ150" i="299"/>
  <c r="CP150" i="299"/>
  <c r="CO150" i="299"/>
  <c r="CN150" i="299"/>
  <c r="CM150" i="299"/>
  <c r="CL150" i="299"/>
  <c r="CK150" i="299"/>
  <c r="CJ150" i="299"/>
  <c r="CI150" i="299"/>
  <c r="CH150" i="299"/>
  <c r="CG150" i="299"/>
  <c r="CF150" i="299"/>
  <c r="CE150" i="299"/>
  <c r="CS149" i="299"/>
  <c r="CR149" i="299"/>
  <c r="CQ149" i="299"/>
  <c r="CP149" i="299"/>
  <c r="CO149" i="299"/>
  <c r="CN149" i="299"/>
  <c r="CM149" i="299"/>
  <c r="CL149" i="299"/>
  <c r="CK149" i="299"/>
  <c r="CJ149" i="299"/>
  <c r="CI149" i="299"/>
  <c r="CH149" i="299"/>
  <c r="CG149" i="299"/>
  <c r="CF149" i="299"/>
  <c r="CE149" i="299"/>
  <c r="CS148" i="299"/>
  <c r="CR148" i="299"/>
  <c r="CQ148" i="299"/>
  <c r="CP148" i="299"/>
  <c r="CO148" i="299"/>
  <c r="CN148" i="299"/>
  <c r="CM148" i="299"/>
  <c r="CL148" i="299"/>
  <c r="CK148" i="299"/>
  <c r="CJ148" i="299"/>
  <c r="CI148" i="299"/>
  <c r="CH148" i="299"/>
  <c r="CG148" i="299"/>
  <c r="CF148" i="299"/>
  <c r="CE148" i="299"/>
  <c r="CS147" i="299"/>
  <c r="CR147" i="299"/>
  <c r="CQ147" i="299"/>
  <c r="CP147" i="299"/>
  <c r="CO147" i="299"/>
  <c r="CN147" i="299"/>
  <c r="CM147" i="299"/>
  <c r="CL147" i="299"/>
  <c r="CK147" i="299"/>
  <c r="CJ147" i="299"/>
  <c r="CI147" i="299"/>
  <c r="CH147" i="299"/>
  <c r="CG147" i="299"/>
  <c r="CF147" i="299"/>
  <c r="CE147" i="299"/>
  <c r="CS146" i="299"/>
  <c r="CR146" i="299"/>
  <c r="CQ146" i="299"/>
  <c r="CP146" i="299"/>
  <c r="CO146" i="299"/>
  <c r="CN146" i="299"/>
  <c r="CM146" i="299"/>
  <c r="CL146" i="299"/>
  <c r="CK146" i="299"/>
  <c r="CJ146" i="299"/>
  <c r="CI146" i="299"/>
  <c r="CH146" i="299"/>
  <c r="CG146" i="299"/>
  <c r="CF146" i="299"/>
  <c r="CE146" i="299"/>
  <c r="CS145" i="299"/>
  <c r="CR145" i="299"/>
  <c r="CQ145" i="299"/>
  <c r="CP145" i="299"/>
  <c r="CO145" i="299"/>
  <c r="CN145" i="299"/>
  <c r="CM145" i="299"/>
  <c r="CL145" i="299"/>
  <c r="CK145" i="299"/>
  <c r="CJ145" i="299"/>
  <c r="CI145" i="299"/>
  <c r="CH145" i="299"/>
  <c r="CG145" i="299"/>
  <c r="CF145" i="299"/>
  <c r="CE145" i="299"/>
  <c r="CS144" i="299"/>
  <c r="CR144" i="299"/>
  <c r="CQ144" i="299"/>
  <c r="CP144" i="299"/>
  <c r="CO144" i="299"/>
  <c r="CN144" i="299"/>
  <c r="CM144" i="299"/>
  <c r="CL144" i="299"/>
  <c r="CK144" i="299"/>
  <c r="CJ144" i="299"/>
  <c r="CI144" i="299"/>
  <c r="CH144" i="299"/>
  <c r="CG144" i="299"/>
  <c r="CF144" i="299"/>
  <c r="CE144" i="299"/>
  <c r="CS143" i="299"/>
  <c r="CR143" i="299"/>
  <c r="CQ143" i="299"/>
  <c r="CP143" i="299"/>
  <c r="CO143" i="299"/>
  <c r="CN143" i="299"/>
  <c r="CM143" i="299"/>
  <c r="CL143" i="299"/>
  <c r="CK143" i="299"/>
  <c r="CJ143" i="299"/>
  <c r="CI143" i="299"/>
  <c r="CH143" i="299"/>
  <c r="CG143" i="299"/>
  <c r="CF143" i="299"/>
  <c r="CE143" i="299"/>
  <c r="CS142" i="299"/>
  <c r="CR142" i="299"/>
  <c r="CQ142" i="299"/>
  <c r="CP142" i="299"/>
  <c r="CO142" i="299"/>
  <c r="CN142" i="299"/>
  <c r="CM142" i="299"/>
  <c r="CL142" i="299"/>
  <c r="CK142" i="299"/>
  <c r="CJ142" i="299"/>
  <c r="CI142" i="299"/>
  <c r="CH142" i="299"/>
  <c r="CG142" i="299"/>
  <c r="CF142" i="299"/>
  <c r="CE142" i="299"/>
  <c r="CS141" i="299"/>
  <c r="CR141" i="299"/>
  <c r="CQ141" i="299"/>
  <c r="CP141" i="299"/>
  <c r="CO141" i="299"/>
  <c r="CN141" i="299"/>
  <c r="CM141" i="299"/>
  <c r="CL141" i="299"/>
  <c r="CK141" i="299"/>
  <c r="CJ141" i="299"/>
  <c r="CI141" i="299"/>
  <c r="CH141" i="299"/>
  <c r="CG141" i="299"/>
  <c r="CF141" i="299"/>
  <c r="CE141" i="299"/>
  <c r="CS140" i="299"/>
  <c r="CR140" i="299"/>
  <c r="CQ140" i="299"/>
  <c r="CP140" i="299"/>
  <c r="CO140" i="299"/>
  <c r="CN140" i="299"/>
  <c r="CM140" i="299"/>
  <c r="CL140" i="299"/>
  <c r="CK140" i="299"/>
  <c r="CJ140" i="299"/>
  <c r="CI140" i="299"/>
  <c r="CH140" i="299"/>
  <c r="CG140" i="299"/>
  <c r="CF140" i="299"/>
  <c r="CE140" i="299"/>
  <c r="CS139" i="299"/>
  <c r="CR139" i="299"/>
  <c r="CQ139" i="299"/>
  <c r="CP139" i="299"/>
  <c r="CO139" i="299"/>
  <c r="CN139" i="299"/>
  <c r="CM139" i="299"/>
  <c r="CL139" i="299"/>
  <c r="CK139" i="299"/>
  <c r="CJ139" i="299"/>
  <c r="CI139" i="299"/>
  <c r="CH139" i="299"/>
  <c r="CG139" i="299"/>
  <c r="CF139" i="299"/>
  <c r="CE139" i="299"/>
  <c r="CS137" i="299"/>
  <c r="CR137" i="299"/>
  <c r="CQ137" i="299"/>
  <c r="CP137" i="299"/>
  <c r="CO137" i="299"/>
  <c r="CN137" i="299"/>
  <c r="CM137" i="299"/>
  <c r="CL137" i="299"/>
  <c r="CK137" i="299"/>
  <c r="CJ137" i="299"/>
  <c r="CI137" i="299"/>
  <c r="CH137" i="299"/>
  <c r="CG137" i="299"/>
  <c r="CF137" i="299"/>
  <c r="CE137" i="299"/>
  <c r="CS136" i="299"/>
  <c r="CR136" i="299"/>
  <c r="CQ136" i="299"/>
  <c r="CP136" i="299"/>
  <c r="CO136" i="299"/>
  <c r="CN136" i="299"/>
  <c r="CM136" i="299"/>
  <c r="CL136" i="299"/>
  <c r="CK136" i="299"/>
  <c r="CJ136" i="299"/>
  <c r="CI136" i="299"/>
  <c r="CH136" i="299"/>
  <c r="CG136" i="299"/>
  <c r="CF136" i="299"/>
  <c r="CE136" i="299"/>
  <c r="CS135" i="299"/>
  <c r="CR135" i="299"/>
  <c r="CQ135" i="299"/>
  <c r="CP135" i="299"/>
  <c r="CO135" i="299"/>
  <c r="CN135" i="299"/>
  <c r="CM135" i="299"/>
  <c r="CL135" i="299"/>
  <c r="CK135" i="299"/>
  <c r="CJ135" i="299"/>
  <c r="CI135" i="299"/>
  <c r="CH135" i="299"/>
  <c r="CG135" i="299"/>
  <c r="CF135" i="299"/>
  <c r="CE135" i="299"/>
  <c r="CS134" i="299"/>
  <c r="CR134" i="299"/>
  <c r="CQ134" i="299"/>
  <c r="CP134" i="299"/>
  <c r="CO134" i="299"/>
  <c r="CN134" i="299"/>
  <c r="CM134" i="299"/>
  <c r="CL134" i="299"/>
  <c r="CK134" i="299"/>
  <c r="CJ134" i="299"/>
  <c r="CI134" i="299"/>
  <c r="CH134" i="299"/>
  <c r="CG134" i="299"/>
  <c r="CF134" i="299"/>
  <c r="CE134" i="299"/>
  <c r="CS133" i="299"/>
  <c r="CR133" i="299"/>
  <c r="CQ133" i="299"/>
  <c r="CP133" i="299"/>
  <c r="CO133" i="299"/>
  <c r="CN133" i="299"/>
  <c r="CM133" i="299"/>
  <c r="CL133" i="299"/>
  <c r="CK133" i="299"/>
  <c r="CJ133" i="299"/>
  <c r="CI133" i="299"/>
  <c r="CH133" i="299"/>
  <c r="CG133" i="299"/>
  <c r="CF133" i="299"/>
  <c r="CE133" i="299"/>
  <c r="CS132" i="299"/>
  <c r="CR132" i="299"/>
  <c r="CQ132" i="299"/>
  <c r="CP132" i="299"/>
  <c r="CO132" i="299"/>
  <c r="CN132" i="299"/>
  <c r="CM132" i="299"/>
  <c r="CL132" i="299"/>
  <c r="CK132" i="299"/>
  <c r="CJ132" i="299"/>
  <c r="CI132" i="299"/>
  <c r="CH132" i="299"/>
  <c r="CG132" i="299"/>
  <c r="CF132" i="299"/>
  <c r="CE132" i="299"/>
  <c r="CS130" i="299"/>
  <c r="CR130" i="299"/>
  <c r="CQ130" i="299"/>
  <c r="CP130" i="299"/>
  <c r="CO130" i="299"/>
  <c r="CN130" i="299"/>
  <c r="CM130" i="299"/>
  <c r="CL130" i="299"/>
  <c r="CK130" i="299"/>
  <c r="CJ130" i="299"/>
  <c r="CI130" i="299"/>
  <c r="CH130" i="299"/>
  <c r="CG130" i="299"/>
  <c r="CF130" i="299"/>
  <c r="CE130" i="299"/>
  <c r="CS129" i="299"/>
  <c r="CR129" i="299"/>
  <c r="CQ129" i="299"/>
  <c r="CP129" i="299"/>
  <c r="CO129" i="299"/>
  <c r="CN129" i="299"/>
  <c r="CM129" i="299"/>
  <c r="CL129" i="299"/>
  <c r="CK129" i="299"/>
  <c r="CJ129" i="299"/>
  <c r="CI129" i="299"/>
  <c r="CH129" i="299"/>
  <c r="CG129" i="299"/>
  <c r="CF129" i="299"/>
  <c r="CE129" i="299"/>
  <c r="CS127" i="299"/>
  <c r="CR127" i="299"/>
  <c r="CQ127" i="299"/>
  <c r="CP127" i="299"/>
  <c r="CO127" i="299"/>
  <c r="CN127" i="299"/>
  <c r="CM127" i="299"/>
  <c r="CL127" i="299"/>
  <c r="CK127" i="299"/>
  <c r="CJ127" i="299"/>
  <c r="CI127" i="299"/>
  <c r="CH127" i="299"/>
  <c r="CG127" i="299"/>
  <c r="CF127" i="299"/>
  <c r="CE127" i="299"/>
  <c r="CS126" i="299"/>
  <c r="CR126" i="299"/>
  <c r="CQ126" i="299"/>
  <c r="CP126" i="299"/>
  <c r="CO126" i="299"/>
  <c r="CN126" i="299"/>
  <c r="CM126" i="299"/>
  <c r="CL126" i="299"/>
  <c r="CK126" i="299"/>
  <c r="CJ126" i="299"/>
  <c r="CI126" i="299"/>
  <c r="CH126" i="299"/>
  <c r="CG126" i="299"/>
  <c r="CF126" i="299"/>
  <c r="CE126" i="299"/>
  <c r="CS125" i="299"/>
  <c r="CR125" i="299"/>
  <c r="CQ125" i="299"/>
  <c r="CP125" i="299"/>
  <c r="CO125" i="299"/>
  <c r="CN125" i="299"/>
  <c r="CM125" i="299"/>
  <c r="CL125" i="299"/>
  <c r="CK125" i="299"/>
  <c r="CJ125" i="299"/>
  <c r="CI125" i="299"/>
  <c r="CH125" i="299"/>
  <c r="CG125" i="299"/>
  <c r="CF125" i="299"/>
  <c r="CE125" i="299"/>
  <c r="CS124" i="299"/>
  <c r="CR124" i="299"/>
  <c r="CQ124" i="299"/>
  <c r="CP124" i="299"/>
  <c r="CO124" i="299"/>
  <c r="CN124" i="299"/>
  <c r="CM124" i="299"/>
  <c r="CL124" i="299"/>
  <c r="CK124" i="299"/>
  <c r="CJ124" i="299"/>
  <c r="CI124" i="299"/>
  <c r="CH124" i="299"/>
  <c r="CG124" i="299"/>
  <c r="CF124" i="299"/>
  <c r="CE124" i="299"/>
  <c r="CS122" i="299"/>
  <c r="CR122" i="299"/>
  <c r="CQ122" i="299"/>
  <c r="CP122" i="299"/>
  <c r="CO122" i="299"/>
  <c r="CN122" i="299"/>
  <c r="CM122" i="299"/>
  <c r="CL122" i="299"/>
  <c r="CK122" i="299"/>
  <c r="CJ122" i="299"/>
  <c r="CI122" i="299"/>
  <c r="CH122" i="299"/>
  <c r="CG122" i="299"/>
  <c r="CF122" i="299"/>
  <c r="CE122" i="299"/>
  <c r="CS121" i="299"/>
  <c r="CR121" i="299"/>
  <c r="CQ121" i="299"/>
  <c r="CP121" i="299"/>
  <c r="CO121" i="299"/>
  <c r="CN121" i="299"/>
  <c r="CM121" i="299"/>
  <c r="CL121" i="299"/>
  <c r="CK121" i="299"/>
  <c r="CJ121" i="299"/>
  <c r="CI121" i="299"/>
  <c r="CH121" i="299"/>
  <c r="CG121" i="299"/>
  <c r="CF121" i="299"/>
  <c r="CE121" i="299"/>
  <c r="CS120" i="299"/>
  <c r="CR120" i="299"/>
  <c r="CQ120" i="299"/>
  <c r="CP120" i="299"/>
  <c r="CO120" i="299"/>
  <c r="CN120" i="299"/>
  <c r="CM120" i="299"/>
  <c r="CL120" i="299"/>
  <c r="CK120" i="299"/>
  <c r="CJ120" i="299"/>
  <c r="CI120" i="299"/>
  <c r="CH120" i="299"/>
  <c r="CG120" i="299"/>
  <c r="CF120" i="299"/>
  <c r="CE120" i="299"/>
  <c r="CS119" i="299"/>
  <c r="CR119" i="299"/>
  <c r="CQ119" i="299"/>
  <c r="CP119" i="299"/>
  <c r="CO119" i="299"/>
  <c r="CN119" i="299"/>
  <c r="CM119" i="299"/>
  <c r="CL119" i="299"/>
  <c r="CK119" i="299"/>
  <c r="CJ119" i="299"/>
  <c r="CI119" i="299"/>
  <c r="CH119" i="299"/>
  <c r="CG119" i="299"/>
  <c r="CF119" i="299"/>
  <c r="CE119" i="299"/>
  <c r="CS118" i="299"/>
  <c r="CR118" i="299"/>
  <c r="CQ118" i="299"/>
  <c r="CP118" i="299"/>
  <c r="CO118" i="299"/>
  <c r="CN118" i="299"/>
  <c r="CM118" i="299"/>
  <c r="CL118" i="299"/>
  <c r="CK118" i="299"/>
  <c r="CJ118" i="299"/>
  <c r="CI118" i="299"/>
  <c r="CH118" i="299"/>
  <c r="CG118" i="299"/>
  <c r="CF118" i="299"/>
  <c r="CE118" i="299"/>
  <c r="CS117" i="299"/>
  <c r="CR117" i="299"/>
  <c r="CQ117" i="299"/>
  <c r="CP117" i="299"/>
  <c r="CO117" i="299"/>
  <c r="CN117" i="299"/>
  <c r="CM117" i="299"/>
  <c r="CL117" i="299"/>
  <c r="CK117" i="299"/>
  <c r="CJ117" i="299"/>
  <c r="CI117" i="299"/>
  <c r="CH117" i="299"/>
  <c r="CG117" i="299"/>
  <c r="CF117" i="299"/>
  <c r="CE117" i="299"/>
  <c r="CS116" i="299"/>
  <c r="CR116" i="299"/>
  <c r="CQ116" i="299"/>
  <c r="CP116" i="299"/>
  <c r="CO116" i="299"/>
  <c r="CN116" i="299"/>
  <c r="CM116" i="299"/>
  <c r="CL116" i="299"/>
  <c r="CK116" i="299"/>
  <c r="CJ116" i="299"/>
  <c r="CI116" i="299"/>
  <c r="CH116" i="299"/>
  <c r="CG116" i="299"/>
  <c r="CF116" i="299"/>
  <c r="CE116" i="299"/>
  <c r="CS115" i="299"/>
  <c r="CR115" i="299"/>
  <c r="CQ115" i="299"/>
  <c r="CP115" i="299"/>
  <c r="CO115" i="299"/>
  <c r="CN115" i="299"/>
  <c r="CM115" i="299"/>
  <c r="CL115" i="299"/>
  <c r="CK115" i="299"/>
  <c r="CJ115" i="299"/>
  <c r="CI115" i="299"/>
  <c r="CH115" i="299"/>
  <c r="CG115" i="299"/>
  <c r="CF115" i="299"/>
  <c r="CE115" i="299"/>
  <c r="CS113" i="299"/>
  <c r="CR113" i="299"/>
  <c r="CQ113" i="299"/>
  <c r="CP113" i="299"/>
  <c r="CO113" i="299"/>
  <c r="CN113" i="299"/>
  <c r="CM113" i="299"/>
  <c r="CL113" i="299"/>
  <c r="CK113" i="299"/>
  <c r="CJ113" i="299"/>
  <c r="CI113" i="299"/>
  <c r="CH113" i="299"/>
  <c r="CG113" i="299"/>
  <c r="CF113" i="299"/>
  <c r="CE113" i="299"/>
  <c r="CS111" i="299"/>
  <c r="CR111" i="299"/>
  <c r="CQ111" i="299"/>
  <c r="CP111" i="299"/>
  <c r="CO111" i="299"/>
  <c r="CN111" i="299"/>
  <c r="CM111" i="299"/>
  <c r="CL111" i="299"/>
  <c r="CK111" i="299"/>
  <c r="CJ111" i="299"/>
  <c r="CI111" i="299"/>
  <c r="CH111" i="299"/>
  <c r="CG111" i="299"/>
  <c r="CF111" i="299"/>
  <c r="CE111" i="299"/>
  <c r="CS110" i="299"/>
  <c r="CR110" i="299"/>
  <c r="CQ110" i="299"/>
  <c r="CP110" i="299"/>
  <c r="CO110" i="299"/>
  <c r="CN110" i="299"/>
  <c r="CM110" i="299"/>
  <c r="CL110" i="299"/>
  <c r="CK110" i="299"/>
  <c r="CJ110" i="299"/>
  <c r="CI110" i="299"/>
  <c r="CH110" i="299"/>
  <c r="CG110" i="299"/>
  <c r="CF110" i="299"/>
  <c r="CE110" i="299"/>
  <c r="CS109" i="299"/>
  <c r="CR109" i="299"/>
  <c r="CQ109" i="299"/>
  <c r="CP109" i="299"/>
  <c r="CO109" i="299"/>
  <c r="CN109" i="299"/>
  <c r="CM109" i="299"/>
  <c r="CL109" i="299"/>
  <c r="CK109" i="299"/>
  <c r="CJ109" i="299"/>
  <c r="CI109" i="299"/>
  <c r="CH109" i="299"/>
  <c r="CG109" i="299"/>
  <c r="CF109" i="299"/>
  <c r="CE109" i="299"/>
  <c r="CS108" i="299"/>
  <c r="CR108" i="299"/>
  <c r="CQ108" i="299"/>
  <c r="CP108" i="299"/>
  <c r="CO108" i="299"/>
  <c r="CN108" i="299"/>
  <c r="CM108" i="299"/>
  <c r="CL108" i="299"/>
  <c r="CK108" i="299"/>
  <c r="CJ108" i="299"/>
  <c r="CI108" i="299"/>
  <c r="CH108" i="299"/>
  <c r="CG108" i="299"/>
  <c r="CF108" i="299"/>
  <c r="CE108" i="299"/>
  <c r="CS107" i="299"/>
  <c r="CR107" i="299"/>
  <c r="CQ107" i="299"/>
  <c r="CP107" i="299"/>
  <c r="CO107" i="299"/>
  <c r="CN107" i="299"/>
  <c r="CM107" i="299"/>
  <c r="CL107" i="299"/>
  <c r="CK107" i="299"/>
  <c r="CJ107" i="299"/>
  <c r="CI107" i="299"/>
  <c r="CH107" i="299"/>
  <c r="CG107" i="299"/>
  <c r="CF107" i="299"/>
  <c r="CE107" i="299"/>
  <c r="CS106" i="299"/>
  <c r="CR106" i="299"/>
  <c r="CQ106" i="299"/>
  <c r="CP106" i="299"/>
  <c r="CO106" i="299"/>
  <c r="CN106" i="299"/>
  <c r="CM106" i="299"/>
  <c r="CL106" i="299"/>
  <c r="CK106" i="299"/>
  <c r="CJ106" i="299"/>
  <c r="CI106" i="299"/>
  <c r="CH106" i="299"/>
  <c r="CG106" i="299"/>
  <c r="CF106" i="299"/>
  <c r="CE106" i="299"/>
  <c r="CS105" i="299"/>
  <c r="CR105" i="299"/>
  <c r="CQ105" i="299"/>
  <c r="CP105" i="299"/>
  <c r="CO105" i="299"/>
  <c r="CN105" i="299"/>
  <c r="CM105" i="299"/>
  <c r="CL105" i="299"/>
  <c r="CK105" i="299"/>
  <c r="CJ105" i="299"/>
  <c r="CI105" i="299"/>
  <c r="CH105" i="299"/>
  <c r="CG105" i="299"/>
  <c r="CF105" i="299"/>
  <c r="CE105" i="299"/>
  <c r="CS104" i="299"/>
  <c r="CR104" i="299"/>
  <c r="CQ104" i="299"/>
  <c r="CP104" i="299"/>
  <c r="CO104" i="299"/>
  <c r="CN104" i="299"/>
  <c r="CM104" i="299"/>
  <c r="CL104" i="299"/>
  <c r="CK104" i="299"/>
  <c r="CJ104" i="299"/>
  <c r="CI104" i="299"/>
  <c r="CH104" i="299"/>
  <c r="CG104" i="299"/>
  <c r="CF104" i="299"/>
  <c r="CE104" i="299"/>
  <c r="CS103" i="299"/>
  <c r="CR103" i="299"/>
  <c r="CQ103" i="299"/>
  <c r="CP103" i="299"/>
  <c r="CO103" i="299"/>
  <c r="CN103" i="299"/>
  <c r="CM103" i="299"/>
  <c r="CL103" i="299"/>
  <c r="CK103" i="299"/>
  <c r="CJ103" i="299"/>
  <c r="CI103" i="299"/>
  <c r="CH103" i="299"/>
  <c r="CG103" i="299"/>
  <c r="CF103" i="299"/>
  <c r="CE103" i="299"/>
  <c r="CS102" i="299"/>
  <c r="CR102" i="299"/>
  <c r="CQ102" i="299"/>
  <c r="CP102" i="299"/>
  <c r="CO102" i="299"/>
  <c r="CN102" i="299"/>
  <c r="CM102" i="299"/>
  <c r="CL102" i="299"/>
  <c r="CK102" i="299"/>
  <c r="CJ102" i="299"/>
  <c r="CI102" i="299"/>
  <c r="CH102" i="299"/>
  <c r="CG102" i="299"/>
  <c r="CF102" i="299"/>
  <c r="CE102" i="299"/>
  <c r="CS101" i="299"/>
  <c r="CR101" i="299"/>
  <c r="CQ101" i="299"/>
  <c r="CP101" i="299"/>
  <c r="CO101" i="299"/>
  <c r="CN101" i="299"/>
  <c r="CM101" i="299"/>
  <c r="CL101" i="299"/>
  <c r="CK101" i="299"/>
  <c r="CJ101" i="299"/>
  <c r="CI101" i="299"/>
  <c r="CH101" i="299"/>
  <c r="CG101" i="299"/>
  <c r="CF101" i="299"/>
  <c r="CE101" i="299"/>
  <c r="CS100" i="299"/>
  <c r="CR100" i="299"/>
  <c r="CQ100" i="299"/>
  <c r="CP100" i="299"/>
  <c r="CO100" i="299"/>
  <c r="CN100" i="299"/>
  <c r="CM100" i="299"/>
  <c r="CL100" i="299"/>
  <c r="CK100" i="299"/>
  <c r="CJ100" i="299"/>
  <c r="CI100" i="299"/>
  <c r="CH100" i="299"/>
  <c r="CG100" i="299"/>
  <c r="CF100" i="299"/>
  <c r="CE100" i="299"/>
  <c r="CS99" i="299"/>
  <c r="CR99" i="299"/>
  <c r="CQ99" i="299"/>
  <c r="CP99" i="299"/>
  <c r="CO99" i="299"/>
  <c r="CN99" i="299"/>
  <c r="CM99" i="299"/>
  <c r="CL99" i="299"/>
  <c r="CK99" i="299"/>
  <c r="CJ99" i="299"/>
  <c r="CI99" i="299"/>
  <c r="CH99" i="299"/>
  <c r="CG99" i="299"/>
  <c r="CF99" i="299"/>
  <c r="CE99" i="299"/>
  <c r="CS98" i="299"/>
  <c r="CR98" i="299"/>
  <c r="CQ98" i="299"/>
  <c r="CP98" i="299"/>
  <c r="CO98" i="299"/>
  <c r="CN98" i="299"/>
  <c r="CM98" i="299"/>
  <c r="CL98" i="299"/>
  <c r="CK98" i="299"/>
  <c r="CJ98" i="299"/>
  <c r="CI98" i="299"/>
  <c r="CH98" i="299"/>
  <c r="CG98" i="299"/>
  <c r="CF98" i="299"/>
  <c r="CE98" i="299"/>
  <c r="CS97" i="299"/>
  <c r="CR97" i="299"/>
  <c r="CQ97" i="299"/>
  <c r="CP97" i="299"/>
  <c r="CO97" i="299"/>
  <c r="CN97" i="299"/>
  <c r="CM97" i="299"/>
  <c r="CL97" i="299"/>
  <c r="CK97" i="299"/>
  <c r="CJ97" i="299"/>
  <c r="CI97" i="299"/>
  <c r="CH97" i="299"/>
  <c r="CG97" i="299"/>
  <c r="CF97" i="299"/>
  <c r="CE97" i="299"/>
  <c r="CS96" i="299"/>
  <c r="CR96" i="299"/>
  <c r="CQ96" i="299"/>
  <c r="CP96" i="299"/>
  <c r="CO96" i="299"/>
  <c r="CN96" i="299"/>
  <c r="CM96" i="299"/>
  <c r="CL96" i="299"/>
  <c r="CK96" i="299"/>
  <c r="CJ96" i="299"/>
  <c r="CI96" i="299"/>
  <c r="CH96" i="299"/>
  <c r="CG96" i="299"/>
  <c r="CF96" i="299"/>
  <c r="CE96" i="299"/>
  <c r="CS95" i="299"/>
  <c r="CR95" i="299"/>
  <c r="CQ95" i="299"/>
  <c r="CP95" i="299"/>
  <c r="CO95" i="299"/>
  <c r="CN95" i="299"/>
  <c r="CM95" i="299"/>
  <c r="CL95" i="299"/>
  <c r="CK95" i="299"/>
  <c r="CJ95" i="299"/>
  <c r="CI95" i="299"/>
  <c r="CH95" i="299"/>
  <c r="CG95" i="299"/>
  <c r="CF95" i="299"/>
  <c r="CE95" i="299"/>
  <c r="CS94" i="299"/>
  <c r="CR94" i="299"/>
  <c r="CQ94" i="299"/>
  <c r="CP94" i="299"/>
  <c r="CO94" i="299"/>
  <c r="CN94" i="299"/>
  <c r="CM94" i="299"/>
  <c r="CL94" i="299"/>
  <c r="CK94" i="299"/>
  <c r="CJ94" i="299"/>
  <c r="CI94" i="299"/>
  <c r="CH94" i="299"/>
  <c r="CG94" i="299"/>
  <c r="CF94" i="299"/>
  <c r="CE94" i="299"/>
  <c r="CS93" i="299"/>
  <c r="CR93" i="299"/>
  <c r="CQ93" i="299"/>
  <c r="CP93" i="299"/>
  <c r="CO93" i="299"/>
  <c r="CN93" i="299"/>
  <c r="CM93" i="299"/>
  <c r="CL93" i="299"/>
  <c r="CK93" i="299"/>
  <c r="CJ93" i="299"/>
  <c r="CI93" i="299"/>
  <c r="CH93" i="299"/>
  <c r="CG93" i="299"/>
  <c r="CF93" i="299"/>
  <c r="CE93" i="299"/>
  <c r="CS92" i="299"/>
  <c r="CR92" i="299"/>
  <c r="CQ92" i="299"/>
  <c r="CP92" i="299"/>
  <c r="CO92" i="299"/>
  <c r="CN92" i="299"/>
  <c r="CM92" i="299"/>
  <c r="CL92" i="299"/>
  <c r="CK92" i="299"/>
  <c r="CJ92" i="299"/>
  <c r="CI92" i="299"/>
  <c r="CH92" i="299"/>
  <c r="CG92" i="299"/>
  <c r="CF92" i="299"/>
  <c r="CE92" i="299"/>
  <c r="CS91" i="299"/>
  <c r="CR91" i="299"/>
  <c r="CQ91" i="299"/>
  <c r="CP91" i="299"/>
  <c r="CO91" i="299"/>
  <c r="CN91" i="299"/>
  <c r="CM91" i="299"/>
  <c r="CL91" i="299"/>
  <c r="CK91" i="299"/>
  <c r="CJ91" i="299"/>
  <c r="CI91" i="299"/>
  <c r="CH91" i="299"/>
  <c r="CG91" i="299"/>
  <c r="CF91" i="299"/>
  <c r="CE91" i="299"/>
  <c r="CS90" i="299"/>
  <c r="CR90" i="299"/>
  <c r="CQ90" i="299"/>
  <c r="CP90" i="299"/>
  <c r="CO90" i="299"/>
  <c r="CN90" i="299"/>
  <c r="CM90" i="299"/>
  <c r="CL90" i="299"/>
  <c r="CK90" i="299"/>
  <c r="CJ90" i="299"/>
  <c r="CI90" i="299"/>
  <c r="CH90" i="299"/>
  <c r="CG90" i="299"/>
  <c r="CF90" i="299"/>
  <c r="CE90" i="299"/>
  <c r="CS89" i="299"/>
  <c r="CR89" i="299"/>
  <c r="CQ89" i="299"/>
  <c r="CP89" i="299"/>
  <c r="CO89" i="299"/>
  <c r="CN89" i="299"/>
  <c r="CM89" i="299"/>
  <c r="CL89" i="299"/>
  <c r="CK89" i="299"/>
  <c r="CJ89" i="299"/>
  <c r="CI89" i="299"/>
  <c r="CH89" i="299"/>
  <c r="CG89" i="299"/>
  <c r="CF89" i="299"/>
  <c r="CE89" i="299"/>
  <c r="CS88" i="299"/>
  <c r="CR88" i="299"/>
  <c r="CQ88" i="299"/>
  <c r="CP88" i="299"/>
  <c r="CO88" i="299"/>
  <c r="CN88" i="299"/>
  <c r="CM88" i="299"/>
  <c r="CL88" i="299"/>
  <c r="CK88" i="299"/>
  <c r="CJ88" i="299"/>
  <c r="CI88" i="299"/>
  <c r="CH88" i="299"/>
  <c r="CG88" i="299"/>
  <c r="CF88" i="299"/>
  <c r="CE88" i="299"/>
  <c r="CS87" i="299"/>
  <c r="CR87" i="299"/>
  <c r="CQ87" i="299"/>
  <c r="CP87" i="299"/>
  <c r="CO87" i="299"/>
  <c r="CN87" i="299"/>
  <c r="CM87" i="299"/>
  <c r="CL87" i="299"/>
  <c r="CK87" i="299"/>
  <c r="CJ87" i="299"/>
  <c r="CI87" i="299"/>
  <c r="CH87" i="299"/>
  <c r="CG87" i="299"/>
  <c r="CF87" i="299"/>
  <c r="CE87" i="299"/>
  <c r="CS86" i="299"/>
  <c r="CR86" i="299"/>
  <c r="CQ86" i="299"/>
  <c r="CP86" i="299"/>
  <c r="CO86" i="299"/>
  <c r="CN86" i="299"/>
  <c r="CM86" i="299"/>
  <c r="CL86" i="299"/>
  <c r="CK86" i="299"/>
  <c r="CJ86" i="299"/>
  <c r="CI86" i="299"/>
  <c r="CH86" i="299"/>
  <c r="CG86" i="299"/>
  <c r="CF86" i="299"/>
  <c r="CE86" i="299"/>
  <c r="CS85" i="299"/>
  <c r="CR85" i="299"/>
  <c r="CQ85" i="299"/>
  <c r="CP85" i="299"/>
  <c r="CO85" i="299"/>
  <c r="CN85" i="299"/>
  <c r="CM85" i="299"/>
  <c r="CL85" i="299"/>
  <c r="CK85" i="299"/>
  <c r="CJ85" i="299"/>
  <c r="CI85" i="299"/>
  <c r="CH85" i="299"/>
  <c r="CG85" i="299"/>
  <c r="CF85" i="299"/>
  <c r="CE85" i="299"/>
  <c r="CS84" i="299"/>
  <c r="CR84" i="299"/>
  <c r="CQ84" i="299"/>
  <c r="CP84" i="299"/>
  <c r="CO84" i="299"/>
  <c r="CN84" i="299"/>
  <c r="CM84" i="299"/>
  <c r="CL84" i="299"/>
  <c r="CK84" i="299"/>
  <c r="CJ84" i="299"/>
  <c r="CI84" i="299"/>
  <c r="CH84" i="299"/>
  <c r="CG84" i="299"/>
  <c r="CF84" i="299"/>
  <c r="CE84" i="299"/>
  <c r="CS83" i="299"/>
  <c r="CR83" i="299"/>
  <c r="CQ83" i="299"/>
  <c r="CP83" i="299"/>
  <c r="CO83" i="299"/>
  <c r="CN83" i="299"/>
  <c r="CM83" i="299"/>
  <c r="CL83" i="299"/>
  <c r="CK83" i="299"/>
  <c r="CJ83" i="299"/>
  <c r="CI83" i="299"/>
  <c r="CH83" i="299"/>
  <c r="CG83" i="299"/>
  <c r="CF83" i="299"/>
  <c r="CE83" i="299"/>
  <c r="CS82" i="299"/>
  <c r="CR82" i="299"/>
  <c r="CQ82" i="299"/>
  <c r="CP82" i="299"/>
  <c r="CO82" i="299"/>
  <c r="CN82" i="299"/>
  <c r="CM82" i="299"/>
  <c r="CL82" i="299"/>
  <c r="CK82" i="299"/>
  <c r="CJ82" i="299"/>
  <c r="CI82" i="299"/>
  <c r="CH82" i="299"/>
  <c r="CG82" i="299"/>
  <c r="CF82" i="299"/>
  <c r="CE82" i="299"/>
  <c r="CS81" i="299"/>
  <c r="CR81" i="299"/>
  <c r="CQ81" i="299"/>
  <c r="CP81" i="299"/>
  <c r="CO81" i="299"/>
  <c r="CN81" i="299"/>
  <c r="CM81" i="299"/>
  <c r="CL81" i="299"/>
  <c r="CK81" i="299"/>
  <c r="CJ81" i="299"/>
  <c r="CI81" i="299"/>
  <c r="CH81" i="299"/>
  <c r="CG81" i="299"/>
  <c r="CF81" i="299"/>
  <c r="CE81" i="299"/>
  <c r="CS80" i="299"/>
  <c r="CR80" i="299"/>
  <c r="CQ80" i="299"/>
  <c r="CP80" i="299"/>
  <c r="CO80" i="299"/>
  <c r="CN80" i="299"/>
  <c r="CM80" i="299"/>
  <c r="CL80" i="299"/>
  <c r="CK80" i="299"/>
  <c r="CJ80" i="299"/>
  <c r="CI80" i="299"/>
  <c r="CH80" i="299"/>
  <c r="CG80" i="299"/>
  <c r="CF80" i="299"/>
  <c r="CE80" i="299"/>
  <c r="CS79" i="299"/>
  <c r="CR79" i="299"/>
  <c r="CQ79" i="299"/>
  <c r="CP79" i="299"/>
  <c r="CO79" i="299"/>
  <c r="CN79" i="299"/>
  <c r="CM79" i="299"/>
  <c r="CL79" i="299"/>
  <c r="CK79" i="299"/>
  <c r="CJ79" i="299"/>
  <c r="CI79" i="299"/>
  <c r="CH79" i="299"/>
  <c r="CG79" i="299"/>
  <c r="CF79" i="299"/>
  <c r="CE79" i="299"/>
  <c r="CS78" i="299"/>
  <c r="CR78" i="299"/>
  <c r="CQ78" i="299"/>
  <c r="CP78" i="299"/>
  <c r="CO78" i="299"/>
  <c r="CN78" i="299"/>
  <c r="CM78" i="299"/>
  <c r="CL78" i="299"/>
  <c r="CK78" i="299"/>
  <c r="CJ78" i="299"/>
  <c r="CI78" i="299"/>
  <c r="CH78" i="299"/>
  <c r="CG78" i="299"/>
  <c r="CF78" i="299"/>
  <c r="CE78" i="299"/>
  <c r="CS77" i="299"/>
  <c r="CR77" i="299"/>
  <c r="CQ77" i="299"/>
  <c r="CP77" i="299"/>
  <c r="CO77" i="299"/>
  <c r="CN77" i="299"/>
  <c r="CM77" i="299"/>
  <c r="CL77" i="299"/>
  <c r="CK77" i="299"/>
  <c r="CJ77" i="299"/>
  <c r="CI77" i="299"/>
  <c r="CH77" i="299"/>
  <c r="CG77" i="299"/>
  <c r="CF77" i="299"/>
  <c r="CE77" i="299"/>
  <c r="CS76" i="299"/>
  <c r="CR76" i="299"/>
  <c r="CQ76" i="299"/>
  <c r="CP76" i="299"/>
  <c r="CO76" i="299"/>
  <c r="CN76" i="299"/>
  <c r="CM76" i="299"/>
  <c r="CL76" i="299"/>
  <c r="CK76" i="299"/>
  <c r="CJ76" i="299"/>
  <c r="CI76" i="299"/>
  <c r="CH76" i="299"/>
  <c r="CG76" i="299"/>
  <c r="CF76" i="299"/>
  <c r="CE76" i="299"/>
  <c r="CS75" i="299"/>
  <c r="CR75" i="299"/>
  <c r="CQ75" i="299"/>
  <c r="CP75" i="299"/>
  <c r="CO75" i="299"/>
  <c r="CN75" i="299"/>
  <c r="CM75" i="299"/>
  <c r="CL75" i="299"/>
  <c r="CK75" i="299"/>
  <c r="CJ75" i="299"/>
  <c r="CI75" i="299"/>
  <c r="CH75" i="299"/>
  <c r="CG75" i="299"/>
  <c r="CF75" i="299"/>
  <c r="CE75" i="299"/>
  <c r="CS74" i="299"/>
  <c r="CR74" i="299"/>
  <c r="CQ74" i="299"/>
  <c r="CP74" i="299"/>
  <c r="CO74" i="299"/>
  <c r="CN74" i="299"/>
  <c r="CM74" i="299"/>
  <c r="CL74" i="299"/>
  <c r="CK74" i="299"/>
  <c r="CJ74" i="299"/>
  <c r="CI74" i="299"/>
  <c r="CH74" i="299"/>
  <c r="CG74" i="299"/>
  <c r="CF74" i="299"/>
  <c r="CE74" i="299"/>
  <c r="CS73" i="299"/>
  <c r="CR73" i="299"/>
  <c r="CQ73" i="299"/>
  <c r="CP73" i="299"/>
  <c r="CO73" i="299"/>
  <c r="CN73" i="299"/>
  <c r="CM73" i="299"/>
  <c r="CL73" i="299"/>
  <c r="CK73" i="299"/>
  <c r="CJ73" i="299"/>
  <c r="CI73" i="299"/>
  <c r="CH73" i="299"/>
  <c r="CG73" i="299"/>
  <c r="CF73" i="299"/>
  <c r="CE73" i="299"/>
  <c r="CS72" i="299"/>
  <c r="CR72" i="299"/>
  <c r="CQ72" i="299"/>
  <c r="CP72" i="299"/>
  <c r="CO72" i="299"/>
  <c r="CN72" i="299"/>
  <c r="CM72" i="299"/>
  <c r="CL72" i="299"/>
  <c r="CK72" i="299"/>
  <c r="CJ72" i="299"/>
  <c r="CI72" i="299"/>
  <c r="CH72" i="299"/>
  <c r="CG72" i="299"/>
  <c r="CF72" i="299"/>
  <c r="CE72" i="299"/>
  <c r="CS71" i="299"/>
  <c r="CR71" i="299"/>
  <c r="CQ71" i="299"/>
  <c r="CP71" i="299"/>
  <c r="CO71" i="299"/>
  <c r="CN71" i="299"/>
  <c r="CM71" i="299"/>
  <c r="CL71" i="299"/>
  <c r="CK71" i="299"/>
  <c r="CJ71" i="299"/>
  <c r="CI71" i="299"/>
  <c r="CH71" i="299"/>
  <c r="CG71" i="299"/>
  <c r="CF71" i="299"/>
  <c r="CE71" i="299"/>
  <c r="CS70" i="299"/>
  <c r="CR70" i="299"/>
  <c r="CQ70" i="299"/>
  <c r="CP70" i="299"/>
  <c r="CO70" i="299"/>
  <c r="CN70" i="299"/>
  <c r="CM70" i="299"/>
  <c r="CL70" i="299"/>
  <c r="CK70" i="299"/>
  <c r="CJ70" i="299"/>
  <c r="CI70" i="299"/>
  <c r="CH70" i="299"/>
  <c r="CG70" i="299"/>
  <c r="CF70" i="299"/>
  <c r="CE70" i="299"/>
  <c r="CS69" i="299"/>
  <c r="CR69" i="299"/>
  <c r="CQ69" i="299"/>
  <c r="CP69" i="299"/>
  <c r="CO69" i="299"/>
  <c r="CN69" i="299"/>
  <c r="CM69" i="299"/>
  <c r="CL69" i="299"/>
  <c r="CK69" i="299"/>
  <c r="CJ69" i="299"/>
  <c r="CI69" i="299"/>
  <c r="CH69" i="299"/>
  <c r="CG69" i="299"/>
  <c r="CF69" i="299"/>
  <c r="CE69" i="299"/>
  <c r="CS68" i="299"/>
  <c r="CR68" i="299"/>
  <c r="CQ68" i="299"/>
  <c r="CP68" i="299"/>
  <c r="CO68" i="299"/>
  <c r="CN68" i="299"/>
  <c r="CM68" i="299"/>
  <c r="CL68" i="299"/>
  <c r="CK68" i="299"/>
  <c r="CJ68" i="299"/>
  <c r="CI68" i="299"/>
  <c r="CH68" i="299"/>
  <c r="CG68" i="299"/>
  <c r="CF68" i="299"/>
  <c r="CE68" i="299"/>
  <c r="CS67" i="299"/>
  <c r="CR67" i="299"/>
  <c r="CQ67" i="299"/>
  <c r="CP67" i="299"/>
  <c r="CO67" i="299"/>
  <c r="CN67" i="299"/>
  <c r="CM67" i="299"/>
  <c r="CL67" i="299"/>
  <c r="CK67" i="299"/>
  <c r="CJ67" i="299"/>
  <c r="CI67" i="299"/>
  <c r="CH67" i="299"/>
  <c r="CG67" i="299"/>
  <c r="CF67" i="299"/>
  <c r="CE67" i="299"/>
  <c r="CS65" i="299"/>
  <c r="CR65" i="299"/>
  <c r="CQ65" i="299"/>
  <c r="CP65" i="299"/>
  <c r="CO65" i="299"/>
  <c r="CN65" i="299"/>
  <c r="CM65" i="299"/>
  <c r="CL65" i="299"/>
  <c r="CK65" i="299"/>
  <c r="CJ65" i="299"/>
  <c r="CI65" i="299"/>
  <c r="CH65" i="299"/>
  <c r="CG65" i="299"/>
  <c r="CF65" i="299"/>
  <c r="CE65" i="299"/>
  <c r="CS64" i="299"/>
  <c r="CR64" i="299"/>
  <c r="CQ64" i="299"/>
  <c r="CP64" i="299"/>
  <c r="CO64" i="299"/>
  <c r="CN64" i="299"/>
  <c r="CM64" i="299"/>
  <c r="CL64" i="299"/>
  <c r="CK64" i="299"/>
  <c r="CJ64" i="299"/>
  <c r="CI64" i="299"/>
  <c r="CH64" i="299"/>
  <c r="CG64" i="299"/>
  <c r="CF64" i="299"/>
  <c r="CE64" i="299"/>
  <c r="CS63" i="299"/>
  <c r="CR63" i="299"/>
  <c r="CQ63" i="299"/>
  <c r="CP63" i="299"/>
  <c r="CO63" i="299"/>
  <c r="CN63" i="299"/>
  <c r="CM63" i="299"/>
  <c r="CL63" i="299"/>
  <c r="CK63" i="299"/>
  <c r="CJ63" i="299"/>
  <c r="CI63" i="299"/>
  <c r="CH63" i="299"/>
  <c r="CG63" i="299"/>
  <c r="CF63" i="299"/>
  <c r="CE63" i="299"/>
  <c r="CS62" i="299"/>
  <c r="CR62" i="299"/>
  <c r="CQ62" i="299"/>
  <c r="CP62" i="299"/>
  <c r="CO62" i="299"/>
  <c r="CN62" i="299"/>
  <c r="CM62" i="299"/>
  <c r="CL62" i="299"/>
  <c r="CK62" i="299"/>
  <c r="CJ62" i="299"/>
  <c r="CI62" i="299"/>
  <c r="CH62" i="299"/>
  <c r="CG62" i="299"/>
  <c r="CF62" i="299"/>
  <c r="CE62" i="299"/>
  <c r="CS61" i="299"/>
  <c r="CR61" i="299"/>
  <c r="CQ61" i="299"/>
  <c r="CP61" i="299"/>
  <c r="CO61" i="299"/>
  <c r="CN61" i="299"/>
  <c r="CM61" i="299"/>
  <c r="CL61" i="299"/>
  <c r="CK61" i="299"/>
  <c r="CJ61" i="299"/>
  <c r="CI61" i="299"/>
  <c r="CH61" i="299"/>
  <c r="CG61" i="299"/>
  <c r="CF61" i="299"/>
  <c r="CE61" i="299"/>
  <c r="CS60" i="299"/>
  <c r="CR60" i="299"/>
  <c r="CQ60" i="299"/>
  <c r="CP60" i="299"/>
  <c r="CO60" i="299"/>
  <c r="CN60" i="299"/>
  <c r="CM60" i="299"/>
  <c r="CL60" i="299"/>
  <c r="CK60" i="299"/>
  <c r="CJ60" i="299"/>
  <c r="CI60" i="299"/>
  <c r="CH60" i="299"/>
  <c r="CG60" i="299"/>
  <c r="CF60" i="299"/>
  <c r="CE60" i="299"/>
  <c r="CS59" i="299"/>
  <c r="CR59" i="299"/>
  <c r="CQ59" i="299"/>
  <c r="CP59" i="299"/>
  <c r="CO59" i="299"/>
  <c r="CN59" i="299"/>
  <c r="CM59" i="299"/>
  <c r="CL59" i="299"/>
  <c r="CK59" i="299"/>
  <c r="CJ59" i="299"/>
  <c r="CI59" i="299"/>
  <c r="CH59" i="299"/>
  <c r="CG59" i="299"/>
  <c r="CF59" i="299"/>
  <c r="CE59" i="299"/>
  <c r="CS58" i="299"/>
  <c r="CR58" i="299"/>
  <c r="CQ58" i="299"/>
  <c r="CP58" i="299"/>
  <c r="CO58" i="299"/>
  <c r="CN58" i="299"/>
  <c r="CM58" i="299"/>
  <c r="CL58" i="299"/>
  <c r="CK58" i="299"/>
  <c r="CJ58" i="299"/>
  <c r="CI58" i="299"/>
  <c r="CH58" i="299"/>
  <c r="CG58" i="299"/>
  <c r="CF58" i="299"/>
  <c r="CE58" i="299"/>
  <c r="CS57" i="299"/>
  <c r="CR57" i="299"/>
  <c r="CQ57" i="299"/>
  <c r="CP57" i="299"/>
  <c r="CO57" i="299"/>
  <c r="CN57" i="299"/>
  <c r="CM57" i="299"/>
  <c r="CL57" i="299"/>
  <c r="CK57" i="299"/>
  <c r="CJ57" i="299"/>
  <c r="CI57" i="299"/>
  <c r="CH57" i="299"/>
  <c r="CG57" i="299"/>
  <c r="CF57" i="299"/>
  <c r="CE57" i="299"/>
  <c r="CS56" i="299"/>
  <c r="CR56" i="299"/>
  <c r="CQ56" i="299"/>
  <c r="CP56" i="299"/>
  <c r="CO56" i="299"/>
  <c r="CN56" i="299"/>
  <c r="CM56" i="299"/>
  <c r="CL56" i="299"/>
  <c r="CK56" i="299"/>
  <c r="CJ56" i="299"/>
  <c r="CI56" i="299"/>
  <c r="CH56" i="299"/>
  <c r="CG56" i="299"/>
  <c r="CF56" i="299"/>
  <c r="CE56" i="299"/>
  <c r="CS55" i="299"/>
  <c r="CR55" i="299"/>
  <c r="CQ55" i="299"/>
  <c r="CP55" i="299"/>
  <c r="CO55" i="299"/>
  <c r="CN55" i="299"/>
  <c r="CM55" i="299"/>
  <c r="CL55" i="299"/>
  <c r="CK55" i="299"/>
  <c r="CJ55" i="299"/>
  <c r="CI55" i="299"/>
  <c r="CH55" i="299"/>
  <c r="CG55" i="299"/>
  <c r="CF55" i="299"/>
  <c r="CE55" i="299"/>
  <c r="CS54" i="299"/>
  <c r="CR54" i="299"/>
  <c r="CQ54" i="299"/>
  <c r="CP54" i="299"/>
  <c r="CO54" i="299"/>
  <c r="CN54" i="299"/>
  <c r="CM54" i="299"/>
  <c r="CL54" i="299"/>
  <c r="CK54" i="299"/>
  <c r="CJ54" i="299"/>
  <c r="CI54" i="299"/>
  <c r="CH54" i="299"/>
  <c r="CG54" i="299"/>
  <c r="CF54" i="299"/>
  <c r="CE54" i="299"/>
  <c r="CS53" i="299"/>
  <c r="CR53" i="299"/>
  <c r="CQ53" i="299"/>
  <c r="CP53" i="299"/>
  <c r="CO53" i="299"/>
  <c r="CN53" i="299"/>
  <c r="CM53" i="299"/>
  <c r="CL53" i="299"/>
  <c r="CK53" i="299"/>
  <c r="CJ53" i="299"/>
  <c r="CI53" i="299"/>
  <c r="CH53" i="299"/>
  <c r="CG53" i="299"/>
  <c r="CF53" i="299"/>
  <c r="CE53" i="299"/>
  <c r="CS52" i="299"/>
  <c r="CR52" i="299"/>
  <c r="CQ52" i="299"/>
  <c r="CP52" i="299"/>
  <c r="CO52" i="299"/>
  <c r="CN52" i="299"/>
  <c r="CM52" i="299"/>
  <c r="CL52" i="299"/>
  <c r="CK52" i="299"/>
  <c r="CJ52" i="299"/>
  <c r="CI52" i="299"/>
  <c r="CH52" i="299"/>
  <c r="CG52" i="299"/>
  <c r="CF52" i="299"/>
  <c r="CE52" i="299"/>
  <c r="CS51" i="299"/>
  <c r="CR51" i="299"/>
  <c r="CQ51" i="299"/>
  <c r="CP51" i="299"/>
  <c r="CO51" i="299"/>
  <c r="CN51" i="299"/>
  <c r="CM51" i="299"/>
  <c r="CL51" i="299"/>
  <c r="CK51" i="299"/>
  <c r="CJ51" i="299"/>
  <c r="CI51" i="299"/>
  <c r="CH51" i="299"/>
  <c r="CG51" i="299"/>
  <c r="CF51" i="299"/>
  <c r="CE51" i="299"/>
  <c r="CS50" i="299"/>
  <c r="CR50" i="299"/>
  <c r="CQ50" i="299"/>
  <c r="CP50" i="299"/>
  <c r="CO50" i="299"/>
  <c r="CN50" i="299"/>
  <c r="CM50" i="299"/>
  <c r="CL50" i="299"/>
  <c r="CK50" i="299"/>
  <c r="CJ50" i="299"/>
  <c r="CI50" i="299"/>
  <c r="CH50" i="299"/>
  <c r="CG50" i="299"/>
  <c r="CF50" i="299"/>
  <c r="CE50" i="299"/>
  <c r="CS49" i="299"/>
  <c r="CR49" i="299"/>
  <c r="CQ49" i="299"/>
  <c r="CP49" i="299"/>
  <c r="CO49" i="299"/>
  <c r="CN49" i="299"/>
  <c r="CM49" i="299"/>
  <c r="CL49" i="299"/>
  <c r="CK49" i="299"/>
  <c r="CJ49" i="299"/>
  <c r="CI49" i="299"/>
  <c r="CH49" i="299"/>
  <c r="CG49" i="299"/>
  <c r="CF49" i="299"/>
  <c r="CE49" i="299"/>
  <c r="CS48" i="299"/>
  <c r="CR48" i="299"/>
  <c r="CQ48" i="299"/>
  <c r="CP48" i="299"/>
  <c r="CO48" i="299"/>
  <c r="CN48" i="299"/>
  <c r="CM48" i="299"/>
  <c r="CL48" i="299"/>
  <c r="CK48" i="299"/>
  <c r="CJ48" i="299"/>
  <c r="CI48" i="299"/>
  <c r="CH48" i="299"/>
  <c r="CG48" i="299"/>
  <c r="CF48" i="299"/>
  <c r="CE48" i="299"/>
  <c r="CS47" i="299"/>
  <c r="CR47" i="299"/>
  <c r="CQ47" i="299"/>
  <c r="CP47" i="299"/>
  <c r="CO47" i="299"/>
  <c r="CN47" i="299"/>
  <c r="CM47" i="299"/>
  <c r="CL47" i="299"/>
  <c r="CK47" i="299"/>
  <c r="CJ47" i="299"/>
  <c r="CI47" i="299"/>
  <c r="CH47" i="299"/>
  <c r="CG47" i="299"/>
  <c r="CF47" i="299"/>
  <c r="CE47" i="299"/>
  <c r="CS46" i="299"/>
  <c r="CR46" i="299"/>
  <c r="CQ46" i="299"/>
  <c r="CP46" i="299"/>
  <c r="CO46" i="299"/>
  <c r="CN46" i="299"/>
  <c r="CM46" i="299"/>
  <c r="CL46" i="299"/>
  <c r="CK46" i="299"/>
  <c r="CJ46" i="299"/>
  <c r="CI46" i="299"/>
  <c r="CH46" i="299"/>
  <c r="CG46" i="299"/>
  <c r="CF46" i="299"/>
  <c r="CE46" i="299"/>
  <c r="CS45" i="299"/>
  <c r="CR45" i="299"/>
  <c r="CQ45" i="299"/>
  <c r="CP45" i="299"/>
  <c r="CO45" i="299"/>
  <c r="CN45" i="299"/>
  <c r="CM45" i="299"/>
  <c r="CL45" i="299"/>
  <c r="CK45" i="299"/>
  <c r="CJ45" i="299"/>
  <c r="CI45" i="299"/>
  <c r="CH45" i="299"/>
  <c r="CG45" i="299"/>
  <c r="CF45" i="299"/>
  <c r="CE45" i="299"/>
  <c r="CS44" i="299"/>
  <c r="CR44" i="299"/>
  <c r="CQ44" i="299"/>
  <c r="CP44" i="299"/>
  <c r="CO44" i="299"/>
  <c r="CN44" i="299"/>
  <c r="CM44" i="299"/>
  <c r="CL44" i="299"/>
  <c r="CK44" i="299"/>
  <c r="CJ44" i="299"/>
  <c r="CI44" i="299"/>
  <c r="CH44" i="299"/>
  <c r="CG44" i="299"/>
  <c r="CF44" i="299"/>
  <c r="CE44" i="299"/>
  <c r="CS43" i="299"/>
  <c r="CR43" i="299"/>
  <c r="CQ43" i="299"/>
  <c r="CP43" i="299"/>
  <c r="CO43" i="299"/>
  <c r="CN43" i="299"/>
  <c r="CM43" i="299"/>
  <c r="CL43" i="299"/>
  <c r="CK43" i="299"/>
  <c r="CJ43" i="299"/>
  <c r="CI43" i="299"/>
  <c r="CH43" i="299"/>
  <c r="CG43" i="299"/>
  <c r="CF43" i="299"/>
  <c r="CE43" i="299"/>
  <c r="CS42" i="299"/>
  <c r="CR42" i="299"/>
  <c r="CQ42" i="299"/>
  <c r="CP42" i="299"/>
  <c r="CO42" i="299"/>
  <c r="CN42" i="299"/>
  <c r="CM42" i="299"/>
  <c r="CL42" i="299"/>
  <c r="CK42" i="299"/>
  <c r="CJ42" i="299"/>
  <c r="CI42" i="299"/>
  <c r="CH42" i="299"/>
  <c r="CG42" i="299"/>
  <c r="CF42" i="299"/>
  <c r="CE42" i="299"/>
  <c r="CS41" i="299"/>
  <c r="CR41" i="299"/>
  <c r="CQ41" i="299"/>
  <c r="CP41" i="299"/>
  <c r="CO41" i="299"/>
  <c r="CN41" i="299"/>
  <c r="CM41" i="299"/>
  <c r="CL41" i="299"/>
  <c r="CK41" i="299"/>
  <c r="CJ41" i="299"/>
  <c r="CI41" i="299"/>
  <c r="CH41" i="299"/>
  <c r="CG41" i="299"/>
  <c r="CF41" i="299"/>
  <c r="CE41" i="299"/>
  <c r="CS40" i="299"/>
  <c r="CR40" i="299"/>
  <c r="CQ40" i="299"/>
  <c r="CP40" i="299"/>
  <c r="CO40" i="299"/>
  <c r="CN40" i="299"/>
  <c r="CM40" i="299"/>
  <c r="CL40" i="299"/>
  <c r="CK40" i="299"/>
  <c r="CJ40" i="299"/>
  <c r="CI40" i="299"/>
  <c r="CH40" i="299"/>
  <c r="CG40" i="299"/>
  <c r="CF40" i="299"/>
  <c r="CE40" i="299"/>
  <c r="CS39" i="299"/>
  <c r="CR39" i="299"/>
  <c r="CQ39" i="299"/>
  <c r="CP39" i="299"/>
  <c r="CO39" i="299"/>
  <c r="CN39" i="299"/>
  <c r="CM39" i="299"/>
  <c r="CL39" i="299"/>
  <c r="CK39" i="299"/>
  <c r="CJ39" i="299"/>
  <c r="CI39" i="299"/>
  <c r="CH39" i="299"/>
  <c r="CG39" i="299"/>
  <c r="CF39" i="299"/>
  <c r="CE39" i="299"/>
  <c r="CS38" i="299"/>
  <c r="CR38" i="299"/>
  <c r="CQ38" i="299"/>
  <c r="CP38" i="299"/>
  <c r="CO38" i="299"/>
  <c r="CN38" i="299"/>
  <c r="CM38" i="299"/>
  <c r="CL38" i="299"/>
  <c r="CK38" i="299"/>
  <c r="CJ38" i="299"/>
  <c r="CI38" i="299"/>
  <c r="CH38" i="299"/>
  <c r="CG38" i="299"/>
  <c r="CF38" i="299"/>
  <c r="CE38" i="299"/>
  <c r="CS37" i="299"/>
  <c r="CR37" i="299"/>
  <c r="CQ37" i="299"/>
  <c r="CP37" i="299"/>
  <c r="CO37" i="299"/>
  <c r="CN37" i="299"/>
  <c r="CM37" i="299"/>
  <c r="CL37" i="299"/>
  <c r="CK37" i="299"/>
  <c r="CJ37" i="299"/>
  <c r="CI37" i="299"/>
  <c r="CH37" i="299"/>
  <c r="CG37" i="299"/>
  <c r="CF37" i="299"/>
  <c r="CE37" i="299"/>
  <c r="CS36" i="299"/>
  <c r="CR36" i="299"/>
  <c r="CQ36" i="299"/>
  <c r="CP36" i="299"/>
  <c r="CO36" i="299"/>
  <c r="CN36" i="299"/>
  <c r="CM36" i="299"/>
  <c r="CL36" i="299"/>
  <c r="CK36" i="299"/>
  <c r="CJ36" i="299"/>
  <c r="CI36" i="299"/>
  <c r="CH36" i="299"/>
  <c r="CG36" i="299"/>
  <c r="CF36" i="299"/>
  <c r="CE36" i="299"/>
  <c r="CS35" i="299"/>
  <c r="CR35" i="299"/>
  <c r="CQ35" i="299"/>
  <c r="CP35" i="299"/>
  <c r="CO35" i="299"/>
  <c r="CN35" i="299"/>
  <c r="CM35" i="299"/>
  <c r="CL35" i="299"/>
  <c r="CK35" i="299"/>
  <c r="CJ35" i="299"/>
  <c r="CI35" i="299"/>
  <c r="CH35" i="299"/>
  <c r="CG35" i="299"/>
  <c r="CF35" i="299"/>
  <c r="CE35" i="299"/>
  <c r="CS34" i="299"/>
  <c r="CR34" i="299"/>
  <c r="CQ34" i="299"/>
  <c r="CP34" i="299"/>
  <c r="CO34" i="299"/>
  <c r="CN34" i="299"/>
  <c r="CM34" i="299"/>
  <c r="CL34" i="299"/>
  <c r="CK34" i="299"/>
  <c r="CJ34" i="299"/>
  <c r="CI34" i="299"/>
  <c r="CH34" i="299"/>
  <c r="CG34" i="299"/>
  <c r="CF34" i="299"/>
  <c r="CE34" i="299"/>
  <c r="CS33" i="299"/>
  <c r="CR33" i="299"/>
  <c r="CQ33" i="299"/>
  <c r="CP33" i="299"/>
  <c r="CO33" i="299"/>
  <c r="CN33" i="299"/>
  <c r="CM33" i="299"/>
  <c r="CL33" i="299"/>
  <c r="CK33" i="299"/>
  <c r="CJ33" i="299"/>
  <c r="CI33" i="299"/>
  <c r="CH33" i="299"/>
  <c r="CG33" i="299"/>
  <c r="CF33" i="299"/>
  <c r="CE33" i="299"/>
  <c r="CS32" i="299"/>
  <c r="CR32" i="299"/>
  <c r="CQ32" i="299"/>
  <c r="CP32" i="299"/>
  <c r="CO32" i="299"/>
  <c r="CN32" i="299"/>
  <c r="CM32" i="299"/>
  <c r="CL32" i="299"/>
  <c r="CK32" i="299"/>
  <c r="CJ32" i="299"/>
  <c r="CI32" i="299"/>
  <c r="CH32" i="299"/>
  <c r="CG32" i="299"/>
  <c r="CF32" i="299"/>
  <c r="CE32" i="299"/>
  <c r="CS31" i="299"/>
  <c r="CR31" i="299"/>
  <c r="CQ31" i="299"/>
  <c r="CP31" i="299"/>
  <c r="CO31" i="299"/>
  <c r="CN31" i="299"/>
  <c r="CM31" i="299"/>
  <c r="CL31" i="299"/>
  <c r="CK31" i="299"/>
  <c r="CJ31" i="299"/>
  <c r="CI31" i="299"/>
  <c r="CH31" i="299"/>
  <c r="CG31" i="299"/>
  <c r="CF31" i="299"/>
  <c r="CE31" i="299"/>
  <c r="CS30" i="299"/>
  <c r="CR30" i="299"/>
  <c r="CQ30" i="299"/>
  <c r="CP30" i="299"/>
  <c r="CO30" i="299"/>
  <c r="CN30" i="299"/>
  <c r="CM30" i="299"/>
  <c r="CL30" i="299"/>
  <c r="CK30" i="299"/>
  <c r="CJ30" i="299"/>
  <c r="CI30" i="299"/>
  <c r="CH30" i="299"/>
  <c r="CG30" i="299"/>
  <c r="CF30" i="299"/>
  <c r="CE30" i="299"/>
  <c r="CS29" i="299"/>
  <c r="CR29" i="299"/>
  <c r="CQ29" i="299"/>
  <c r="CP29" i="299"/>
  <c r="CO29" i="299"/>
  <c r="CN29" i="299"/>
  <c r="CM29" i="299"/>
  <c r="CL29" i="299"/>
  <c r="CK29" i="299"/>
  <c r="CJ29" i="299"/>
  <c r="CI29" i="299"/>
  <c r="CH29" i="299"/>
  <c r="CG29" i="299"/>
  <c r="CF29" i="299"/>
  <c r="CE29" i="299"/>
  <c r="CS28" i="299"/>
  <c r="CR28" i="299"/>
  <c r="CQ28" i="299"/>
  <c r="CP28" i="299"/>
  <c r="CO28" i="299"/>
  <c r="CN28" i="299"/>
  <c r="CM28" i="299"/>
  <c r="CL28" i="299"/>
  <c r="CK28" i="299"/>
  <c r="CJ28" i="299"/>
  <c r="CI28" i="299"/>
  <c r="CH28" i="299"/>
  <c r="CG28" i="299"/>
  <c r="CF28" i="299"/>
  <c r="CE28" i="299"/>
  <c r="CS27" i="299"/>
  <c r="CR27" i="299"/>
  <c r="CQ27" i="299"/>
  <c r="CP27" i="299"/>
  <c r="CO27" i="299"/>
  <c r="CN27" i="299"/>
  <c r="CM27" i="299"/>
  <c r="CL27" i="299"/>
  <c r="CK27" i="299"/>
  <c r="CJ27" i="299"/>
  <c r="CI27" i="299"/>
  <c r="CH27" i="299"/>
  <c r="CG27" i="299"/>
  <c r="CF27" i="299"/>
  <c r="CE27" i="299"/>
  <c r="CS26" i="299"/>
  <c r="CR26" i="299"/>
  <c r="CQ26" i="299"/>
  <c r="CP26" i="299"/>
  <c r="CO26" i="299"/>
  <c r="CN26" i="299"/>
  <c r="CM26" i="299"/>
  <c r="CL26" i="299"/>
  <c r="CK26" i="299"/>
  <c r="CJ26" i="299"/>
  <c r="CI26" i="299"/>
  <c r="CH26" i="299"/>
  <c r="CG26" i="299"/>
  <c r="CF26" i="299"/>
  <c r="CE26" i="299"/>
  <c r="CS25" i="299"/>
  <c r="CR25" i="299"/>
  <c r="CQ25" i="299"/>
  <c r="CP25" i="299"/>
  <c r="CO25" i="299"/>
  <c r="CN25" i="299"/>
  <c r="CM25" i="299"/>
  <c r="CL25" i="299"/>
  <c r="CK25" i="299"/>
  <c r="CJ25" i="299"/>
  <c r="CI25" i="299"/>
  <c r="CH25" i="299"/>
  <c r="CG25" i="299"/>
  <c r="CF25" i="299"/>
  <c r="CE25" i="299"/>
  <c r="CS24" i="299"/>
  <c r="CR24" i="299"/>
  <c r="CQ24" i="299"/>
  <c r="CP24" i="299"/>
  <c r="CO24" i="299"/>
  <c r="CN24" i="299"/>
  <c r="CM24" i="299"/>
  <c r="CL24" i="299"/>
  <c r="CK24" i="299"/>
  <c r="CJ24" i="299"/>
  <c r="CI24" i="299"/>
  <c r="CH24" i="299"/>
  <c r="CG24" i="299"/>
  <c r="CF24" i="299"/>
  <c r="CE24" i="299"/>
  <c r="CG23" i="299"/>
  <c r="CF23" i="299"/>
  <c r="CE23" i="299"/>
  <c r="CG22" i="299"/>
  <c r="CF22" i="299"/>
  <c r="CE22" i="299"/>
  <c r="CG21" i="299"/>
  <c r="CF21" i="299"/>
  <c r="CE21" i="299"/>
  <c r="CG20" i="299"/>
  <c r="CF20" i="299"/>
  <c r="CE20" i="299"/>
  <c r="CG19" i="299"/>
  <c r="CF19" i="299"/>
  <c r="CE19" i="299"/>
  <c r="CG18" i="299"/>
  <c r="CF18" i="299"/>
  <c r="CE18" i="299"/>
  <c r="CG17" i="299"/>
  <c r="CF17" i="299"/>
  <c r="CE17" i="299"/>
  <c r="CG16" i="299"/>
  <c r="CF16" i="299"/>
  <c r="CE16" i="299"/>
  <c r="CG15" i="299"/>
  <c r="CF15" i="299"/>
  <c r="CE15" i="299"/>
  <c r="CG14" i="299"/>
  <c r="CF14" i="299"/>
  <c r="CE14" i="299"/>
  <c r="CG13" i="299"/>
  <c r="CF13" i="299"/>
  <c r="CE13" i="299"/>
  <c r="CG12" i="299"/>
  <c r="CF12" i="299"/>
  <c r="CE12" i="299"/>
  <c r="CS11" i="299"/>
  <c r="CR11" i="299"/>
  <c r="CQ11" i="299"/>
  <c r="CP11" i="299"/>
  <c r="CO11" i="299"/>
  <c r="CN11" i="299"/>
  <c r="CM11" i="299"/>
  <c r="CL11" i="299"/>
  <c r="CK11" i="299"/>
  <c r="CJ11" i="299"/>
  <c r="CI11" i="299"/>
  <c r="CH11" i="299"/>
  <c r="CG11" i="299"/>
  <c r="CF11" i="299"/>
  <c r="CE11" i="299"/>
  <c r="CS5" i="299"/>
  <c r="CR5" i="299"/>
  <c r="CQ5" i="299"/>
  <c r="CP5" i="299"/>
  <c r="CO5" i="299"/>
  <c r="CN5" i="299"/>
  <c r="CM5" i="299"/>
  <c r="CL5" i="299"/>
  <c r="CK5" i="299"/>
  <c r="CJ5" i="299"/>
  <c r="CI5" i="299"/>
  <c r="CH5" i="299"/>
  <c r="CG5" i="299"/>
  <c r="CF5" i="299"/>
  <c r="CE5" i="299"/>
  <c r="BZ5" i="299"/>
  <c r="BY5" i="299"/>
  <c r="BX5" i="299"/>
  <c r="BW5" i="299"/>
  <c r="BV5" i="299"/>
  <c r="BU5" i="299"/>
  <c r="BT5" i="299"/>
  <c r="BS5" i="299"/>
  <c r="BR5" i="299"/>
  <c r="BQ5" i="299"/>
  <c r="BP5" i="299"/>
  <c r="BO5" i="299"/>
  <c r="BN5" i="299"/>
  <c r="BM5" i="299"/>
  <c r="BL5" i="299"/>
  <c r="BK5" i="299"/>
  <c r="BJ5" i="299"/>
  <c r="BI5" i="299"/>
  <c r="BH5" i="299"/>
  <c r="BG5" i="299"/>
  <c r="BF5" i="299"/>
  <c r="BE5" i="299"/>
  <c r="BD5" i="299"/>
  <c r="BC5" i="299"/>
  <c r="BB5" i="299"/>
  <c r="BA5" i="299"/>
  <c r="AZ5" i="299"/>
  <c r="AY5" i="299"/>
  <c r="AX5" i="299"/>
  <c r="AW5" i="299"/>
  <c r="AV5" i="299"/>
  <c r="AU5" i="299"/>
  <c r="AT5" i="299"/>
  <c r="AS5" i="299"/>
  <c r="AR5" i="299"/>
  <c r="AQ5" i="299"/>
  <c r="AP5" i="299"/>
  <c r="AO5" i="299"/>
  <c r="AN5" i="299"/>
  <c r="AM5" i="299"/>
  <c r="AL5" i="299"/>
  <c r="AK5" i="299"/>
  <c r="AJ5" i="299"/>
  <c r="AI5" i="299"/>
  <c r="AH5" i="299"/>
  <c r="AG5" i="299"/>
  <c r="AF5" i="299"/>
  <c r="AE5" i="299"/>
  <c r="AD5" i="299"/>
  <c r="AC5" i="299"/>
  <c r="AB5" i="299"/>
  <c r="AA5" i="299"/>
  <c r="Z5" i="299"/>
  <c r="Y5" i="299"/>
  <c r="X5" i="299"/>
  <c r="W5" i="299"/>
  <c r="V5" i="299"/>
  <c r="U5" i="299"/>
  <c r="T5" i="299"/>
  <c r="S5" i="299"/>
  <c r="R5" i="299"/>
  <c r="Q5" i="299"/>
  <c r="P5" i="299"/>
  <c r="O5" i="299"/>
  <c r="N5" i="299"/>
  <c r="M5" i="299"/>
  <c r="L5" i="299"/>
  <c r="K5" i="299"/>
  <c r="J5" i="299"/>
  <c r="I5" i="299"/>
  <c r="H5" i="299"/>
  <c r="G5" i="299"/>
  <c r="F5" i="299"/>
  <c r="E5" i="299"/>
  <c r="D5" i="299"/>
  <c r="C5" i="299"/>
  <c r="S330" i="319"/>
  <c r="Q330" i="319"/>
  <c r="P330" i="319"/>
  <c r="O330" i="319"/>
  <c r="N330" i="319"/>
  <c r="L329" i="319"/>
  <c r="K329" i="319"/>
  <c r="J329" i="319"/>
  <c r="I329" i="319"/>
  <c r="H315" i="319"/>
  <c r="G315" i="319"/>
  <c r="F315" i="319"/>
  <c r="B315" i="319"/>
  <c r="H314" i="319"/>
  <c r="G314" i="319"/>
  <c r="F314" i="319"/>
  <c r="AC313" i="319"/>
  <c r="AB313" i="319"/>
  <c r="AA313" i="319"/>
  <c r="Z313" i="319"/>
  <c r="Y313" i="319"/>
  <c r="X313" i="319"/>
  <c r="W313" i="319"/>
  <c r="V313" i="319"/>
  <c r="U313" i="319"/>
  <c r="T313" i="319"/>
  <c r="S313" i="319"/>
  <c r="R313" i="319"/>
  <c r="Q313" i="319"/>
  <c r="P313" i="319"/>
  <c r="O313" i="319"/>
  <c r="N313" i="319"/>
  <c r="M313" i="319"/>
  <c r="L313" i="319"/>
  <c r="K313" i="319"/>
  <c r="J313" i="319"/>
  <c r="I313" i="319"/>
  <c r="H313" i="319"/>
  <c r="G313" i="319"/>
  <c r="F313" i="319"/>
  <c r="E313" i="319"/>
  <c r="S311" i="319"/>
  <c r="R311" i="319"/>
  <c r="Q311" i="319"/>
  <c r="P311" i="319"/>
  <c r="O311" i="319"/>
  <c r="N311" i="319"/>
  <c r="M311" i="319"/>
  <c r="L311" i="319"/>
  <c r="K311" i="319"/>
  <c r="J311" i="319"/>
  <c r="I311" i="319"/>
  <c r="AC309" i="319"/>
  <c r="AB309" i="319"/>
  <c r="AA309" i="319"/>
  <c r="Z309" i="319"/>
  <c r="Y309" i="319"/>
  <c r="X309" i="319"/>
  <c r="W309" i="319"/>
  <c r="V309" i="319"/>
  <c r="U309" i="319"/>
  <c r="T309" i="319"/>
  <c r="H308" i="319"/>
  <c r="G308" i="319"/>
  <c r="F308" i="319"/>
  <c r="E308" i="319"/>
  <c r="H305" i="319"/>
  <c r="G305" i="319"/>
  <c r="F305" i="319"/>
  <c r="E305" i="319"/>
  <c r="H300" i="319"/>
  <c r="G300" i="319"/>
  <c r="F300" i="319"/>
  <c r="E300" i="319"/>
  <c r="H299" i="319"/>
  <c r="G299" i="319"/>
  <c r="F299" i="319"/>
  <c r="E299" i="319"/>
  <c r="S297" i="319"/>
  <c r="R297" i="319"/>
  <c r="Q297" i="319"/>
  <c r="P297" i="319"/>
  <c r="O297" i="319"/>
  <c r="N297" i="319"/>
  <c r="M297" i="319"/>
  <c r="L297" i="319"/>
  <c r="K297" i="319"/>
  <c r="J297" i="319"/>
  <c r="I297" i="319"/>
  <c r="H297" i="319"/>
  <c r="G297" i="319"/>
  <c r="F297" i="319"/>
  <c r="E297" i="319"/>
  <c r="R296" i="319"/>
  <c r="Q296" i="319"/>
  <c r="P296" i="319"/>
  <c r="O296" i="319"/>
  <c r="N296" i="319"/>
  <c r="M296" i="319"/>
  <c r="L296" i="319"/>
  <c r="K296" i="319"/>
  <c r="J296" i="319"/>
  <c r="I296" i="319"/>
  <c r="H296" i="319"/>
  <c r="G296" i="319"/>
  <c r="F296" i="319"/>
  <c r="E296" i="319"/>
  <c r="AC295" i="319"/>
  <c r="AB295" i="319"/>
  <c r="AA295" i="319"/>
  <c r="Z295" i="319"/>
  <c r="Y295" i="319"/>
  <c r="X295" i="319"/>
  <c r="W295" i="319"/>
  <c r="V295" i="319"/>
  <c r="U295" i="319"/>
  <c r="T295" i="319"/>
  <c r="S295" i="319"/>
  <c r="R295" i="319"/>
  <c r="Q295" i="319"/>
  <c r="P295" i="319"/>
  <c r="O295" i="319"/>
  <c r="N295" i="319"/>
  <c r="M295" i="319"/>
  <c r="L295" i="319"/>
  <c r="K295" i="319"/>
  <c r="J295" i="319"/>
  <c r="I295" i="319"/>
  <c r="H295" i="319"/>
  <c r="G295" i="319"/>
  <c r="F295" i="319"/>
  <c r="E295" i="319"/>
  <c r="AC294" i="319"/>
  <c r="AB294" i="319"/>
  <c r="AA294" i="319"/>
  <c r="Z294" i="319"/>
  <c r="Y294" i="319"/>
  <c r="X294" i="319"/>
  <c r="W294" i="319"/>
  <c r="V294" i="319"/>
  <c r="U294" i="319"/>
  <c r="T294" i="319"/>
  <c r="S294" i="319"/>
  <c r="R294" i="319"/>
  <c r="Q294" i="319"/>
  <c r="P294" i="319"/>
  <c r="O294" i="319"/>
  <c r="N294" i="319"/>
  <c r="M294" i="319"/>
  <c r="L294" i="319"/>
  <c r="K294" i="319"/>
  <c r="J294" i="319"/>
  <c r="I294" i="319"/>
  <c r="H294" i="319"/>
  <c r="G294" i="319"/>
  <c r="F294" i="319"/>
  <c r="E294" i="319"/>
  <c r="H293" i="319"/>
  <c r="G293" i="319"/>
  <c r="F293" i="319"/>
  <c r="E293" i="319"/>
  <c r="H292" i="319"/>
  <c r="G292" i="319"/>
  <c r="F292" i="319"/>
  <c r="E292" i="319"/>
  <c r="H291" i="319"/>
  <c r="G291" i="319"/>
  <c r="F291" i="319"/>
  <c r="E291" i="319"/>
  <c r="S290" i="319"/>
  <c r="R290" i="319"/>
  <c r="Q290" i="319"/>
  <c r="P290" i="319"/>
  <c r="O290" i="319"/>
  <c r="N290" i="319"/>
  <c r="M290" i="319"/>
  <c r="L290" i="319"/>
  <c r="K290" i="319"/>
  <c r="J290" i="319"/>
  <c r="I290" i="319"/>
  <c r="H290" i="319"/>
  <c r="G290" i="319"/>
  <c r="F290" i="319"/>
  <c r="E290" i="319"/>
  <c r="H288" i="319"/>
  <c r="G288" i="319"/>
  <c r="F288" i="319"/>
  <c r="E288" i="319"/>
  <c r="AC287" i="319"/>
  <c r="AB287" i="319"/>
  <c r="AA287" i="319"/>
  <c r="Z287" i="319"/>
  <c r="Y287" i="319"/>
  <c r="X287" i="319"/>
  <c r="W287" i="319"/>
  <c r="V287" i="319"/>
  <c r="U287" i="319"/>
  <c r="T287" i="319"/>
  <c r="S287" i="319"/>
  <c r="R287" i="319"/>
  <c r="Q287" i="319"/>
  <c r="P287" i="319"/>
  <c r="O287" i="319"/>
  <c r="N287" i="319"/>
  <c r="M287" i="319"/>
  <c r="L287" i="319"/>
  <c r="K287" i="319"/>
  <c r="J287" i="319"/>
  <c r="I287" i="319"/>
  <c r="H287" i="319"/>
  <c r="G287" i="319"/>
  <c r="F287" i="319"/>
  <c r="E287" i="319"/>
  <c r="AC286" i="319"/>
  <c r="AB286" i="319"/>
  <c r="AA286" i="319"/>
  <c r="Z286" i="319"/>
  <c r="Y286" i="319"/>
  <c r="X286" i="319"/>
  <c r="W286" i="319"/>
  <c r="V286" i="319"/>
  <c r="U286" i="319"/>
  <c r="T286" i="319"/>
  <c r="S286" i="319"/>
  <c r="R286" i="319"/>
  <c r="Q286" i="319"/>
  <c r="P286" i="319"/>
  <c r="O286" i="319"/>
  <c r="N286" i="319"/>
  <c r="M286" i="319"/>
  <c r="L286" i="319"/>
  <c r="K286" i="319"/>
  <c r="J286" i="319"/>
  <c r="I286" i="319"/>
  <c r="H286" i="319"/>
  <c r="G286" i="319"/>
  <c r="F286" i="319"/>
  <c r="E286" i="319"/>
  <c r="H285" i="319"/>
  <c r="G285" i="319"/>
  <c r="F285" i="319"/>
  <c r="E285" i="319"/>
  <c r="H284" i="319"/>
  <c r="G284" i="319"/>
  <c r="F284" i="319"/>
  <c r="E284" i="319"/>
  <c r="AC283" i="319"/>
  <c r="AB283" i="319"/>
  <c r="AA283" i="319"/>
  <c r="Z283" i="319"/>
  <c r="Y283" i="319"/>
  <c r="X283" i="319"/>
  <c r="W283" i="319"/>
  <c r="V283" i="319"/>
  <c r="U283" i="319"/>
  <c r="T283" i="319"/>
  <c r="H283" i="319"/>
  <c r="G283" i="319"/>
  <c r="F283" i="319"/>
  <c r="E283" i="319"/>
  <c r="H282" i="319"/>
  <c r="G282" i="319"/>
  <c r="F282" i="319"/>
  <c r="E282" i="319"/>
  <c r="H281" i="319"/>
  <c r="G281" i="319"/>
  <c r="F281" i="319"/>
  <c r="E281" i="319"/>
  <c r="S280" i="319"/>
  <c r="Q280" i="319"/>
  <c r="P280" i="319"/>
  <c r="O280" i="319"/>
  <c r="N280" i="319"/>
  <c r="M280" i="319"/>
  <c r="L280" i="319"/>
  <c r="K280" i="319"/>
  <c r="J280" i="319"/>
  <c r="I280" i="319"/>
  <c r="H280" i="319"/>
  <c r="G280" i="319"/>
  <c r="F280" i="319"/>
  <c r="E280" i="319"/>
  <c r="S279" i="319"/>
  <c r="Q279" i="319"/>
  <c r="P279" i="319"/>
  <c r="O279" i="319"/>
  <c r="N279" i="319"/>
  <c r="H279" i="319"/>
  <c r="G279" i="319"/>
  <c r="F279" i="319"/>
  <c r="E279" i="319"/>
  <c r="AC275" i="319"/>
  <c r="AC274" i="319"/>
  <c r="AB274" i="319"/>
  <c r="AC273" i="319"/>
  <c r="AB273" i="319"/>
  <c r="AA273" i="319"/>
  <c r="AC272" i="319"/>
  <c r="AB272" i="319"/>
  <c r="AA272" i="319"/>
  <c r="Z272" i="319"/>
  <c r="AC271" i="319"/>
  <c r="AB271" i="319"/>
  <c r="AA271" i="319"/>
  <c r="Z271" i="319"/>
  <c r="Y271" i="319"/>
  <c r="AC270" i="319"/>
  <c r="AB270" i="319"/>
  <c r="AA270" i="319"/>
  <c r="Z270" i="319"/>
  <c r="Y270" i="319"/>
  <c r="X270" i="319"/>
  <c r="AC269" i="319"/>
  <c r="AB269" i="319"/>
  <c r="AA269" i="319"/>
  <c r="Z269" i="319"/>
  <c r="Y269" i="319"/>
  <c r="X269" i="319"/>
  <c r="W269" i="319"/>
  <c r="AC268" i="319"/>
  <c r="AB268" i="319"/>
  <c r="AA268" i="319"/>
  <c r="Z268" i="319"/>
  <c r="Y268" i="319"/>
  <c r="X268" i="319"/>
  <c r="W268" i="319"/>
  <c r="V268" i="319"/>
  <c r="AC267" i="319"/>
  <c r="AB267" i="319"/>
  <c r="AA267" i="319"/>
  <c r="Z267" i="319"/>
  <c r="Y267" i="319"/>
  <c r="X267" i="319"/>
  <c r="W267" i="319"/>
  <c r="V267" i="319"/>
  <c r="U267" i="319"/>
  <c r="AC266" i="319"/>
  <c r="AB266" i="319"/>
  <c r="AA266" i="319"/>
  <c r="Z266" i="319"/>
  <c r="Y266" i="319"/>
  <c r="X266" i="319"/>
  <c r="W266" i="319"/>
  <c r="V266" i="319"/>
  <c r="U266" i="319"/>
  <c r="T266" i="319"/>
  <c r="AC265" i="319"/>
  <c r="AB265" i="319"/>
  <c r="AA265" i="319"/>
  <c r="Z265" i="319"/>
  <c r="Y265" i="319"/>
  <c r="X265" i="319"/>
  <c r="W265" i="319"/>
  <c r="V265" i="319"/>
  <c r="U265" i="319"/>
  <c r="T265" i="319"/>
  <c r="S265" i="319"/>
  <c r="AC264" i="319"/>
  <c r="AB264" i="319"/>
  <c r="AA264" i="319"/>
  <c r="Z264" i="319"/>
  <c r="Y264" i="319"/>
  <c r="X264" i="319"/>
  <c r="W264" i="319"/>
  <c r="V264" i="319"/>
  <c r="U264" i="319"/>
  <c r="T264" i="319"/>
  <c r="S264" i="319"/>
  <c r="R264" i="319"/>
  <c r="AC263" i="319"/>
  <c r="AB263" i="319"/>
  <c r="AA263" i="319"/>
  <c r="Z263" i="319"/>
  <c r="Y263" i="319"/>
  <c r="X263" i="319"/>
  <c r="W263" i="319"/>
  <c r="V263" i="319"/>
  <c r="U263" i="319"/>
  <c r="T263" i="319"/>
  <c r="S263" i="319"/>
  <c r="R263" i="319"/>
  <c r="Q263" i="319"/>
  <c r="AC262" i="319"/>
  <c r="AB262" i="319"/>
  <c r="AA262" i="319"/>
  <c r="Z262" i="319"/>
  <c r="Y262" i="319"/>
  <c r="X262" i="319"/>
  <c r="W262" i="319"/>
  <c r="V262" i="319"/>
  <c r="U262" i="319"/>
  <c r="T262" i="319"/>
  <c r="S262" i="319"/>
  <c r="R262" i="319"/>
  <c r="Q262" i="319"/>
  <c r="P262" i="319"/>
  <c r="AC261" i="319"/>
  <c r="AB261" i="319"/>
  <c r="AA261" i="319"/>
  <c r="Z261" i="319"/>
  <c r="Y261" i="319"/>
  <c r="X261" i="319"/>
  <c r="W261" i="319"/>
  <c r="V261" i="319"/>
  <c r="U261" i="319"/>
  <c r="T261" i="319"/>
  <c r="S261" i="319"/>
  <c r="R261" i="319"/>
  <c r="Q261" i="319"/>
  <c r="P261" i="319"/>
  <c r="O261" i="319"/>
  <c r="AC260" i="319"/>
  <c r="AB260" i="319"/>
  <c r="AA260" i="319"/>
  <c r="Z260" i="319"/>
  <c r="Y260" i="319"/>
  <c r="X260" i="319"/>
  <c r="W260" i="319"/>
  <c r="V260" i="319"/>
  <c r="U260" i="319"/>
  <c r="T260" i="319"/>
  <c r="S260" i="319"/>
  <c r="R260" i="319"/>
  <c r="Q260" i="319"/>
  <c r="P260" i="319"/>
  <c r="O260" i="319"/>
  <c r="N260" i="319"/>
  <c r="AC259" i="319"/>
  <c r="AB259" i="319"/>
  <c r="AA259" i="319"/>
  <c r="Z259" i="319"/>
  <c r="Y259" i="319"/>
  <c r="X259" i="319"/>
  <c r="W259" i="319"/>
  <c r="V259" i="319"/>
  <c r="U259" i="319"/>
  <c r="T259" i="319"/>
  <c r="S259" i="319"/>
  <c r="R259" i="319"/>
  <c r="Q259" i="319"/>
  <c r="P259" i="319"/>
  <c r="O259" i="319"/>
  <c r="N259" i="319"/>
  <c r="M259" i="319"/>
  <c r="AC258" i="319"/>
  <c r="AB258" i="319"/>
  <c r="AA258" i="319"/>
  <c r="Z258" i="319"/>
  <c r="Y258" i="319"/>
  <c r="X258" i="319"/>
  <c r="W258" i="319"/>
  <c r="V258" i="319"/>
  <c r="U258" i="319"/>
  <c r="T258" i="319"/>
  <c r="S258" i="319"/>
  <c r="R258" i="319"/>
  <c r="Q258" i="319"/>
  <c r="P258" i="319"/>
  <c r="O258" i="319"/>
  <c r="N258" i="319"/>
  <c r="M258" i="319"/>
  <c r="L258" i="319"/>
  <c r="AC257" i="319"/>
  <c r="AB257" i="319"/>
  <c r="AA257" i="319"/>
  <c r="Z257" i="319"/>
  <c r="Y257" i="319"/>
  <c r="X257" i="319"/>
  <c r="W257" i="319"/>
  <c r="V257" i="319"/>
  <c r="U257" i="319"/>
  <c r="T257" i="319"/>
  <c r="S257" i="319"/>
  <c r="R257" i="319"/>
  <c r="Q257" i="319"/>
  <c r="P257" i="319"/>
  <c r="O257" i="319"/>
  <c r="N257" i="319"/>
  <c r="M257" i="319"/>
  <c r="L257" i="319"/>
  <c r="K257" i="319"/>
  <c r="AC256" i="319"/>
  <c r="AB256" i="319"/>
  <c r="AA256" i="319"/>
  <c r="Z256" i="319"/>
  <c r="Y256" i="319"/>
  <c r="X256" i="319"/>
  <c r="W256" i="319"/>
  <c r="V256" i="319"/>
  <c r="U256" i="319"/>
  <c r="T256" i="319"/>
  <c r="S256" i="319"/>
  <c r="R256" i="319"/>
  <c r="Q256" i="319"/>
  <c r="P256" i="319"/>
  <c r="O256" i="319"/>
  <c r="N256" i="319"/>
  <c r="M256" i="319"/>
  <c r="L256" i="319"/>
  <c r="K256" i="319"/>
  <c r="J256" i="319"/>
  <c r="AC255" i="319"/>
  <c r="AB255" i="319"/>
  <c r="AA255" i="319"/>
  <c r="Z255" i="319"/>
  <c r="Y255" i="319"/>
  <c r="X255" i="319"/>
  <c r="W255" i="319"/>
  <c r="V255" i="319"/>
  <c r="U255" i="319"/>
  <c r="T255" i="319"/>
  <c r="S255" i="319"/>
  <c r="R255" i="319"/>
  <c r="Q255" i="319"/>
  <c r="P255" i="319"/>
  <c r="O255" i="319"/>
  <c r="N255" i="319"/>
  <c r="M255" i="319"/>
  <c r="L255" i="319"/>
  <c r="K255" i="319"/>
  <c r="J255" i="319"/>
  <c r="I255" i="319"/>
  <c r="AC254" i="319"/>
  <c r="AB254" i="319"/>
  <c r="AA254" i="319"/>
  <c r="Z254" i="319"/>
  <c r="Y254" i="319"/>
  <c r="X254" i="319"/>
  <c r="W254" i="319"/>
  <c r="V254" i="319"/>
  <c r="U254" i="319"/>
  <c r="T254" i="319"/>
  <c r="S254" i="319"/>
  <c r="R254" i="319"/>
  <c r="Q254" i="319"/>
  <c r="P254" i="319"/>
  <c r="O254" i="319"/>
  <c r="N254" i="319"/>
  <c r="M254" i="319"/>
  <c r="L254" i="319"/>
  <c r="K254" i="319"/>
  <c r="J254" i="319"/>
  <c r="I254" i="319"/>
  <c r="H254" i="319"/>
  <c r="AC253" i="319"/>
  <c r="AB253" i="319"/>
  <c r="AA253" i="319"/>
  <c r="Z253" i="319"/>
  <c r="Y253" i="319"/>
  <c r="X253" i="319"/>
  <c r="W253" i="319"/>
  <c r="V253" i="319"/>
  <c r="U253" i="319"/>
  <c r="T253" i="319"/>
  <c r="S253" i="319"/>
  <c r="R253" i="319"/>
  <c r="Q253" i="319"/>
  <c r="P253" i="319"/>
  <c r="O253" i="319"/>
  <c r="N253" i="319"/>
  <c r="M253" i="319"/>
  <c r="L253" i="319"/>
  <c r="K253" i="319"/>
  <c r="J253" i="319"/>
  <c r="I253" i="319"/>
  <c r="H253" i="319"/>
  <c r="G253" i="319"/>
  <c r="AC252" i="319"/>
  <c r="AB252" i="319"/>
  <c r="AA252" i="319"/>
  <c r="Z252" i="319"/>
  <c r="Y252" i="319"/>
  <c r="X252" i="319"/>
  <c r="W252" i="319"/>
  <c r="V252" i="319"/>
  <c r="U252" i="319"/>
  <c r="T252" i="319"/>
  <c r="S252" i="319"/>
  <c r="R252" i="319"/>
  <c r="Q252" i="319"/>
  <c r="P252" i="319"/>
  <c r="O252" i="319"/>
  <c r="N252" i="319"/>
  <c r="M252" i="319"/>
  <c r="L252" i="319"/>
  <c r="K252" i="319"/>
  <c r="J252" i="319"/>
  <c r="I252" i="319"/>
  <c r="H252" i="319"/>
  <c r="G252" i="319"/>
  <c r="F252" i="319"/>
  <c r="AC251" i="319"/>
  <c r="AB251" i="319"/>
  <c r="AA251" i="319"/>
  <c r="Z251" i="319"/>
  <c r="Y251" i="319"/>
  <c r="X251" i="319"/>
  <c r="W251" i="319"/>
  <c r="V251" i="319"/>
  <c r="U251" i="319"/>
  <c r="T251" i="319"/>
  <c r="S251" i="319"/>
  <c r="R251" i="319"/>
  <c r="Q251" i="319"/>
  <c r="P251" i="319"/>
  <c r="O251" i="319"/>
  <c r="N251" i="319"/>
  <c r="M251" i="319"/>
  <c r="L251" i="319"/>
  <c r="K251" i="319"/>
  <c r="J251" i="319"/>
  <c r="I251" i="319"/>
  <c r="H251" i="319"/>
  <c r="G251" i="319"/>
  <c r="F251" i="319"/>
  <c r="E251" i="319"/>
  <c r="AC249" i="319"/>
  <c r="AB249" i="319"/>
  <c r="AA249" i="319"/>
  <c r="Z249" i="319"/>
  <c r="Y249" i="319"/>
  <c r="X249" i="319"/>
  <c r="W249" i="319"/>
  <c r="V249" i="319"/>
  <c r="U249" i="319"/>
  <c r="T249" i="319"/>
  <c r="S249" i="319"/>
  <c r="R249" i="319"/>
  <c r="Q249" i="319"/>
  <c r="P249" i="319"/>
  <c r="O249" i="319"/>
  <c r="N249" i="319"/>
  <c r="M249" i="319"/>
  <c r="L249" i="319"/>
  <c r="K249" i="319"/>
  <c r="J249" i="319"/>
  <c r="I249" i="319"/>
  <c r="AC248" i="319"/>
  <c r="AB248" i="319"/>
  <c r="AA248" i="319"/>
  <c r="Z248" i="319"/>
  <c r="Y248" i="319"/>
  <c r="X248" i="319"/>
  <c r="W248" i="319"/>
  <c r="V248" i="319"/>
  <c r="U248" i="319"/>
  <c r="T248" i="319"/>
  <c r="S248" i="319"/>
  <c r="R248" i="319"/>
  <c r="Q248" i="319"/>
  <c r="P248" i="319"/>
  <c r="O248" i="319"/>
  <c r="N248" i="319"/>
  <c r="M248" i="319"/>
  <c r="L248" i="319"/>
  <c r="K248" i="319"/>
  <c r="J248" i="319"/>
  <c r="I248" i="319"/>
  <c r="H248" i="319"/>
  <c r="G248" i="319"/>
  <c r="F248" i="319"/>
  <c r="E248" i="319"/>
  <c r="AC247" i="319"/>
  <c r="AB247" i="319"/>
  <c r="AA247" i="319"/>
  <c r="Z247" i="319"/>
  <c r="Y247" i="319"/>
  <c r="X247" i="319"/>
  <c r="W247" i="319"/>
  <c r="V247" i="319"/>
  <c r="U247" i="319"/>
  <c r="T247" i="319"/>
  <c r="S247" i="319"/>
  <c r="R247" i="319"/>
  <c r="Q247" i="319"/>
  <c r="P247" i="319"/>
  <c r="O247" i="319"/>
  <c r="N247" i="319"/>
  <c r="M247" i="319"/>
  <c r="L247" i="319"/>
  <c r="K247" i="319"/>
  <c r="J247" i="319"/>
  <c r="I247" i="319"/>
  <c r="H247" i="319"/>
  <c r="G247" i="319"/>
  <c r="F247" i="319"/>
  <c r="E247" i="319"/>
  <c r="AC246" i="319"/>
  <c r="AB246" i="319"/>
  <c r="AA246" i="319"/>
  <c r="Z246" i="319"/>
  <c r="Y246" i="319"/>
  <c r="X246" i="319"/>
  <c r="W246" i="319"/>
  <c r="V246" i="319"/>
  <c r="U246" i="319"/>
  <c r="T246" i="319"/>
  <c r="S246" i="319"/>
  <c r="R246" i="319"/>
  <c r="Q246" i="319"/>
  <c r="P246" i="319"/>
  <c r="O246" i="319"/>
  <c r="N246" i="319"/>
  <c r="M246" i="319"/>
  <c r="L246" i="319"/>
  <c r="K246" i="319"/>
  <c r="J246" i="319"/>
  <c r="I246" i="319"/>
  <c r="H246" i="319"/>
  <c r="G246" i="319"/>
  <c r="F246" i="319"/>
  <c r="E246" i="319"/>
  <c r="AC242" i="319"/>
  <c r="AC241" i="319"/>
  <c r="AB241" i="319"/>
  <c r="AC240" i="319"/>
  <c r="AB240" i="319"/>
  <c r="AA240" i="319"/>
  <c r="AC239" i="319"/>
  <c r="AB239" i="319"/>
  <c r="AA239" i="319"/>
  <c r="Z239" i="319"/>
  <c r="AC238" i="319"/>
  <c r="AB238" i="319"/>
  <c r="AA238" i="319"/>
  <c r="Z238" i="319"/>
  <c r="Y238" i="319"/>
  <c r="AC237" i="319"/>
  <c r="AB237" i="319"/>
  <c r="AA237" i="319"/>
  <c r="Z237" i="319"/>
  <c r="Y237" i="319"/>
  <c r="X237" i="319"/>
  <c r="AC236" i="319"/>
  <c r="AB236" i="319"/>
  <c r="AA236" i="319"/>
  <c r="Z236" i="319"/>
  <c r="Y236" i="319"/>
  <c r="X236" i="319"/>
  <c r="W236" i="319"/>
  <c r="AC235" i="319"/>
  <c r="AB235" i="319"/>
  <c r="AA235" i="319"/>
  <c r="Z235" i="319"/>
  <c r="Y235" i="319"/>
  <c r="X235" i="319"/>
  <c r="W235" i="319"/>
  <c r="V235" i="319"/>
  <c r="AC234" i="319"/>
  <c r="AB234" i="319"/>
  <c r="AA234" i="319"/>
  <c r="Z234" i="319"/>
  <c r="Y234" i="319"/>
  <c r="X234" i="319"/>
  <c r="W234" i="319"/>
  <c r="V234" i="319"/>
  <c r="U234" i="319"/>
  <c r="AC233" i="319"/>
  <c r="AB233" i="319"/>
  <c r="AA233" i="319"/>
  <c r="Z233" i="319"/>
  <c r="Y233" i="319"/>
  <c r="X233" i="319"/>
  <c r="W233" i="319"/>
  <c r="V233" i="319"/>
  <c r="U233" i="319"/>
  <c r="T233" i="319"/>
  <c r="AC232" i="319"/>
  <c r="AB232" i="319"/>
  <c r="AA232" i="319"/>
  <c r="Z232" i="319"/>
  <c r="Y232" i="319"/>
  <c r="X232" i="319"/>
  <c r="W232" i="319"/>
  <c r="V232" i="319"/>
  <c r="U232" i="319"/>
  <c r="T232" i="319"/>
  <c r="S232" i="319"/>
  <c r="AC231" i="319"/>
  <c r="AB231" i="319"/>
  <c r="AA231" i="319"/>
  <c r="Z231" i="319"/>
  <c r="Y231" i="319"/>
  <c r="X231" i="319"/>
  <c r="W231" i="319"/>
  <c r="V231" i="319"/>
  <c r="U231" i="319"/>
  <c r="T231" i="319"/>
  <c r="S231" i="319"/>
  <c r="R231" i="319"/>
  <c r="AC230" i="319"/>
  <c r="AB230" i="319"/>
  <c r="AA230" i="319"/>
  <c r="Z230" i="319"/>
  <c r="Y230" i="319"/>
  <c r="X230" i="319"/>
  <c r="W230" i="319"/>
  <c r="V230" i="319"/>
  <c r="U230" i="319"/>
  <c r="T230" i="319"/>
  <c r="S230" i="319"/>
  <c r="R230" i="319"/>
  <c r="Q230" i="319"/>
  <c r="AC229" i="319"/>
  <c r="AB229" i="319"/>
  <c r="AA229" i="319"/>
  <c r="Z229" i="319"/>
  <c r="Y229" i="319"/>
  <c r="X229" i="319"/>
  <c r="W229" i="319"/>
  <c r="V229" i="319"/>
  <c r="U229" i="319"/>
  <c r="T229" i="319"/>
  <c r="S229" i="319"/>
  <c r="R229" i="319"/>
  <c r="Q229" i="319"/>
  <c r="P229" i="319"/>
  <c r="AC228" i="319"/>
  <c r="AB228" i="319"/>
  <c r="AA228" i="319"/>
  <c r="Z228" i="319"/>
  <c r="Y228" i="319"/>
  <c r="X228" i="319"/>
  <c r="W228" i="319"/>
  <c r="V228" i="319"/>
  <c r="U228" i="319"/>
  <c r="T228" i="319"/>
  <c r="S228" i="319"/>
  <c r="R228" i="319"/>
  <c r="Q228" i="319"/>
  <c r="P228" i="319"/>
  <c r="O228" i="319"/>
  <c r="AC227" i="319"/>
  <c r="AB227" i="319"/>
  <c r="AA227" i="319"/>
  <c r="Z227" i="319"/>
  <c r="Y227" i="319"/>
  <c r="X227" i="319"/>
  <c r="W227" i="319"/>
  <c r="V227" i="319"/>
  <c r="U227" i="319"/>
  <c r="T227" i="319"/>
  <c r="S227" i="319"/>
  <c r="R227" i="319"/>
  <c r="Q227" i="319"/>
  <c r="P227" i="319"/>
  <c r="O227" i="319"/>
  <c r="N227" i="319"/>
  <c r="AC226" i="319"/>
  <c r="AB226" i="319"/>
  <c r="AA226" i="319"/>
  <c r="Z226" i="319"/>
  <c r="Y226" i="319"/>
  <c r="X226" i="319"/>
  <c r="W226" i="319"/>
  <c r="V226" i="319"/>
  <c r="U226" i="319"/>
  <c r="T226" i="319"/>
  <c r="S226" i="319"/>
  <c r="R226" i="319"/>
  <c r="Q226" i="319"/>
  <c r="P226" i="319"/>
  <c r="O226" i="319"/>
  <c r="N226" i="319"/>
  <c r="M226" i="319"/>
  <c r="AC225" i="319"/>
  <c r="AB225" i="319"/>
  <c r="AA225" i="319"/>
  <c r="Z225" i="319"/>
  <c r="Y225" i="319"/>
  <c r="X225" i="319"/>
  <c r="W225" i="319"/>
  <c r="V225" i="319"/>
  <c r="U225" i="319"/>
  <c r="T225" i="319"/>
  <c r="S225" i="319"/>
  <c r="R225" i="319"/>
  <c r="Q225" i="319"/>
  <c r="P225" i="319"/>
  <c r="O225" i="319"/>
  <c r="N225" i="319"/>
  <c r="M225" i="319"/>
  <c r="L225" i="319"/>
  <c r="AC224" i="319"/>
  <c r="AB224" i="319"/>
  <c r="AA224" i="319"/>
  <c r="Z224" i="319"/>
  <c r="Y224" i="319"/>
  <c r="X224" i="319"/>
  <c r="W224" i="319"/>
  <c r="V224" i="319"/>
  <c r="U224" i="319"/>
  <c r="T224" i="319"/>
  <c r="S224" i="319"/>
  <c r="R224" i="319"/>
  <c r="Q224" i="319"/>
  <c r="P224" i="319"/>
  <c r="O224" i="319"/>
  <c r="N224" i="319"/>
  <c r="M224" i="319"/>
  <c r="L224" i="319"/>
  <c r="K224" i="319"/>
  <c r="AC223" i="319"/>
  <c r="AB223" i="319"/>
  <c r="AA223" i="319"/>
  <c r="Z223" i="319"/>
  <c r="Y223" i="319"/>
  <c r="X223" i="319"/>
  <c r="W223" i="319"/>
  <c r="V223" i="319"/>
  <c r="U223" i="319"/>
  <c r="T223" i="319"/>
  <c r="S223" i="319"/>
  <c r="R223" i="319"/>
  <c r="Q223" i="319"/>
  <c r="P223" i="319"/>
  <c r="O223" i="319"/>
  <c r="N223" i="319"/>
  <c r="M223" i="319"/>
  <c r="L223" i="319"/>
  <c r="K223" i="319"/>
  <c r="J223" i="319"/>
  <c r="AC222" i="319"/>
  <c r="AB222" i="319"/>
  <c r="AA222" i="319"/>
  <c r="Z222" i="319"/>
  <c r="Y222" i="319"/>
  <c r="X222" i="319"/>
  <c r="W222" i="319"/>
  <c r="V222" i="319"/>
  <c r="U222" i="319"/>
  <c r="T222" i="319"/>
  <c r="S222" i="319"/>
  <c r="R222" i="319"/>
  <c r="Q222" i="319"/>
  <c r="P222" i="319"/>
  <c r="O222" i="319"/>
  <c r="N222" i="319"/>
  <c r="M222" i="319"/>
  <c r="L222" i="319"/>
  <c r="K222" i="319"/>
  <c r="J222" i="319"/>
  <c r="I222" i="319"/>
  <c r="AC221" i="319"/>
  <c r="AB221" i="319"/>
  <c r="AA221" i="319"/>
  <c r="Z221" i="319"/>
  <c r="Y221" i="319"/>
  <c r="X221" i="319"/>
  <c r="W221" i="319"/>
  <c r="V221" i="319"/>
  <c r="U221" i="319"/>
  <c r="T221" i="319"/>
  <c r="S221" i="319"/>
  <c r="R221" i="319"/>
  <c r="Q221" i="319"/>
  <c r="P221" i="319"/>
  <c r="O221" i="319"/>
  <c r="N221" i="319"/>
  <c r="M221" i="319"/>
  <c r="L221" i="319"/>
  <c r="K221" i="319"/>
  <c r="J221" i="319"/>
  <c r="I221" i="319"/>
  <c r="H221" i="319"/>
  <c r="AC220" i="319"/>
  <c r="AB220" i="319"/>
  <c r="AA220" i="319"/>
  <c r="Z220" i="319"/>
  <c r="Y220" i="319"/>
  <c r="X220" i="319"/>
  <c r="W220" i="319"/>
  <c r="V220" i="319"/>
  <c r="U220" i="319"/>
  <c r="T220" i="319"/>
  <c r="S220" i="319"/>
  <c r="R220" i="319"/>
  <c r="Q220" i="319"/>
  <c r="P220" i="319"/>
  <c r="O220" i="319"/>
  <c r="N220" i="319"/>
  <c r="M220" i="319"/>
  <c r="L220" i="319"/>
  <c r="K220" i="319"/>
  <c r="J220" i="319"/>
  <c r="I220" i="319"/>
  <c r="H220" i="319"/>
  <c r="G220" i="319"/>
  <c r="AC219" i="319"/>
  <c r="AB219" i="319"/>
  <c r="AA219" i="319"/>
  <c r="Z219" i="319"/>
  <c r="Y219" i="319"/>
  <c r="X219" i="319"/>
  <c r="W219" i="319"/>
  <c r="V219" i="319"/>
  <c r="U219" i="319"/>
  <c r="T219" i="319"/>
  <c r="S219" i="319"/>
  <c r="R219" i="319"/>
  <c r="Q219" i="319"/>
  <c r="P219" i="319"/>
  <c r="O219" i="319"/>
  <c r="N219" i="319"/>
  <c r="M219" i="319"/>
  <c r="L219" i="319"/>
  <c r="K219" i="319"/>
  <c r="J219" i="319"/>
  <c r="I219" i="319"/>
  <c r="H219" i="319"/>
  <c r="G219" i="319"/>
  <c r="F219" i="319"/>
  <c r="AC218" i="319"/>
  <c r="AB218" i="319"/>
  <c r="AA218" i="319"/>
  <c r="Z218" i="319"/>
  <c r="Y218" i="319"/>
  <c r="X218" i="319"/>
  <c r="W218" i="319"/>
  <c r="V218" i="319"/>
  <c r="U218" i="319"/>
  <c r="T218" i="319"/>
  <c r="S218" i="319"/>
  <c r="R218" i="319"/>
  <c r="Q218" i="319"/>
  <c r="P218" i="319"/>
  <c r="O218" i="319"/>
  <c r="N218" i="319"/>
  <c r="M218" i="319"/>
  <c r="L218" i="319"/>
  <c r="K218" i="319"/>
  <c r="J218" i="319"/>
  <c r="I218" i="319"/>
  <c r="H218" i="319"/>
  <c r="G218" i="319"/>
  <c r="F218" i="319"/>
  <c r="E218" i="319"/>
  <c r="AC216" i="319"/>
  <c r="AB216" i="319"/>
  <c r="AA216" i="319"/>
  <c r="Z216" i="319"/>
  <c r="Y216" i="319"/>
  <c r="X216" i="319"/>
  <c r="W216" i="319"/>
  <c r="V216" i="319"/>
  <c r="U216" i="319"/>
  <c r="T216" i="319"/>
  <c r="S216" i="319"/>
  <c r="R216" i="319"/>
  <c r="Q216" i="319"/>
  <c r="P216" i="319"/>
  <c r="O216" i="319"/>
  <c r="N216" i="319"/>
  <c r="M216" i="319"/>
  <c r="L216" i="319"/>
  <c r="K216" i="319"/>
  <c r="J216" i="319"/>
  <c r="I216" i="319"/>
  <c r="AC215" i="319"/>
  <c r="AB215" i="319"/>
  <c r="AA215" i="319"/>
  <c r="Z215" i="319"/>
  <c r="Y215" i="319"/>
  <c r="X215" i="319"/>
  <c r="W215" i="319"/>
  <c r="V215" i="319"/>
  <c r="U215" i="319"/>
  <c r="T215" i="319"/>
  <c r="S215" i="319"/>
  <c r="R215" i="319"/>
  <c r="Q215" i="319"/>
  <c r="P215" i="319"/>
  <c r="O215" i="319"/>
  <c r="N215" i="319"/>
  <c r="M215" i="319"/>
  <c r="L215" i="319"/>
  <c r="K215" i="319"/>
  <c r="J215" i="319"/>
  <c r="I215" i="319"/>
  <c r="AC214" i="319"/>
  <c r="AB214" i="319"/>
  <c r="AA214" i="319"/>
  <c r="Z214" i="319"/>
  <c r="Y214" i="319"/>
  <c r="X214" i="319"/>
  <c r="W214" i="319"/>
  <c r="V214" i="319"/>
  <c r="U214" i="319"/>
  <c r="T214" i="319"/>
  <c r="S214" i="319"/>
  <c r="R214" i="319"/>
  <c r="Q214" i="319"/>
  <c r="P214" i="319"/>
  <c r="O214" i="319"/>
  <c r="N214" i="319"/>
  <c r="M214" i="319"/>
  <c r="L214" i="319"/>
  <c r="K214" i="319"/>
  <c r="J214" i="319"/>
  <c r="I214" i="319"/>
  <c r="AC213" i="319"/>
  <c r="AB213" i="319"/>
  <c r="AA213" i="319"/>
  <c r="Z213" i="319"/>
  <c r="Y213" i="319"/>
  <c r="X213" i="319"/>
  <c r="W213" i="319"/>
  <c r="V213" i="319"/>
  <c r="U213" i="319"/>
  <c r="T213" i="319"/>
  <c r="S213" i="319"/>
  <c r="R213" i="319"/>
  <c r="Q213" i="319"/>
  <c r="P213" i="319"/>
  <c r="O213" i="319"/>
  <c r="N213" i="319"/>
  <c r="M213" i="319"/>
  <c r="L213" i="319"/>
  <c r="K213" i="319"/>
  <c r="J213" i="319"/>
  <c r="I213" i="319"/>
  <c r="AC209" i="319"/>
  <c r="AC208" i="319"/>
  <c r="AB208" i="319"/>
  <c r="AC207" i="319"/>
  <c r="AB207" i="319"/>
  <c r="AA207" i="319"/>
  <c r="AC206" i="319"/>
  <c r="AB206" i="319"/>
  <c r="AA206" i="319"/>
  <c r="Z206" i="319"/>
  <c r="AC205" i="319"/>
  <c r="AB205" i="319"/>
  <c r="AA205" i="319"/>
  <c r="Z205" i="319"/>
  <c r="Y205" i="319"/>
  <c r="AC204" i="319"/>
  <c r="AB204" i="319"/>
  <c r="AA204" i="319"/>
  <c r="Z204" i="319"/>
  <c r="Y204" i="319"/>
  <c r="X204" i="319"/>
  <c r="AC203" i="319"/>
  <c r="AB203" i="319"/>
  <c r="AA203" i="319"/>
  <c r="Z203" i="319"/>
  <c r="Y203" i="319"/>
  <c r="X203" i="319"/>
  <c r="W203" i="319"/>
  <c r="AC202" i="319"/>
  <c r="AB202" i="319"/>
  <c r="AA202" i="319"/>
  <c r="Z202" i="319"/>
  <c r="Y202" i="319"/>
  <c r="X202" i="319"/>
  <c r="W202" i="319"/>
  <c r="V202" i="319"/>
  <c r="AC201" i="319"/>
  <c r="AB201" i="319"/>
  <c r="AA201" i="319"/>
  <c r="Z201" i="319"/>
  <c r="Y201" i="319"/>
  <c r="X201" i="319"/>
  <c r="W201" i="319"/>
  <c r="V201" i="319"/>
  <c r="U201" i="319"/>
  <c r="AC200" i="319"/>
  <c r="AB200" i="319"/>
  <c r="AA200" i="319"/>
  <c r="Z200" i="319"/>
  <c r="Y200" i="319"/>
  <c r="X200" i="319"/>
  <c r="W200" i="319"/>
  <c r="V200" i="319"/>
  <c r="U200" i="319"/>
  <c r="T200" i="319"/>
  <c r="AC188" i="319"/>
  <c r="AB188" i="319"/>
  <c r="AA188" i="319"/>
  <c r="Z188" i="319"/>
  <c r="Y188" i="319"/>
  <c r="X188" i="319"/>
  <c r="W188" i="319"/>
  <c r="V188" i="319"/>
  <c r="U188" i="319"/>
  <c r="T188" i="319"/>
  <c r="S188" i="319"/>
  <c r="R188" i="319"/>
  <c r="Q188" i="319"/>
  <c r="P188" i="319"/>
  <c r="O188" i="319"/>
  <c r="N188" i="319"/>
  <c r="M188" i="319"/>
  <c r="L188" i="319"/>
  <c r="K188" i="319"/>
  <c r="J188" i="319"/>
  <c r="I188" i="319"/>
  <c r="H188" i="319"/>
  <c r="AC187" i="319"/>
  <c r="AB187" i="319"/>
  <c r="AA187" i="319"/>
  <c r="Z187" i="319"/>
  <c r="Y187" i="319"/>
  <c r="X187" i="319"/>
  <c r="W187" i="319"/>
  <c r="V187" i="319"/>
  <c r="U187" i="319"/>
  <c r="T187" i="319"/>
  <c r="S187" i="319"/>
  <c r="R187" i="319"/>
  <c r="Q187" i="319"/>
  <c r="P187" i="319"/>
  <c r="O187" i="319"/>
  <c r="N187" i="319"/>
  <c r="M187" i="319"/>
  <c r="L187" i="319"/>
  <c r="K187" i="319"/>
  <c r="J187" i="319"/>
  <c r="I187" i="319"/>
  <c r="H187" i="319"/>
  <c r="G187" i="319"/>
  <c r="AC186" i="319"/>
  <c r="AB186" i="319"/>
  <c r="AA186" i="319"/>
  <c r="Z186" i="319"/>
  <c r="Y186" i="319"/>
  <c r="X186" i="319"/>
  <c r="W186" i="319"/>
  <c r="V186" i="319"/>
  <c r="U186" i="319"/>
  <c r="T186" i="319"/>
  <c r="S186" i="319"/>
  <c r="R186" i="319"/>
  <c r="Q186" i="319"/>
  <c r="P186" i="319"/>
  <c r="O186" i="319"/>
  <c r="N186" i="319"/>
  <c r="M186" i="319"/>
  <c r="L186" i="319"/>
  <c r="K186" i="319"/>
  <c r="J186" i="319"/>
  <c r="I186" i="319"/>
  <c r="H186" i="319"/>
  <c r="G186" i="319"/>
  <c r="F186" i="319"/>
  <c r="AC185" i="319"/>
  <c r="AB185" i="319"/>
  <c r="AA185" i="319"/>
  <c r="Z185" i="319"/>
  <c r="Y185" i="319"/>
  <c r="X185" i="319"/>
  <c r="W185" i="319"/>
  <c r="V185" i="319"/>
  <c r="U185" i="319"/>
  <c r="T185" i="319"/>
  <c r="S185" i="319"/>
  <c r="R185" i="319"/>
  <c r="Q185" i="319"/>
  <c r="P185" i="319"/>
  <c r="O185" i="319"/>
  <c r="N185" i="319"/>
  <c r="M185" i="319"/>
  <c r="L185" i="319"/>
  <c r="K185" i="319"/>
  <c r="J185" i="319"/>
  <c r="I185" i="319"/>
  <c r="H185" i="319"/>
  <c r="G185" i="319"/>
  <c r="F185" i="319"/>
  <c r="E185" i="319"/>
  <c r="AC182" i="319"/>
  <c r="AB182" i="319"/>
  <c r="AA182" i="319"/>
  <c r="Z182" i="319"/>
  <c r="Y182" i="319"/>
  <c r="X182" i="319"/>
  <c r="W182" i="319"/>
  <c r="V182" i="319"/>
  <c r="U182" i="319"/>
  <c r="T182" i="319"/>
  <c r="I180" i="319"/>
  <c r="AC176" i="319"/>
  <c r="AC175" i="319"/>
  <c r="AB175" i="319"/>
  <c r="AC174" i="319"/>
  <c r="AB174" i="319"/>
  <c r="AA174" i="319"/>
  <c r="AC173" i="319"/>
  <c r="AB173" i="319"/>
  <c r="AA173" i="319"/>
  <c r="Z173" i="319"/>
  <c r="AC172" i="319"/>
  <c r="AB172" i="319"/>
  <c r="AA172" i="319"/>
  <c r="Z172" i="319"/>
  <c r="Y172" i="319"/>
  <c r="AC171" i="319"/>
  <c r="AB171" i="319"/>
  <c r="AA171" i="319"/>
  <c r="Z171" i="319"/>
  <c r="Y171" i="319"/>
  <c r="X171" i="319"/>
  <c r="AC170" i="319"/>
  <c r="AB170" i="319"/>
  <c r="AA170" i="319"/>
  <c r="Z170" i="319"/>
  <c r="Y170" i="319"/>
  <c r="X170" i="319"/>
  <c r="W170" i="319"/>
  <c r="AC169" i="319"/>
  <c r="AB169" i="319"/>
  <c r="AA169" i="319"/>
  <c r="Z169" i="319"/>
  <c r="Y169" i="319"/>
  <c r="X169" i="319"/>
  <c r="W169" i="319"/>
  <c r="V169" i="319"/>
  <c r="AC168" i="319"/>
  <c r="AB168" i="319"/>
  <c r="AA168" i="319"/>
  <c r="Z168" i="319"/>
  <c r="Y168" i="319"/>
  <c r="X168" i="319"/>
  <c r="W168" i="319"/>
  <c r="V168" i="319"/>
  <c r="U168" i="319"/>
  <c r="AC167" i="319"/>
  <c r="AB167" i="319"/>
  <c r="AA167" i="319"/>
  <c r="Z167" i="319"/>
  <c r="Y167" i="319"/>
  <c r="X167" i="319"/>
  <c r="W167" i="319"/>
  <c r="V167" i="319"/>
  <c r="U167" i="319"/>
  <c r="T167" i="319"/>
  <c r="AC155" i="319"/>
  <c r="AB155" i="319"/>
  <c r="AA155" i="319"/>
  <c r="Z155" i="319"/>
  <c r="Y155" i="319"/>
  <c r="X155" i="319"/>
  <c r="W155" i="319"/>
  <c r="V155" i="319"/>
  <c r="U155" i="319"/>
  <c r="T155" i="319"/>
  <c r="S155" i="319"/>
  <c r="R155" i="319"/>
  <c r="Q155" i="319"/>
  <c r="P155" i="319"/>
  <c r="O155" i="319"/>
  <c r="N155" i="319"/>
  <c r="M155" i="319"/>
  <c r="L155" i="319"/>
  <c r="K155" i="319"/>
  <c r="J155" i="319"/>
  <c r="I155" i="319"/>
  <c r="H155" i="319"/>
  <c r="AC154" i="319"/>
  <c r="AB154" i="319"/>
  <c r="AA154" i="319"/>
  <c r="Z154" i="319"/>
  <c r="Y154" i="319"/>
  <c r="X154" i="319"/>
  <c r="W154" i="319"/>
  <c r="V154" i="319"/>
  <c r="U154" i="319"/>
  <c r="T154" i="319"/>
  <c r="S154" i="319"/>
  <c r="R154" i="319"/>
  <c r="Q154" i="319"/>
  <c r="P154" i="319"/>
  <c r="O154" i="319"/>
  <c r="N154" i="319"/>
  <c r="M154" i="319"/>
  <c r="L154" i="319"/>
  <c r="K154" i="319"/>
  <c r="J154" i="319"/>
  <c r="I154" i="319"/>
  <c r="H154" i="319"/>
  <c r="G154" i="319"/>
  <c r="AC153" i="319"/>
  <c r="AB153" i="319"/>
  <c r="AA153" i="319"/>
  <c r="Z153" i="319"/>
  <c r="Y153" i="319"/>
  <c r="X153" i="319"/>
  <c r="W153" i="319"/>
  <c r="V153" i="319"/>
  <c r="U153" i="319"/>
  <c r="T153" i="319"/>
  <c r="S153" i="319"/>
  <c r="R153" i="319"/>
  <c r="Q153" i="319"/>
  <c r="P153" i="319"/>
  <c r="O153" i="319"/>
  <c r="N153" i="319"/>
  <c r="M153" i="319"/>
  <c r="L153" i="319"/>
  <c r="K153" i="319"/>
  <c r="J153" i="319"/>
  <c r="I153" i="319"/>
  <c r="H153" i="319"/>
  <c r="G153" i="319"/>
  <c r="F153" i="319"/>
  <c r="AC152" i="319"/>
  <c r="AB152" i="319"/>
  <c r="AA152" i="319"/>
  <c r="Z152" i="319"/>
  <c r="Y152" i="319"/>
  <c r="X152" i="319"/>
  <c r="W152" i="319"/>
  <c r="V152" i="319"/>
  <c r="U152" i="319"/>
  <c r="T152" i="319"/>
  <c r="S152" i="319"/>
  <c r="R152" i="319"/>
  <c r="Q152" i="319"/>
  <c r="P152" i="319"/>
  <c r="O152" i="319"/>
  <c r="N152" i="319"/>
  <c r="M152" i="319"/>
  <c r="L152" i="319"/>
  <c r="K152" i="319"/>
  <c r="J152" i="319"/>
  <c r="I152" i="319"/>
  <c r="H152" i="319"/>
  <c r="G152" i="319"/>
  <c r="F152" i="319"/>
  <c r="E152" i="319"/>
  <c r="AF150" i="319"/>
  <c r="AC149" i="319"/>
  <c r="AB149" i="319"/>
  <c r="AA149" i="319"/>
  <c r="Z149" i="319"/>
  <c r="Y149" i="319"/>
  <c r="X149" i="319"/>
  <c r="W149" i="319"/>
  <c r="V149" i="319"/>
  <c r="U149" i="319"/>
  <c r="T149" i="319"/>
  <c r="I147" i="319"/>
  <c r="AC142" i="319"/>
  <c r="AB142" i="319"/>
  <c r="AA142" i="319"/>
  <c r="Z142" i="319"/>
  <c r="Y142" i="319"/>
  <c r="X142" i="319"/>
  <c r="W142" i="319"/>
  <c r="V142" i="319"/>
  <c r="U142" i="319"/>
  <c r="T142" i="319"/>
  <c r="S114" i="319"/>
  <c r="Q114" i="319"/>
  <c r="P114" i="319"/>
  <c r="O114" i="319"/>
  <c r="N114" i="319"/>
  <c r="M114" i="319"/>
  <c r="L114" i="319"/>
  <c r="K114" i="319"/>
  <c r="J114" i="319"/>
  <c r="I114" i="319"/>
  <c r="S111" i="319"/>
  <c r="Q111" i="319"/>
  <c r="P111" i="319"/>
  <c r="O111" i="319"/>
  <c r="N111" i="319"/>
  <c r="M111" i="319"/>
  <c r="M279" i="319" s="1"/>
  <c r="L111" i="319"/>
  <c r="L279" i="319" s="1"/>
  <c r="K111" i="319"/>
  <c r="K279" i="319" s="1"/>
  <c r="J111" i="319"/>
  <c r="J279" i="319" s="1"/>
  <c r="I111" i="319"/>
  <c r="I279" i="319" s="1"/>
  <c r="S110" i="319"/>
  <c r="Q110" i="319"/>
  <c r="P110" i="319"/>
  <c r="O110" i="319"/>
  <c r="N110" i="319"/>
  <c r="H110" i="319"/>
  <c r="G110" i="319"/>
  <c r="F110" i="319"/>
  <c r="E110" i="319"/>
  <c r="S109" i="319"/>
  <c r="R109" i="319"/>
  <c r="R110" i="319" s="1"/>
  <c r="Q109" i="319"/>
  <c r="P109" i="319"/>
  <c r="O109" i="319"/>
  <c r="N109" i="319"/>
  <c r="M109" i="319"/>
  <c r="L109" i="319"/>
  <c r="K109" i="319"/>
  <c r="J109" i="319"/>
  <c r="I109" i="319"/>
  <c r="AC108" i="319"/>
  <c r="AB108" i="319"/>
  <c r="AA108" i="319"/>
  <c r="Z108" i="319"/>
  <c r="Y108" i="319"/>
  <c r="X108" i="319"/>
  <c r="W108" i="319"/>
  <c r="V108" i="319"/>
  <c r="U108" i="319"/>
  <c r="T108" i="319"/>
  <c r="S108" i="319"/>
  <c r="R108" i="319"/>
  <c r="Q108" i="319"/>
  <c r="P108" i="319"/>
  <c r="O108" i="319"/>
  <c r="N108" i="319"/>
  <c r="M108" i="319"/>
  <c r="L108" i="319"/>
  <c r="K108" i="319"/>
  <c r="J108" i="319"/>
  <c r="I108" i="319"/>
  <c r="H108" i="319"/>
  <c r="G108" i="319"/>
  <c r="F108" i="319"/>
  <c r="E108" i="319"/>
  <c r="C17" i="319"/>
  <c r="B17" i="319"/>
  <c r="B14" i="319"/>
  <c r="C11" i="319"/>
  <c r="B11" i="319"/>
  <c r="N168" i="1"/>
  <c r="N167" i="1"/>
  <c r="N164" i="1"/>
  <c r="N161" i="1"/>
  <c r="S158" i="1"/>
  <c r="N155" i="1"/>
  <c r="R150" i="1"/>
  <c r="Q150" i="1"/>
  <c r="P150" i="1"/>
  <c r="O150" i="1"/>
  <c r="N150" i="1"/>
  <c r="M150" i="1"/>
  <c r="L150" i="1"/>
  <c r="K150" i="1"/>
  <c r="J150" i="1"/>
  <c r="I150" i="1"/>
  <c r="H150" i="1"/>
  <c r="G150" i="1"/>
  <c r="F150" i="1"/>
  <c r="E150" i="1"/>
  <c r="D150" i="1"/>
  <c r="Q149" i="1"/>
  <c r="P149" i="1"/>
  <c r="O149" i="1"/>
  <c r="N149" i="1"/>
  <c r="M149" i="1"/>
  <c r="L149" i="1"/>
  <c r="K149" i="1"/>
  <c r="J149" i="1"/>
  <c r="I149" i="1"/>
  <c r="H149" i="1"/>
  <c r="G149" i="1"/>
  <c r="F149" i="1"/>
  <c r="E149" i="1"/>
  <c r="D149" i="1"/>
  <c r="Q148" i="1"/>
  <c r="P148" i="1"/>
  <c r="O148" i="1"/>
  <c r="N148" i="1"/>
  <c r="M148" i="1"/>
  <c r="L148" i="1"/>
  <c r="K148" i="1"/>
  <c r="J148" i="1"/>
  <c r="I148" i="1"/>
  <c r="H148" i="1"/>
  <c r="G148" i="1"/>
  <c r="F148" i="1"/>
  <c r="E148" i="1"/>
  <c r="D148" i="1"/>
  <c r="Q147" i="1"/>
  <c r="P147" i="1"/>
  <c r="O147" i="1"/>
  <c r="N147" i="1"/>
  <c r="M147" i="1"/>
  <c r="L147" i="1"/>
  <c r="K147" i="1"/>
  <c r="J147" i="1"/>
  <c r="I147" i="1"/>
  <c r="H147" i="1"/>
  <c r="G147" i="1"/>
  <c r="F147" i="1"/>
  <c r="E147" i="1"/>
  <c r="D147" i="1"/>
  <c r="AB146" i="1"/>
  <c r="AA146" i="1"/>
  <c r="Z146" i="1"/>
  <c r="Y146" i="1"/>
  <c r="X146" i="1"/>
  <c r="W146" i="1"/>
  <c r="V146" i="1"/>
  <c r="U146" i="1"/>
  <c r="T146" i="1"/>
  <c r="S146" i="1"/>
  <c r="R146" i="1"/>
  <c r="Q146" i="1"/>
  <c r="P146" i="1"/>
  <c r="O146" i="1"/>
  <c r="N146" i="1"/>
  <c r="M146" i="1"/>
  <c r="L146" i="1"/>
  <c r="K146" i="1"/>
  <c r="J146" i="1"/>
  <c r="I146" i="1"/>
  <c r="H146" i="1"/>
  <c r="G146" i="1"/>
  <c r="F146" i="1"/>
  <c r="E146" i="1"/>
  <c r="D146" i="1"/>
  <c r="AB144" i="1"/>
  <c r="AA144" i="1"/>
  <c r="Z144" i="1"/>
  <c r="Y144" i="1"/>
  <c r="X144" i="1"/>
  <c r="W144" i="1"/>
  <c r="V144" i="1"/>
  <c r="U144" i="1"/>
  <c r="T144" i="1"/>
  <c r="S144" i="1"/>
  <c r="R139" i="1"/>
  <c r="AB137" i="1"/>
  <c r="AA137" i="1"/>
  <c r="Z137" i="1"/>
  <c r="Y137" i="1"/>
  <c r="X137" i="1"/>
  <c r="W137" i="1"/>
  <c r="V137" i="1"/>
  <c r="U137" i="1"/>
  <c r="T137" i="1"/>
  <c r="S137" i="1"/>
  <c r="O132" i="1"/>
  <c r="N132" i="1"/>
  <c r="M132" i="1"/>
  <c r="L132" i="1"/>
  <c r="K132" i="1"/>
  <c r="J132" i="1"/>
  <c r="I132" i="1"/>
  <c r="H132" i="1"/>
  <c r="G132" i="1"/>
  <c r="F132" i="1"/>
  <c r="E132" i="1"/>
  <c r="D132" i="1"/>
  <c r="O128" i="1"/>
  <c r="N128" i="1"/>
  <c r="M128" i="1"/>
  <c r="L128" i="1"/>
  <c r="K128" i="1"/>
  <c r="J128" i="1"/>
  <c r="I128" i="1"/>
  <c r="H128" i="1"/>
  <c r="G128" i="1"/>
  <c r="F128" i="1"/>
  <c r="E128" i="1"/>
  <c r="D128" i="1"/>
  <c r="W124" i="1"/>
  <c r="U123" i="1"/>
  <c r="V121" i="1"/>
  <c r="Z116" i="1"/>
  <c r="R113" i="1"/>
  <c r="V112" i="1"/>
  <c r="S112" i="1"/>
  <c r="S111" i="1"/>
  <c r="Q111" i="1"/>
  <c r="Q110" i="1"/>
  <c r="W109" i="1"/>
  <c r="Q109" i="1"/>
  <c r="AB106" i="1"/>
  <c r="Y106" i="1"/>
  <c r="O101" i="1"/>
  <c r="N101" i="1"/>
  <c r="M101" i="1"/>
  <c r="L101" i="1"/>
  <c r="K101" i="1"/>
  <c r="J101" i="1"/>
  <c r="I101" i="1"/>
  <c r="H101" i="1"/>
  <c r="G101" i="1"/>
  <c r="F101" i="1"/>
  <c r="E101" i="1"/>
  <c r="D101" i="1"/>
  <c r="S100" i="1"/>
  <c r="R100" i="1"/>
  <c r="Q100" i="1"/>
  <c r="P100" i="1"/>
  <c r="O100" i="1"/>
  <c r="N100" i="1"/>
  <c r="M100" i="1"/>
  <c r="L100" i="1"/>
  <c r="K100" i="1"/>
  <c r="J100" i="1"/>
  <c r="I100" i="1"/>
  <c r="H100" i="1"/>
  <c r="G100" i="1"/>
  <c r="F100" i="1"/>
  <c r="E100" i="1"/>
  <c r="D100" i="1"/>
  <c r="BB99" i="1"/>
  <c r="BA99" i="1"/>
  <c r="AZ99" i="1"/>
  <c r="AY99" i="1"/>
  <c r="AX99" i="1"/>
  <c r="AW99" i="1"/>
  <c r="AV99" i="1"/>
  <c r="AU99" i="1"/>
  <c r="AT99" i="1"/>
  <c r="AS99" i="1"/>
  <c r="AR99" i="1"/>
  <c r="AQ99" i="1"/>
  <c r="AP99" i="1"/>
  <c r="AO99" i="1"/>
  <c r="AN99" i="1"/>
  <c r="AM99" i="1"/>
  <c r="AL99" i="1"/>
  <c r="AK99" i="1"/>
  <c r="AJ99" i="1"/>
  <c r="AI99" i="1"/>
  <c r="AH99" i="1"/>
  <c r="AG99" i="1"/>
  <c r="AF99" i="1"/>
  <c r="AE99" i="1"/>
  <c r="AD99" i="1"/>
  <c r="AC99" i="1"/>
  <c r="O99" i="1"/>
  <c r="N99" i="1"/>
  <c r="M99" i="1"/>
  <c r="L99" i="1"/>
  <c r="K99" i="1"/>
  <c r="J99" i="1"/>
  <c r="I99" i="1"/>
  <c r="H99" i="1"/>
  <c r="G99" i="1"/>
  <c r="F99" i="1"/>
  <c r="E99" i="1"/>
  <c r="D99" i="1"/>
  <c r="R98" i="1"/>
  <c r="Q68" i="198" s="1"/>
  <c r="Q98" i="1"/>
  <c r="P98" i="1"/>
  <c r="O98" i="1"/>
  <c r="N98" i="1"/>
  <c r="M98" i="1"/>
  <c r="L98" i="1"/>
  <c r="K98" i="1"/>
  <c r="J98" i="1"/>
  <c r="I98" i="1"/>
  <c r="H98" i="1"/>
  <c r="G98" i="1"/>
  <c r="F98" i="1"/>
  <c r="E98" i="1"/>
  <c r="D98" i="1"/>
  <c r="AB97" i="1"/>
  <c r="AA97" i="1"/>
  <c r="Z97" i="1"/>
  <c r="Y97" i="1"/>
  <c r="X97" i="1"/>
  <c r="W97" i="1"/>
  <c r="V97" i="1"/>
  <c r="U97" i="1"/>
  <c r="T97" i="1"/>
  <c r="S97" i="1"/>
  <c r="R97" i="1"/>
  <c r="Q97" i="1"/>
  <c r="P97" i="1"/>
  <c r="O97" i="1"/>
  <c r="N97" i="1"/>
  <c r="M97" i="1"/>
  <c r="L97" i="1"/>
  <c r="K97" i="1"/>
  <c r="J97" i="1"/>
  <c r="I97" i="1"/>
  <c r="H97" i="1"/>
  <c r="G97" i="1"/>
  <c r="F97" i="1"/>
  <c r="E97" i="1"/>
  <c r="D97" i="1"/>
  <c r="BB96" i="1"/>
  <c r="BA96" i="1"/>
  <c r="AZ96" i="1"/>
  <c r="AY96" i="1"/>
  <c r="AX96" i="1"/>
  <c r="AW96" i="1"/>
  <c r="AV96" i="1"/>
  <c r="AU96" i="1"/>
  <c r="AT96" i="1"/>
  <c r="AS96" i="1"/>
  <c r="AR96" i="1"/>
  <c r="AQ96" i="1"/>
  <c r="AP96" i="1"/>
  <c r="AO96" i="1"/>
  <c r="AN96" i="1"/>
  <c r="AM96" i="1"/>
  <c r="AL96" i="1"/>
  <c r="AK96" i="1"/>
  <c r="AJ96" i="1"/>
  <c r="AI96" i="1"/>
  <c r="AH96" i="1"/>
  <c r="AG96" i="1"/>
  <c r="AF96" i="1"/>
  <c r="AE96" i="1"/>
  <c r="AD96" i="1"/>
  <c r="AC96" i="1"/>
  <c r="AB96" i="1"/>
  <c r="AA96" i="1"/>
  <c r="Z96" i="1"/>
  <c r="Y96" i="1"/>
  <c r="X96" i="1"/>
  <c r="BB95" i="1"/>
  <c r="BA95" i="1"/>
  <c r="AZ95" i="1"/>
  <c r="AY95" i="1"/>
  <c r="AX95" i="1"/>
  <c r="AW95" i="1"/>
  <c r="AV95" i="1"/>
  <c r="AU95" i="1"/>
  <c r="AT95" i="1"/>
  <c r="AS95" i="1"/>
  <c r="AR95" i="1"/>
  <c r="AQ95" i="1"/>
  <c r="AP95" i="1"/>
  <c r="AO95" i="1"/>
  <c r="AN95" i="1"/>
  <c r="AM95" i="1"/>
  <c r="AL95" i="1"/>
  <c r="AK95" i="1"/>
  <c r="AJ95" i="1"/>
  <c r="AI95" i="1"/>
  <c r="AH95" i="1"/>
  <c r="AG95" i="1"/>
  <c r="AF95" i="1"/>
  <c r="AE95" i="1"/>
  <c r="AD95" i="1"/>
  <c r="AC95" i="1"/>
  <c r="R95" i="1"/>
  <c r="Q95" i="1"/>
  <c r="P95" i="1"/>
  <c r="O95" i="1"/>
  <c r="N95" i="1"/>
  <c r="M95" i="1"/>
  <c r="L95" i="1"/>
  <c r="K95" i="1"/>
  <c r="J95" i="1"/>
  <c r="I95" i="1"/>
  <c r="H95" i="1"/>
  <c r="G95" i="1"/>
  <c r="F95" i="1"/>
  <c r="E95" i="1"/>
  <c r="D95" i="1"/>
  <c r="R93" i="1"/>
  <c r="P93" i="1"/>
  <c r="O93" i="1"/>
  <c r="N93" i="1"/>
  <c r="M93" i="1"/>
  <c r="AB92" i="1"/>
  <c r="R92" i="1"/>
  <c r="P92" i="1"/>
  <c r="O92" i="1"/>
  <c r="N92" i="1"/>
  <c r="M92" i="1"/>
  <c r="L92" i="1"/>
  <c r="K92" i="1"/>
  <c r="J92" i="1"/>
  <c r="I92" i="1"/>
  <c r="H92" i="1"/>
  <c r="G92" i="1"/>
  <c r="F92" i="1"/>
  <c r="E92" i="1"/>
  <c r="D92" i="1"/>
  <c r="AB91" i="1"/>
  <c r="AA91" i="1"/>
  <c r="Z91" i="1"/>
  <c r="Y91" i="1"/>
  <c r="X91" i="1"/>
  <c r="W91" i="1"/>
  <c r="V91" i="1"/>
  <c r="U91" i="1"/>
  <c r="T91" i="1"/>
  <c r="S91" i="1"/>
  <c r="R91" i="1"/>
  <c r="P91" i="1"/>
  <c r="O91" i="1"/>
  <c r="N91" i="1"/>
  <c r="AB90" i="1"/>
  <c r="AA90" i="1"/>
  <c r="Z90" i="1"/>
  <c r="Y90" i="1"/>
  <c r="X90" i="1"/>
  <c r="W90" i="1"/>
  <c r="V90" i="1"/>
  <c r="U90" i="1"/>
  <c r="T90" i="1"/>
  <c r="S90" i="1"/>
  <c r="R90" i="1"/>
  <c r="P90" i="1"/>
  <c r="O90" i="1"/>
  <c r="N90" i="1"/>
  <c r="M90" i="1"/>
  <c r="AB89" i="1"/>
  <c r="AA89" i="1"/>
  <c r="Z89" i="1"/>
  <c r="Y89" i="1"/>
  <c r="X89" i="1"/>
  <c r="W89" i="1"/>
  <c r="V89" i="1"/>
  <c r="U89" i="1"/>
  <c r="T89" i="1"/>
  <c r="S89" i="1"/>
  <c r="R89" i="1"/>
  <c r="P89" i="1"/>
  <c r="O89" i="1"/>
  <c r="N89" i="1"/>
  <c r="M89" i="1"/>
  <c r="AA88" i="1"/>
  <c r="Z88" i="1"/>
  <c r="Y88" i="1"/>
  <c r="X88" i="1"/>
  <c r="W88" i="1"/>
  <c r="V88" i="1"/>
  <c r="U88" i="1"/>
  <c r="T88" i="1"/>
  <c r="R88" i="1"/>
  <c r="Q88" i="1"/>
  <c r="E476" i="230" s="1"/>
  <c r="P88" i="1"/>
  <c r="O88" i="1"/>
  <c r="N88" i="1"/>
  <c r="M88" i="1"/>
  <c r="L88" i="1"/>
  <c r="K88" i="1"/>
  <c r="J88" i="1"/>
  <c r="I88" i="1"/>
  <c r="H88" i="1"/>
  <c r="G88" i="1"/>
  <c r="F88" i="1"/>
  <c r="E88" i="1"/>
  <c r="D88" i="1"/>
  <c r="R87" i="1"/>
  <c r="P87" i="1"/>
  <c r="O87" i="1"/>
  <c r="N87" i="1"/>
  <c r="M87" i="1"/>
  <c r="R86" i="1"/>
  <c r="Q86" i="1"/>
  <c r="O30" i="198" s="1"/>
  <c r="L64" i="198" s="1"/>
  <c r="P86" i="1"/>
  <c r="O86" i="1"/>
  <c r="N86" i="1"/>
  <c r="M86" i="1"/>
  <c r="L86" i="1"/>
  <c r="K86" i="1"/>
  <c r="J86" i="1"/>
  <c r="I86" i="1"/>
  <c r="H86" i="1"/>
  <c r="G86" i="1"/>
  <c r="F86" i="1"/>
  <c r="E86" i="1"/>
  <c r="D86" i="1"/>
  <c r="AB85" i="1"/>
  <c r="AA85" i="1"/>
  <c r="Z85" i="1"/>
  <c r="Y85" i="1"/>
  <c r="X85" i="1"/>
  <c r="W85" i="1"/>
  <c r="V85" i="1"/>
  <c r="U85" i="1"/>
  <c r="T85" i="1"/>
  <c r="S85" i="1"/>
  <c r="R85" i="1"/>
  <c r="P85" i="1"/>
  <c r="O85" i="1"/>
  <c r="N85" i="1"/>
  <c r="M85" i="1"/>
  <c r="AB84" i="1"/>
  <c r="AA84" i="1"/>
  <c r="Z84" i="1"/>
  <c r="Y84" i="1"/>
  <c r="X84" i="1"/>
  <c r="W84" i="1"/>
  <c r="V84" i="1"/>
  <c r="U84" i="1"/>
  <c r="T84" i="1"/>
  <c r="S84" i="1"/>
  <c r="R84" i="1"/>
  <c r="P84" i="1"/>
  <c r="O84" i="1"/>
  <c r="N84" i="1"/>
  <c r="M84" i="1"/>
  <c r="R83" i="1"/>
  <c r="P83" i="1"/>
  <c r="O83" i="1"/>
  <c r="N83" i="1"/>
  <c r="M83" i="1"/>
  <c r="AB82" i="1"/>
  <c r="AA82" i="1"/>
  <c r="Z82" i="1"/>
  <c r="Y82" i="1"/>
  <c r="X82" i="1"/>
  <c r="W82" i="1"/>
  <c r="V82" i="1"/>
  <c r="U82" i="1"/>
  <c r="T82" i="1"/>
  <c r="S82" i="1"/>
  <c r="R82" i="1"/>
  <c r="P82" i="1"/>
  <c r="O82" i="1"/>
  <c r="N82" i="1"/>
  <c r="M82" i="1"/>
  <c r="R81" i="1"/>
  <c r="P81" i="1"/>
  <c r="O81" i="1"/>
  <c r="N81" i="1"/>
  <c r="AB80" i="1"/>
  <c r="AA80" i="1"/>
  <c r="Z80" i="1"/>
  <c r="Y80" i="1"/>
  <c r="X80" i="1"/>
  <c r="W80" i="1"/>
  <c r="V80" i="1"/>
  <c r="U80" i="1"/>
  <c r="T80" i="1"/>
  <c r="S80" i="1"/>
  <c r="R80" i="1"/>
  <c r="Q80" i="1"/>
  <c r="E455" i="230" s="1"/>
  <c r="P80" i="1"/>
  <c r="O80" i="1"/>
  <c r="N80" i="1"/>
  <c r="M80" i="1"/>
  <c r="L80" i="1"/>
  <c r="K80" i="1"/>
  <c r="J80" i="1"/>
  <c r="I80" i="1"/>
  <c r="H80" i="1"/>
  <c r="G80" i="1"/>
  <c r="F80" i="1"/>
  <c r="E80" i="1"/>
  <c r="D80" i="1"/>
  <c r="R79" i="1"/>
  <c r="P79" i="1"/>
  <c r="O79" i="1"/>
  <c r="N79" i="1"/>
  <c r="M79" i="1"/>
  <c r="R78" i="1"/>
  <c r="Q78" i="1"/>
  <c r="P78" i="1"/>
  <c r="O78" i="1"/>
  <c r="N78" i="1"/>
  <c r="M78" i="1"/>
  <c r="L78" i="1"/>
  <c r="K78" i="1"/>
  <c r="J78" i="1"/>
  <c r="I78" i="1"/>
  <c r="H78" i="1"/>
  <c r="G78" i="1"/>
  <c r="F78" i="1"/>
  <c r="E78" i="1"/>
  <c r="D78" i="1"/>
  <c r="AA77" i="1"/>
  <c r="Z77" i="1"/>
  <c r="Y77" i="1"/>
  <c r="X77" i="1"/>
  <c r="W77" i="1"/>
  <c r="V77" i="1"/>
  <c r="U77" i="1"/>
  <c r="T77" i="1"/>
  <c r="S77" i="1"/>
  <c r="R76" i="1"/>
  <c r="P76" i="1"/>
  <c r="O76" i="1"/>
  <c r="N76" i="1"/>
  <c r="M76" i="1"/>
  <c r="O73" i="1"/>
  <c r="N73" i="1"/>
  <c r="M73" i="1"/>
  <c r="L73" i="1"/>
  <c r="K73" i="1"/>
  <c r="J73" i="1"/>
  <c r="I73" i="1"/>
  <c r="H73" i="1"/>
  <c r="G73" i="1"/>
  <c r="F73" i="1"/>
  <c r="E73" i="1"/>
  <c r="D73" i="1"/>
  <c r="P72" i="1"/>
  <c r="O72" i="1"/>
  <c r="N72" i="1"/>
  <c r="M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Q68" i="1"/>
  <c r="P68" i="1"/>
  <c r="O68" i="1"/>
  <c r="N68" i="1"/>
  <c r="O67" i="1"/>
  <c r="N67" i="1"/>
  <c r="M67" i="1"/>
  <c r="L67" i="1"/>
  <c r="K67" i="1"/>
  <c r="J67" i="1"/>
  <c r="I67" i="1"/>
  <c r="H67" i="1"/>
  <c r="G67" i="1"/>
  <c r="F67" i="1"/>
  <c r="E67" i="1"/>
  <c r="D67" i="1"/>
  <c r="O66" i="1"/>
  <c r="N66" i="1"/>
  <c r="M66" i="1"/>
  <c r="L66" i="1"/>
  <c r="K66" i="1"/>
  <c r="J66" i="1"/>
  <c r="I66" i="1"/>
  <c r="H66" i="1"/>
  <c r="G66" i="1"/>
  <c r="F66" i="1"/>
  <c r="E66" i="1"/>
  <c r="D66" i="1"/>
  <c r="O65" i="1"/>
  <c r="N65" i="1"/>
  <c r="M65" i="1"/>
  <c r="L65" i="1"/>
  <c r="K65" i="1"/>
  <c r="J65" i="1"/>
  <c r="I65" i="1"/>
  <c r="H65" i="1"/>
  <c r="G65" i="1"/>
  <c r="F65" i="1"/>
  <c r="E65" i="1"/>
  <c r="D65" i="1"/>
  <c r="R64" i="1"/>
  <c r="Q64" i="1"/>
  <c r="P64" i="1"/>
  <c r="O64" i="1"/>
  <c r="R63" i="1"/>
  <c r="E1265" i="230" s="1"/>
  <c r="Q63" i="1"/>
  <c r="P63" i="1"/>
  <c r="O63" i="1"/>
  <c r="N63" i="1"/>
  <c r="Q62" i="1"/>
  <c r="O62" i="1"/>
  <c r="N62" i="1"/>
  <c r="M62" i="1"/>
  <c r="L62" i="1"/>
  <c r="K62" i="1"/>
  <c r="J62" i="1"/>
  <c r="I62" i="1"/>
  <c r="H62" i="1"/>
  <c r="G62" i="1"/>
  <c r="F62" i="1"/>
  <c r="E62" i="1"/>
  <c r="D62" i="1"/>
  <c r="O61" i="1"/>
  <c r="N61" i="1"/>
  <c r="P60" i="1"/>
  <c r="O60" i="1"/>
  <c r="N60" i="1"/>
  <c r="M60" i="1"/>
  <c r="L60" i="1"/>
  <c r="K60" i="1"/>
  <c r="J60" i="1"/>
  <c r="I60" i="1"/>
  <c r="H60" i="1"/>
  <c r="G60" i="1"/>
  <c r="F60" i="1"/>
  <c r="E60" i="1"/>
  <c r="R59" i="1"/>
  <c r="P59" i="1"/>
  <c r="O59" i="1"/>
  <c r="N59" i="1"/>
  <c r="M59" i="1"/>
  <c r="L59" i="1"/>
  <c r="K59" i="1"/>
  <c r="J59" i="1"/>
  <c r="I59" i="1"/>
  <c r="H59" i="1"/>
  <c r="G59" i="1"/>
  <c r="F59" i="1"/>
  <c r="E59" i="1"/>
  <c r="D59" i="1"/>
  <c r="R58" i="1"/>
  <c r="Q58" i="1"/>
  <c r="E3351" i="230" s="1"/>
  <c r="P58" i="1"/>
  <c r="O58" i="1"/>
  <c r="N58" i="1"/>
  <c r="M58" i="1"/>
  <c r="R56" i="1"/>
  <c r="E1070" i="230" s="1"/>
  <c r="Q56" i="1"/>
  <c r="P56" i="1"/>
  <c r="O56" i="1"/>
  <c r="N56" i="1"/>
  <c r="M56" i="1"/>
  <c r="L56" i="1"/>
  <c r="K56" i="1"/>
  <c r="J56" i="1"/>
  <c r="I56" i="1"/>
  <c r="H56" i="1"/>
  <c r="G56" i="1"/>
  <c r="F56" i="1"/>
  <c r="E56" i="1"/>
  <c r="D56" i="1"/>
  <c r="R55" i="1"/>
  <c r="P53" i="198" s="1"/>
  <c r="L75" i="198" s="1"/>
  <c r="Q55" i="1"/>
  <c r="P55" i="1"/>
  <c r="O55" i="1"/>
  <c r="N55" i="1"/>
  <c r="M55" i="1"/>
  <c r="L55" i="1"/>
  <c r="K55" i="1"/>
  <c r="J55" i="1"/>
  <c r="I55" i="1"/>
  <c r="H55" i="1"/>
  <c r="G55" i="1"/>
  <c r="F55" i="1"/>
  <c r="E55" i="1"/>
  <c r="D55" i="1"/>
  <c r="Q53" i="1"/>
  <c r="P53" i="1"/>
  <c r="O53" i="1"/>
  <c r="N53" i="1"/>
  <c r="M53" i="1"/>
  <c r="L53" i="1"/>
  <c r="K53" i="1"/>
  <c r="J53" i="1"/>
  <c r="I53" i="1"/>
  <c r="H53" i="1"/>
  <c r="G53" i="1"/>
  <c r="F53" i="1"/>
  <c r="E53" i="1"/>
  <c r="D53" i="1"/>
  <c r="R52" i="1"/>
  <c r="P52" i="198" s="1"/>
  <c r="Q52" i="1"/>
  <c r="P52" i="1"/>
  <c r="O52" i="1"/>
  <c r="N52" i="1"/>
  <c r="M52" i="1"/>
  <c r="L52" i="1"/>
  <c r="K52" i="1"/>
  <c r="J52" i="1"/>
  <c r="I52" i="1"/>
  <c r="H52" i="1"/>
  <c r="G52" i="1"/>
  <c r="F52" i="1"/>
  <c r="E52" i="1"/>
  <c r="D52" i="1"/>
  <c r="R50" i="1"/>
  <c r="Q50" i="1"/>
  <c r="P50" i="1"/>
  <c r="O50" i="1"/>
  <c r="N50" i="1"/>
  <c r="M50" i="1"/>
  <c r="L50" i="1"/>
  <c r="K50" i="1"/>
  <c r="J50" i="1"/>
  <c r="I50" i="1"/>
  <c r="H50" i="1"/>
  <c r="G50" i="1"/>
  <c r="F50" i="1"/>
  <c r="E50" i="1"/>
  <c r="D50" i="1"/>
  <c r="AB49" i="1"/>
  <c r="AA49" i="1"/>
  <c r="Z49" i="1"/>
  <c r="Y49" i="1"/>
  <c r="X49" i="1"/>
  <c r="W49" i="1"/>
  <c r="V49" i="1"/>
  <c r="U49" i="1"/>
  <c r="T49" i="1"/>
  <c r="S49" i="1"/>
  <c r="R49" i="1"/>
  <c r="Q49" i="1"/>
  <c r="P49" i="1"/>
  <c r="O49" i="1"/>
  <c r="N49" i="1"/>
  <c r="M49" i="1"/>
  <c r="L49" i="1"/>
  <c r="K49" i="1"/>
  <c r="J49" i="1"/>
  <c r="I49" i="1"/>
  <c r="H49" i="1"/>
  <c r="G49" i="1"/>
  <c r="F49" i="1"/>
  <c r="E49" i="1"/>
  <c r="D49" i="1"/>
  <c r="R45" i="1"/>
  <c r="Q45" i="1"/>
  <c r="P45" i="1"/>
  <c r="O45" i="1"/>
  <c r="N45" i="1"/>
  <c r="M45" i="1"/>
  <c r="L45" i="1"/>
  <c r="K45" i="1"/>
  <c r="J45" i="1"/>
  <c r="I45" i="1"/>
  <c r="H45" i="1"/>
  <c r="G45" i="1"/>
  <c r="F45" i="1"/>
  <c r="E45" i="1"/>
  <c r="D45" i="1"/>
  <c r="R44" i="1"/>
  <c r="Q44" i="1"/>
  <c r="P44" i="1"/>
  <c r="O44" i="1"/>
  <c r="N44" i="1"/>
  <c r="M44" i="1"/>
  <c r="L44" i="1"/>
  <c r="K44" i="1"/>
  <c r="J44" i="1"/>
  <c r="I44" i="1"/>
  <c r="H44" i="1"/>
  <c r="G44" i="1"/>
  <c r="F44" i="1"/>
  <c r="E44" i="1"/>
  <c r="D44" i="1"/>
  <c r="R43" i="1"/>
  <c r="Q43" i="1"/>
  <c r="P43" i="1"/>
  <c r="O43" i="1"/>
  <c r="N43" i="1"/>
  <c r="R42" i="1"/>
  <c r="Q42" i="1"/>
  <c r="P42" i="1"/>
  <c r="O42" i="1"/>
  <c r="N42" i="1"/>
  <c r="M42" i="1"/>
  <c r="L42" i="1"/>
  <c r="K42" i="1"/>
  <c r="J42" i="1"/>
  <c r="I42" i="1"/>
  <c r="H42" i="1"/>
  <c r="G42" i="1"/>
  <c r="F42" i="1"/>
  <c r="E42" i="1"/>
  <c r="D42" i="1"/>
  <c r="R41" i="1"/>
  <c r="Q41" i="1"/>
  <c r="P41" i="1"/>
  <c r="O41" i="1"/>
  <c r="N41" i="1"/>
  <c r="M41" i="1"/>
  <c r="L41" i="1"/>
  <c r="K41" i="1"/>
  <c r="J41" i="1"/>
  <c r="I41" i="1"/>
  <c r="H41" i="1"/>
  <c r="G41" i="1"/>
  <c r="F41" i="1"/>
  <c r="E41" i="1"/>
  <c r="D41" i="1"/>
  <c r="R39" i="1"/>
  <c r="Q39" i="1"/>
  <c r="P39" i="1"/>
  <c r="O39" i="1"/>
  <c r="N39" i="1"/>
  <c r="M39" i="1"/>
  <c r="T37" i="1"/>
  <c r="R36" i="1"/>
  <c r="Q36" i="1"/>
  <c r="P36" i="1"/>
  <c r="O36" i="1"/>
  <c r="N36" i="1"/>
  <c r="M36" i="1"/>
  <c r="L36" i="1"/>
  <c r="K36" i="1"/>
  <c r="J36" i="1"/>
  <c r="I36" i="1"/>
  <c r="H36" i="1"/>
  <c r="G36" i="1"/>
  <c r="F36" i="1"/>
  <c r="E36" i="1"/>
  <c r="D36" i="1"/>
  <c r="R34" i="1"/>
  <c r="Q34" i="1"/>
  <c r="P34" i="1"/>
  <c r="O34" i="1"/>
  <c r="N34" i="1"/>
  <c r="M34" i="1"/>
  <c r="L34" i="1"/>
  <c r="K34" i="1"/>
  <c r="J34" i="1"/>
  <c r="I34" i="1"/>
  <c r="H34" i="1"/>
  <c r="G34" i="1"/>
  <c r="F34" i="1"/>
  <c r="E34" i="1"/>
  <c r="D34" i="1"/>
  <c r="R31" i="1"/>
  <c r="Q31" i="1"/>
  <c r="P31" i="1"/>
  <c r="O31" i="1"/>
  <c r="N31" i="1"/>
  <c r="M31" i="1"/>
  <c r="L31" i="1"/>
  <c r="K31" i="1"/>
  <c r="J31" i="1"/>
  <c r="I31" i="1"/>
  <c r="H31" i="1"/>
  <c r="G31" i="1"/>
  <c r="F31" i="1"/>
  <c r="E31" i="1"/>
  <c r="D31" i="1"/>
  <c r="R30" i="1"/>
  <c r="Q30" i="1"/>
  <c r="P30" i="1"/>
  <c r="O30" i="1"/>
  <c r="N30" i="1"/>
  <c r="M30" i="1"/>
  <c r="AB29" i="1"/>
  <c r="AA29" i="1"/>
  <c r="Z29" i="1"/>
  <c r="Y29" i="1"/>
  <c r="X29" i="1"/>
  <c r="W29" i="1"/>
  <c r="V29" i="1"/>
  <c r="U29" i="1"/>
  <c r="T29" i="1"/>
  <c r="R29" i="1"/>
  <c r="Q29" i="1"/>
  <c r="P29" i="1"/>
  <c r="O29" i="1"/>
  <c r="N29" i="1"/>
  <c r="M29" i="1"/>
  <c r="R28" i="1"/>
  <c r="Q28" i="1"/>
  <c r="P28" i="1"/>
  <c r="O28" i="1"/>
  <c r="N28" i="1"/>
  <c r="M28" i="1"/>
  <c r="L28" i="1"/>
  <c r="K28" i="1"/>
  <c r="J28" i="1"/>
  <c r="I28" i="1"/>
  <c r="H28" i="1"/>
  <c r="G28" i="1"/>
  <c r="F28" i="1"/>
  <c r="E28" i="1"/>
  <c r="D28" i="1"/>
  <c r="R26" i="1"/>
  <c r="Q26" i="1"/>
  <c r="P26" i="1"/>
  <c r="O26" i="1"/>
  <c r="N26" i="1"/>
  <c r="M26" i="1"/>
  <c r="R25" i="1"/>
  <c r="Q25" i="1"/>
  <c r="P25" i="1"/>
  <c r="O25" i="1"/>
  <c r="N25" i="1"/>
  <c r="M25" i="1"/>
  <c r="L25" i="1"/>
  <c r="K25" i="1"/>
  <c r="J25" i="1"/>
  <c r="I25" i="1"/>
  <c r="H25" i="1"/>
  <c r="G25" i="1"/>
  <c r="F25" i="1"/>
  <c r="E25" i="1"/>
  <c r="D25" i="1"/>
  <c r="R24" i="1"/>
  <c r="Q24" i="1"/>
  <c r="P24" i="1"/>
  <c r="O24" i="1"/>
  <c r="N24" i="1"/>
  <c r="M24" i="1"/>
  <c r="L24" i="1"/>
  <c r="K24" i="1"/>
  <c r="J24" i="1"/>
  <c r="I24" i="1"/>
  <c r="H24" i="1"/>
  <c r="G24" i="1"/>
  <c r="F24" i="1"/>
  <c r="E24" i="1"/>
  <c r="D24" i="1"/>
  <c r="R23" i="1"/>
  <c r="Q23" i="1"/>
  <c r="P23" i="1"/>
  <c r="O23" i="1"/>
  <c r="N23" i="1"/>
  <c r="M23" i="1"/>
  <c r="L23" i="1"/>
  <c r="K23" i="1"/>
  <c r="J23" i="1"/>
  <c r="I23" i="1"/>
  <c r="H23" i="1"/>
  <c r="G23" i="1"/>
  <c r="F23" i="1"/>
  <c r="E23" i="1"/>
  <c r="D23" i="1"/>
  <c r="R22" i="1"/>
  <c r="Q22" i="1"/>
  <c r="P22" i="1"/>
  <c r="O22" i="1"/>
  <c r="N22" i="1"/>
  <c r="M22" i="1"/>
  <c r="AB21" i="1"/>
  <c r="AA21" i="1"/>
  <c r="Z21" i="1"/>
  <c r="Y21" i="1"/>
  <c r="X21" i="1"/>
  <c r="W21" i="1"/>
  <c r="V21" i="1"/>
  <c r="U21" i="1"/>
  <c r="T21" i="1"/>
  <c r="S21" i="1"/>
  <c r="R21" i="1"/>
  <c r="Q21" i="1"/>
  <c r="P21" i="1"/>
  <c r="O21" i="1"/>
  <c r="N21" i="1"/>
  <c r="M21" i="1"/>
  <c r="L21" i="1"/>
  <c r="K21" i="1"/>
  <c r="J21" i="1"/>
  <c r="I21" i="1"/>
  <c r="H21" i="1"/>
  <c r="G21" i="1"/>
  <c r="F21" i="1"/>
  <c r="E21" i="1"/>
  <c r="D21" i="1"/>
  <c r="AB19" i="1"/>
  <c r="AA19" i="1"/>
  <c r="Z19" i="1"/>
  <c r="Y19" i="1"/>
  <c r="X19" i="1"/>
  <c r="W19" i="1"/>
  <c r="V19" i="1"/>
  <c r="U19" i="1"/>
  <c r="T19" i="1"/>
  <c r="S19" i="1"/>
  <c r="R19" i="1"/>
  <c r="Q19" i="1"/>
  <c r="P19" i="1"/>
  <c r="O19" i="1"/>
  <c r="N19" i="1"/>
  <c r="M19" i="1"/>
  <c r="L19" i="1"/>
  <c r="K19" i="1"/>
  <c r="J19" i="1"/>
  <c r="I19" i="1"/>
  <c r="H19" i="1"/>
  <c r="G19" i="1"/>
  <c r="F19" i="1"/>
  <c r="E19" i="1"/>
  <c r="D19" i="1"/>
  <c r="R17" i="1"/>
  <c r="Q17" i="1"/>
  <c r="P17" i="1"/>
  <c r="O17" i="1"/>
  <c r="N17" i="1"/>
  <c r="M17" i="1"/>
  <c r="L17" i="1"/>
  <c r="K17" i="1"/>
  <c r="J17" i="1"/>
  <c r="I17" i="1"/>
  <c r="H17" i="1"/>
  <c r="G17" i="1"/>
  <c r="F17" i="1"/>
  <c r="E17" i="1"/>
  <c r="D17" i="1"/>
  <c r="R16" i="1"/>
  <c r="Q16" i="1"/>
  <c r="P16" i="1"/>
  <c r="O16" i="1"/>
  <c r="N16" i="1"/>
  <c r="M16" i="1"/>
  <c r="R15" i="1"/>
  <c r="Q15" i="1"/>
  <c r="P15" i="1"/>
  <c r="O15" i="1"/>
  <c r="N15" i="1"/>
  <c r="M15" i="1"/>
  <c r="L15" i="1"/>
  <c r="K15" i="1"/>
  <c r="J15" i="1"/>
  <c r="I15" i="1"/>
  <c r="H15" i="1"/>
  <c r="G15" i="1"/>
  <c r="F15" i="1"/>
  <c r="E15" i="1"/>
  <c r="D15" i="1"/>
  <c r="R14" i="1"/>
  <c r="Q14" i="1"/>
  <c r="P14" i="1"/>
  <c r="O14" i="1"/>
  <c r="N14" i="1"/>
  <c r="M14" i="1"/>
  <c r="L14" i="1"/>
  <c r="K14" i="1"/>
  <c r="J14" i="1"/>
  <c r="I14" i="1"/>
  <c r="H14" i="1"/>
  <c r="G14" i="1"/>
  <c r="F14" i="1"/>
  <c r="E14" i="1"/>
  <c r="D14" i="1"/>
  <c r="R12" i="1"/>
  <c r="Q12" i="1"/>
  <c r="P12" i="1"/>
  <c r="O12" i="1"/>
  <c r="N12" i="1"/>
  <c r="M12" i="1"/>
  <c r="L12" i="1"/>
  <c r="K12" i="1"/>
  <c r="J12" i="1"/>
  <c r="I12" i="1"/>
  <c r="H12" i="1"/>
  <c r="G12" i="1"/>
  <c r="F12" i="1"/>
  <c r="E12" i="1"/>
  <c r="D12" i="1"/>
  <c r="R11" i="1"/>
  <c r="Q11" i="1"/>
  <c r="P11" i="1"/>
  <c r="O11" i="1"/>
  <c r="N11" i="1"/>
  <c r="M11" i="1"/>
  <c r="AB9" i="1"/>
  <c r="AA9" i="1"/>
  <c r="Z9" i="1"/>
  <c r="Y9" i="1"/>
  <c r="X9" i="1"/>
  <c r="W9" i="1"/>
  <c r="V9" i="1"/>
  <c r="U9" i="1"/>
  <c r="T9" i="1"/>
  <c r="S9" i="1"/>
  <c r="R9" i="1"/>
  <c r="Q9" i="1"/>
  <c r="P9" i="1"/>
  <c r="O9" i="1"/>
  <c r="N9" i="1"/>
  <c r="M9" i="1"/>
  <c r="L9" i="1"/>
  <c r="K9" i="1"/>
  <c r="J9" i="1"/>
  <c r="I9" i="1"/>
  <c r="H9" i="1"/>
  <c r="G9" i="1"/>
  <c r="F9" i="1"/>
  <c r="E9" i="1"/>
  <c r="D9" i="1"/>
  <c r="Y6" i="1"/>
  <c r="Q6" i="1"/>
  <c r="B8" i="319" s="1"/>
  <c r="P6" i="1"/>
  <c r="C8" i="319" s="1"/>
  <c r="Y4" i="1"/>
  <c r="C120" i="330"/>
  <c r="M112" i="330"/>
  <c r="L112" i="330"/>
  <c r="K112" i="330"/>
  <c r="J112" i="330"/>
  <c r="I112" i="330"/>
  <c r="H112" i="330"/>
  <c r="G112" i="330"/>
  <c r="F112" i="330"/>
  <c r="H108" i="330"/>
  <c r="G108" i="330"/>
  <c r="F108" i="330"/>
  <c r="M107" i="330"/>
  <c r="L107" i="330"/>
  <c r="K107" i="330"/>
  <c r="J107" i="330"/>
  <c r="I107" i="330"/>
  <c r="H107" i="330"/>
  <c r="G107" i="330"/>
  <c r="F107" i="330"/>
  <c r="H106" i="330"/>
  <c r="F106" i="330"/>
  <c r="H104" i="330"/>
  <c r="F104" i="330"/>
  <c r="M103" i="330"/>
  <c r="L103" i="330"/>
  <c r="K103" i="330"/>
  <c r="J103" i="330"/>
  <c r="I103" i="330"/>
  <c r="H103" i="330"/>
  <c r="F103" i="330"/>
  <c r="M102" i="330"/>
  <c r="L102" i="330"/>
  <c r="K102" i="330"/>
  <c r="J102" i="330"/>
  <c r="I102" i="330"/>
  <c r="H102" i="330"/>
  <c r="G102" i="330"/>
  <c r="F102" i="330"/>
  <c r="M101" i="330"/>
  <c r="L101" i="330"/>
  <c r="K101" i="330"/>
  <c r="J101" i="330"/>
  <c r="I101" i="330"/>
  <c r="H101" i="330"/>
  <c r="G101" i="330"/>
  <c r="F101" i="330"/>
  <c r="H100" i="330"/>
  <c r="G100" i="330"/>
  <c r="F100" i="330"/>
  <c r="H98" i="330"/>
  <c r="F98" i="330"/>
  <c r="M97" i="330"/>
  <c r="L97" i="330"/>
  <c r="K97" i="330"/>
  <c r="J97" i="330"/>
  <c r="I97" i="330"/>
  <c r="H97" i="330"/>
  <c r="G97" i="330"/>
  <c r="F97" i="330"/>
  <c r="M96" i="330"/>
  <c r="L96" i="330"/>
  <c r="K96" i="330"/>
  <c r="J96" i="330"/>
  <c r="I96" i="330"/>
  <c r="H96" i="330"/>
  <c r="G96" i="330"/>
  <c r="F96" i="330"/>
  <c r="H95" i="330"/>
  <c r="G95" i="330"/>
  <c r="F95" i="330"/>
  <c r="M94" i="330"/>
  <c r="L94" i="330"/>
  <c r="K94" i="330"/>
  <c r="J94" i="330"/>
  <c r="I94" i="330"/>
  <c r="H94" i="330"/>
  <c r="G94" i="330"/>
  <c r="F94" i="330"/>
  <c r="H93" i="330"/>
  <c r="G93" i="330"/>
  <c r="F93" i="330"/>
  <c r="H92" i="330"/>
  <c r="G92" i="330"/>
  <c r="F92" i="330"/>
  <c r="M91" i="330"/>
  <c r="L91" i="330"/>
  <c r="K91" i="330"/>
  <c r="J91" i="330"/>
  <c r="I91" i="330"/>
  <c r="H91" i="330"/>
  <c r="G91" i="330"/>
  <c r="F91" i="330"/>
  <c r="H90" i="330"/>
  <c r="G90" i="330"/>
  <c r="F90" i="330"/>
  <c r="M88" i="330"/>
  <c r="L88" i="330"/>
  <c r="K88" i="330"/>
  <c r="J88" i="330"/>
  <c r="I88" i="330"/>
  <c r="H88" i="330"/>
  <c r="G88" i="330"/>
  <c r="F88" i="330"/>
  <c r="H84" i="330"/>
  <c r="G84" i="330"/>
  <c r="F84" i="330"/>
  <c r="H83" i="330"/>
  <c r="G83" i="330"/>
  <c r="F83" i="330"/>
  <c r="H81" i="330"/>
  <c r="G81" i="330"/>
  <c r="F81" i="330"/>
  <c r="H80" i="330"/>
  <c r="G80" i="330"/>
  <c r="F80" i="330"/>
  <c r="H78" i="330"/>
  <c r="G78" i="330"/>
  <c r="F78" i="330"/>
  <c r="M77" i="330"/>
  <c r="L77" i="330"/>
  <c r="K77" i="330"/>
  <c r="J77" i="330"/>
  <c r="I77" i="330"/>
  <c r="H77" i="330"/>
  <c r="G77" i="330"/>
  <c r="F77" i="330"/>
  <c r="M76" i="330"/>
  <c r="L76" i="330"/>
  <c r="K76" i="330"/>
  <c r="J76" i="330"/>
  <c r="I76" i="330"/>
  <c r="H76" i="330"/>
  <c r="G76" i="330"/>
  <c r="F76" i="330"/>
  <c r="H75" i="330"/>
  <c r="G75" i="330"/>
  <c r="F75" i="330"/>
  <c r="M74" i="330"/>
  <c r="L74" i="330"/>
  <c r="K74" i="330"/>
  <c r="J74" i="330"/>
  <c r="I74" i="330"/>
  <c r="H74" i="330"/>
  <c r="G74" i="330"/>
  <c r="F74" i="330"/>
  <c r="H72" i="330"/>
  <c r="G72" i="330"/>
  <c r="F72" i="330"/>
  <c r="M71" i="330"/>
  <c r="L71" i="330"/>
  <c r="K71" i="330"/>
  <c r="J71" i="330"/>
  <c r="I71" i="330"/>
  <c r="H71" i="330"/>
  <c r="G71" i="330"/>
  <c r="F71" i="330"/>
  <c r="M70" i="330"/>
  <c r="L70" i="330"/>
  <c r="K70" i="330"/>
  <c r="J70" i="330"/>
  <c r="I70" i="330"/>
  <c r="H70" i="330"/>
  <c r="G70" i="330"/>
  <c r="F70" i="330"/>
  <c r="H68" i="330"/>
  <c r="G68" i="330"/>
  <c r="F68" i="330"/>
  <c r="H67" i="330"/>
  <c r="G67" i="330"/>
  <c r="F67" i="330"/>
  <c r="M66" i="330"/>
  <c r="L66" i="330"/>
  <c r="K66" i="330"/>
  <c r="J66" i="330"/>
  <c r="I66" i="330"/>
  <c r="H66" i="330"/>
  <c r="G66" i="330"/>
  <c r="F66" i="330"/>
  <c r="M65" i="330"/>
  <c r="L65" i="330"/>
  <c r="K65" i="330"/>
  <c r="J65" i="330"/>
  <c r="I65" i="330"/>
  <c r="H65" i="330"/>
  <c r="G65" i="330"/>
  <c r="F65" i="330"/>
  <c r="H64" i="330"/>
  <c r="G64" i="330"/>
  <c r="F64" i="330"/>
  <c r="H62" i="330"/>
  <c r="G62" i="330"/>
  <c r="F62" i="330"/>
  <c r="M61" i="330"/>
  <c r="L61" i="330"/>
  <c r="K61" i="330"/>
  <c r="J61" i="330"/>
  <c r="I61" i="330"/>
  <c r="H61" i="330"/>
  <c r="G61" i="330"/>
  <c r="F61" i="330"/>
  <c r="H60" i="330"/>
  <c r="G60" i="330"/>
  <c r="F60" i="330"/>
  <c r="M58" i="330"/>
  <c r="L58" i="330"/>
  <c r="K58" i="330"/>
  <c r="J58" i="330"/>
  <c r="I58" i="330"/>
  <c r="H58" i="330"/>
  <c r="G58" i="330"/>
  <c r="F58" i="330"/>
  <c r="H53" i="330"/>
  <c r="G53" i="330"/>
  <c r="F53" i="330"/>
  <c r="M52" i="330"/>
  <c r="L52" i="330"/>
  <c r="K52" i="330"/>
  <c r="J52" i="330"/>
  <c r="I52" i="330"/>
  <c r="H52" i="330"/>
  <c r="G52" i="330"/>
  <c r="F52" i="330"/>
  <c r="M50" i="330"/>
  <c r="L50" i="330"/>
  <c r="K50" i="330"/>
  <c r="J50" i="330"/>
  <c r="I50" i="330"/>
  <c r="H50" i="330"/>
  <c r="G50" i="330"/>
  <c r="F50" i="330"/>
  <c r="H47" i="330"/>
  <c r="G47" i="330"/>
  <c r="F47" i="330"/>
  <c r="H46" i="330"/>
  <c r="G46" i="330"/>
  <c r="F46" i="330"/>
  <c r="H45" i="330"/>
  <c r="G45" i="330"/>
  <c r="F45" i="330"/>
  <c r="H41" i="330"/>
  <c r="G41" i="330"/>
  <c r="O41" i="330" s="1"/>
  <c r="F41" i="330"/>
  <c r="H40" i="330"/>
  <c r="O40" i="330" s="1"/>
  <c r="G40" i="330"/>
  <c r="F40" i="330"/>
  <c r="O39" i="330"/>
  <c r="H39" i="330"/>
  <c r="G39" i="330"/>
  <c r="F39" i="330"/>
  <c r="O38" i="330"/>
  <c r="H38" i="330"/>
  <c r="G38" i="330"/>
  <c r="F38" i="330"/>
  <c r="O37" i="330"/>
  <c r="H37" i="330"/>
  <c r="G37" i="330"/>
  <c r="F37" i="330"/>
  <c r="G34" i="330"/>
  <c r="F34" i="330"/>
  <c r="O33" i="330"/>
  <c r="H33" i="330"/>
  <c r="G33" i="330"/>
  <c r="F33" i="330"/>
  <c r="O32" i="330"/>
  <c r="H32" i="330"/>
  <c r="G32" i="330"/>
  <c r="F32" i="330"/>
  <c r="O31" i="330"/>
  <c r="H31" i="330"/>
  <c r="G31" i="330"/>
  <c r="F31" i="330"/>
  <c r="O30" i="330"/>
  <c r="H30" i="330"/>
  <c r="G30" i="330"/>
  <c r="F30" i="330"/>
  <c r="O29" i="330"/>
  <c r="H29" i="330"/>
  <c r="G29" i="330"/>
  <c r="F29" i="330"/>
  <c r="H26" i="330"/>
  <c r="G26" i="330"/>
  <c r="F26" i="330"/>
  <c r="H25" i="330"/>
  <c r="G25" i="330"/>
  <c r="F25" i="330"/>
  <c r="H24" i="330"/>
  <c r="G24" i="330"/>
  <c r="F24" i="330"/>
  <c r="H23" i="330"/>
  <c r="G23" i="330"/>
  <c r="F23" i="330"/>
  <c r="H22" i="330"/>
  <c r="G22" i="330"/>
  <c r="F22" i="330"/>
  <c r="H21" i="330"/>
  <c r="G21" i="330"/>
  <c r="F21" i="330"/>
  <c r="H20" i="330"/>
  <c r="G20" i="330"/>
  <c r="F20" i="330"/>
  <c r="M18" i="330"/>
  <c r="L18" i="330"/>
  <c r="K18" i="330"/>
  <c r="J18" i="330"/>
  <c r="I18" i="330"/>
  <c r="H18" i="330"/>
  <c r="G18" i="330"/>
  <c r="F18" i="330"/>
  <c r="O15" i="330"/>
  <c r="C11" i="330"/>
  <c r="M10" i="330"/>
  <c r="C10" i="330"/>
  <c r="M9" i="330"/>
  <c r="C9" i="330"/>
  <c r="O6" i="330"/>
  <c r="M6" i="330"/>
  <c r="K6" i="330"/>
  <c r="I6" i="330"/>
  <c r="A27" i="239"/>
  <c r="O7" i="3" a="1"/>
  <c r="P321" i="319"/>
  <c r="N321" i="319"/>
  <c r="M321" i="319"/>
  <c r="S321" i="319"/>
  <c r="L321" i="319"/>
  <c r="R321" i="319"/>
  <c r="Q321" i="319"/>
  <c r="O321" i="319"/>
  <c r="K321" i="319"/>
  <c r="J321" i="319" s="1"/>
  <c r="I321" i="319" s="1"/>
  <c r="D104" i="3" l="1"/>
  <c r="F119" i="3"/>
  <c r="D119" i="3"/>
  <c r="D90" i="3"/>
  <c r="CD5" i="300"/>
  <c r="R331" i="319"/>
  <c r="Q331" i="319"/>
  <c r="I117" i="319"/>
  <c r="I121" i="319" s="1"/>
  <c r="I291" i="319" s="1"/>
  <c r="S118" i="319"/>
  <c r="N331" i="319"/>
  <c r="M331" i="319"/>
  <c r="L331" i="319"/>
  <c r="K331" i="319"/>
  <c r="J331" i="319"/>
  <c r="I331" i="319"/>
  <c r="S329" i="319"/>
  <c r="R329" i="319"/>
  <c r="Q329" i="319"/>
  <c r="P329" i="319"/>
  <c r="O329" i="319"/>
  <c r="N329" i="319"/>
  <c r="M329" i="319"/>
  <c r="S140" i="319"/>
  <c r="S283" i="319" s="1"/>
  <c r="R140" i="319"/>
  <c r="R283" i="319" s="1"/>
  <c r="Q140" i="319"/>
  <c r="Q283" i="319" s="1"/>
  <c r="P140" i="319"/>
  <c r="P283" i="319" s="1"/>
  <c r="O140" i="319"/>
  <c r="O283" i="319" s="1"/>
  <c r="N140" i="319"/>
  <c r="N283" i="319" s="1"/>
  <c r="M140" i="319"/>
  <c r="M283" i="319" s="1"/>
  <c r="L140" i="319"/>
  <c r="L283" i="319" s="1"/>
  <c r="K140" i="319"/>
  <c r="K283" i="319" s="1"/>
  <c r="J140" i="319"/>
  <c r="J283" i="319" s="1"/>
  <c r="I140" i="319"/>
  <c r="I283" i="319" s="1"/>
  <c r="S133" i="319"/>
  <c r="R133" i="319"/>
  <c r="R134" i="319" s="1"/>
  <c r="Q133" i="319"/>
  <c r="Q134" i="319" s="1"/>
  <c r="P133" i="319"/>
  <c r="P134" i="319" s="1"/>
  <c r="O133" i="319"/>
  <c r="O134" i="319" s="1"/>
  <c r="P331" i="319"/>
  <c r="N133" i="319"/>
  <c r="N134" i="319" s="1"/>
  <c r="M133" i="319"/>
  <c r="M134" i="319" s="1"/>
  <c r="L133" i="319"/>
  <c r="L134" i="319" s="1"/>
  <c r="K133" i="319"/>
  <c r="K134" i="319" s="1"/>
  <c r="J133" i="319"/>
  <c r="J134" i="319" s="1"/>
  <c r="I133" i="319"/>
  <c r="I134" i="319" s="1"/>
  <c r="S122" i="319"/>
  <c r="J117" i="319"/>
  <c r="J121" i="319" s="1"/>
  <c r="J291" i="319" s="1"/>
  <c r="K117" i="319"/>
  <c r="K121" i="319" s="1"/>
  <c r="K291" i="319" s="1"/>
  <c r="L117" i="319"/>
  <c r="L121" i="319" s="1"/>
  <c r="L291" i="319" s="1"/>
  <c r="M117" i="319"/>
  <c r="M121" i="319" s="1"/>
  <c r="M291" i="319" s="1"/>
  <c r="N117" i="319"/>
  <c r="N121" i="319" s="1"/>
  <c r="N291" i="319" s="1"/>
  <c r="O117" i="319"/>
  <c r="O121" i="319" s="1"/>
  <c r="O291" i="319" s="1"/>
  <c r="P117" i="319"/>
  <c r="P121" i="319" s="1"/>
  <c r="P291" i="319" s="1"/>
  <c r="O331" i="319"/>
  <c r="Q117" i="319"/>
  <c r="Q121" i="319" s="1"/>
  <c r="Q291" i="319" s="1"/>
  <c r="R117" i="319"/>
  <c r="R121" i="319" s="1"/>
  <c r="R291" i="319" s="1"/>
  <c r="S117" i="319"/>
  <c r="S121" i="319" s="1"/>
  <c r="I118" i="319"/>
  <c r="I119" i="319" s="1"/>
  <c r="J118" i="319"/>
  <c r="J119" i="319" s="1"/>
  <c r="K118" i="319"/>
  <c r="K119" i="319" s="1"/>
  <c r="L118" i="319"/>
  <c r="L119" i="319" s="1"/>
  <c r="M118" i="319"/>
  <c r="M119" i="319" s="1"/>
  <c r="N118" i="319"/>
  <c r="N119" i="319" s="1"/>
  <c r="O118" i="319"/>
  <c r="O119" i="319" s="1"/>
  <c r="P118" i="319"/>
  <c r="P119" i="319" s="1"/>
  <c r="Q118" i="319"/>
  <c r="Q119" i="319" s="1"/>
  <c r="R118" i="319"/>
  <c r="R119" i="319" s="1"/>
  <c r="R122" i="319"/>
  <c r="Q122" i="319"/>
  <c r="P122" i="319"/>
  <c r="O122" i="319"/>
  <c r="N122" i="319"/>
  <c r="M122" i="319"/>
  <c r="L122" i="319"/>
  <c r="K122" i="319"/>
  <c r="J122" i="319"/>
  <c r="I122" i="319"/>
  <c r="CD5" i="299"/>
  <c r="L178" i="319"/>
  <c r="L182" i="319" s="1"/>
  <c r="I145" i="319"/>
  <c r="I149" i="319" s="1"/>
  <c r="J145" i="319"/>
  <c r="J149" i="319" s="1"/>
  <c r="J157" i="319" s="1"/>
  <c r="K157" i="319" s="1"/>
  <c r="L157" i="319" s="1"/>
  <c r="M157" i="319" s="1"/>
  <c r="N157" i="319" s="1"/>
  <c r="O157" i="319" s="1"/>
  <c r="P157" i="319" s="1"/>
  <c r="Q157" i="319" s="1"/>
  <c r="R157" i="319" s="1"/>
  <c r="S157" i="319" s="1"/>
  <c r="T157" i="319" s="1"/>
  <c r="U157" i="319" s="1"/>
  <c r="V157" i="319" s="1"/>
  <c r="W157" i="319" s="1"/>
  <c r="X157" i="319" s="1"/>
  <c r="Y157" i="319" s="1"/>
  <c r="Z157" i="319" s="1"/>
  <c r="AA157" i="319" s="1"/>
  <c r="AB157" i="319" s="1"/>
  <c r="AC157" i="319" s="1"/>
  <c r="K145" i="319"/>
  <c r="K149" i="319" s="1"/>
  <c r="L145" i="319"/>
  <c r="L149" i="319" s="1"/>
  <c r="L159" i="319" s="1"/>
  <c r="M159" i="319" s="1"/>
  <c r="N159" i="319" s="1"/>
  <c r="O159" i="319" s="1"/>
  <c r="P159" i="319" s="1"/>
  <c r="Q159" i="319" s="1"/>
  <c r="R159" i="319" s="1"/>
  <c r="S159" i="319" s="1"/>
  <c r="T159" i="319" s="1"/>
  <c r="U159" i="319" s="1"/>
  <c r="V159" i="319" s="1"/>
  <c r="W159" i="319" s="1"/>
  <c r="X159" i="319" s="1"/>
  <c r="Y159" i="319" s="1"/>
  <c r="Z159" i="319" s="1"/>
  <c r="AA159" i="319" s="1"/>
  <c r="AB159" i="319" s="1"/>
  <c r="AC159" i="319" s="1"/>
  <c r="M145" i="319"/>
  <c r="M149" i="319" s="1"/>
  <c r="M160" i="319" s="1"/>
  <c r="N160" i="319" s="1"/>
  <c r="O160" i="319" s="1"/>
  <c r="P160" i="319" s="1"/>
  <c r="Q160" i="319" s="1"/>
  <c r="R160" i="319" s="1"/>
  <c r="S160" i="319" s="1"/>
  <c r="T160" i="319" s="1"/>
  <c r="U160" i="319" s="1"/>
  <c r="V160" i="319" s="1"/>
  <c r="W160" i="319" s="1"/>
  <c r="X160" i="319" s="1"/>
  <c r="Y160" i="319" s="1"/>
  <c r="Z160" i="319" s="1"/>
  <c r="AA160" i="319" s="1"/>
  <c r="AB160" i="319" s="1"/>
  <c r="AC160" i="319" s="1"/>
  <c r="N145" i="319"/>
  <c r="N149" i="319" s="1"/>
  <c r="N161" i="319" s="1"/>
  <c r="O161" i="319" s="1"/>
  <c r="P161" i="319" s="1"/>
  <c r="Q161" i="319" s="1"/>
  <c r="R161" i="319" s="1"/>
  <c r="S161" i="319" s="1"/>
  <c r="T161" i="319" s="1"/>
  <c r="U161" i="319" s="1"/>
  <c r="V161" i="319" s="1"/>
  <c r="W161" i="319" s="1"/>
  <c r="X161" i="319" s="1"/>
  <c r="Y161" i="319" s="1"/>
  <c r="Z161" i="319" s="1"/>
  <c r="AA161" i="319" s="1"/>
  <c r="AB161" i="319" s="1"/>
  <c r="AC161" i="319" s="1"/>
  <c r="P145" i="319"/>
  <c r="P149" i="319" s="1"/>
  <c r="P163" i="319" s="1"/>
  <c r="Q163" i="319" s="1"/>
  <c r="R163" i="319" s="1"/>
  <c r="S163" i="319" s="1"/>
  <c r="T163" i="319" s="1"/>
  <c r="U163" i="319" s="1"/>
  <c r="V163" i="319" s="1"/>
  <c r="W163" i="319" s="1"/>
  <c r="X163" i="319" s="1"/>
  <c r="Y163" i="319" s="1"/>
  <c r="Z163" i="319" s="1"/>
  <c r="AA163" i="319" s="1"/>
  <c r="AB163" i="319" s="1"/>
  <c r="AC163" i="319" s="1"/>
  <c r="Q145" i="319"/>
  <c r="Q149" i="319" s="1"/>
  <c r="Q164" i="319" s="1"/>
  <c r="R164" i="319" s="1"/>
  <c r="S164" i="319" s="1"/>
  <c r="T164" i="319" s="1"/>
  <c r="U164" i="319" s="1"/>
  <c r="V164" i="319" s="1"/>
  <c r="W164" i="319" s="1"/>
  <c r="X164" i="319" s="1"/>
  <c r="Y164" i="319" s="1"/>
  <c r="Z164" i="319" s="1"/>
  <c r="AA164" i="319" s="1"/>
  <c r="AB164" i="319" s="1"/>
  <c r="AC164" i="319" s="1"/>
  <c r="R145" i="319"/>
  <c r="R149" i="319" s="1"/>
  <c r="R165" i="319" s="1"/>
  <c r="S165" i="319" s="1"/>
  <c r="T165" i="319" s="1"/>
  <c r="U165" i="319" s="1"/>
  <c r="V165" i="319" s="1"/>
  <c r="W165" i="319" s="1"/>
  <c r="X165" i="319" s="1"/>
  <c r="Y165" i="319" s="1"/>
  <c r="Z165" i="319" s="1"/>
  <c r="AA165" i="319" s="1"/>
  <c r="AB165" i="319" s="1"/>
  <c r="AC165" i="319" s="1"/>
  <c r="S145" i="319"/>
  <c r="S149" i="319" s="1"/>
  <c r="S166" i="319" s="1"/>
  <c r="T166" i="319" s="1"/>
  <c r="U166" i="319" s="1"/>
  <c r="V166" i="319" s="1"/>
  <c r="W166" i="319" s="1"/>
  <c r="X166" i="319" s="1"/>
  <c r="Y166" i="319" s="1"/>
  <c r="Z166" i="319" s="1"/>
  <c r="AA166" i="319" s="1"/>
  <c r="AB166" i="319" s="1"/>
  <c r="AC166" i="319" s="1"/>
  <c r="I178" i="319"/>
  <c r="I182" i="319" s="1"/>
  <c r="J178" i="319"/>
  <c r="J182" i="319" s="1"/>
  <c r="K178" i="319"/>
  <c r="K182" i="319" s="1"/>
  <c r="M178" i="319"/>
  <c r="M182" i="319" s="1"/>
  <c r="N178" i="319"/>
  <c r="N182" i="319" s="1"/>
  <c r="O178" i="319"/>
  <c r="O182" i="319" s="1"/>
  <c r="P178" i="319"/>
  <c r="P182" i="319" s="1"/>
  <c r="Q178" i="319"/>
  <c r="Q182" i="319" s="1"/>
  <c r="R178" i="319"/>
  <c r="R182" i="319" s="1"/>
  <c r="S178" i="319"/>
  <c r="S182" i="319" s="1"/>
  <c r="O145" i="319"/>
  <c r="O149" i="319" s="1"/>
  <c r="O162" i="319" s="1"/>
  <c r="P162" i="319" s="1"/>
  <c r="Q162" i="319" s="1"/>
  <c r="R162" i="319" s="1"/>
  <c r="S162" i="319" s="1"/>
  <c r="T162" i="319" s="1"/>
  <c r="U162" i="319" s="1"/>
  <c r="V162" i="319" s="1"/>
  <c r="W162" i="319" s="1"/>
  <c r="X162" i="319" s="1"/>
  <c r="Y162" i="319" s="1"/>
  <c r="Z162" i="319" s="1"/>
  <c r="AA162" i="319" s="1"/>
  <c r="AB162" i="319" s="1"/>
  <c r="AC162" i="319" s="1"/>
  <c r="A223" i="18"/>
  <c r="A95" i="18"/>
  <c r="A143" i="18"/>
  <c r="A111" i="18"/>
  <c r="A127" i="18"/>
  <c r="A79" i="18"/>
  <c r="A32" i="18"/>
  <c r="A159" i="18"/>
  <c r="A175" i="18"/>
  <c r="A47" i="18"/>
  <c r="A191" i="18"/>
  <c r="A207" i="18"/>
  <c r="A63" i="18"/>
  <c r="A94" i="18"/>
  <c r="A142" i="18"/>
  <c r="A46" i="18"/>
  <c r="A174" i="18"/>
  <c r="A110" i="18"/>
  <c r="A206" i="18"/>
  <c r="A126" i="18"/>
  <c r="A31" i="18"/>
  <c r="A62" i="18"/>
  <c r="A158" i="18"/>
  <c r="A222" i="18"/>
  <c r="A78" i="18"/>
  <c r="A190" i="18"/>
  <c r="A221" i="18"/>
  <c r="A157" i="18"/>
  <c r="A141" i="18"/>
  <c r="A45" i="18"/>
  <c r="A30" i="18"/>
  <c r="A77" i="18"/>
  <c r="A93" i="18"/>
  <c r="A125" i="18"/>
  <c r="A205" i="18"/>
  <c r="A173" i="18"/>
  <c r="A109" i="18"/>
  <c r="A61" i="18"/>
  <c r="A189" i="18"/>
  <c r="A60" i="18"/>
  <c r="A156" i="18"/>
  <c r="A44" i="18"/>
  <c r="A220" i="18"/>
  <c r="A92" i="18"/>
  <c r="A124" i="18"/>
  <c r="A188" i="18"/>
  <c r="A76" i="18"/>
  <c r="A140" i="18"/>
  <c r="A29" i="18"/>
  <c r="A172" i="18"/>
  <c r="A108" i="18"/>
  <c r="A204" i="18"/>
  <c r="A107" i="18"/>
  <c r="A203" i="18"/>
  <c r="A75" i="18"/>
  <c r="A91" i="18"/>
  <c r="A171" i="18"/>
  <c r="A139" i="18"/>
  <c r="A28" i="18"/>
  <c r="A59" i="18"/>
  <c r="A187" i="18"/>
  <c r="A43" i="18"/>
  <c r="A219" i="18"/>
  <c r="A123" i="18"/>
  <c r="A155" i="18"/>
  <c r="A90" i="18"/>
  <c r="A218" i="18"/>
  <c r="A154" i="18"/>
  <c r="A122" i="18"/>
  <c r="A106" i="18"/>
  <c r="A27" i="18"/>
  <c r="A186" i="18"/>
  <c r="A74" i="18"/>
  <c r="A58" i="18"/>
  <c r="A42" i="18"/>
  <c r="A202" i="18"/>
  <c r="A170" i="18"/>
  <c r="A138" i="18"/>
  <c r="A137" i="18"/>
  <c r="A169" i="18"/>
  <c r="A57" i="18"/>
  <c r="A105" i="18"/>
  <c r="A185" i="18"/>
  <c r="A217" i="18"/>
  <c r="A41" i="18"/>
  <c r="A201" i="18"/>
  <c r="A73" i="18"/>
  <c r="A153" i="18"/>
  <c r="A121" i="18"/>
  <c r="A26" i="18"/>
  <c r="A89" i="18"/>
  <c r="A72" i="18"/>
  <c r="A40" i="18"/>
  <c r="A120" i="18"/>
  <c r="A25" i="18"/>
  <c r="A88" i="18"/>
  <c r="A136" i="18"/>
  <c r="A152" i="18"/>
  <c r="A216" i="18"/>
  <c r="A104" i="18"/>
  <c r="A184" i="18"/>
  <c r="A200" i="18"/>
  <c r="A56" i="18"/>
  <c r="A168" i="18"/>
  <c r="A151" i="18"/>
  <c r="A183" i="18"/>
  <c r="A103" i="18"/>
  <c r="A39" i="18"/>
  <c r="A119" i="18"/>
  <c r="A55" i="18"/>
  <c r="A87" i="18"/>
  <c r="A24" i="18"/>
  <c r="A135" i="18"/>
  <c r="A215" i="18"/>
  <c r="A71" i="18"/>
  <c r="A167" i="18"/>
  <c r="A199" i="18"/>
  <c r="A102" i="18"/>
  <c r="A134" i="18"/>
  <c r="A182" i="18"/>
  <c r="A166" i="18"/>
  <c r="A70" i="18"/>
  <c r="A214" i="18"/>
  <c r="A150" i="18"/>
  <c r="A86" i="18"/>
  <c r="A23" i="18"/>
  <c r="A38" i="18"/>
  <c r="A118" i="18"/>
  <c r="A54" i="18"/>
  <c r="A198" i="18"/>
  <c r="K191" i="319"/>
  <c r="L191" i="319" s="1"/>
  <c r="M191" i="319" s="1"/>
  <c r="N191" i="319" s="1"/>
  <c r="O191" i="319" s="1"/>
  <c r="P191" i="319" s="1"/>
  <c r="Q191" i="319" s="1"/>
  <c r="R191" i="319" s="1"/>
  <c r="S191" i="319" s="1"/>
  <c r="T191" i="319" s="1"/>
  <c r="U191" i="319" s="1"/>
  <c r="V191" i="319" s="1"/>
  <c r="W191" i="319" s="1"/>
  <c r="X191" i="319" s="1"/>
  <c r="Y191" i="319" s="1"/>
  <c r="Z191" i="319" s="1"/>
  <c r="AA191" i="319" s="1"/>
  <c r="AB191" i="319" s="1"/>
  <c r="AC191" i="319" s="1"/>
  <c r="I189" i="319"/>
  <c r="M330" i="319"/>
  <c r="M110" i="319"/>
  <c r="L110" i="319"/>
  <c r="L330" i="319"/>
  <c r="K330" i="319"/>
  <c r="K110" i="319"/>
  <c r="J110" i="319"/>
  <c r="J330" i="319"/>
  <c r="I330" i="319"/>
  <c r="I110" i="319"/>
  <c r="D134" i="3"/>
  <c r="S130" i="307"/>
  <c r="S131" i="307"/>
  <c r="S128" i="307"/>
  <c r="E2767" i="230"/>
  <c r="T100" i="1"/>
  <c r="R158" i="307"/>
  <c r="S158" i="307" s="1"/>
  <c r="T158" i="307" s="1"/>
  <c r="U158" i="307" s="1"/>
  <c r="V158" i="307" s="1"/>
  <c r="W158" i="307" s="1"/>
  <c r="X158" i="307" s="1"/>
  <c r="Y158" i="307" s="1"/>
  <c r="Z158" i="307" s="1"/>
  <c r="Z125" i="307"/>
  <c r="Z122" i="307"/>
  <c r="Z124" i="307"/>
  <c r="Y125" i="307"/>
  <c r="U72" i="1"/>
  <c r="P107" i="307"/>
  <c r="R84" i="307"/>
  <c r="S86" i="307"/>
  <c r="O78" i="307"/>
  <c r="P71" i="307"/>
  <c r="R147" i="1"/>
  <c r="P23" i="198"/>
  <c r="E1049" i="230"/>
  <c r="P18" i="307"/>
  <c r="P24" i="198"/>
  <c r="L68" i="198" s="1"/>
  <c r="R53" i="1"/>
  <c r="R148" i="1"/>
  <c r="P7" i="198"/>
  <c r="Q16" i="307"/>
  <c r="R16" i="307" s="1"/>
  <c r="S16" i="307" s="1"/>
  <c r="T16" i="307" s="1"/>
  <c r="U16" i="307" s="1"/>
  <c r="V16" i="307" s="1"/>
  <c r="W16" i="307" s="1"/>
  <c r="X16" i="307" s="1"/>
  <c r="Y16" i="307" s="1"/>
  <c r="Z16" i="307" s="1"/>
  <c r="P11" i="198"/>
  <c r="E138" i="230"/>
  <c r="E117" i="230"/>
  <c r="E731" i="230"/>
  <c r="H34" i="330"/>
  <c r="O34" i="330" s="1"/>
  <c r="S296" i="319"/>
  <c r="P8" i="198"/>
  <c r="R149" i="1"/>
  <c r="Q92" i="1"/>
  <c r="E2248" i="230" s="1"/>
  <c r="E1221" i="230"/>
  <c r="E3281" i="230"/>
  <c r="E2180" i="230"/>
  <c r="O31" i="198"/>
  <c r="E1242" i="230"/>
  <c r="E3238" i="230"/>
  <c r="O110" i="198"/>
  <c r="G98" i="330"/>
  <c r="R111" i="319"/>
  <c r="R279" i="319" s="1"/>
  <c r="R330" i="319"/>
  <c r="P65" i="1"/>
  <c r="E10" i="230"/>
  <c r="P62" i="1"/>
  <c r="P42" i="307"/>
  <c r="P43" i="307" s="1"/>
  <c r="G104" i="330"/>
  <c r="Q60" i="1"/>
  <c r="R60" i="1"/>
  <c r="Q59" i="1"/>
  <c r="J82" i="3"/>
  <c r="J54" i="3"/>
  <c r="B125" i="3"/>
  <c r="B96" i="3"/>
  <c r="B68" i="3"/>
  <c r="B40" i="3"/>
  <c r="B140" i="3"/>
  <c r="J96" i="3"/>
  <c r="J68" i="3"/>
  <c r="J40" i="3"/>
  <c r="B82" i="3"/>
  <c r="B54" i="3"/>
  <c r="C11" i="18"/>
  <c r="B110" i="3"/>
  <c r="B139" i="3"/>
  <c r="C10" i="18"/>
  <c r="J81" i="3"/>
  <c r="B95" i="3"/>
  <c r="B67" i="3"/>
  <c r="B39" i="3"/>
  <c r="B109" i="3"/>
  <c r="J39" i="3"/>
  <c r="J95" i="3"/>
  <c r="B124" i="3"/>
  <c r="B81" i="3"/>
  <c r="B53" i="3"/>
  <c r="J67" i="3"/>
  <c r="J53" i="3"/>
  <c r="N89" i="198"/>
  <c r="N88" i="198"/>
  <c r="N87" i="198"/>
  <c r="N91" i="198"/>
  <c r="H47" i="198"/>
  <c r="H46" i="198"/>
  <c r="H45" i="198"/>
  <c r="H49" i="198"/>
  <c r="C60" i="198"/>
  <c r="E3385" i="230" s="1"/>
  <c r="C59" i="198"/>
  <c r="C58" i="198"/>
  <c r="C57" i="198"/>
  <c r="Q39" i="198"/>
  <c r="R39" i="198" s="1"/>
  <c r="S39" i="198" s="1"/>
  <c r="T39" i="198" s="1"/>
  <c r="U39" i="198" s="1"/>
  <c r="V39" i="198" s="1"/>
  <c r="W39" i="198" s="1"/>
  <c r="X39" i="198" s="1"/>
  <c r="Y39" i="198" s="1"/>
  <c r="Z39" i="198" s="1"/>
  <c r="M90" i="198"/>
  <c r="M89" i="198"/>
  <c r="M88" i="198"/>
  <c r="M87" i="198"/>
  <c r="M91" i="198"/>
  <c r="G49" i="198"/>
  <c r="G47" i="198"/>
  <c r="G46" i="198"/>
  <c r="G45" i="198"/>
  <c r="B97" i="3"/>
  <c r="B69" i="3"/>
  <c r="B41" i="3"/>
  <c r="B111" i="3"/>
  <c r="J97" i="3"/>
  <c r="J69" i="3"/>
  <c r="J41" i="3"/>
  <c r="B83" i="3"/>
  <c r="B55" i="3"/>
  <c r="C12" i="18"/>
  <c r="B126" i="3"/>
  <c r="J83" i="3"/>
  <c r="B141" i="3"/>
  <c r="J55" i="3"/>
  <c r="L91" i="198"/>
  <c r="L90" i="198"/>
  <c r="L89" i="198"/>
  <c r="L88" i="198"/>
  <c r="L87" i="198"/>
  <c r="O59" i="198"/>
  <c r="O58" i="198"/>
  <c r="O57" i="198"/>
  <c r="I48" i="198"/>
  <c r="I50" i="198"/>
  <c r="D59" i="198"/>
  <c r="D58" i="198"/>
  <c r="D57" i="198"/>
  <c r="D60" i="198"/>
  <c r="E3386" i="230" s="1"/>
  <c r="F49" i="198"/>
  <c r="F47" i="198"/>
  <c r="F46" i="198"/>
  <c r="F45" i="198"/>
  <c r="P59" i="198"/>
  <c r="P58" i="198"/>
  <c r="P57" i="198"/>
  <c r="J50" i="198"/>
  <c r="J48" i="198"/>
  <c r="N59" i="198"/>
  <c r="N58" i="198"/>
  <c r="N57" i="198"/>
  <c r="L76" i="198" s="1"/>
  <c r="H48" i="198"/>
  <c r="H50" i="198"/>
  <c r="K91" i="198"/>
  <c r="K90" i="198"/>
  <c r="K89" i="198"/>
  <c r="K88" i="198"/>
  <c r="K87" i="198"/>
  <c r="M60" i="198"/>
  <c r="E3395" i="230" s="1"/>
  <c r="M59" i="198"/>
  <c r="M58" i="198"/>
  <c r="M57" i="198"/>
  <c r="E49" i="198"/>
  <c r="E47" i="198"/>
  <c r="E46" i="198"/>
  <c r="E45" i="198"/>
  <c r="G48" i="198"/>
  <c r="G50" i="198"/>
  <c r="B80" i="3"/>
  <c r="B52" i="3"/>
  <c r="B108" i="3"/>
  <c r="C9" i="18"/>
  <c r="B123" i="3"/>
  <c r="J80" i="3"/>
  <c r="J52" i="3"/>
  <c r="B94" i="3"/>
  <c r="B66" i="3"/>
  <c r="B38" i="3"/>
  <c r="B138" i="3"/>
  <c r="J94" i="3"/>
  <c r="J38" i="3"/>
  <c r="J66" i="3"/>
  <c r="J91" i="198"/>
  <c r="J90" i="198"/>
  <c r="J89" i="198"/>
  <c r="J88" i="198"/>
  <c r="J87" i="198"/>
  <c r="L60" i="198"/>
  <c r="E3394" i="230" s="1"/>
  <c r="L59" i="198"/>
  <c r="L58" i="198"/>
  <c r="L57" i="198"/>
  <c r="P49" i="198"/>
  <c r="P47" i="198"/>
  <c r="P46" i="198"/>
  <c r="P45" i="198"/>
  <c r="D49" i="198"/>
  <c r="D47" i="198"/>
  <c r="D45" i="198"/>
  <c r="D46" i="198"/>
  <c r="F48" i="198"/>
  <c r="F50" i="198"/>
  <c r="J93" i="3"/>
  <c r="J65" i="3"/>
  <c r="J37" i="3"/>
  <c r="B137" i="3"/>
  <c r="B79" i="3"/>
  <c r="B51" i="3"/>
  <c r="C8" i="18"/>
  <c r="J79" i="3"/>
  <c r="J51" i="3"/>
  <c r="B107" i="3"/>
  <c r="B93" i="3"/>
  <c r="B65" i="3"/>
  <c r="B37" i="3"/>
  <c r="B122" i="3"/>
  <c r="I91" i="198"/>
  <c r="I90" i="198"/>
  <c r="I89" i="198"/>
  <c r="I88" i="198"/>
  <c r="I87" i="198"/>
  <c r="K60" i="198"/>
  <c r="E3393" i="230" s="1"/>
  <c r="K59" i="198"/>
  <c r="K58" i="198"/>
  <c r="K57" i="198"/>
  <c r="O45" i="198"/>
  <c r="O49" i="198"/>
  <c r="O47" i="198"/>
  <c r="O46" i="198"/>
  <c r="C45" i="198"/>
  <c r="C49" i="198"/>
  <c r="C47" i="198"/>
  <c r="C46" i="198"/>
  <c r="E50" i="198"/>
  <c r="E48" i="198"/>
  <c r="B106" i="3"/>
  <c r="J92" i="3"/>
  <c r="J64" i="3"/>
  <c r="B78" i="3"/>
  <c r="B50" i="3"/>
  <c r="B121" i="3"/>
  <c r="J50" i="3"/>
  <c r="B64" i="3"/>
  <c r="C7" i="18"/>
  <c r="B136" i="3"/>
  <c r="J36" i="3"/>
  <c r="B92" i="3"/>
  <c r="J78" i="3"/>
  <c r="B36" i="3"/>
  <c r="H87" i="198"/>
  <c r="H91" i="198"/>
  <c r="H90" i="198"/>
  <c r="H89" i="198"/>
  <c r="H88" i="198"/>
  <c r="J60" i="198"/>
  <c r="E3392" i="230" s="1"/>
  <c r="J59" i="198"/>
  <c r="J58" i="198"/>
  <c r="J57" i="198"/>
  <c r="N45" i="198"/>
  <c r="N49" i="198"/>
  <c r="N47" i="198"/>
  <c r="N46" i="198"/>
  <c r="P50" i="198"/>
  <c r="P48" i="198"/>
  <c r="D50" i="198"/>
  <c r="D48" i="198"/>
  <c r="C3" i="1"/>
  <c r="G87" i="198"/>
  <c r="G91" i="198"/>
  <c r="G90" i="198"/>
  <c r="G88" i="198"/>
  <c r="G89" i="198"/>
  <c r="I57" i="198"/>
  <c r="I60" i="198"/>
  <c r="E3391" i="230" s="1"/>
  <c r="I59" i="198"/>
  <c r="I58" i="198"/>
  <c r="M46" i="198"/>
  <c r="M45" i="198"/>
  <c r="M49" i="198"/>
  <c r="M47" i="198"/>
  <c r="O50" i="198"/>
  <c r="O48" i="198"/>
  <c r="C50" i="198"/>
  <c r="C48" i="198"/>
  <c r="Q5" i="1"/>
  <c r="B7" i="319" s="1"/>
  <c r="F88" i="198"/>
  <c r="F87" i="198"/>
  <c r="F91" i="198"/>
  <c r="F90" i="198"/>
  <c r="F89" i="198"/>
  <c r="H57" i="198"/>
  <c r="H60" i="198"/>
  <c r="E3390" i="230" s="1"/>
  <c r="H59" i="198"/>
  <c r="H58" i="198"/>
  <c r="L46" i="198"/>
  <c r="L45" i="198"/>
  <c r="L49" i="198"/>
  <c r="L47" i="198"/>
  <c r="N50" i="198"/>
  <c r="N48" i="198"/>
  <c r="C16" i="18"/>
  <c r="B115" i="3"/>
  <c r="B130" i="3"/>
  <c r="J87" i="3"/>
  <c r="J59" i="3"/>
  <c r="B101" i="3"/>
  <c r="B73" i="3"/>
  <c r="B45" i="3"/>
  <c r="B145" i="3"/>
  <c r="B59" i="3"/>
  <c r="J73" i="3"/>
  <c r="B87" i="3"/>
  <c r="J101" i="3"/>
  <c r="J45" i="3"/>
  <c r="H93" i="198"/>
  <c r="J92" i="198"/>
  <c r="G93" i="198"/>
  <c r="I92" i="198"/>
  <c r="F93" i="198"/>
  <c r="H92" i="198"/>
  <c r="E93" i="198"/>
  <c r="G92" i="198"/>
  <c r="P93" i="198"/>
  <c r="D93" i="198"/>
  <c r="F92" i="198"/>
  <c r="O93" i="198"/>
  <c r="C93" i="198"/>
  <c r="E92" i="198"/>
  <c r="N93" i="198"/>
  <c r="P92" i="198"/>
  <c r="D92" i="198"/>
  <c r="M93" i="198"/>
  <c r="O92" i="198"/>
  <c r="C92" i="198"/>
  <c r="L93" i="198"/>
  <c r="N92" i="198"/>
  <c r="L92" i="198"/>
  <c r="V125" i="1"/>
  <c r="K92" i="198"/>
  <c r="M92" i="198"/>
  <c r="K93" i="198"/>
  <c r="J93" i="198"/>
  <c r="I93" i="198"/>
  <c r="E88" i="198"/>
  <c r="E87" i="198"/>
  <c r="E91" i="198"/>
  <c r="E89" i="198"/>
  <c r="E90" i="198"/>
  <c r="G58" i="198"/>
  <c r="G57" i="198"/>
  <c r="G60" i="198"/>
  <c r="E3389" i="230" s="1"/>
  <c r="G59" i="198"/>
  <c r="K47" i="198"/>
  <c r="K46" i="198"/>
  <c r="K45" i="198"/>
  <c r="K49" i="198"/>
  <c r="M50" i="198"/>
  <c r="M48" i="198"/>
  <c r="B86" i="3"/>
  <c r="B58" i="3"/>
  <c r="B144" i="3"/>
  <c r="C15" i="18"/>
  <c r="J86" i="3"/>
  <c r="J58" i="3"/>
  <c r="B100" i="3"/>
  <c r="B72" i="3"/>
  <c r="B44" i="3"/>
  <c r="B114" i="3"/>
  <c r="J100" i="3"/>
  <c r="B129" i="3"/>
  <c r="J72" i="3"/>
  <c r="J44" i="3"/>
  <c r="P89" i="198"/>
  <c r="P88" i="198"/>
  <c r="P87" i="198"/>
  <c r="P91" i="198"/>
  <c r="D89" i="198"/>
  <c r="D88" i="198"/>
  <c r="D87" i="198"/>
  <c r="D91" i="198"/>
  <c r="D90" i="198"/>
  <c r="F58" i="198"/>
  <c r="F57" i="198"/>
  <c r="F59" i="198"/>
  <c r="F60" i="198"/>
  <c r="E3388" i="230" s="1"/>
  <c r="J47" i="198"/>
  <c r="J46" i="198"/>
  <c r="J45" i="198"/>
  <c r="J49" i="198"/>
  <c r="L50" i="198"/>
  <c r="L48" i="198"/>
  <c r="J99" i="3"/>
  <c r="J71" i="3"/>
  <c r="J43" i="3"/>
  <c r="B113" i="3"/>
  <c r="B85" i="3"/>
  <c r="B57" i="3"/>
  <c r="B128" i="3"/>
  <c r="J85" i="3"/>
  <c r="J57" i="3"/>
  <c r="B143" i="3"/>
  <c r="B99" i="3"/>
  <c r="B71" i="3"/>
  <c r="B43" i="3"/>
  <c r="C14" i="18"/>
  <c r="O89" i="198"/>
  <c r="O88" i="198"/>
  <c r="O87" i="198"/>
  <c r="O91" i="198"/>
  <c r="C89" i="198"/>
  <c r="C88" i="198"/>
  <c r="C87" i="198"/>
  <c r="C91" i="198"/>
  <c r="C90" i="198"/>
  <c r="E59" i="198"/>
  <c r="E58" i="198"/>
  <c r="E57" i="198"/>
  <c r="E60" i="198"/>
  <c r="E3387" i="230" s="1"/>
  <c r="I47" i="198"/>
  <c r="I46" i="198"/>
  <c r="I45" i="198"/>
  <c r="I49" i="198"/>
  <c r="K50" i="198"/>
  <c r="K48" i="198"/>
  <c r="B127" i="3"/>
  <c r="C13" i="18"/>
  <c r="B142" i="3"/>
  <c r="J98" i="3"/>
  <c r="J70" i="3"/>
  <c r="B84" i="3"/>
  <c r="B56" i="3"/>
  <c r="B70" i="3"/>
  <c r="J42" i="3"/>
  <c r="J84" i="3"/>
  <c r="B112" i="3"/>
  <c r="J56" i="3"/>
  <c r="B98" i="3"/>
  <c r="B42" i="3"/>
  <c r="O25" i="3"/>
  <c r="O13" i="3"/>
  <c r="O20" i="3"/>
  <c r="O8" i="3"/>
  <c r="O17" i="3"/>
  <c r="O23" i="3"/>
  <c r="O7" i="3"/>
  <c r="O22" i="3"/>
  <c r="O21" i="3"/>
  <c r="O19" i="3"/>
  <c r="O18" i="3"/>
  <c r="O16" i="3"/>
  <c r="O11" i="3"/>
  <c r="O15" i="3"/>
  <c r="O14" i="3"/>
  <c r="O12" i="3"/>
  <c r="O10" i="3"/>
  <c r="O9" i="3"/>
  <c r="O26" i="3"/>
  <c r="O24" i="3"/>
  <c r="K320" i="319"/>
  <c r="O320" i="319"/>
  <c r="Q320" i="319"/>
  <c r="R320" i="319"/>
  <c r="L320" i="319"/>
  <c r="J320" i="319"/>
  <c r="I320" i="319"/>
  <c r="S320" i="319"/>
  <c r="M320" i="319"/>
  <c r="N320" i="319"/>
  <c r="P320" i="319"/>
  <c r="S119" i="319" l="1"/>
  <c r="T133" i="319"/>
  <c r="U133" i="319" s="1"/>
  <c r="V133" i="319" s="1"/>
  <c r="W133" i="319" s="1"/>
  <c r="X133" i="319" s="1"/>
  <c r="Y133" i="319" s="1"/>
  <c r="Z133" i="319" s="1"/>
  <c r="AA133" i="319" s="1"/>
  <c r="AB133" i="319" s="1"/>
  <c r="AC133" i="319" s="1"/>
  <c r="S134" i="319"/>
  <c r="R135" i="319"/>
  <c r="R282" i="319"/>
  <c r="R136" i="319"/>
  <c r="Q135" i="319"/>
  <c r="Q136" i="319"/>
  <c r="Q282" i="319"/>
  <c r="P282" i="319"/>
  <c r="P136" i="319"/>
  <c r="P135" i="319"/>
  <c r="O282" i="319"/>
  <c r="O135" i="319"/>
  <c r="O136" i="319"/>
  <c r="N135" i="319"/>
  <c r="N136" i="319"/>
  <c r="N282" i="319"/>
  <c r="M135" i="319"/>
  <c r="M136" i="319"/>
  <c r="M282" i="319"/>
  <c r="L282" i="319"/>
  <c r="L136" i="319"/>
  <c r="L135" i="319"/>
  <c r="K135" i="319"/>
  <c r="K136" i="319"/>
  <c r="K282" i="319"/>
  <c r="J282" i="319"/>
  <c r="J136" i="319"/>
  <c r="J135" i="319"/>
  <c r="I135" i="319"/>
  <c r="I136" i="319"/>
  <c r="I282" i="319"/>
  <c r="S126" i="319"/>
  <c r="S123" i="319"/>
  <c r="S331" i="319"/>
  <c r="T331" i="319" s="1"/>
  <c r="S291" i="319"/>
  <c r="T121" i="319"/>
  <c r="R126" i="319"/>
  <c r="R123" i="319"/>
  <c r="Q126" i="319"/>
  <c r="Q123" i="319"/>
  <c r="P126" i="319"/>
  <c r="P123" i="319"/>
  <c r="O126" i="319"/>
  <c r="O123" i="319"/>
  <c r="N123" i="319"/>
  <c r="N126" i="319"/>
  <c r="M123" i="319"/>
  <c r="M126" i="319"/>
  <c r="L126" i="319"/>
  <c r="L123" i="319"/>
  <c r="K123" i="319"/>
  <c r="K126" i="319"/>
  <c r="J123" i="319"/>
  <c r="J126" i="319"/>
  <c r="I126" i="319"/>
  <c r="I123" i="319"/>
  <c r="L192" i="319"/>
  <c r="M192" i="319" s="1"/>
  <c r="N192" i="319" s="1"/>
  <c r="O192" i="319" s="1"/>
  <c r="P192" i="319" s="1"/>
  <c r="Q192" i="319" s="1"/>
  <c r="R192" i="319" s="1"/>
  <c r="S192" i="319" s="1"/>
  <c r="T192" i="319" s="1"/>
  <c r="U192" i="319" s="1"/>
  <c r="V192" i="319" s="1"/>
  <c r="W192" i="319" s="1"/>
  <c r="X192" i="319" s="1"/>
  <c r="Y192" i="319" s="1"/>
  <c r="Z192" i="319" s="1"/>
  <c r="AA192" i="319" s="1"/>
  <c r="AB192" i="319" s="1"/>
  <c r="AC192" i="319" s="1"/>
  <c r="L309" i="319"/>
  <c r="L310" i="319" s="1"/>
  <c r="I156" i="319"/>
  <c r="J156" i="319" s="1"/>
  <c r="I309" i="319"/>
  <c r="I310" i="319" s="1"/>
  <c r="K158" i="319"/>
  <c r="L158" i="319" s="1"/>
  <c r="M158" i="319" s="1"/>
  <c r="N158" i="319" s="1"/>
  <c r="O158" i="319" s="1"/>
  <c r="P158" i="319" s="1"/>
  <c r="Q158" i="319" s="1"/>
  <c r="R158" i="319" s="1"/>
  <c r="S158" i="319" s="1"/>
  <c r="T158" i="319" s="1"/>
  <c r="U158" i="319" s="1"/>
  <c r="V158" i="319" s="1"/>
  <c r="W158" i="319" s="1"/>
  <c r="X158" i="319" s="1"/>
  <c r="Y158" i="319" s="1"/>
  <c r="Z158" i="319" s="1"/>
  <c r="AA158" i="319" s="1"/>
  <c r="AB158" i="319" s="1"/>
  <c r="AC158" i="319" s="1"/>
  <c r="K309" i="319"/>
  <c r="K310" i="319" s="1"/>
  <c r="J190" i="319"/>
  <c r="K190" i="319" s="1"/>
  <c r="L190" i="319" s="1"/>
  <c r="M190" i="319" s="1"/>
  <c r="N190" i="319" s="1"/>
  <c r="O190" i="319" s="1"/>
  <c r="P190" i="319" s="1"/>
  <c r="Q190" i="319" s="1"/>
  <c r="R190" i="319" s="1"/>
  <c r="S190" i="319" s="1"/>
  <c r="T190" i="319" s="1"/>
  <c r="U190" i="319" s="1"/>
  <c r="V190" i="319" s="1"/>
  <c r="W190" i="319" s="1"/>
  <c r="X190" i="319" s="1"/>
  <c r="Y190" i="319" s="1"/>
  <c r="Z190" i="319" s="1"/>
  <c r="AA190" i="319" s="1"/>
  <c r="AB190" i="319" s="1"/>
  <c r="AC190" i="319" s="1"/>
  <c r="J309" i="319"/>
  <c r="J310" i="319" s="1"/>
  <c r="M193" i="319"/>
  <c r="N193" i="319" s="1"/>
  <c r="O193" i="319" s="1"/>
  <c r="P193" i="319" s="1"/>
  <c r="Q193" i="319" s="1"/>
  <c r="R193" i="319" s="1"/>
  <c r="S193" i="319" s="1"/>
  <c r="T193" i="319" s="1"/>
  <c r="U193" i="319" s="1"/>
  <c r="V193" i="319" s="1"/>
  <c r="W193" i="319" s="1"/>
  <c r="X193" i="319" s="1"/>
  <c r="Y193" i="319" s="1"/>
  <c r="Z193" i="319" s="1"/>
  <c r="AA193" i="319" s="1"/>
  <c r="AB193" i="319" s="1"/>
  <c r="AC193" i="319" s="1"/>
  <c r="M309" i="319"/>
  <c r="M310" i="319" s="1"/>
  <c r="N309" i="319"/>
  <c r="N310" i="319" s="1"/>
  <c r="N194" i="319"/>
  <c r="O194" i="319" s="1"/>
  <c r="P194" i="319" s="1"/>
  <c r="Q194" i="319" s="1"/>
  <c r="R194" i="319" s="1"/>
  <c r="S194" i="319" s="1"/>
  <c r="T194" i="319" s="1"/>
  <c r="U194" i="319" s="1"/>
  <c r="V194" i="319" s="1"/>
  <c r="W194" i="319" s="1"/>
  <c r="X194" i="319" s="1"/>
  <c r="Y194" i="319" s="1"/>
  <c r="Z194" i="319" s="1"/>
  <c r="AA194" i="319" s="1"/>
  <c r="AB194" i="319" s="1"/>
  <c r="AC194" i="319" s="1"/>
  <c r="O195" i="319"/>
  <c r="P195" i="319" s="1"/>
  <c r="Q195" i="319" s="1"/>
  <c r="R195" i="319" s="1"/>
  <c r="S195" i="319" s="1"/>
  <c r="T195" i="319" s="1"/>
  <c r="U195" i="319" s="1"/>
  <c r="V195" i="319" s="1"/>
  <c r="W195" i="319" s="1"/>
  <c r="X195" i="319" s="1"/>
  <c r="Y195" i="319" s="1"/>
  <c r="Z195" i="319" s="1"/>
  <c r="AA195" i="319" s="1"/>
  <c r="AB195" i="319" s="1"/>
  <c r="AC195" i="319" s="1"/>
  <c r="O309" i="319"/>
  <c r="O310" i="319" s="1"/>
  <c r="P196" i="319"/>
  <c r="Q196" i="319" s="1"/>
  <c r="R196" i="319" s="1"/>
  <c r="S196" i="319" s="1"/>
  <c r="T196" i="319" s="1"/>
  <c r="U196" i="319" s="1"/>
  <c r="V196" i="319" s="1"/>
  <c r="W196" i="319" s="1"/>
  <c r="X196" i="319" s="1"/>
  <c r="Y196" i="319" s="1"/>
  <c r="Z196" i="319" s="1"/>
  <c r="AA196" i="319" s="1"/>
  <c r="AB196" i="319" s="1"/>
  <c r="AC196" i="319" s="1"/>
  <c r="P309" i="319"/>
  <c r="P310" i="319" s="1"/>
  <c r="Q197" i="319"/>
  <c r="R197" i="319" s="1"/>
  <c r="S197" i="319" s="1"/>
  <c r="T197" i="319" s="1"/>
  <c r="U197" i="319" s="1"/>
  <c r="V197" i="319" s="1"/>
  <c r="W197" i="319" s="1"/>
  <c r="X197" i="319" s="1"/>
  <c r="Y197" i="319" s="1"/>
  <c r="Z197" i="319" s="1"/>
  <c r="AA197" i="319" s="1"/>
  <c r="AB197" i="319" s="1"/>
  <c r="AC197" i="319" s="1"/>
  <c r="Q309" i="319"/>
  <c r="Q310" i="319" s="1"/>
  <c r="R198" i="319"/>
  <c r="S198" i="319" s="1"/>
  <c r="T198" i="319" s="1"/>
  <c r="U198" i="319" s="1"/>
  <c r="V198" i="319" s="1"/>
  <c r="W198" i="319" s="1"/>
  <c r="X198" i="319" s="1"/>
  <c r="Y198" i="319" s="1"/>
  <c r="Z198" i="319" s="1"/>
  <c r="AA198" i="319" s="1"/>
  <c r="AB198" i="319" s="1"/>
  <c r="AC198" i="319" s="1"/>
  <c r="R309" i="319"/>
  <c r="R310" i="319" s="1"/>
  <c r="S309" i="319"/>
  <c r="S310" i="319" s="1"/>
  <c r="S199" i="319"/>
  <c r="T199" i="319" s="1"/>
  <c r="U199" i="319" s="1"/>
  <c r="V199" i="319" s="1"/>
  <c r="W199" i="319" s="1"/>
  <c r="X199" i="319" s="1"/>
  <c r="Y199" i="319" s="1"/>
  <c r="Z199" i="319" s="1"/>
  <c r="AA199" i="319" s="1"/>
  <c r="AB199" i="319" s="1"/>
  <c r="AC199" i="319" s="1"/>
  <c r="J189" i="319"/>
  <c r="I183" i="319"/>
  <c r="I150" i="319"/>
  <c r="T130" i="307"/>
  <c r="T131" i="307"/>
  <c r="T128" i="307"/>
  <c r="E2768" i="230"/>
  <c r="U100" i="1"/>
  <c r="V72" i="1"/>
  <c r="T86" i="307"/>
  <c r="S83" i="307"/>
  <c r="S84" i="307" s="1"/>
  <c r="E1444" i="230"/>
  <c r="E752" i="230"/>
  <c r="L74" i="198"/>
  <c r="E2213" i="230" s="1"/>
  <c r="R114" i="319"/>
  <c r="R280" i="319" s="1"/>
  <c r="P69" i="1"/>
  <c r="F114" i="330"/>
  <c r="P67" i="1"/>
  <c r="P66" i="1"/>
  <c r="E2638" i="230"/>
  <c r="E3373" i="230"/>
  <c r="R65" i="1"/>
  <c r="E3372" i="230"/>
  <c r="Q65" i="1"/>
  <c r="L73" i="198"/>
  <c r="C3" i="301"/>
  <c r="CD3" i="301" s="1"/>
  <c r="C3" i="299"/>
  <c r="CD3" i="299" s="1"/>
  <c r="C3" i="330"/>
  <c r="A3" i="307"/>
  <c r="F5" i="3"/>
  <c r="B2" i="319"/>
  <c r="C3" i="300"/>
  <c r="CD3" i="300" s="1"/>
  <c r="I12" i="330"/>
  <c r="Q14" i="330"/>
  <c r="Y125" i="1"/>
  <c r="P5" i="1" s="1"/>
  <c r="S38" i="1"/>
  <c r="P325" i="319"/>
  <c r="N325" i="319"/>
  <c r="M325" i="319"/>
  <c r="S325" i="319"/>
  <c r="I325" i="319"/>
  <c r="J325" i="319"/>
  <c r="L325" i="319"/>
  <c r="R325" i="319"/>
  <c r="Q325" i="319"/>
  <c r="O325" i="319"/>
  <c r="K325" i="319"/>
  <c r="S135" i="319" l="1"/>
  <c r="S136" i="319"/>
  <c r="S282" i="319"/>
  <c r="S281" i="319"/>
  <c r="S125" i="319"/>
  <c r="U121" i="319"/>
  <c r="T291" i="319"/>
  <c r="T117" i="319"/>
  <c r="T119" i="319" s="1"/>
  <c r="R281" i="319"/>
  <c r="R125" i="319"/>
  <c r="Q125" i="319"/>
  <c r="Q281" i="319"/>
  <c r="P125" i="319"/>
  <c r="P281" i="319"/>
  <c r="O281" i="319"/>
  <c r="O125" i="319"/>
  <c r="N125" i="319"/>
  <c r="N281" i="319"/>
  <c r="M281" i="319"/>
  <c r="M125" i="319"/>
  <c r="L125" i="319"/>
  <c r="L281" i="319"/>
  <c r="K125" i="319"/>
  <c r="K281" i="319"/>
  <c r="J125" i="319"/>
  <c r="J281" i="319"/>
  <c r="I125" i="319"/>
  <c r="I281" i="319"/>
  <c r="K189" i="319"/>
  <c r="J183" i="319"/>
  <c r="I285" i="319"/>
  <c r="J180" i="319"/>
  <c r="I181" i="319"/>
  <c r="I293" i="319" s="1"/>
  <c r="K156" i="319"/>
  <c r="J150" i="319"/>
  <c r="I284" i="319"/>
  <c r="I288" i="319" s="1"/>
  <c r="J147" i="319"/>
  <c r="I148" i="319"/>
  <c r="I292" i="319" s="1"/>
  <c r="I299" i="319" s="1"/>
  <c r="I302" i="319"/>
  <c r="U331" i="319"/>
  <c r="V121" i="319"/>
  <c r="U291" i="319"/>
  <c r="U117" i="319"/>
  <c r="U119" i="319" s="1"/>
  <c r="U131" i="307"/>
  <c r="U128" i="307"/>
  <c r="U130" i="307"/>
  <c r="V100" i="1"/>
  <c r="W72" i="1"/>
  <c r="E2769" i="230"/>
  <c r="U86" i="307"/>
  <c r="T83" i="307"/>
  <c r="T84" i="307" s="1"/>
  <c r="P99" i="1"/>
  <c r="P101" i="1" s="1"/>
  <c r="P128" i="1" s="1"/>
  <c r="P132" i="1" s="1"/>
  <c r="P71" i="1"/>
  <c r="P70" i="1"/>
  <c r="E2659" i="230"/>
  <c r="F115" i="330"/>
  <c r="P73" i="1"/>
  <c r="E1807" i="230"/>
  <c r="E2639" i="230"/>
  <c r="Q67" i="1"/>
  <c r="Q66" i="1"/>
  <c r="G114" i="330"/>
  <c r="Q69" i="1"/>
  <c r="E2640" i="230"/>
  <c r="R67" i="1"/>
  <c r="R66" i="1"/>
  <c r="H114" i="330"/>
  <c r="R69" i="1"/>
  <c r="B120" i="3"/>
  <c r="B135" i="3"/>
  <c r="J91" i="3"/>
  <c r="B77" i="3"/>
  <c r="J63" i="3"/>
  <c r="B49" i="3"/>
  <c r="J35" i="3"/>
  <c r="J49" i="3"/>
  <c r="B63" i="3"/>
  <c r="B105" i="3"/>
  <c r="B35" i="3"/>
  <c r="J77" i="3"/>
  <c r="B91" i="3"/>
  <c r="G6" i="330"/>
  <c r="C7" i="319"/>
  <c r="Y7" i="1"/>
  <c r="Y5" i="1"/>
  <c r="S40" i="1"/>
  <c r="S39" i="1"/>
  <c r="L189" i="319" l="1"/>
  <c r="K183" i="319"/>
  <c r="J285" i="319"/>
  <c r="K180" i="319"/>
  <c r="J181" i="319"/>
  <c r="J293" i="319" s="1"/>
  <c r="L156" i="319"/>
  <c r="K150" i="319"/>
  <c r="J284" i="319"/>
  <c r="J288" i="319" s="1"/>
  <c r="K147" i="319"/>
  <c r="J148" i="319"/>
  <c r="J292" i="319" s="1"/>
  <c r="J299" i="319" s="1"/>
  <c r="I305" i="319"/>
  <c r="I308" i="319"/>
  <c r="I300" i="319"/>
  <c r="W121" i="319"/>
  <c r="V291" i="319"/>
  <c r="V117" i="319"/>
  <c r="V119" i="319" s="1"/>
  <c r="V331" i="319"/>
  <c r="W331" i="319" s="1"/>
  <c r="I332" i="319"/>
  <c r="I335" i="319" s="1"/>
  <c r="V131" i="307"/>
  <c r="V128" i="307"/>
  <c r="V130" i="307"/>
  <c r="E2770" i="230"/>
  <c r="X72" i="1"/>
  <c r="W100" i="1"/>
  <c r="U83" i="307"/>
  <c r="U84" i="307" s="1"/>
  <c r="V86" i="307"/>
  <c r="N29" i="198"/>
  <c r="N18" i="198"/>
  <c r="E792" i="230"/>
  <c r="F116" i="330"/>
  <c r="F51" i="330"/>
  <c r="E1529" i="230"/>
  <c r="N90" i="198"/>
  <c r="N60" i="198"/>
  <c r="E3396" i="230" s="1"/>
  <c r="Q99" i="1"/>
  <c r="Q101" i="1" s="1"/>
  <c r="Q128" i="1" s="1"/>
  <c r="Q132" i="1" s="1"/>
  <c r="Q71" i="1"/>
  <c r="G115" i="330"/>
  <c r="Q70" i="1"/>
  <c r="E2660" i="230"/>
  <c r="Q73" i="1"/>
  <c r="E1808" i="230"/>
  <c r="R71" i="1"/>
  <c r="H115" i="330"/>
  <c r="R70" i="1"/>
  <c r="E2661" i="230"/>
  <c r="R73" i="1"/>
  <c r="E1809" i="230"/>
  <c r="R99" i="1"/>
  <c r="R101" i="1" s="1"/>
  <c r="R128" i="1" s="1"/>
  <c r="R132" i="1" s="1"/>
  <c r="T329" i="319"/>
  <c r="E3077" i="230"/>
  <c r="E2035" i="230"/>
  <c r="E3318" i="230"/>
  <c r="S43" i="1"/>
  <c r="I80" i="330"/>
  <c r="E2285" i="230"/>
  <c r="S131" i="1"/>
  <c r="M189" i="319" l="1"/>
  <c r="L183" i="319"/>
  <c r="K285" i="319"/>
  <c r="L180" i="319"/>
  <c r="K181" i="319"/>
  <c r="K293" i="319" s="1"/>
  <c r="M156" i="319"/>
  <c r="L150" i="319"/>
  <c r="K284" i="319"/>
  <c r="L147" i="319"/>
  <c r="K148" i="319"/>
  <c r="K292" i="319" s="1"/>
  <c r="K299" i="319" s="1"/>
  <c r="J332" i="319"/>
  <c r="J335" i="319" s="1"/>
  <c r="J302" i="319"/>
  <c r="S303" i="319" s="1"/>
  <c r="J300" i="319"/>
  <c r="S301" i="319" s="1"/>
  <c r="J305" i="319"/>
  <c r="J308" i="319" s="1"/>
  <c r="I316" i="319"/>
  <c r="I315" i="319"/>
  <c r="I314" i="319"/>
  <c r="X121" i="319"/>
  <c r="W291" i="319"/>
  <c r="W117" i="319"/>
  <c r="W119" i="319" s="1"/>
  <c r="W128" i="307"/>
  <c r="W130" i="307"/>
  <c r="W131" i="307"/>
  <c r="E2771" i="230"/>
  <c r="Y72" i="1"/>
  <c r="X100" i="1"/>
  <c r="V83" i="307"/>
  <c r="V84" i="307" s="1"/>
  <c r="W86" i="307"/>
  <c r="P18" i="198"/>
  <c r="P29" i="198"/>
  <c r="E794" i="230"/>
  <c r="R65" i="18"/>
  <c r="K23" i="3" s="1"/>
  <c r="H51" i="330"/>
  <c r="E1531" i="230"/>
  <c r="Q69" i="198"/>
  <c r="E869" i="230" s="1"/>
  <c r="H116" i="330"/>
  <c r="P60" i="198"/>
  <c r="E3398" i="230" s="1"/>
  <c r="P90" i="198"/>
  <c r="G116" i="330"/>
  <c r="G51" i="330"/>
  <c r="E1530" i="230"/>
  <c r="O29" i="198"/>
  <c r="L70" i="198" s="1"/>
  <c r="O18" i="198"/>
  <c r="E793" i="230"/>
  <c r="O60" i="198"/>
  <c r="O90" i="198"/>
  <c r="K288" i="319" l="1"/>
  <c r="N189" i="319"/>
  <c r="M183" i="319"/>
  <c r="L285" i="319"/>
  <c r="M180" i="319"/>
  <c r="L181" i="319"/>
  <c r="L293" i="319" s="1"/>
  <c r="N156" i="319"/>
  <c r="M150" i="319"/>
  <c r="L284" i="319"/>
  <c r="L288" i="319" s="1"/>
  <c r="M147" i="319"/>
  <c r="L148" i="319"/>
  <c r="L292" i="319" s="1"/>
  <c r="K300" i="319"/>
  <c r="K305" i="319"/>
  <c r="K308" i="319" s="1"/>
  <c r="AC303" i="319"/>
  <c r="Q303" i="319"/>
  <c r="AB303" i="319"/>
  <c r="P303" i="319"/>
  <c r="AA303" i="319"/>
  <c r="O303" i="319"/>
  <c r="Y303" i="319"/>
  <c r="I303" i="319"/>
  <c r="X303" i="319"/>
  <c r="W303" i="319"/>
  <c r="V303" i="319"/>
  <c r="U303" i="319"/>
  <c r="T303" i="319"/>
  <c r="L303" i="319"/>
  <c r="J303" i="319"/>
  <c r="K303" i="319"/>
  <c r="Z303" i="319"/>
  <c r="N303" i="319"/>
  <c r="M303" i="319"/>
  <c r="R303" i="319"/>
  <c r="J314" i="319"/>
  <c r="J315" i="319"/>
  <c r="J316" i="319"/>
  <c r="W301" i="319"/>
  <c r="AB301" i="319"/>
  <c r="X301" i="319"/>
  <c r="R301" i="319"/>
  <c r="Q301" i="319"/>
  <c r="N301" i="319"/>
  <c r="L301" i="319"/>
  <c r="Z301" i="319"/>
  <c r="P301" i="319"/>
  <c r="M301" i="319"/>
  <c r="Y301" i="319"/>
  <c r="AA301" i="319"/>
  <c r="O301" i="319"/>
  <c r="AC301" i="319"/>
  <c r="K301" i="319"/>
  <c r="V301" i="319"/>
  <c r="J301" i="319"/>
  <c r="U301" i="319"/>
  <c r="I301" i="319"/>
  <c r="T301" i="319"/>
  <c r="X331" i="319"/>
  <c r="Y121" i="319"/>
  <c r="X117" i="319"/>
  <c r="X119" i="319" s="1"/>
  <c r="X291" i="319"/>
  <c r="X128" i="307"/>
  <c r="X130" i="307"/>
  <c r="X131" i="307"/>
  <c r="E2772" i="230"/>
  <c r="Z72" i="1"/>
  <c r="Y100" i="1"/>
  <c r="W83" i="307"/>
  <c r="W84" i="307" s="1"/>
  <c r="X86" i="307"/>
  <c r="E3397" i="230"/>
  <c r="L77" i="198"/>
  <c r="L299" i="319" l="1"/>
  <c r="Y331" i="319"/>
  <c r="K332" i="319"/>
  <c r="K335" i="319" s="1"/>
  <c r="K302" i="319"/>
  <c r="O189" i="319"/>
  <c r="N183" i="319"/>
  <c r="M285" i="319"/>
  <c r="N180" i="319"/>
  <c r="M181" i="319"/>
  <c r="M293" i="319" s="1"/>
  <c r="O156" i="319"/>
  <c r="N150" i="319"/>
  <c r="M284" i="319"/>
  <c r="M288" i="319" s="1"/>
  <c r="N147" i="319"/>
  <c r="M148" i="319"/>
  <c r="M292" i="319" s="1"/>
  <c r="L332" i="319"/>
  <c r="L335" i="319" s="1"/>
  <c r="L302" i="319"/>
  <c r="L305" i="319"/>
  <c r="L308" i="319" s="1"/>
  <c r="L300" i="319"/>
  <c r="K315" i="319"/>
  <c r="K314" i="319"/>
  <c r="K316" i="319"/>
  <c r="Z121" i="319"/>
  <c r="Y117" i="319"/>
  <c r="Y119" i="319" s="1"/>
  <c r="Y291" i="319"/>
  <c r="Y128" i="307"/>
  <c r="Y130" i="307"/>
  <c r="Y131" i="307"/>
  <c r="E2773" i="230"/>
  <c r="AA72" i="1"/>
  <c r="Z100" i="1"/>
  <c r="X83" i="307"/>
  <c r="X84" i="307" s="1"/>
  <c r="Y86" i="307"/>
  <c r="M299" i="319" l="1"/>
  <c r="P189" i="319"/>
  <c r="O183" i="319"/>
  <c r="N285" i="319"/>
  <c r="O180" i="319"/>
  <c r="N181" i="319"/>
  <c r="N293" i="319" s="1"/>
  <c r="P156" i="319"/>
  <c r="O150" i="319"/>
  <c r="N284" i="319"/>
  <c r="N288" i="319" s="1"/>
  <c r="O147" i="319"/>
  <c r="N148" i="319"/>
  <c r="N292" i="319" s="1"/>
  <c r="N299" i="319" s="1"/>
  <c r="M332" i="319"/>
  <c r="M335" i="319" s="1"/>
  <c r="M302" i="319"/>
  <c r="M305" i="319"/>
  <c r="M308" i="319"/>
  <c r="M300" i="319"/>
  <c r="L314" i="319"/>
  <c r="L315" i="319"/>
  <c r="L316" i="319"/>
  <c r="Z331" i="319"/>
  <c r="AA331" i="319" s="1"/>
  <c r="AA121" i="319"/>
  <c r="Z291" i="319"/>
  <c r="Z117" i="319"/>
  <c r="Z119" i="319" s="1"/>
  <c r="Z130" i="307"/>
  <c r="Z131" i="307"/>
  <c r="Z128" i="307"/>
  <c r="AB72" i="1"/>
  <c r="E2774" i="230"/>
  <c r="AA100" i="1"/>
  <c r="Z86" i="307"/>
  <c r="Z83" i="307" s="1"/>
  <c r="Y83" i="307"/>
  <c r="Y84" i="307" s="1"/>
  <c r="Q189" i="319" l="1"/>
  <c r="P183" i="319"/>
  <c r="O285" i="319"/>
  <c r="P180" i="319"/>
  <c r="O181" i="319"/>
  <c r="O293" i="319" s="1"/>
  <c r="Q156" i="319"/>
  <c r="P150" i="319"/>
  <c r="O284" i="319"/>
  <c r="O288" i="319" s="1"/>
  <c r="P147" i="319"/>
  <c r="O148" i="319"/>
  <c r="O292" i="319" s="1"/>
  <c r="O299" i="319" s="1"/>
  <c r="N332" i="319"/>
  <c r="N335" i="319" s="1"/>
  <c r="N302" i="319"/>
  <c r="N300" i="319"/>
  <c r="N305" i="319"/>
  <c r="N308" i="319" s="1"/>
  <c r="M314" i="319"/>
  <c r="M315" i="319"/>
  <c r="M316" i="319"/>
  <c r="AB121" i="319"/>
  <c r="AA117" i="319"/>
  <c r="AA119" i="319" s="1"/>
  <c r="AA291" i="319"/>
  <c r="AB100" i="1"/>
  <c r="E2775" i="230"/>
  <c r="Z84" i="307"/>
  <c r="R189" i="319" l="1"/>
  <c r="Q183" i="319"/>
  <c r="P285" i="319"/>
  <c r="Q180" i="319"/>
  <c r="P181" i="319"/>
  <c r="P293" i="319" s="1"/>
  <c r="R156" i="319"/>
  <c r="Q150" i="319"/>
  <c r="P284" i="319"/>
  <c r="P288" i="319" s="1"/>
  <c r="Q147" i="319"/>
  <c r="P148" i="319"/>
  <c r="P292" i="319" s="1"/>
  <c r="O332" i="319"/>
  <c r="O335" i="319" s="1"/>
  <c r="O302" i="319"/>
  <c r="O305" i="319"/>
  <c r="O308" i="319" s="1"/>
  <c r="O300" i="319"/>
  <c r="N314" i="319"/>
  <c r="N315" i="319"/>
  <c r="N316" i="319"/>
  <c r="AB331" i="319"/>
  <c r="AC121" i="319"/>
  <c r="AB291" i="319"/>
  <c r="AB117" i="319"/>
  <c r="AB119" i="319" s="1"/>
  <c r="T134" i="319"/>
  <c r="T135" i="319" s="1"/>
  <c r="T297" i="319"/>
  <c r="I93" i="330"/>
  <c r="S64" i="1"/>
  <c r="E253" i="230" s="1"/>
  <c r="S81" i="1"/>
  <c r="E1946" i="230" s="1"/>
  <c r="AC331" i="319" l="1"/>
  <c r="S189" i="319"/>
  <c r="R183" i="319"/>
  <c r="Q285" i="319"/>
  <c r="R180" i="319"/>
  <c r="Q181" i="319"/>
  <c r="Q293" i="319" s="1"/>
  <c r="S156" i="319"/>
  <c r="R150" i="319"/>
  <c r="Q284" i="319"/>
  <c r="R147" i="319"/>
  <c r="Q148" i="319"/>
  <c r="Q292" i="319" s="1"/>
  <c r="P332" i="319"/>
  <c r="P335" i="319" s="1"/>
  <c r="P302" i="319"/>
  <c r="O315" i="319"/>
  <c r="O314" i="319"/>
  <c r="O316" i="319"/>
  <c r="AC117" i="319"/>
  <c r="AC119" i="319" s="1"/>
  <c r="AC291" i="319"/>
  <c r="P299" i="319"/>
  <c r="T136" i="319"/>
  <c r="T282" i="319"/>
  <c r="E2905" i="230"/>
  <c r="E1123" i="230"/>
  <c r="T64" i="1"/>
  <c r="T81" i="1"/>
  <c r="J93" i="330" s="1"/>
  <c r="T189" i="319" l="1"/>
  <c r="S183" i="319"/>
  <c r="R285" i="319"/>
  <c r="S180" i="319"/>
  <c r="R181" i="319"/>
  <c r="R293" i="319" s="1"/>
  <c r="T156" i="319"/>
  <c r="S150" i="319"/>
  <c r="R284" i="319"/>
  <c r="S147" i="319"/>
  <c r="R148" i="319"/>
  <c r="R292" i="319" s="1"/>
  <c r="P305" i="319"/>
  <c r="P308" i="319" s="1"/>
  <c r="P300" i="319"/>
  <c r="Q288" i="319"/>
  <c r="Q299" i="319"/>
  <c r="E2917" i="230"/>
  <c r="E1937" i="230"/>
  <c r="E244" i="230"/>
  <c r="E1114" i="230"/>
  <c r="U134" i="319"/>
  <c r="U297" i="319"/>
  <c r="R288" i="319" l="1"/>
  <c r="R299" i="319"/>
  <c r="U189" i="319"/>
  <c r="T183" i="319"/>
  <c r="S285" i="319"/>
  <c r="T180" i="319"/>
  <c r="S181" i="319"/>
  <c r="S293" i="319" s="1"/>
  <c r="U156" i="319"/>
  <c r="T150" i="319"/>
  <c r="S284" i="319"/>
  <c r="T147" i="319"/>
  <c r="S148" i="319"/>
  <c r="S292" i="319" s="1"/>
  <c r="R332" i="319"/>
  <c r="R335" i="319" s="1"/>
  <c r="R302" i="319"/>
  <c r="R300" i="319"/>
  <c r="R305" i="319"/>
  <c r="R308" i="319"/>
  <c r="P314" i="319"/>
  <c r="P315" i="319"/>
  <c r="P316" i="319"/>
  <c r="R315" i="319"/>
  <c r="Q332" i="319"/>
  <c r="Q335" i="319" s="1"/>
  <c r="Q302" i="319"/>
  <c r="R314" i="319"/>
  <c r="Q305" i="319"/>
  <c r="Q300" i="319"/>
  <c r="Q308" i="319"/>
  <c r="U135" i="319"/>
  <c r="U282" i="319"/>
  <c r="U136" i="319"/>
  <c r="E1115" i="230"/>
  <c r="U64" i="1"/>
  <c r="U81" i="1"/>
  <c r="V189" i="319" l="1"/>
  <c r="U183" i="319"/>
  <c r="T285" i="319"/>
  <c r="U180" i="319"/>
  <c r="T181" i="319"/>
  <c r="T293" i="319" s="1"/>
  <c r="V156" i="319"/>
  <c r="U150" i="319"/>
  <c r="T284" i="319"/>
  <c r="U147" i="319"/>
  <c r="T148" i="319"/>
  <c r="T292" i="319" s="1"/>
  <c r="G42" i="330"/>
  <c r="Q314" i="319"/>
  <c r="Q315" i="319"/>
  <c r="Q316" i="319"/>
  <c r="S288" i="319"/>
  <c r="S299" i="319"/>
  <c r="R316" i="319"/>
  <c r="E1938" i="230"/>
  <c r="E2918" i="230"/>
  <c r="K93" i="330"/>
  <c r="E245" i="230"/>
  <c r="V134" i="319"/>
  <c r="V297" i="319"/>
  <c r="W189" i="319" l="1"/>
  <c r="V183" i="319"/>
  <c r="U285" i="319"/>
  <c r="V180" i="319"/>
  <c r="U181" i="319"/>
  <c r="U293" i="319" s="1"/>
  <c r="W156" i="319"/>
  <c r="V150" i="319"/>
  <c r="U284" i="319"/>
  <c r="V147" i="319"/>
  <c r="U148" i="319"/>
  <c r="U292" i="319" s="1"/>
  <c r="S302" i="319"/>
  <c r="S332" i="319"/>
  <c r="S335" i="319" s="1"/>
  <c r="C73" i="319" s="1"/>
  <c r="S289" i="319"/>
  <c r="AE154" i="319"/>
  <c r="S305" i="319"/>
  <c r="S308" i="319" s="1"/>
  <c r="S300" i="319"/>
  <c r="F42" i="330"/>
  <c r="V135" i="319"/>
  <c r="V282" i="319"/>
  <c r="V136" i="319"/>
  <c r="V64" i="1"/>
  <c r="V81" i="1"/>
  <c r="X189" i="319" l="1"/>
  <c r="W183" i="319"/>
  <c r="V285" i="319"/>
  <c r="W180" i="319"/>
  <c r="V181" i="319"/>
  <c r="V293" i="319" s="1"/>
  <c r="X156" i="319"/>
  <c r="W150" i="319"/>
  <c r="V284" i="319"/>
  <c r="W147" i="319"/>
  <c r="V148" i="319"/>
  <c r="V292" i="319" s="1"/>
  <c r="BE289" i="319"/>
  <c r="AS289" i="319"/>
  <c r="AG289" i="319"/>
  <c r="AW289" i="319"/>
  <c r="BH289" i="319"/>
  <c r="AU289" i="319"/>
  <c r="BD289" i="319"/>
  <c r="AR289" i="319"/>
  <c r="AF289" i="319"/>
  <c r="BC289" i="319"/>
  <c r="AQ289" i="319"/>
  <c r="AE289" i="319"/>
  <c r="BB289" i="319"/>
  <c r="AP289" i="319"/>
  <c r="BM289" i="319"/>
  <c r="BA289" i="319"/>
  <c r="AO289" i="319"/>
  <c r="AJ289" i="319"/>
  <c r="AI289" i="319"/>
  <c r="BF289" i="319"/>
  <c r="BL289" i="319"/>
  <c r="AZ289" i="319"/>
  <c r="AN289" i="319"/>
  <c r="BK289" i="319"/>
  <c r="AY289" i="319"/>
  <c r="AM289" i="319"/>
  <c r="AX289" i="319"/>
  <c r="AL289" i="319"/>
  <c r="BI289" i="319"/>
  <c r="AK289" i="319"/>
  <c r="AV289" i="319"/>
  <c r="BG289" i="319"/>
  <c r="AT289" i="319"/>
  <c r="AH289" i="319"/>
  <c r="BJ289" i="319"/>
  <c r="BN289" i="319"/>
  <c r="S314" i="319"/>
  <c r="S316" i="319"/>
  <c r="S315" i="319"/>
  <c r="L66" i="198" s="1"/>
  <c r="E1939" i="230"/>
  <c r="E2919" i="230"/>
  <c r="L93" i="330"/>
  <c r="E246" i="230"/>
  <c r="E1116" i="230"/>
  <c r="W297" i="319"/>
  <c r="W134" i="319"/>
  <c r="Y189" i="319" l="1"/>
  <c r="X183" i="319"/>
  <c r="W285" i="319"/>
  <c r="X180" i="319"/>
  <c r="W181" i="319"/>
  <c r="W293" i="319" s="1"/>
  <c r="Y156" i="319"/>
  <c r="X150" i="319"/>
  <c r="W284" i="319"/>
  <c r="X147" i="319"/>
  <c r="W148" i="319"/>
  <c r="W292" i="319" s="1"/>
  <c r="L67" i="198"/>
  <c r="H42" i="330"/>
  <c r="O42" i="330" s="1"/>
  <c r="W136" i="319"/>
  <c r="W282" i="319"/>
  <c r="W135" i="319"/>
  <c r="X297" i="319"/>
  <c r="W64" i="1"/>
  <c r="Z189" i="319" l="1"/>
  <c r="Y183" i="319"/>
  <c r="X285" i="319"/>
  <c r="Y180" i="319"/>
  <c r="X181" i="319"/>
  <c r="X293" i="319" s="1"/>
  <c r="Z156" i="319"/>
  <c r="Y150" i="319"/>
  <c r="X284" i="319"/>
  <c r="Y147" i="319"/>
  <c r="X148" i="319"/>
  <c r="X292" i="319" s="1"/>
  <c r="E247" i="230"/>
  <c r="X134" i="319"/>
  <c r="W81" i="1"/>
  <c r="E1117" i="230"/>
  <c r="AA189" i="319" l="1"/>
  <c r="Z183" i="319"/>
  <c r="Y285" i="319"/>
  <c r="Z180" i="319"/>
  <c r="Y181" i="319"/>
  <c r="Y293" i="319" s="1"/>
  <c r="AA156" i="319"/>
  <c r="Z150" i="319"/>
  <c r="Y284" i="319"/>
  <c r="Z147" i="319"/>
  <c r="Y148" i="319"/>
  <c r="Y292" i="319" s="1"/>
  <c r="E1940" i="230"/>
  <c r="M93" i="330"/>
  <c r="E2920" i="230"/>
  <c r="X135" i="319"/>
  <c r="X136" i="319"/>
  <c r="X282" i="319"/>
  <c r="E248" i="230"/>
  <c r="Y134" i="319"/>
  <c r="Y136" i="319" s="1"/>
  <c r="X64" i="1"/>
  <c r="X81" i="1"/>
  <c r="AB189" i="319" l="1"/>
  <c r="AA183" i="319"/>
  <c r="Z285" i="319"/>
  <c r="AA180" i="319"/>
  <c r="Z181" i="319"/>
  <c r="Z293" i="319" s="1"/>
  <c r="AB156" i="319"/>
  <c r="AA150" i="319"/>
  <c r="Z284" i="319"/>
  <c r="AA147" i="319"/>
  <c r="Z148" i="319"/>
  <c r="Z292" i="319" s="1"/>
  <c r="E1941" i="230"/>
  <c r="E2921" i="230"/>
  <c r="Y282" i="319"/>
  <c r="Y135" i="319"/>
  <c r="E1118" i="230"/>
  <c r="Y297" i="319"/>
  <c r="Z297" i="319"/>
  <c r="Y64" i="1"/>
  <c r="Z64" i="1"/>
  <c r="AA64" i="1"/>
  <c r="AB64" i="1"/>
  <c r="E252" i="230" s="1"/>
  <c r="Y81" i="1"/>
  <c r="AC189" i="319" l="1"/>
  <c r="AC183" i="319" s="1"/>
  <c r="AB183" i="319"/>
  <c r="AA285" i="319"/>
  <c r="AB180" i="319"/>
  <c r="AA181" i="319"/>
  <c r="AA293" i="319" s="1"/>
  <c r="AC156" i="319"/>
  <c r="AC150" i="319" s="1"/>
  <c r="AB150" i="319"/>
  <c r="AA284" i="319"/>
  <c r="AB147" i="319"/>
  <c r="AA148" i="319"/>
  <c r="AA292" i="319" s="1"/>
  <c r="E1942" i="230"/>
  <c r="E2922" i="230"/>
  <c r="Z81" i="1"/>
  <c r="E1120" i="230"/>
  <c r="E250" i="230"/>
  <c r="AA297" i="319"/>
  <c r="E1119" i="230"/>
  <c r="E249" i="230"/>
  <c r="Z134" i="319"/>
  <c r="E1122" i="230"/>
  <c r="AC297" i="319"/>
  <c r="E251" i="230"/>
  <c r="E1121" i="230"/>
  <c r="AB297" i="319"/>
  <c r="AC285" i="319" l="1"/>
  <c r="AB285" i="319"/>
  <c r="AC180" i="319"/>
  <c r="AC181" i="319" s="1"/>
  <c r="AC293" i="319" s="1"/>
  <c r="AB181" i="319"/>
  <c r="AB293" i="319" s="1"/>
  <c r="AC284" i="319"/>
  <c r="AB284" i="319"/>
  <c r="AC147" i="319"/>
  <c r="AC148" i="319" s="1"/>
  <c r="AC292" i="319" s="1"/>
  <c r="AB148" i="319"/>
  <c r="AB292" i="319" s="1"/>
  <c r="Z135" i="319"/>
  <c r="Z282" i="319"/>
  <c r="Z136" i="319"/>
  <c r="AA134" i="319"/>
  <c r="E1943" i="230"/>
  <c r="E2923" i="230"/>
  <c r="AA81" i="1"/>
  <c r="E1944" i="230" l="1"/>
  <c r="E2924" i="230"/>
  <c r="AB81" i="1"/>
  <c r="AA135" i="319"/>
  <c r="AA282" i="319"/>
  <c r="AA136" i="319"/>
  <c r="AB134" i="319"/>
  <c r="AB135" i="319" l="1"/>
  <c r="AB282" i="319"/>
  <c r="AB136" i="319"/>
  <c r="AC134" i="319"/>
  <c r="E1945" i="230"/>
  <c r="E2925" i="230"/>
  <c r="AC135" i="319" l="1"/>
  <c r="AC282" i="319"/>
  <c r="AC136" i="319"/>
  <c r="I326" i="319"/>
  <c r="J326" i="319"/>
  <c r="K326" i="319"/>
  <c r="L326" i="319"/>
  <c r="M326" i="319"/>
  <c r="N326" i="319"/>
  <c r="O326" i="319"/>
  <c r="S326" i="319"/>
  <c r="I327" i="319"/>
  <c r="J327" i="319"/>
  <c r="K327" i="319"/>
  <c r="L327" i="319"/>
  <c r="M327" i="319"/>
  <c r="N327" i="319"/>
  <c r="O327" i="319"/>
  <c r="S327" i="319"/>
  <c r="P326" i="319"/>
  <c r="Q326" i="319"/>
  <c r="R326" i="319"/>
  <c r="P327" i="319"/>
  <c r="Q327" i="319"/>
  <c r="R327" i="319"/>
  <c r="S41" i="1"/>
  <c r="S42" i="1"/>
  <c r="I25" i="330" s="1"/>
  <c r="S44" i="1"/>
  <c r="Q93" i="198" s="1"/>
  <c r="S45" i="1"/>
  <c r="Q16" i="198" s="1"/>
  <c r="S50" i="1" l="1"/>
  <c r="Q9" i="330"/>
  <c r="I84" i="330"/>
  <c r="I33" i="330"/>
  <c r="E551" i="230"/>
  <c r="E1317" i="230"/>
  <c r="Q14" i="198"/>
  <c r="E1038" i="230"/>
  <c r="E572" i="230"/>
  <c r="S57" i="18"/>
  <c r="Q81" i="198"/>
  <c r="Q15" i="198"/>
  <c r="I81" i="330"/>
  <c r="I53" i="330" l="1"/>
  <c r="E615" i="230"/>
  <c r="E1370" i="230"/>
  <c r="Q83" i="198"/>
  <c r="Q151" i="307"/>
  <c r="Q171" i="307"/>
  <c r="Q97" i="307"/>
  <c r="Q98" i="307"/>
  <c r="Q109" i="307"/>
  <c r="Q121" i="307"/>
  <c r="Q136" i="307"/>
  <c r="Q60" i="307"/>
  <c r="Q12" i="307"/>
  <c r="S11" i="1"/>
  <c r="S14" i="1"/>
  <c r="S24" i="1"/>
  <c r="T290" i="319"/>
  <c r="T299" i="319"/>
  <c r="T308" i="319"/>
  <c r="T318" i="319"/>
  <c r="V151" i="307"/>
  <c r="X151" i="307"/>
  <c r="U151" i="307"/>
  <c r="U171" i="307"/>
  <c r="U97" i="307"/>
  <c r="U98" i="307"/>
  <c r="U109" i="307"/>
  <c r="U121" i="307"/>
  <c r="U136" i="307"/>
  <c r="U60" i="307"/>
  <c r="U12" i="307"/>
  <c r="W11" i="1"/>
  <c r="W14" i="1"/>
  <c r="W24" i="1"/>
  <c r="W28" i="1"/>
  <c r="W31" i="1"/>
  <c r="S151" i="307"/>
  <c r="S171" i="307"/>
  <c r="S97" i="307"/>
  <c r="S98" i="307"/>
  <c r="S109" i="307"/>
  <c r="S121" i="307"/>
  <c r="S136" i="307"/>
  <c r="S60" i="307"/>
  <c r="S12" i="307"/>
  <c r="U11" i="1"/>
  <c r="U14" i="1"/>
  <c r="V171" i="307"/>
  <c r="V97" i="307"/>
  <c r="V98" i="307"/>
  <c r="V109" i="307"/>
  <c r="V121" i="307"/>
  <c r="V136" i="307"/>
  <c r="V60" i="307"/>
  <c r="V12" i="307"/>
  <c r="X11" i="1"/>
  <c r="W151" i="307"/>
  <c r="W171" i="307"/>
  <c r="W97" i="307"/>
  <c r="W98" i="307"/>
  <c r="W109" i="307"/>
  <c r="W121" i="307"/>
  <c r="W136" i="307"/>
  <c r="W60" i="307"/>
  <c r="W12" i="307"/>
  <c r="Y11" i="1"/>
  <c r="Y14" i="1"/>
  <c r="Y24" i="1"/>
  <c r="Y28" i="1"/>
  <c r="Y98" i="1"/>
  <c r="Y101" i="1"/>
  <c r="Y128" i="1"/>
  <c r="Y138" i="1"/>
  <c r="X14" i="1"/>
  <c r="X24" i="1"/>
  <c r="X28" i="1"/>
  <c r="X98" i="1"/>
  <c r="X101" i="1"/>
  <c r="X128" i="1"/>
  <c r="X132" i="1"/>
  <c r="X139" i="1"/>
  <c r="T151" i="307"/>
  <c r="T171" i="307"/>
  <c r="T97" i="307"/>
  <c r="T98" i="307"/>
  <c r="T109" i="307"/>
  <c r="T121" i="307"/>
  <c r="T136" i="307"/>
  <c r="T60" i="307"/>
  <c r="T12" i="307"/>
  <c r="V11" i="1"/>
  <c r="V87" i="1"/>
  <c r="E57" i="230"/>
  <c r="Z151" i="307"/>
  <c r="Z171" i="307"/>
  <c r="Z97" i="307"/>
  <c r="Z98" i="307"/>
  <c r="Z109" i="307"/>
  <c r="Z121" i="307"/>
  <c r="Z136" i="307"/>
  <c r="Z60" i="307"/>
  <c r="Z12" i="307"/>
  <c r="Z29" i="307"/>
  <c r="AB22" i="1"/>
  <c r="E508" i="230"/>
  <c r="S73" i="1"/>
  <c r="S74" i="1"/>
  <c r="Q104" i="1"/>
  <c r="Q115" i="1"/>
  <c r="Q114" i="1"/>
  <c r="R102" i="1"/>
  <c r="C7" i="1"/>
  <c r="T38" i="1"/>
  <c r="T39" i="1"/>
  <c r="U39" i="1"/>
  <c r="U42" i="1"/>
  <c r="U50" i="1"/>
  <c r="R151" i="307"/>
  <c r="R171" i="307"/>
  <c r="R97" i="307"/>
  <c r="R98" i="307"/>
  <c r="R109" i="307"/>
  <c r="R121" i="307"/>
  <c r="R136" i="307"/>
  <c r="R60" i="307"/>
  <c r="R12" i="307"/>
  <c r="T11" i="1"/>
  <c r="T14" i="1"/>
  <c r="T24" i="1"/>
  <c r="T28" i="1"/>
  <c r="T34" i="1"/>
  <c r="R27" i="198"/>
  <c r="U51" i="198"/>
  <c r="S102" i="1"/>
  <c r="T102" i="1"/>
  <c r="U102" i="1"/>
  <c r="V102" i="1"/>
  <c r="W102" i="1"/>
  <c r="X102" i="1"/>
  <c r="Y102" i="1"/>
  <c r="Z102" i="1"/>
  <c r="X38" i="198"/>
  <c r="X37" i="198"/>
  <c r="X88" i="198"/>
  <c r="E777" i="230"/>
  <c r="E1030" i="230"/>
  <c r="Y52" i="1"/>
  <c r="Y55" i="1"/>
  <c r="Y56" i="1"/>
  <c r="E1076" i="230"/>
  <c r="X171" i="307"/>
  <c r="X97" i="307"/>
  <c r="X98" i="307"/>
  <c r="X109" i="307"/>
  <c r="X121" i="307"/>
  <c r="X136" i="307"/>
  <c r="X60" i="307"/>
  <c r="X12" i="307"/>
  <c r="X29" i="307"/>
  <c r="Z22" i="1"/>
  <c r="E1294" i="230"/>
  <c r="V39" i="1"/>
  <c r="W39" i="1"/>
  <c r="W42" i="1"/>
  <c r="W50" i="1"/>
  <c r="E1364" i="230"/>
  <c r="E1469" i="230"/>
  <c r="S28" i="1"/>
  <c r="S34" i="1"/>
  <c r="S93" i="1"/>
  <c r="T93" i="1"/>
  <c r="U93" i="1"/>
  <c r="V93" i="1"/>
  <c r="W93" i="1"/>
  <c r="X93" i="1"/>
  <c r="Y93" i="1"/>
  <c r="Z93" i="1"/>
  <c r="E2277" i="230"/>
  <c r="Y34" i="1"/>
  <c r="W27" i="198"/>
  <c r="X90" i="198"/>
  <c r="E2855" i="230"/>
  <c r="U25" i="198"/>
  <c r="K45" i="330"/>
  <c r="T40" i="1"/>
  <c r="U40" i="1"/>
  <c r="V40" i="1"/>
  <c r="W40" i="1"/>
  <c r="X40" i="1"/>
  <c r="Y40" i="1"/>
  <c r="Z40" i="1"/>
  <c r="AA40" i="1"/>
  <c r="AB40" i="1"/>
  <c r="X39" i="1"/>
  <c r="Y39" i="1"/>
  <c r="Z39" i="1"/>
  <c r="AA39" i="1"/>
  <c r="AB39" i="1"/>
  <c r="AB41" i="1"/>
  <c r="AB42" i="1"/>
  <c r="AB43" i="1"/>
  <c r="T43" i="1"/>
  <c r="T44" i="1"/>
  <c r="U43" i="1"/>
  <c r="U44" i="1"/>
  <c r="V43" i="1"/>
  <c r="V44" i="1"/>
  <c r="X43" i="1"/>
  <c r="X44" i="1"/>
  <c r="AA43" i="1"/>
  <c r="AA44" i="1"/>
  <c r="AB44" i="1"/>
  <c r="T45" i="1"/>
  <c r="U45" i="1"/>
  <c r="V45" i="1"/>
  <c r="X45" i="1"/>
  <c r="AA45" i="1"/>
  <c r="AB45" i="1"/>
  <c r="X42" i="1"/>
  <c r="X50" i="1"/>
  <c r="AB50" i="1"/>
  <c r="Y109" i="1"/>
  <c r="Y113" i="1"/>
  <c r="M312" i="319"/>
  <c r="M333" i="319"/>
  <c r="M336" i="319"/>
  <c r="M337" i="319"/>
  <c r="O312" i="319"/>
  <c r="O333" i="319"/>
  <c r="O336" i="319"/>
  <c r="O337" i="319"/>
  <c r="V42" i="307"/>
  <c r="X61" i="1"/>
  <c r="X62" i="1"/>
  <c r="S79" i="1"/>
  <c r="S58" i="1"/>
  <c r="S60" i="1"/>
  <c r="S65" i="1"/>
  <c r="S67" i="1"/>
  <c r="S69" i="1"/>
  <c r="S70" i="1"/>
  <c r="T60" i="1"/>
  <c r="T65" i="1"/>
  <c r="T69" i="1"/>
  <c r="T70" i="1"/>
  <c r="T79" i="1"/>
  <c r="T58" i="1"/>
  <c r="U60" i="1"/>
  <c r="U65" i="1"/>
  <c r="U69" i="1"/>
  <c r="U70" i="1"/>
  <c r="U79" i="1"/>
  <c r="Y81" i="307"/>
  <c r="U115" i="307"/>
  <c r="U127" i="307"/>
  <c r="Y162" i="307"/>
  <c r="Q29" i="307"/>
  <c r="S63" i="1"/>
  <c r="T122" i="319"/>
  <c r="U122" i="319"/>
  <c r="V122" i="319"/>
  <c r="W122" i="319"/>
  <c r="X122" i="319"/>
  <c r="Y122" i="319"/>
  <c r="Z122" i="319"/>
  <c r="AA122" i="319"/>
  <c r="AB122" i="319"/>
  <c r="AC122" i="319"/>
  <c r="AC123" i="319"/>
  <c r="AC126" i="319"/>
  <c r="U58" i="1"/>
  <c r="V60" i="1"/>
  <c r="V65" i="1"/>
  <c r="V69" i="1"/>
  <c r="V70" i="1"/>
  <c r="V79" i="1"/>
  <c r="V58" i="1"/>
  <c r="W60" i="1"/>
  <c r="W65" i="1"/>
  <c r="W69" i="1"/>
  <c r="W70" i="1"/>
  <c r="W79" i="1"/>
  <c r="W58" i="1"/>
  <c r="X60" i="1"/>
  <c r="X65" i="1"/>
  <c r="X69" i="1"/>
  <c r="X70" i="1"/>
  <c r="X79" i="1"/>
  <c r="X58" i="1"/>
  <c r="Y60" i="1"/>
  <c r="Y65" i="1"/>
  <c r="Y69" i="1"/>
  <c r="Y70" i="1"/>
  <c r="Y79" i="1"/>
  <c r="Y58" i="1"/>
  <c r="Z60" i="1"/>
  <c r="Z65" i="1"/>
  <c r="Z69" i="1"/>
  <c r="Z70" i="1"/>
  <c r="Z11" i="1"/>
  <c r="Z79" i="1"/>
  <c r="Z58" i="1"/>
  <c r="AA60" i="1"/>
  <c r="AA65" i="1"/>
  <c r="AA69" i="1"/>
  <c r="AA70" i="1"/>
  <c r="Y151" i="307"/>
  <c r="Y171" i="307"/>
  <c r="Y97" i="307"/>
  <c r="Y98" i="307"/>
  <c r="Y109" i="307"/>
  <c r="Y121" i="307"/>
  <c r="Y136" i="307"/>
  <c r="Y60" i="307"/>
  <c r="Y12" i="307"/>
  <c r="AA11" i="1"/>
  <c r="AA79" i="1"/>
  <c r="AA58" i="1"/>
  <c r="AB60" i="1"/>
  <c r="AB65" i="1"/>
  <c r="AB69" i="1"/>
  <c r="AB70" i="1"/>
  <c r="S71" i="1"/>
  <c r="T71" i="1"/>
  <c r="U71" i="1"/>
  <c r="V71" i="1"/>
  <c r="W71" i="1"/>
  <c r="X71" i="1"/>
  <c r="Y71" i="1"/>
  <c r="Z71" i="1"/>
  <c r="AA71" i="1"/>
  <c r="AB71" i="1"/>
  <c r="T73" i="1"/>
  <c r="T74" i="1"/>
  <c r="V14" i="1"/>
  <c r="V24" i="1"/>
  <c r="V73" i="1"/>
  <c r="V74" i="1"/>
  <c r="W73" i="1"/>
  <c r="W74" i="1"/>
  <c r="Y73" i="1"/>
  <c r="Y74" i="1"/>
  <c r="Z14" i="1"/>
  <c r="Z24" i="1"/>
  <c r="Z73" i="1"/>
  <c r="Z74" i="1"/>
  <c r="AA14" i="1"/>
  <c r="AA24" i="1"/>
  <c r="AA73" i="1"/>
  <c r="AA74" i="1"/>
  <c r="AB11" i="1"/>
  <c r="AB14" i="1"/>
  <c r="AB24" i="1"/>
  <c r="AB73" i="1"/>
  <c r="AB74" i="1"/>
  <c r="S83" i="1"/>
  <c r="T83" i="1"/>
  <c r="U83" i="1"/>
  <c r="V83" i="1"/>
  <c r="W83" i="1"/>
  <c r="X83" i="1"/>
  <c r="Y83" i="1"/>
  <c r="Z83" i="1"/>
  <c r="AA83" i="1"/>
  <c r="AB83" i="1"/>
  <c r="W87" i="1"/>
  <c r="W76" i="1"/>
  <c r="W86" i="1"/>
  <c r="V92" i="1"/>
  <c r="U95" i="1"/>
  <c r="W95" i="1"/>
  <c r="AB28" i="1"/>
  <c r="AB98"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E2299" i="230"/>
  <c r="E3181" i="230"/>
  <c r="X92" i="198"/>
  <c r="W114" i="319"/>
  <c r="U29" i="198"/>
  <c r="AU98" i="1"/>
  <c r="AY98" i="1"/>
  <c r="S99" i="1"/>
  <c r="Y99" i="1"/>
  <c r="AA99" i="1"/>
  <c r="AV100" i="1"/>
  <c r="AY100" i="1"/>
  <c r="BA100" i="1"/>
  <c r="T98" i="1"/>
  <c r="Z28" i="1"/>
  <c r="Z98" i="1"/>
  <c r="Z101" i="1"/>
  <c r="Z128" i="1"/>
  <c r="Y132" i="1"/>
  <c r="E17" i="230"/>
  <c r="S36" i="1"/>
  <c r="V29" i="307"/>
  <c r="V41" i="1"/>
  <c r="T42" i="1"/>
  <c r="AB30" i="1"/>
  <c r="Q27" i="198"/>
  <c r="Z67" i="1"/>
  <c r="E800" i="230"/>
  <c r="E1369" i="230"/>
  <c r="E1532" i="230"/>
  <c r="AA87" i="1"/>
  <c r="K53" i="330"/>
  <c r="Y139" i="1"/>
  <c r="X52" i="1"/>
  <c r="E2670" i="230"/>
  <c r="T162" i="307"/>
  <c r="E2819" i="230"/>
  <c r="E2092" i="230"/>
  <c r="T51" i="18"/>
  <c r="T314" i="319"/>
  <c r="S65" i="18"/>
  <c r="Y114" i="319"/>
  <c r="U57" i="18"/>
  <c r="W7" i="198"/>
  <c r="M92" i="330"/>
  <c r="W52" i="1"/>
  <c r="AA66" i="1"/>
  <c r="AM98" i="1"/>
  <c r="Z66" i="307"/>
  <c r="Z123" i="319"/>
  <c r="K25" i="330"/>
  <c r="K33" i="330"/>
  <c r="V15" i="1"/>
  <c r="J39" i="330"/>
  <c r="S30" i="1"/>
  <c r="J92" i="330"/>
  <c r="M95" i="330"/>
  <c r="J116" i="330"/>
  <c r="Z52" i="1"/>
  <c r="S16" i="198"/>
  <c r="N3" i="1"/>
  <c r="Z57" i="198"/>
  <c r="R42" i="307"/>
  <c r="V67" i="1"/>
  <c r="T106" i="307"/>
  <c r="AG98" i="1"/>
  <c r="AS100" i="1"/>
  <c r="R72" i="307"/>
  <c r="T50" i="1"/>
  <c r="E1537" i="230"/>
  <c r="E2663" i="230"/>
  <c r="E3263" i="230"/>
  <c r="E3378" i="230"/>
  <c r="W38" i="198"/>
  <c r="V38" i="198"/>
  <c r="W66" i="307"/>
  <c r="V123" i="319"/>
  <c r="W25" i="1"/>
  <c r="U162" i="307"/>
  <c r="E720" i="230"/>
  <c r="E1584" i="230"/>
  <c r="T52" i="18"/>
  <c r="T17" i="307"/>
  <c r="E1903" i="230"/>
  <c r="S51" i="18"/>
  <c r="E994" i="230"/>
  <c r="E718" i="230"/>
  <c r="E1328" i="230"/>
  <c r="E3270" i="230"/>
  <c r="R152" i="307"/>
  <c r="S22" i="1"/>
  <c r="X115" i="307"/>
  <c r="U24" i="1"/>
  <c r="E1539" i="230"/>
  <c r="Z87" i="1"/>
  <c r="AT98" i="1"/>
  <c r="U28" i="1"/>
  <c r="U52" i="1"/>
  <c r="U53" i="1"/>
  <c r="R69" i="198"/>
  <c r="E1362" i="230"/>
  <c r="E1540" i="230"/>
  <c r="T87" i="1"/>
  <c r="E2305" i="230"/>
  <c r="V302" i="319"/>
  <c r="R312" i="319"/>
  <c r="Y108" i="1"/>
  <c r="E1818" i="230"/>
  <c r="BB97" i="1"/>
  <c r="L100" i="330"/>
  <c r="K106" i="330"/>
  <c r="V95" i="1"/>
  <c r="I115" i="330"/>
  <c r="L116" i="330"/>
  <c r="X99" i="1"/>
  <c r="W12" i="198"/>
  <c r="R16" i="198"/>
  <c r="T16" i="198"/>
  <c r="Y43" i="1"/>
  <c r="Y45" i="1"/>
  <c r="Z43" i="1"/>
  <c r="Z16" i="198"/>
  <c r="R18" i="198"/>
  <c r="T18" i="198"/>
  <c r="W18" i="198"/>
  <c r="Y18" i="198"/>
  <c r="W47" i="198"/>
  <c r="U92" i="198"/>
  <c r="V93" i="198"/>
  <c r="X87" i="1"/>
  <c r="AA93" i="1"/>
  <c r="AB93" i="1"/>
  <c r="AB76" i="1"/>
  <c r="S57" i="198"/>
  <c r="B45" i="319"/>
  <c r="L51" i="330"/>
  <c r="Z329" i="319"/>
  <c r="L95" i="330"/>
  <c r="AB95" i="1"/>
  <c r="Y42" i="307"/>
  <c r="T126" i="319"/>
  <c r="AM100" i="1"/>
  <c r="E669" i="230"/>
  <c r="Z81" i="307"/>
  <c r="W123" i="319"/>
  <c r="E3380" i="230"/>
  <c r="Y72" i="307"/>
  <c r="AB12" i="1"/>
  <c r="E3383" i="230"/>
  <c r="E1834" i="230"/>
  <c r="E2236" i="230"/>
  <c r="AC290" i="319"/>
  <c r="E2230" i="230"/>
  <c r="R162" i="307"/>
  <c r="AA102" i="1"/>
  <c r="E3095" i="230"/>
  <c r="E3340" i="230"/>
  <c r="Y21" i="307"/>
  <c r="M318" i="319"/>
  <c r="T55" i="18"/>
  <c r="J23" i="330"/>
  <c r="M72" i="330"/>
  <c r="K84" i="330"/>
  <c r="K20" i="330"/>
  <c r="H312" i="319"/>
  <c r="AA320" i="319"/>
  <c r="S312" i="319"/>
  <c r="I10" i="330"/>
  <c r="X162" i="307"/>
  <c r="E2665" i="230"/>
  <c r="R60" i="198"/>
  <c r="X42" i="307"/>
  <c r="X53" i="1"/>
  <c r="X17" i="307"/>
  <c r="Y115" i="307"/>
  <c r="S31" i="1"/>
  <c r="Y38" i="198"/>
  <c r="Y37" i="198"/>
  <c r="S93" i="198"/>
  <c r="W126" i="319"/>
  <c r="S12" i="1"/>
  <c r="T111" i="319"/>
  <c r="U111" i="319"/>
  <c r="V111" i="319"/>
  <c r="W111" i="319"/>
  <c r="W279" i="319"/>
  <c r="W288" i="319"/>
  <c r="X314" i="319"/>
  <c r="E609" i="230"/>
  <c r="X89" i="198"/>
  <c r="W125" i="319"/>
  <c r="AB15" i="1"/>
  <c r="E989" i="230"/>
  <c r="E2279" i="230"/>
  <c r="AA12" i="1"/>
  <c r="W72" i="307"/>
  <c r="E3268" i="230"/>
  <c r="E3382" i="230"/>
  <c r="U51" i="18"/>
  <c r="T316" i="319"/>
  <c r="V28" i="1"/>
  <c r="V34" i="1"/>
  <c r="L41" i="330"/>
  <c r="X63" i="1"/>
  <c r="X126" i="319"/>
  <c r="U22" i="198"/>
  <c r="M62" i="330"/>
  <c r="Y67" i="1"/>
  <c r="Z42" i="307"/>
  <c r="S115" i="307"/>
  <c r="E2643" i="230"/>
  <c r="E530" i="230"/>
  <c r="L312" i="319"/>
  <c r="E2097" i="230"/>
  <c r="E2671" i="230"/>
  <c r="V25" i="1"/>
  <c r="Q72" i="307"/>
  <c r="E1817" i="230"/>
  <c r="AB126" i="319"/>
  <c r="U99" i="1"/>
  <c r="AT100" i="1"/>
  <c r="S98" i="1"/>
  <c r="W98" i="1"/>
  <c r="T52" i="1"/>
  <c r="E190" i="230"/>
  <c r="T41" i="1"/>
  <c r="E550" i="230"/>
  <c r="T25" i="1"/>
  <c r="X34" i="1"/>
  <c r="W162" i="307"/>
  <c r="Y29" i="307"/>
  <c r="AA76" i="1"/>
  <c r="U87" i="1"/>
  <c r="E1836" i="230"/>
  <c r="X55" i="1"/>
  <c r="E1008" i="230"/>
  <c r="E1310" i="230"/>
  <c r="E2666" i="230"/>
  <c r="W17" i="307"/>
  <c r="E2839" i="230"/>
  <c r="U11" i="198"/>
  <c r="R52" i="198"/>
  <c r="I24" i="330"/>
  <c r="V42" i="1"/>
  <c r="I42" i="330"/>
  <c r="E1753" i="230"/>
  <c r="X29" i="198"/>
  <c r="Q33" i="198"/>
  <c r="V52" i="1"/>
  <c r="V55" i="1"/>
  <c r="T24" i="198"/>
  <c r="V106" i="1"/>
  <c r="S42" i="307"/>
  <c r="T8" i="198"/>
  <c r="J115" i="330"/>
  <c r="U42" i="307"/>
  <c r="V59" i="1"/>
  <c r="X67" i="1"/>
  <c r="V66" i="307"/>
  <c r="Q11" i="198"/>
  <c r="M31" i="330"/>
  <c r="T15" i="1"/>
  <c r="L37" i="330"/>
  <c r="J81" i="330"/>
  <c r="I83" i="330"/>
  <c r="J95" i="330"/>
  <c r="L104" i="330"/>
  <c r="Z55" i="1"/>
  <c r="V12" i="198"/>
  <c r="Z93" i="198"/>
  <c r="Y329" i="319"/>
  <c r="X95" i="1"/>
  <c r="E124" i="230"/>
  <c r="X31" i="1"/>
  <c r="E2274" i="230"/>
  <c r="E1916" i="230"/>
  <c r="Y125" i="319"/>
  <c r="V36" i="1"/>
  <c r="X109" i="319"/>
  <c r="Y12" i="1"/>
  <c r="T66" i="1"/>
  <c r="S52" i="1"/>
  <c r="R66" i="307"/>
  <c r="E1605" i="230"/>
  <c r="E2645" i="230"/>
  <c r="E1900" i="230"/>
  <c r="T302" i="319"/>
  <c r="Y22" i="198"/>
  <c r="E2836" i="230"/>
  <c r="E1013" i="230"/>
  <c r="Z95" i="1"/>
  <c r="E1752" i="230"/>
  <c r="V290" i="319"/>
  <c r="V299" i="319"/>
  <c r="V53" i="1"/>
  <c r="Z138" i="1"/>
  <c r="T55" i="1"/>
  <c r="T56" i="1"/>
  <c r="E139" i="230"/>
  <c r="S72" i="307"/>
  <c r="Z76" i="1"/>
  <c r="S52" i="198"/>
  <c r="Q42" i="307"/>
  <c r="Y53" i="1"/>
  <c r="E795" i="230"/>
  <c r="AB63" i="1"/>
  <c r="T76" i="1"/>
  <c r="E3354" i="230"/>
  <c r="E2096" i="230"/>
  <c r="AB34" i="1"/>
  <c r="AD98" i="1"/>
  <c r="S95" i="1"/>
  <c r="I114" i="330"/>
  <c r="M115" i="330"/>
  <c r="T99" i="1"/>
  <c r="W11" i="198"/>
  <c r="S15" i="198"/>
  <c r="V15" i="198"/>
  <c r="V16" i="198"/>
  <c r="W16" i="198"/>
  <c r="Z45" i="1"/>
  <c r="Y16" i="198"/>
  <c r="U18" i="198"/>
  <c r="X18" i="198"/>
  <c r="Z18" i="198"/>
  <c r="Z81" i="198"/>
  <c r="R93" i="198"/>
  <c r="AB86" i="1"/>
  <c r="Z110" i="198"/>
  <c r="R58" i="198"/>
  <c r="W42" i="307"/>
  <c r="X329" i="319"/>
  <c r="AB329" i="319"/>
  <c r="J114" i="330"/>
  <c r="AA61" i="1"/>
  <c r="T67" i="1"/>
  <c r="E20" i="230"/>
  <c r="X106" i="307"/>
  <c r="E2229" i="230"/>
  <c r="Y59" i="1"/>
  <c r="R115" i="307"/>
  <c r="E3097" i="230"/>
  <c r="X138" i="1"/>
  <c r="AC299" i="319"/>
  <c r="E2307" i="230"/>
  <c r="E2667" i="230"/>
  <c r="E3310" i="230"/>
  <c r="AA126" i="319"/>
  <c r="Z302" i="319"/>
  <c r="M38" i="330"/>
  <c r="Q30" i="198"/>
  <c r="K312" i="319"/>
  <c r="W16" i="18"/>
  <c r="R12" i="330"/>
  <c r="E3269" i="230"/>
  <c r="S29" i="307"/>
  <c r="T59" i="1"/>
  <c r="W67" i="1"/>
  <c r="E82" i="230"/>
  <c r="E757" i="230"/>
  <c r="X72" i="307"/>
  <c r="E3377" i="230"/>
  <c r="Y87" i="198"/>
  <c r="Y123" i="319"/>
  <c r="E1812" i="230"/>
  <c r="E2537" i="230"/>
  <c r="E783" i="230"/>
  <c r="E949" i="230"/>
  <c r="E1138" i="230"/>
  <c r="E2650" i="230"/>
  <c r="AP98" i="1"/>
  <c r="I46" i="330"/>
  <c r="Y26" i="198"/>
  <c r="X312" i="319"/>
  <c r="M11" i="330"/>
  <c r="V320" i="319"/>
  <c r="W14" i="18"/>
  <c r="U73" i="1"/>
  <c r="U74" i="1"/>
  <c r="E2190" i="230"/>
  <c r="W92" i="1"/>
  <c r="W51" i="198"/>
  <c r="T60" i="198"/>
  <c r="Y71" i="307"/>
  <c r="V114" i="319"/>
  <c r="AB79" i="1"/>
  <c r="I41" i="330"/>
  <c r="R23" i="307"/>
  <c r="T16" i="1"/>
  <c r="J64" i="330"/>
  <c r="E1814" i="230"/>
  <c r="AA28" i="1"/>
  <c r="AA34" i="1"/>
  <c r="AA36" i="1"/>
  <c r="W32" i="198"/>
  <c r="Y311" i="319"/>
  <c r="Y41" i="1"/>
  <c r="P312" i="319"/>
  <c r="P333" i="319"/>
  <c r="X15" i="1"/>
  <c r="J62" i="330"/>
  <c r="U329" i="319"/>
  <c r="R11" i="330"/>
  <c r="J22" i="330"/>
  <c r="J72" i="330"/>
  <c r="R25" i="198"/>
  <c r="Q32" i="198"/>
  <c r="Z106" i="307"/>
  <c r="S172" i="307"/>
  <c r="E3177" i="230"/>
  <c r="E3271" i="230"/>
  <c r="E933" i="230"/>
  <c r="W74" i="307"/>
  <c r="E2098" i="230"/>
  <c r="E678" i="230"/>
  <c r="E3313" i="230"/>
  <c r="E2837" i="230"/>
  <c r="E3174" i="230"/>
  <c r="U302" i="319"/>
  <c r="E1880" i="230"/>
  <c r="Z26" i="198"/>
  <c r="X9" i="198"/>
  <c r="E2852" i="230"/>
  <c r="E3306" i="230"/>
  <c r="E2542" i="230"/>
  <c r="AA59" i="1"/>
  <c r="R106" i="307"/>
  <c r="W115" i="307"/>
  <c r="U172" i="307"/>
  <c r="Z125" i="319"/>
  <c r="E1014" i="230"/>
  <c r="E1037" i="230"/>
  <c r="E3091" i="230"/>
  <c r="K92" i="330"/>
  <c r="Y66" i="307"/>
  <c r="S63" i="18"/>
  <c r="X66" i="1"/>
  <c r="S66" i="307"/>
  <c r="E1009" i="230"/>
  <c r="Z162" i="307"/>
  <c r="X41" i="1"/>
  <c r="X73" i="1"/>
  <c r="Z25" i="1"/>
  <c r="E2272" i="230"/>
  <c r="E2648" i="230"/>
  <c r="S25" i="1"/>
  <c r="E3093" i="230"/>
  <c r="E3335" i="230"/>
  <c r="T72" i="307"/>
  <c r="AC125" i="319"/>
  <c r="U123" i="319"/>
  <c r="Y30" i="1"/>
  <c r="E1898" i="230"/>
  <c r="V76" i="1"/>
  <c r="W109" i="319"/>
  <c r="W110" i="319"/>
  <c r="V81" i="307"/>
  <c r="AB52" i="1"/>
  <c r="AB55" i="1"/>
  <c r="AQ98" i="1"/>
  <c r="AW98" i="1"/>
  <c r="BA98" i="1"/>
  <c r="W99" i="1"/>
  <c r="AQ100" i="1"/>
  <c r="AU100" i="1"/>
  <c r="AW100" i="1"/>
  <c r="AX100" i="1"/>
  <c r="AZ100" i="1"/>
  <c r="BB100" i="1"/>
  <c r="S101" i="1"/>
  <c r="T101" i="1"/>
  <c r="AB101" i="1"/>
  <c r="AB128" i="1"/>
  <c r="AB132" i="1"/>
  <c r="V149" i="1"/>
  <c r="E78" i="230"/>
  <c r="E144" i="230"/>
  <c r="E268" i="230"/>
  <c r="X22" i="1"/>
  <c r="E506" i="230"/>
  <c r="U41" i="1"/>
  <c r="E564" i="230"/>
  <c r="Y42" i="1"/>
  <c r="E2329" i="230"/>
  <c r="E2520" i="230"/>
  <c r="U81" i="307"/>
  <c r="V81" i="198"/>
  <c r="AP100" i="1"/>
  <c r="X148" i="1"/>
  <c r="AB31" i="1"/>
  <c r="E782" i="230"/>
  <c r="W15" i="1"/>
  <c r="E1274" i="230"/>
  <c r="AA22" i="1"/>
  <c r="E1316" i="230"/>
  <c r="Q106" i="1"/>
  <c r="U92" i="1"/>
  <c r="Q105" i="1"/>
  <c r="V126" i="319"/>
  <c r="N312" i="319"/>
  <c r="V327" i="319"/>
  <c r="E3374" i="230"/>
  <c r="AN98" i="1"/>
  <c r="X74" i="307"/>
  <c r="X12" i="1"/>
  <c r="Z59" i="1"/>
  <c r="X30" i="1"/>
  <c r="U66" i="1"/>
  <c r="E2185" i="230"/>
  <c r="Z60" i="198"/>
  <c r="E3183" i="230"/>
  <c r="E3090" i="230"/>
  <c r="E3284" i="230"/>
  <c r="E1578" i="230"/>
  <c r="T29" i="307"/>
  <c r="V22" i="1"/>
  <c r="J21" i="330"/>
  <c r="Z107" i="307"/>
  <c r="T47" i="198"/>
  <c r="Q59" i="198"/>
  <c r="T148" i="1"/>
  <c r="V32" i="198"/>
  <c r="E3033" i="230"/>
  <c r="E2326" i="230"/>
  <c r="E61" i="230"/>
  <c r="U72" i="307"/>
  <c r="U71" i="307"/>
  <c r="U70" i="307"/>
  <c r="U62" i="307"/>
  <c r="V50" i="1"/>
  <c r="E1363" i="230"/>
  <c r="E3381" i="230"/>
  <c r="U60" i="198"/>
  <c r="V72" i="307"/>
  <c r="V71" i="307"/>
  <c r="R81" i="307"/>
  <c r="T114" i="319"/>
  <c r="U34" i="1"/>
  <c r="K41" i="330"/>
  <c r="Z30" i="1"/>
  <c r="E1623" i="230"/>
  <c r="E1835" i="230"/>
  <c r="Y50" i="1"/>
  <c r="AA42" i="1"/>
  <c r="Z29" i="198"/>
  <c r="W30" i="198"/>
  <c r="T33" i="198"/>
  <c r="R23" i="198"/>
  <c r="V23" i="198"/>
  <c r="R66" i="198"/>
  <c r="T296" i="319"/>
  <c r="V105" i="1"/>
  <c r="T53" i="18"/>
  <c r="S61" i="1"/>
  <c r="S58" i="18"/>
  <c r="U61" i="1"/>
  <c r="U58" i="18"/>
  <c r="S7" i="198"/>
  <c r="V7" i="198"/>
  <c r="AA52" i="1"/>
  <c r="Z7" i="198"/>
  <c r="X8" i="198"/>
  <c r="S87" i="1"/>
  <c r="S76" i="1"/>
  <c r="S86" i="1"/>
  <c r="M108" i="330"/>
  <c r="U290" i="319"/>
  <c r="U299" i="319"/>
  <c r="U300" i="319"/>
  <c r="W55" i="1"/>
  <c r="AR98" i="1"/>
  <c r="W61" i="1"/>
  <c r="W62" i="1"/>
  <c r="V66" i="1"/>
  <c r="X125" i="319"/>
  <c r="U67" i="1"/>
  <c r="AA67" i="1"/>
  <c r="AS98" i="1"/>
  <c r="AJ100" i="1"/>
  <c r="AO100" i="1"/>
  <c r="T147" i="1"/>
  <c r="X150" i="1"/>
  <c r="E16" i="230"/>
  <c r="E79" i="230"/>
  <c r="E81" i="230"/>
  <c r="E118" i="230"/>
  <c r="U29" i="307"/>
  <c r="W63" i="1"/>
  <c r="E524" i="230"/>
  <c r="E2626" i="230"/>
  <c r="E2644" i="230"/>
  <c r="U23" i="307"/>
  <c r="W16" i="1"/>
  <c r="W17" i="1"/>
  <c r="S66" i="18"/>
  <c r="V67" i="307"/>
  <c r="Z67" i="307"/>
  <c r="U10" i="198"/>
  <c r="L24" i="330"/>
  <c r="L26" i="330"/>
  <c r="K32" i="330"/>
  <c r="L34" i="330"/>
  <c r="J37" i="330"/>
  <c r="M37" i="330"/>
  <c r="J40" i="330"/>
  <c r="I75" i="330"/>
  <c r="U30" i="1"/>
  <c r="K75" i="330"/>
  <c r="L81" i="330"/>
  <c r="M90" i="330"/>
  <c r="L92" i="330"/>
  <c r="I95" i="330"/>
  <c r="K95" i="330"/>
  <c r="M106" i="330"/>
  <c r="K114" i="330"/>
  <c r="AV98" i="1"/>
  <c r="R12" i="198"/>
  <c r="S14" i="198"/>
  <c r="Z14" i="198"/>
  <c r="W43" i="1"/>
  <c r="S92" i="198"/>
  <c r="X53" i="198"/>
  <c r="S58" i="198"/>
  <c r="T59" i="198"/>
  <c r="X23" i="307"/>
  <c r="J51" i="330"/>
  <c r="AC329" i="319"/>
  <c r="K104" i="330"/>
  <c r="T61" i="1"/>
  <c r="W147" i="1"/>
  <c r="E76" i="230"/>
  <c r="W127" i="307"/>
  <c r="Y61" i="1"/>
  <c r="Y62" i="1"/>
  <c r="E2649" i="230"/>
  <c r="W66" i="1"/>
  <c r="AB61" i="1"/>
  <c r="W29" i="307"/>
  <c r="AA53" i="1"/>
  <c r="E1452" i="230"/>
  <c r="E542" i="230"/>
  <c r="J33" i="330"/>
  <c r="V23" i="307"/>
  <c r="X16" i="1"/>
  <c r="E2138" i="230"/>
  <c r="V27" i="198"/>
  <c r="AB102" i="1"/>
  <c r="E2831" i="230"/>
  <c r="Y87" i="1"/>
  <c r="E3261" i="230"/>
  <c r="E3312" i="230"/>
  <c r="S162" i="307"/>
  <c r="Z290" i="319"/>
  <c r="E1831" i="230"/>
  <c r="T31" i="198"/>
  <c r="W37" i="198"/>
  <c r="W91" i="198"/>
  <c r="Q12" i="330"/>
  <c r="Q28" i="198"/>
  <c r="V37" i="198"/>
  <c r="E3248" i="230"/>
  <c r="Q38" i="198"/>
  <c r="U76" i="1"/>
  <c r="U86" i="1"/>
  <c r="M114" i="330"/>
  <c r="AN100" i="1"/>
  <c r="E570" i="230"/>
  <c r="E1327" i="230"/>
  <c r="T81" i="307"/>
  <c r="V89" i="198"/>
  <c r="Y302" i="319"/>
  <c r="E1840" i="230"/>
  <c r="W52" i="198"/>
  <c r="E733" i="230"/>
  <c r="E904" i="230"/>
  <c r="E930" i="230"/>
  <c r="E1312" i="230"/>
  <c r="V92" i="198"/>
  <c r="E3308" i="230"/>
  <c r="R51" i="198"/>
  <c r="I62" i="330"/>
  <c r="E1876" i="230"/>
  <c r="Y33" i="198"/>
  <c r="R92" i="198"/>
  <c r="S9" i="198"/>
  <c r="S26" i="198"/>
  <c r="E1541" i="230"/>
  <c r="T305" i="319"/>
  <c r="X25" i="198"/>
  <c r="U152" i="307"/>
  <c r="E2504" i="230"/>
  <c r="S51" i="198"/>
  <c r="Q6" i="198"/>
  <c r="S10" i="198"/>
  <c r="Q22" i="198"/>
  <c r="K22" i="330"/>
  <c r="T300" i="319"/>
  <c r="S17" i="307"/>
  <c r="R107" i="307"/>
  <c r="Y161" i="307"/>
  <c r="Z66" i="1"/>
  <c r="Y27" i="307"/>
  <c r="E1322" i="230"/>
  <c r="E3360" i="230"/>
  <c r="M98" i="330"/>
  <c r="S65" i="307"/>
  <c r="E2093" i="230"/>
  <c r="Z148" i="1"/>
  <c r="E543" i="230"/>
  <c r="AA337" i="319"/>
  <c r="X74" i="1"/>
  <c r="E1470" i="230"/>
  <c r="E2033" i="230"/>
  <c r="S60" i="198"/>
  <c r="S71" i="307"/>
  <c r="S70" i="307"/>
  <c r="S62" i="307"/>
  <c r="Y66" i="1"/>
  <c r="T280" i="319"/>
  <c r="X123" i="319"/>
  <c r="AC281" i="319"/>
  <c r="E1597" i="230"/>
  <c r="E1833" i="230"/>
  <c r="E1918" i="230"/>
  <c r="R68" i="307"/>
  <c r="W29" i="198"/>
  <c r="R32" i="198"/>
  <c r="W320" i="319"/>
  <c r="AC320" i="319"/>
  <c r="AC326" i="319"/>
  <c r="E1596" i="230"/>
  <c r="E121" i="230"/>
  <c r="E1053" i="230"/>
  <c r="E1428" i="230"/>
  <c r="S62" i="1"/>
  <c r="X24" i="198"/>
  <c r="U21" i="307"/>
  <c r="AB149" i="1"/>
  <c r="E1032" i="230"/>
  <c r="V308" i="319"/>
  <c r="F312" i="319"/>
  <c r="E3316" i="230"/>
  <c r="V60" i="198"/>
  <c r="U53" i="18"/>
  <c r="T312" i="319"/>
  <c r="R38" i="198"/>
  <c r="R46" i="198"/>
  <c r="Y46" i="198"/>
  <c r="AC109" i="319"/>
  <c r="U320" i="319"/>
  <c r="Q60" i="198"/>
  <c r="X17" i="1"/>
  <c r="Z23" i="1"/>
  <c r="AB23" i="1"/>
  <c r="W53" i="1"/>
  <c r="Z31" i="1"/>
  <c r="E1472" i="230"/>
  <c r="E2237" i="230"/>
  <c r="X71" i="307"/>
  <c r="AB53" i="1"/>
  <c r="E3078" i="230"/>
  <c r="E3092" i="230"/>
  <c r="E3286" i="230"/>
  <c r="X60" i="198"/>
  <c r="T66" i="307"/>
  <c r="Y44" i="1"/>
  <c r="Z114" i="319"/>
  <c r="R41" i="330"/>
  <c r="E1816" i="230"/>
  <c r="Z23" i="198"/>
  <c r="S70" i="18"/>
  <c r="L33" i="330"/>
  <c r="W56" i="1"/>
  <c r="R65" i="198"/>
  <c r="V152" i="307"/>
  <c r="M45" i="330"/>
  <c r="Q46" i="198"/>
  <c r="AC330" i="319"/>
  <c r="BB98" i="1"/>
  <c r="Y168" i="307"/>
  <c r="U110" i="198"/>
  <c r="U31" i="1"/>
  <c r="E1366" i="230"/>
  <c r="X91" i="198"/>
  <c r="W60" i="198"/>
  <c r="Z63" i="1"/>
  <c r="E2100" i="230"/>
  <c r="E1392" i="230"/>
  <c r="Y51" i="198"/>
  <c r="E1604" i="230"/>
  <c r="S47" i="198"/>
  <c r="X25" i="1"/>
  <c r="W22" i="198"/>
  <c r="AE98" i="1"/>
  <c r="AI100" i="1"/>
  <c r="AB147" i="1"/>
  <c r="W150" i="1"/>
  <c r="E142" i="230"/>
  <c r="V280" i="319"/>
  <c r="E1879" i="230"/>
  <c r="L26" i="3"/>
  <c r="U6" i="198"/>
  <c r="R9" i="198"/>
  <c r="I92" i="330"/>
  <c r="AF100" i="1"/>
  <c r="E761" i="230"/>
  <c r="Y67" i="307"/>
  <c r="V10" i="198"/>
  <c r="L80" i="330"/>
  <c r="W15" i="198"/>
  <c r="X52" i="198"/>
  <c r="J25" i="330"/>
  <c r="E3162" i="230"/>
  <c r="T26" i="198"/>
  <c r="E126" i="230"/>
  <c r="E2856" i="230"/>
  <c r="AB125" i="319"/>
  <c r="E1058" i="230"/>
  <c r="M33" i="330"/>
  <c r="V316" i="319"/>
  <c r="E3330" i="230"/>
  <c r="AC110" i="319"/>
  <c r="E3200" i="230"/>
  <c r="Z168" i="307"/>
  <c r="E2306" i="230"/>
  <c r="E1453" i="230"/>
  <c r="U168" i="307"/>
  <c r="E1326" i="230"/>
  <c r="J106" i="330"/>
  <c r="L78" i="330"/>
  <c r="I106" i="330"/>
  <c r="Y12" i="198"/>
  <c r="Q51" i="198"/>
  <c r="W53" i="198"/>
  <c r="I22" i="330"/>
  <c r="P336" i="319"/>
  <c r="E59" i="230"/>
  <c r="W90" i="198"/>
  <c r="V329" i="319"/>
  <c r="L22" i="330"/>
  <c r="I68" i="330"/>
  <c r="W23" i="307"/>
  <c r="T30" i="198"/>
  <c r="R127" i="307"/>
  <c r="R65" i="307"/>
  <c r="M100" i="330"/>
  <c r="E996" i="230"/>
  <c r="E3304" i="230"/>
  <c r="W152" i="307"/>
  <c r="E188" i="230"/>
  <c r="R5" i="198"/>
  <c r="Y172" i="307"/>
  <c r="E2859" i="230"/>
  <c r="U23" i="198"/>
  <c r="AC311" i="319"/>
  <c r="J26" i="330"/>
  <c r="AA109" i="319"/>
  <c r="AA92" i="1"/>
  <c r="I31" i="330"/>
  <c r="M71" i="198"/>
  <c r="Y131" i="1"/>
  <c r="E952" i="230"/>
  <c r="E1015" i="230"/>
  <c r="X56" i="1"/>
  <c r="E1075" i="230"/>
  <c r="E1296" i="230"/>
  <c r="E1325" i="230"/>
  <c r="U12" i="1"/>
  <c r="E2191" i="230"/>
  <c r="U59" i="1"/>
  <c r="E3096" i="230"/>
  <c r="E3305" i="230"/>
  <c r="W71" i="307"/>
  <c r="S110" i="198"/>
  <c r="E1837" i="230"/>
  <c r="AA55" i="1"/>
  <c r="Y49" i="198"/>
  <c r="E3175" i="230"/>
  <c r="E3353" i="230"/>
  <c r="E3357" i="230"/>
  <c r="E3379" i="230"/>
  <c r="U52" i="198"/>
  <c r="R24" i="198"/>
  <c r="U125" i="319"/>
  <c r="X296" i="319"/>
  <c r="T54" i="18"/>
  <c r="U7" i="198"/>
  <c r="L114" i="330"/>
  <c r="U49" i="198"/>
  <c r="K60" i="330"/>
  <c r="V87" i="198"/>
  <c r="Y89" i="198"/>
  <c r="T109" i="319"/>
  <c r="T279" i="319"/>
  <c r="T288" i="319"/>
  <c r="U314" i="319"/>
  <c r="AA290" i="319"/>
  <c r="AA299" i="319"/>
  <c r="AA308" i="319"/>
  <c r="AA316" i="319"/>
  <c r="AC308" i="319"/>
  <c r="AC318" i="319"/>
  <c r="Z320" i="319"/>
  <c r="C45" i="319"/>
  <c r="Z23" i="307"/>
  <c r="V30" i="1"/>
  <c r="U36" i="1"/>
  <c r="E56" i="230"/>
  <c r="E507" i="230"/>
  <c r="E1071" i="230"/>
  <c r="W44" i="1"/>
  <c r="X111" i="319"/>
  <c r="Y111" i="319"/>
  <c r="Z111" i="319"/>
  <c r="AA111" i="319"/>
  <c r="AA279" i="319"/>
  <c r="AA288" i="319"/>
  <c r="AA332" i="319"/>
  <c r="AA335" i="319"/>
  <c r="E1324" i="230"/>
  <c r="E1410" i="230"/>
  <c r="AA123" i="319"/>
  <c r="AA281" i="319"/>
  <c r="AH100" i="1"/>
  <c r="AL100" i="1"/>
  <c r="T131" i="1"/>
  <c r="U131" i="1"/>
  <c r="V131" i="1"/>
  <c r="E85" i="230"/>
  <c r="U312" i="319"/>
  <c r="W312" i="319"/>
  <c r="Z312" i="319"/>
  <c r="T38" i="198"/>
  <c r="T46" i="198"/>
  <c r="X46" i="198"/>
  <c r="R41" i="198"/>
  <c r="Y41" i="198"/>
  <c r="Y48" i="198"/>
  <c r="Z41" i="198"/>
  <c r="Z48" i="198"/>
  <c r="Y50" i="198"/>
  <c r="U38" i="198"/>
  <c r="U37" i="198"/>
  <c r="U109" i="319"/>
  <c r="AB290" i="319"/>
  <c r="AB299" i="319"/>
  <c r="T315" i="319"/>
  <c r="R53" i="307"/>
  <c r="Z92" i="198"/>
  <c r="I39" i="330"/>
  <c r="Q39" i="330"/>
  <c r="Q23" i="307"/>
  <c r="S16" i="1"/>
  <c r="T23" i="307"/>
  <c r="V16" i="1"/>
  <c r="Y23" i="307"/>
  <c r="AA16" i="1"/>
  <c r="X23" i="1"/>
  <c r="Y22" i="1"/>
  <c r="Y23" i="1"/>
  <c r="Y31" i="1"/>
  <c r="T36" i="1"/>
  <c r="Y36" i="1"/>
  <c r="U98" i="1"/>
  <c r="U101" i="1"/>
  <c r="U128" i="1"/>
  <c r="W101" i="1"/>
  <c r="W128" i="1"/>
  <c r="W132" i="1"/>
  <c r="E2521" i="230"/>
  <c r="U87" i="198"/>
  <c r="V99" i="1"/>
  <c r="E1293" i="230"/>
  <c r="W65" i="307"/>
  <c r="W64" i="307"/>
  <c r="AB25" i="1"/>
  <c r="T123" i="319"/>
  <c r="T281" i="319"/>
  <c r="E271" i="230"/>
  <c r="E547" i="230"/>
  <c r="E563" i="230"/>
  <c r="E672" i="230"/>
  <c r="E674" i="230"/>
  <c r="U25" i="1"/>
  <c r="E691" i="230"/>
  <c r="W34" i="1"/>
  <c r="U27" i="198"/>
  <c r="E2540" i="230"/>
  <c r="U24" i="198"/>
  <c r="R72" i="198"/>
  <c r="AC300" i="319"/>
  <c r="E739" i="230"/>
  <c r="E760" i="230"/>
  <c r="E945" i="230"/>
  <c r="U17" i="307"/>
  <c r="Z72" i="307"/>
  <c r="Z71" i="307"/>
  <c r="Z70" i="307"/>
  <c r="Z62" i="307"/>
  <c r="AA62" i="307"/>
  <c r="S67" i="307"/>
  <c r="S68" i="307"/>
  <c r="Q73" i="307"/>
  <c r="E738" i="230"/>
  <c r="S53" i="1"/>
  <c r="E762" i="230"/>
  <c r="E796" i="230"/>
  <c r="E799" i="230"/>
  <c r="E804" i="230"/>
  <c r="E908" i="230"/>
  <c r="E928" i="230"/>
  <c r="E931" i="230"/>
  <c r="E1017" i="230"/>
  <c r="E1029" i="230"/>
  <c r="E1034" i="230"/>
  <c r="E1141" i="230"/>
  <c r="E1313" i="230"/>
  <c r="E1536" i="230"/>
  <c r="E2099" i="230"/>
  <c r="E2298" i="230"/>
  <c r="R67" i="198"/>
  <c r="E2833" i="230"/>
  <c r="E2858" i="230"/>
  <c r="E3331" i="230"/>
  <c r="E3337" i="230"/>
  <c r="R21" i="307"/>
  <c r="V21" i="307"/>
  <c r="AB123" i="319"/>
  <c r="AB281" i="319"/>
  <c r="X290" i="319"/>
  <c r="E1579" i="230"/>
  <c r="E1602" i="230"/>
  <c r="E1877" i="230"/>
  <c r="W26" i="198"/>
  <c r="X23" i="198"/>
  <c r="AB150" i="1"/>
  <c r="Q5" i="198"/>
  <c r="X5" i="198"/>
  <c r="Z5" i="198"/>
  <c r="X6" i="198"/>
  <c r="Z8" i="198"/>
  <c r="T9" i="198"/>
  <c r="W9" i="198"/>
  <c r="W289" i="319"/>
  <c r="AA147" i="1"/>
  <c r="E21" i="230"/>
  <c r="Z56" i="1"/>
  <c r="E145" i="230"/>
  <c r="E671" i="230"/>
  <c r="Y24" i="198"/>
  <c r="V300" i="319"/>
  <c r="E953" i="230"/>
  <c r="Z152" i="307"/>
  <c r="W281" i="319"/>
  <c r="X10" i="198"/>
  <c r="J68" i="330"/>
  <c r="J80" i="330"/>
  <c r="J84" i="330"/>
  <c r="W14" i="198"/>
  <c r="U15" i="198"/>
  <c r="S18" i="198"/>
  <c r="T22" i="198"/>
  <c r="V51" i="198"/>
  <c r="R57" i="198"/>
  <c r="V57" i="198"/>
  <c r="V279" i="319"/>
  <c r="V288" i="319"/>
  <c r="I60" i="330"/>
  <c r="I20" i="330"/>
  <c r="L21" i="330"/>
  <c r="M21" i="330"/>
  <c r="M25" i="330"/>
  <c r="M68" i="330"/>
  <c r="Z9" i="198"/>
  <c r="E2874" i="230"/>
  <c r="E3179" i="230"/>
  <c r="E3332" i="230"/>
  <c r="Q21" i="307"/>
  <c r="X21" i="307"/>
  <c r="X172" i="307"/>
  <c r="U26" i="198"/>
  <c r="V25" i="198"/>
  <c r="AB111" i="319"/>
  <c r="AC111" i="319"/>
  <c r="AC100" i="1"/>
  <c r="E715" i="230"/>
  <c r="E927" i="230"/>
  <c r="E1012" i="230"/>
  <c r="V17" i="307"/>
  <c r="Z17" i="307"/>
  <c r="Y68" i="307"/>
  <c r="Q74" i="307"/>
  <c r="V115" i="307"/>
  <c r="Q25" i="198"/>
  <c r="AL98" i="1"/>
  <c r="Z42" i="1"/>
  <c r="Z50" i="1"/>
  <c r="E1367" i="230"/>
  <c r="E2080" i="230"/>
  <c r="E3317" i="230"/>
  <c r="AB302" i="319"/>
  <c r="AE100" i="1"/>
  <c r="T74" i="307"/>
  <c r="E3334" i="230"/>
  <c r="F318" i="319"/>
  <c r="S21" i="307"/>
  <c r="K51" i="330"/>
  <c r="E2284" i="230"/>
  <c r="U45" i="198"/>
  <c r="U46" i="198"/>
  <c r="Y76" i="1"/>
  <c r="W41" i="198"/>
  <c r="V326" i="319"/>
  <c r="I30" i="330"/>
  <c r="T12" i="1"/>
  <c r="T95" i="1"/>
  <c r="S23" i="307"/>
  <c r="E1448" i="230"/>
  <c r="E2252" i="230"/>
  <c r="Q29" i="198"/>
  <c r="E2669" i="230"/>
  <c r="E3241" i="230"/>
  <c r="Q66" i="307"/>
  <c r="T53" i="1"/>
  <c r="W93" i="198"/>
  <c r="AB58" i="1"/>
  <c r="AA15" i="1"/>
  <c r="R29" i="198"/>
  <c r="S64" i="18"/>
  <c r="J312" i="319"/>
  <c r="J333" i="319"/>
  <c r="J336" i="319"/>
  <c r="X92" i="1"/>
  <c r="Z41" i="1"/>
  <c r="E991" i="230"/>
  <c r="M20" i="330"/>
  <c r="L23" i="330"/>
  <c r="J38" i="330"/>
  <c r="U47" i="198"/>
  <c r="E2840" i="230"/>
  <c r="Y16" i="1"/>
  <c r="E675" i="230"/>
  <c r="E3182" i="230"/>
  <c r="E717" i="230"/>
  <c r="W73" i="307"/>
  <c r="E3309" i="230"/>
  <c r="E735" i="230"/>
  <c r="Z310" i="319"/>
  <c r="E2271" i="230"/>
  <c r="Z299" i="319"/>
  <c r="Z308" i="319"/>
  <c r="Z318" i="319"/>
  <c r="AA98" i="1"/>
  <c r="Y11" i="198"/>
  <c r="AA131" i="1"/>
  <c r="X279" i="319"/>
  <c r="E2134" i="230"/>
  <c r="E2621" i="230"/>
  <c r="V90" i="198"/>
  <c r="C5" i="1"/>
  <c r="E2114" i="230"/>
  <c r="I47" i="330"/>
  <c r="E677" i="230"/>
  <c r="E267" i="230"/>
  <c r="E1142" i="230"/>
  <c r="T41" i="198"/>
  <c r="E3180" i="230"/>
  <c r="J60" i="330"/>
  <c r="E1882" i="230"/>
  <c r="Z22" i="198"/>
  <c r="Z6" i="198"/>
  <c r="E2276" i="230"/>
  <c r="E2838" i="230"/>
  <c r="E3031" i="230"/>
  <c r="Z34" i="1"/>
  <c r="X27" i="198"/>
  <c r="E2543" i="230"/>
  <c r="E3178" i="230"/>
  <c r="Q71" i="307"/>
  <c r="Q70" i="307"/>
  <c r="Q62" i="307"/>
  <c r="X76" i="1"/>
  <c r="V41" i="198"/>
  <c r="V50" i="198"/>
  <c r="Z38" i="198"/>
  <c r="Z37" i="198"/>
  <c r="Z90" i="198"/>
  <c r="Z91" i="198"/>
  <c r="W280" i="319"/>
  <c r="R29" i="307"/>
  <c r="T63" i="1"/>
  <c r="U296" i="319"/>
  <c r="J42" i="330"/>
  <c r="M42" i="330"/>
  <c r="K62" i="330"/>
  <c r="U52" i="18"/>
  <c r="V5" i="198"/>
  <c r="S6" i="198"/>
  <c r="U55" i="1"/>
  <c r="S8" i="198"/>
  <c r="L25" i="330"/>
  <c r="K34" i="330"/>
  <c r="V56" i="1"/>
  <c r="L40" i="330"/>
  <c r="Y92" i="1"/>
  <c r="E3404" i="230"/>
  <c r="W21" i="307"/>
  <c r="B4" i="319"/>
  <c r="E2304" i="230"/>
  <c r="E1878" i="230"/>
  <c r="V26" i="198"/>
  <c r="E569" i="230"/>
  <c r="V312" i="319"/>
  <c r="AB312" i="319"/>
  <c r="L84" i="330"/>
  <c r="Y290" i="319"/>
  <c r="Y299" i="319"/>
  <c r="Y300" i="319"/>
  <c r="T15" i="198"/>
  <c r="S22" i="198"/>
  <c r="S49" i="198"/>
  <c r="S53" i="198"/>
  <c r="W57" i="198"/>
  <c r="U279" i="319"/>
  <c r="U288" i="319"/>
  <c r="V314" i="319"/>
  <c r="R9" i="330"/>
  <c r="K21" i="330"/>
  <c r="K30" i="330"/>
  <c r="V6" i="198"/>
  <c r="M40" i="330"/>
  <c r="U57" i="198"/>
  <c r="K116" i="330"/>
  <c r="Z21" i="307"/>
  <c r="AB308" i="319"/>
  <c r="U16" i="1"/>
  <c r="AA31" i="1"/>
  <c r="V98" i="1"/>
  <c r="AA101" i="1"/>
  <c r="AA128" i="1"/>
  <c r="Y106" i="307"/>
  <c r="E2860" i="230"/>
  <c r="U88" i="198"/>
  <c r="AA17" i="1"/>
  <c r="S59" i="1"/>
  <c r="W68" i="307"/>
  <c r="Y60" i="198"/>
  <c r="S81" i="307"/>
  <c r="E2309" i="230"/>
  <c r="E2646" i="230"/>
  <c r="T65" i="307"/>
  <c r="P337" i="319"/>
  <c r="E1904" i="230"/>
  <c r="Y73" i="307"/>
  <c r="E186" i="230"/>
  <c r="V325" i="319"/>
  <c r="T86" i="1"/>
  <c r="S12" i="198"/>
  <c r="Z47" i="198"/>
  <c r="E694" i="230"/>
  <c r="E716" i="230"/>
  <c r="AH98" i="1"/>
  <c r="AG100" i="1"/>
  <c r="AK100" i="1"/>
  <c r="AA148" i="1"/>
  <c r="E18" i="230"/>
  <c r="AB56" i="1"/>
  <c r="E673" i="230"/>
  <c r="X299" i="319"/>
  <c r="T57" i="18"/>
  <c r="Y5" i="198"/>
  <c r="U9" i="198"/>
  <c r="AF98" i="1"/>
  <c r="E566" i="230"/>
  <c r="E719" i="230"/>
  <c r="X73" i="307"/>
  <c r="M30" i="330"/>
  <c r="Z11" i="198"/>
  <c r="R15" i="198"/>
  <c r="V18" i="198"/>
  <c r="X51" i="198"/>
  <c r="S333" i="319"/>
  <c r="T57" i="198"/>
  <c r="J20" i="330"/>
  <c r="M84" i="330"/>
  <c r="E3406" i="230"/>
  <c r="S29" i="198"/>
  <c r="X152" i="307"/>
  <c r="E1405" i="230"/>
  <c r="E3402" i="230"/>
  <c r="E312" i="319"/>
  <c r="AI98" i="1"/>
  <c r="Z74" i="307"/>
  <c r="E2301" i="230"/>
  <c r="S318" i="319"/>
  <c r="E2253" i="230"/>
  <c r="W87" i="198"/>
  <c r="E2625" i="230"/>
  <c r="Z327" i="319"/>
  <c r="E1427" i="230"/>
  <c r="V101" i="1"/>
  <c r="V128" i="1"/>
  <c r="V138" i="1"/>
  <c r="E1314" i="230"/>
  <c r="Y45" i="198"/>
  <c r="X305" i="319"/>
  <c r="E1408" i="230"/>
  <c r="AB311" i="319"/>
  <c r="E1144" i="230"/>
  <c r="U325" i="319"/>
  <c r="E2280" i="230"/>
  <c r="W8" i="198"/>
  <c r="Y10" i="198"/>
  <c r="I72" i="330"/>
  <c r="R13" i="198"/>
  <c r="V104" i="1"/>
  <c r="E913" i="230"/>
  <c r="S13" i="198"/>
  <c r="Z36" i="1"/>
  <c r="X13" i="198"/>
  <c r="R22" i="198"/>
  <c r="Z58" i="198"/>
  <c r="X59" i="198"/>
  <c r="J53" i="330"/>
  <c r="R73" i="307"/>
  <c r="U311" i="319"/>
  <c r="M26" i="330"/>
  <c r="M34" i="330"/>
  <c r="M80" i="330"/>
  <c r="W88" i="198"/>
  <c r="W89" i="198"/>
  <c r="S38" i="198"/>
  <c r="S37" i="198"/>
  <c r="S90" i="198"/>
  <c r="S91" i="198"/>
  <c r="Z109" i="319"/>
  <c r="Z110" i="319"/>
  <c r="AA314" i="319"/>
  <c r="AC314" i="319"/>
  <c r="AC316" i="319"/>
  <c r="P318" i="319"/>
  <c r="Z325" i="319"/>
  <c r="Z330" i="319"/>
  <c r="AA333" i="319"/>
  <c r="T332" i="319"/>
  <c r="T335" i="319"/>
  <c r="U332" i="319"/>
  <c r="W332" i="319"/>
  <c r="W335" i="319"/>
  <c r="Y279" i="319"/>
  <c r="Y288" i="319"/>
  <c r="Y332" i="319"/>
  <c r="Z279" i="319"/>
  <c r="Z288" i="319"/>
  <c r="Z332" i="319"/>
  <c r="Z335" i="319"/>
  <c r="I312" i="319"/>
  <c r="I333" i="319"/>
  <c r="I336" i="319"/>
  <c r="Y308" i="319"/>
  <c r="Z333" i="319"/>
  <c r="Z336" i="319"/>
  <c r="Z337" i="319"/>
  <c r="R31" i="330"/>
  <c r="Z89" i="198"/>
  <c r="R71" i="307"/>
  <c r="R70" i="307"/>
  <c r="S67" i="18"/>
  <c r="L25" i="3"/>
  <c r="W41" i="1"/>
  <c r="S69" i="18"/>
  <c r="L28" i="3"/>
  <c r="U289" i="319"/>
  <c r="U56" i="1"/>
  <c r="Y305" i="319"/>
  <c r="Y289" i="319"/>
  <c r="V315" i="319"/>
  <c r="V318" i="319"/>
  <c r="W131" i="1"/>
  <c r="Z131" i="1"/>
  <c r="U147" i="1"/>
  <c r="U148" i="1"/>
  <c r="U149" i="1"/>
  <c r="U150" i="1"/>
  <c r="E119" i="230"/>
  <c r="E141" i="230"/>
  <c r="E521" i="230"/>
  <c r="S27" i="198"/>
  <c r="E2538" i="230"/>
  <c r="E2541" i="230"/>
  <c r="E2622" i="230"/>
  <c r="E2627" i="230"/>
  <c r="U66" i="307"/>
  <c r="U65" i="307"/>
  <c r="U64" i="307"/>
  <c r="X66" i="307"/>
  <c r="X65" i="307"/>
  <c r="X64" i="307"/>
  <c r="Q69" i="307"/>
  <c r="E929" i="230"/>
  <c r="E1051" i="230"/>
  <c r="E1073" i="230"/>
  <c r="E1266" i="230"/>
  <c r="E2300" i="230"/>
  <c r="E2303" i="230"/>
  <c r="S24" i="198"/>
  <c r="E3333" i="230"/>
  <c r="E3336" i="230"/>
  <c r="E1600" i="230"/>
  <c r="V22" i="198"/>
  <c r="X57" i="198"/>
  <c r="Y46" i="307"/>
  <c r="W67" i="307"/>
  <c r="Q68" i="307"/>
  <c r="W17" i="18"/>
  <c r="R81" i="198"/>
  <c r="S83" i="198"/>
  <c r="W290" i="319"/>
  <c r="W299" i="319"/>
  <c r="W308" i="319"/>
  <c r="W316" i="319"/>
  <c r="U308" i="319"/>
  <c r="U333" i="319"/>
  <c r="U336" i="319"/>
  <c r="S55" i="1"/>
  <c r="Q49" i="198"/>
  <c r="M74" i="198"/>
  <c r="E2214" i="230"/>
  <c r="X70" i="307"/>
  <c r="X62" i="307"/>
  <c r="V162" i="307"/>
  <c r="X22" i="198"/>
  <c r="T21" i="307"/>
  <c r="Q46" i="307"/>
  <c r="W46" i="307"/>
  <c r="X46" i="307"/>
  <c r="E1601" i="230"/>
  <c r="R26" i="198"/>
  <c r="Q312" i="319"/>
  <c r="Q333" i="319"/>
  <c r="Q336" i="319"/>
  <c r="Q337" i="319"/>
  <c r="R74" i="307"/>
  <c r="V74" i="307"/>
  <c r="Y74" i="307"/>
  <c r="S106" i="307"/>
  <c r="S107" i="307"/>
  <c r="U106" i="307"/>
  <c r="U107" i="307"/>
  <c r="W106" i="307"/>
  <c r="W107" i="307"/>
  <c r="Q115" i="307"/>
  <c r="Q127" i="307"/>
  <c r="T152" i="307"/>
  <c r="W172" i="307"/>
  <c r="Z172" i="307"/>
  <c r="AC312" i="319"/>
  <c r="T320" i="319"/>
  <c r="U89" i="198"/>
  <c r="I38" i="330"/>
  <c r="S56" i="1"/>
  <c r="I40" i="330"/>
  <c r="Q40" i="330"/>
  <c r="T31" i="1"/>
  <c r="E167" i="230"/>
  <c r="E737" i="230"/>
  <c r="E1534" i="230"/>
  <c r="E2881" i="230"/>
  <c r="E548" i="230"/>
  <c r="E612" i="230"/>
  <c r="Z49" i="198"/>
  <c r="Y57" i="198"/>
  <c r="W314" i="319"/>
  <c r="Q11" i="330"/>
  <c r="E1899" i="230"/>
  <c r="AC305" i="319"/>
  <c r="Z280" i="319"/>
  <c r="E1917" i="230"/>
  <c r="Y312" i="319"/>
  <c r="E2273" i="230"/>
  <c r="T30" i="1"/>
  <c r="E270" i="230"/>
  <c r="Z53" i="1"/>
  <c r="E1010" i="230"/>
  <c r="W48" i="198"/>
  <c r="T17" i="1"/>
  <c r="U138" i="1"/>
  <c r="T150" i="1"/>
  <c r="E1365" i="230"/>
  <c r="E1810" i="230"/>
  <c r="E912" i="230"/>
  <c r="U62" i="1"/>
  <c r="V12" i="1"/>
  <c r="U32" i="198"/>
  <c r="E2302" i="230"/>
  <c r="Z52" i="198"/>
  <c r="E714" i="230"/>
  <c r="I116" i="330"/>
  <c r="AK98" i="1"/>
  <c r="X131" i="1"/>
  <c r="AA149" i="1"/>
  <c r="E80" i="230"/>
  <c r="E568" i="230"/>
  <c r="E711" i="230"/>
  <c r="E1599" i="230"/>
  <c r="V29" i="198"/>
  <c r="W5" i="198"/>
  <c r="X7" i="198"/>
  <c r="V172" i="307"/>
  <c r="AB148" i="1"/>
  <c r="E713" i="230"/>
  <c r="E926" i="230"/>
  <c r="AA125" i="319"/>
  <c r="L68" i="330"/>
  <c r="X14" i="198"/>
  <c r="X47" i="198"/>
  <c r="S336" i="319"/>
  <c r="Z53" i="198"/>
  <c r="L62" i="330"/>
  <c r="L30" i="330"/>
  <c r="T81" i="198"/>
  <c r="Y53" i="307"/>
  <c r="AB279" i="319"/>
  <c r="AC279" i="319"/>
  <c r="Z73" i="307"/>
  <c r="M69" i="198"/>
  <c r="AA300" i="319"/>
  <c r="T73" i="307"/>
  <c r="E1445" i="230"/>
  <c r="X81" i="198"/>
  <c r="K318" i="319"/>
  <c r="E1406" i="230"/>
  <c r="W148" i="1"/>
  <c r="AB310" i="319"/>
  <c r="S33" i="198"/>
  <c r="W315" i="319"/>
  <c r="E1035" i="230"/>
  <c r="Z289" i="319"/>
  <c r="E1920" i="230"/>
  <c r="L29" i="330"/>
  <c r="AC288" i="319"/>
  <c r="AC289" i="319"/>
  <c r="K40" i="330"/>
  <c r="E2523" i="230"/>
  <c r="T6" i="198"/>
  <c r="Q23" i="198"/>
  <c r="T10" i="198"/>
  <c r="L32" i="330"/>
  <c r="I90" i="330"/>
  <c r="X11" i="198"/>
  <c r="E1454" i="230"/>
  <c r="E2877" i="230"/>
  <c r="W13" i="198"/>
  <c r="Q18" i="198"/>
  <c r="Z51" i="198"/>
  <c r="Q92" i="198"/>
  <c r="Y92" i="198"/>
  <c r="T58" i="198"/>
  <c r="E1883" i="230"/>
  <c r="J45" i="330"/>
  <c r="R10" i="330"/>
  <c r="J83" i="330"/>
  <c r="Z314" i="319"/>
  <c r="M77" i="198"/>
  <c r="E2853" i="230"/>
  <c r="S54" i="18"/>
  <c r="Q8" i="198"/>
  <c r="I26" i="330"/>
  <c r="K72" i="330"/>
  <c r="Q10" i="330"/>
  <c r="E1050" i="230"/>
  <c r="E1269" i="230"/>
  <c r="Z65" i="307"/>
  <c r="Y169" i="307"/>
  <c r="Y25" i="1"/>
  <c r="X114" i="319"/>
  <c r="X315" i="319"/>
  <c r="T115" i="307"/>
  <c r="E2234" i="230"/>
  <c r="E169" i="230"/>
  <c r="AA327" i="319"/>
  <c r="V333" i="319"/>
  <c r="I29" i="330"/>
  <c r="E1407" i="230"/>
  <c r="E1535" i="230"/>
  <c r="V113" i="1"/>
  <c r="V147" i="1"/>
  <c r="E22" i="230"/>
  <c r="X127" i="307"/>
  <c r="S27" i="307"/>
  <c r="E1054" i="230"/>
  <c r="U41" i="198"/>
  <c r="W50" i="198"/>
  <c r="Z316" i="319"/>
  <c r="Y320" i="319"/>
  <c r="R13" i="330"/>
  <c r="Q30" i="330"/>
  <c r="T37" i="198"/>
  <c r="T88" i="198"/>
  <c r="V53" i="307"/>
  <c r="S15" i="1"/>
  <c r="Q38" i="330"/>
  <c r="U17" i="1"/>
  <c r="Y17" i="1"/>
  <c r="U22" i="1"/>
  <c r="W30" i="1"/>
  <c r="AA30" i="1"/>
  <c r="X36" i="1"/>
  <c r="AB36" i="1"/>
  <c r="S128" i="1"/>
  <c r="Z132" i="1"/>
  <c r="AA132" i="1"/>
  <c r="V132" i="1"/>
  <c r="V148" i="1"/>
  <c r="X81" i="307"/>
  <c r="E740" i="230"/>
  <c r="Z15" i="1"/>
  <c r="E992" i="230"/>
  <c r="E1092" i="230"/>
  <c r="E2664" i="230"/>
  <c r="E1813" i="230"/>
  <c r="Q41" i="198"/>
  <c r="R48" i="198"/>
  <c r="S41" i="198"/>
  <c r="S50" i="198"/>
  <c r="T326" i="319"/>
  <c r="AB320" i="319"/>
  <c r="M12" i="330"/>
  <c r="T22" i="1"/>
  <c r="U23" i="1"/>
  <c r="V23" i="1"/>
  <c r="W22" i="1"/>
  <c r="AB131" i="1"/>
  <c r="AA138" i="1"/>
  <c r="AB139" i="1"/>
  <c r="V70" i="307"/>
  <c r="V62" i="307"/>
  <c r="T125" i="319"/>
  <c r="AR100" i="1"/>
  <c r="Z61" i="1"/>
  <c r="I34" i="330"/>
  <c r="E3228" i="230"/>
  <c r="V65" i="307"/>
  <c r="Z281" i="319"/>
  <c r="M53" i="330"/>
  <c r="Q31" i="198"/>
  <c r="E2327" i="230"/>
  <c r="AZ98" i="1"/>
  <c r="E798" i="230"/>
  <c r="E1033" i="230"/>
  <c r="E1101" i="230"/>
  <c r="E1319" i="230"/>
  <c r="AA95" i="1"/>
  <c r="E2873" i="230"/>
  <c r="AA63" i="1"/>
  <c r="E1832" i="230"/>
  <c r="X41" i="198"/>
  <c r="X48" i="198"/>
  <c r="E2854" i="230"/>
  <c r="E3243" i="230"/>
  <c r="Q65" i="307"/>
  <c r="T64" i="307"/>
  <c r="S66" i="1"/>
  <c r="AB114" i="319"/>
  <c r="E1748" i="230"/>
  <c r="Z92" i="1"/>
  <c r="U15" i="1"/>
  <c r="Q13" i="330"/>
  <c r="M47" i="330"/>
  <c r="AB333" i="319"/>
  <c r="AB336" i="319"/>
  <c r="X31" i="198"/>
  <c r="I45" i="330"/>
  <c r="Q50" i="198"/>
  <c r="E1581" i="230"/>
  <c r="E58" i="230"/>
  <c r="T50" i="198"/>
  <c r="W49" i="198"/>
  <c r="X26" i="198"/>
  <c r="R11" i="198"/>
  <c r="T14" i="198"/>
  <c r="Y47" i="198"/>
  <c r="X49" i="198"/>
  <c r="X86" i="1"/>
  <c r="V110" i="198"/>
  <c r="C4" i="319"/>
  <c r="Z311" i="319"/>
  <c r="E6" i="330"/>
  <c r="S127" i="307"/>
  <c r="R33" i="330"/>
  <c r="J46" i="330"/>
  <c r="K81" i="330"/>
  <c r="R68" i="198"/>
  <c r="X147" i="1"/>
  <c r="Q34" i="330"/>
  <c r="E3244" i="230"/>
  <c r="E1621" i="230"/>
  <c r="S23" i="198"/>
  <c r="E1052" i="230"/>
  <c r="U8" i="198"/>
  <c r="J34" i="330"/>
  <c r="AA110" i="319"/>
  <c r="E2139" i="230"/>
  <c r="E2876" i="230"/>
  <c r="AC114" i="319"/>
  <c r="AC280" i="319"/>
  <c r="M41" i="330"/>
  <c r="S32" i="198"/>
  <c r="T23" i="198"/>
  <c r="M23" i="330"/>
  <c r="M39" i="330"/>
  <c r="E3196" i="230"/>
  <c r="E1901" i="230"/>
  <c r="U73" i="307"/>
  <c r="E274" i="230"/>
  <c r="E1290" i="230"/>
  <c r="U327" i="319"/>
  <c r="E2325" i="230"/>
  <c r="E1451" i="230"/>
  <c r="E2117" i="230"/>
  <c r="J67" i="330"/>
  <c r="U330" i="319"/>
  <c r="E1473" i="230"/>
  <c r="V28" i="198"/>
  <c r="E781" i="230"/>
  <c r="E165" i="230"/>
  <c r="E1471" i="230"/>
  <c r="AB326" i="319"/>
  <c r="C74" i="319"/>
  <c r="E527" i="230"/>
  <c r="V168" i="307"/>
  <c r="E545" i="230"/>
  <c r="R168" i="307"/>
  <c r="R71" i="198"/>
  <c r="E951" i="230"/>
  <c r="E1311" i="230"/>
  <c r="Q168" i="307"/>
  <c r="M81" i="330"/>
  <c r="E3289" i="230"/>
  <c r="U30" i="198"/>
  <c r="T53" i="307"/>
  <c r="U12" i="198"/>
  <c r="AA50" i="1"/>
  <c r="E613" i="230"/>
  <c r="E2519" i="230"/>
  <c r="V46" i="198"/>
  <c r="V64" i="307"/>
  <c r="T168" i="307"/>
  <c r="E1368" i="230"/>
  <c r="E1080" i="230"/>
  <c r="V150" i="1"/>
  <c r="E62" i="230"/>
  <c r="E120" i="230"/>
  <c r="E160" i="230"/>
  <c r="E164" i="230"/>
  <c r="E182" i="230"/>
  <c r="E185" i="230"/>
  <c r="E187" i="230"/>
  <c r="E189" i="230"/>
  <c r="E265" i="230"/>
  <c r="E272" i="230"/>
  <c r="E500" i="230"/>
  <c r="E503" i="230"/>
  <c r="E529" i="230"/>
  <c r="E544" i="230"/>
  <c r="E571" i="230"/>
  <c r="E610" i="230"/>
  <c r="E614" i="230"/>
  <c r="E690" i="230"/>
  <c r="AA25" i="1"/>
  <c r="E697" i="230"/>
  <c r="E698" i="230"/>
  <c r="E2518" i="230"/>
  <c r="Q162" i="307"/>
  <c r="W23" i="198"/>
  <c r="T49" i="198"/>
  <c r="R37" i="198"/>
  <c r="R91" i="198"/>
  <c r="L115" i="330"/>
  <c r="AB99" i="1"/>
  <c r="Y81" i="198"/>
  <c r="Z83" i="198"/>
  <c r="AO98" i="1"/>
  <c r="E77" i="230"/>
  <c r="E84" i="230"/>
  <c r="E2642" i="230"/>
  <c r="E1011" i="230"/>
  <c r="E732" i="230"/>
  <c r="E754" i="230"/>
  <c r="E756" i="230"/>
  <c r="E779" i="230"/>
  <c r="E780" i="230"/>
  <c r="E797" i="230"/>
  <c r="E801" i="230"/>
  <c r="E803" i="230"/>
  <c r="E910" i="230"/>
  <c r="E932" i="230"/>
  <c r="E948" i="230"/>
  <c r="E988" i="230"/>
  <c r="E1036" i="230"/>
  <c r="E1056" i="230"/>
  <c r="E1093" i="230"/>
  <c r="E1096" i="230"/>
  <c r="E1100" i="230"/>
  <c r="E1135" i="230"/>
  <c r="V63" i="1"/>
  <c r="E1268" i="230"/>
  <c r="E1275" i="230"/>
  <c r="E1291" i="230"/>
  <c r="E1308" i="230"/>
  <c r="E1321" i="230"/>
  <c r="E1538" i="230"/>
  <c r="E2094" i="230"/>
  <c r="E2255" i="230"/>
  <c r="E2328" i="230"/>
  <c r="Q81" i="307"/>
  <c r="AJ98" i="1"/>
  <c r="E3098" i="230"/>
  <c r="E3359" i="230"/>
  <c r="E3376" i="230"/>
  <c r="Z53" i="307"/>
  <c r="AX98" i="1"/>
  <c r="T311" i="319"/>
  <c r="E1618" i="230"/>
  <c r="E1754" i="230"/>
  <c r="E1839" i="230"/>
  <c r="E1902" i="230"/>
  <c r="T337" i="319"/>
  <c r="V337" i="319"/>
  <c r="Q152" i="307"/>
  <c r="S132" i="1"/>
  <c r="Z139" i="1"/>
  <c r="E161" i="230"/>
  <c r="W36" i="1"/>
  <c r="E163" i="230"/>
  <c r="E168" i="230"/>
  <c r="E184" i="230"/>
  <c r="E501" i="230"/>
  <c r="E606" i="230"/>
  <c r="E696" i="230"/>
  <c r="W25" i="198"/>
  <c r="E123" i="230"/>
  <c r="E774" i="230"/>
  <c r="E911" i="230"/>
  <c r="E987" i="230"/>
  <c r="E1016" i="230"/>
  <c r="E1098" i="230"/>
  <c r="E1140" i="230"/>
  <c r="E1289" i="230"/>
  <c r="E2122" i="230"/>
  <c r="E2275" i="230"/>
  <c r="T27" i="198"/>
  <c r="Q45" i="198"/>
  <c r="E2879" i="230"/>
  <c r="E3176" i="230"/>
  <c r="E3204" i="230"/>
  <c r="U53" i="307"/>
  <c r="W302" i="319"/>
  <c r="L64" i="330"/>
  <c r="X28" i="198"/>
  <c r="Y30" i="198"/>
  <c r="U31" i="198"/>
  <c r="V33" i="198"/>
  <c r="Z33" i="198"/>
  <c r="V310" i="319"/>
  <c r="T5" i="198"/>
  <c r="S31" i="198"/>
  <c r="X32" i="198"/>
  <c r="X33" i="198"/>
  <c r="T25" i="198"/>
  <c r="S55" i="18"/>
  <c r="U5" i="198"/>
  <c r="W6" i="198"/>
  <c r="Y6" i="198"/>
  <c r="Q9" i="198"/>
  <c r="R10" i="198"/>
  <c r="J90" i="330"/>
  <c r="M104" i="330"/>
  <c r="Y148" i="1"/>
  <c r="W70" i="307"/>
  <c r="W62" i="307"/>
  <c r="W10" i="198"/>
  <c r="Z10" i="198"/>
  <c r="J29" i="330"/>
  <c r="L31" i="330"/>
  <c r="L38" i="330"/>
  <c r="M67" i="330"/>
  <c r="L72" i="330"/>
  <c r="I78" i="330"/>
  <c r="T12" i="198"/>
  <c r="X12" i="198"/>
  <c r="Z12" i="198"/>
  <c r="V13" i="198"/>
  <c r="Y13" i="198"/>
  <c r="V14" i="198"/>
  <c r="R64" i="198"/>
  <c r="W92" i="198"/>
  <c r="Q58" i="198"/>
  <c r="W305" i="319"/>
  <c r="Q41" i="330"/>
  <c r="M64" i="330"/>
  <c r="M75" i="330"/>
  <c r="R88" i="198"/>
  <c r="Q52" i="198"/>
  <c r="K100" i="330"/>
  <c r="T92" i="198"/>
  <c r="Y152" i="307"/>
  <c r="E1055" i="230"/>
  <c r="E3216" i="230"/>
  <c r="U74" i="307"/>
  <c r="AB300" i="319"/>
  <c r="L106" i="330"/>
  <c r="S138" i="1"/>
  <c r="E3227" i="230"/>
  <c r="AA23" i="1"/>
  <c r="Z147" i="1"/>
  <c r="E925" i="230"/>
  <c r="AC332" i="319"/>
  <c r="Q33" i="330"/>
  <c r="AB337" i="319"/>
  <c r="E906" i="230"/>
  <c r="V88" i="198"/>
  <c r="E565" i="230"/>
  <c r="Y326" i="319"/>
  <c r="Z44" i="1"/>
  <c r="X93" i="198"/>
  <c r="K78" i="330"/>
  <c r="U305" i="319"/>
  <c r="E2322" i="230"/>
  <c r="U53" i="198"/>
  <c r="K64" i="330"/>
  <c r="E1563" i="230"/>
  <c r="R34" i="330"/>
  <c r="U110" i="319"/>
  <c r="X168" i="307"/>
  <c r="V45" i="198"/>
  <c r="Y315" i="319"/>
  <c r="T1" i="239"/>
  <c r="E2662" i="230"/>
  <c r="E64" i="230"/>
  <c r="E1099" i="230"/>
  <c r="E3219" i="230"/>
  <c r="W24" i="198"/>
  <c r="E1598" i="230"/>
  <c r="E2095" i="230"/>
  <c r="E2522" i="230"/>
  <c r="E2857" i="230"/>
  <c r="R6" i="198"/>
  <c r="Q10" i="198"/>
  <c r="I100" i="330"/>
  <c r="Y149" i="1"/>
  <c r="Y150" i="1"/>
  <c r="J30" i="330"/>
  <c r="L39" i="330"/>
  <c r="L75" i="330"/>
  <c r="K83" i="330"/>
  <c r="J100" i="330"/>
  <c r="J108" i="330"/>
  <c r="Q12" i="198"/>
  <c r="X288" i="319"/>
  <c r="X332" i="319"/>
  <c r="X335" i="319"/>
  <c r="Y333" i="319"/>
  <c r="E1533" i="230"/>
  <c r="E2170" i="230"/>
  <c r="E2297" i="230"/>
  <c r="E3287" i="230"/>
  <c r="E1288" i="230"/>
  <c r="E1412" i="230"/>
  <c r="E1924" i="230"/>
  <c r="E2135" i="230"/>
  <c r="E2231" i="230"/>
  <c r="E2324" i="230"/>
  <c r="E2524" i="230"/>
  <c r="Y25" i="198"/>
  <c r="E3094" i="230"/>
  <c r="E3202" i="230"/>
  <c r="E3311" i="230"/>
  <c r="E3399" i="230"/>
  <c r="T90" i="198"/>
  <c r="U93" i="198"/>
  <c r="L60" i="330"/>
  <c r="E1736" i="230"/>
  <c r="E1819" i="230"/>
  <c r="E1895" i="230"/>
  <c r="T29" i="198"/>
  <c r="U337" i="319"/>
  <c r="X320" i="319"/>
  <c r="Y337" i="319"/>
  <c r="W138" i="1"/>
  <c r="S139" i="1"/>
  <c r="E60" i="230"/>
  <c r="E166" i="230"/>
  <c r="E181" i="230"/>
  <c r="E273" i="230"/>
  <c r="E546" i="230"/>
  <c r="E692" i="230"/>
  <c r="E699" i="230"/>
  <c r="U91" i="198"/>
  <c r="E990" i="230"/>
  <c r="E2623" i="230"/>
  <c r="E1862" i="230"/>
  <c r="E3361" i="230"/>
  <c r="AB59" i="1"/>
  <c r="AA302" i="319"/>
  <c r="E1603" i="230"/>
  <c r="E1750" i="230"/>
  <c r="Z27" i="198"/>
  <c r="Z30" i="198"/>
  <c r="Y32" i="198"/>
  <c r="W33" i="198"/>
  <c r="R42" i="18"/>
  <c r="L333" i="319"/>
  <c r="L336" i="319"/>
  <c r="L337" i="319"/>
  <c r="X45" i="198"/>
  <c r="U50" i="198"/>
  <c r="W333" i="319"/>
  <c r="W336" i="319"/>
  <c r="I37" i="330"/>
  <c r="Q37" i="330"/>
  <c r="Q172" i="307"/>
  <c r="E2137" i="230"/>
  <c r="E3218" i="230"/>
  <c r="E3226" i="230"/>
  <c r="E1620" i="230"/>
  <c r="R28" i="198"/>
  <c r="Z31" i="198"/>
  <c r="E712" i="230"/>
  <c r="U55" i="18"/>
  <c r="E2032" i="230"/>
  <c r="I51" i="330"/>
  <c r="S53" i="18"/>
  <c r="R172" i="307"/>
  <c r="V9" i="198"/>
  <c r="E127" i="230"/>
  <c r="E741" i="230"/>
  <c r="E2238" i="230"/>
  <c r="S52" i="18"/>
  <c r="Y9" i="198"/>
  <c r="S25" i="198"/>
  <c r="T172" i="307"/>
  <c r="V73" i="307"/>
  <c r="S81" i="198"/>
  <c r="E2668" i="230"/>
  <c r="Y65" i="307"/>
  <c r="E1079" i="230"/>
  <c r="E1449" i="230"/>
  <c r="AB138" i="1"/>
  <c r="T128" i="1"/>
  <c r="T132" i="1"/>
  <c r="T139" i="1"/>
  <c r="Z149" i="1"/>
  <c r="E183" i="230"/>
  <c r="V336" i="319"/>
  <c r="I13" i="330"/>
  <c r="E1323" i="230"/>
  <c r="E1404" i="230"/>
  <c r="E1450" i="230"/>
  <c r="E1474" i="230"/>
  <c r="E2168" i="230"/>
  <c r="E2186" i="230"/>
  <c r="E2517" i="230"/>
  <c r="T169" i="307"/>
  <c r="Z50" i="198"/>
  <c r="Z88" i="198"/>
  <c r="E3220" i="230"/>
  <c r="R40" i="330"/>
  <c r="E3288" i="230"/>
  <c r="I9" i="330"/>
  <c r="E1320" i="230"/>
  <c r="E2120" i="230"/>
  <c r="Y27" i="198"/>
  <c r="W296" i="319"/>
  <c r="E1919" i="230"/>
  <c r="R64" i="307"/>
  <c r="Y107" i="307"/>
  <c r="E1094" i="230"/>
  <c r="T110" i="319"/>
  <c r="R90" i="198"/>
  <c r="R89" i="198"/>
  <c r="I64" i="330"/>
  <c r="U326" i="319"/>
  <c r="E528" i="230"/>
  <c r="U14" i="198"/>
  <c r="Q318" i="319"/>
  <c r="R70" i="198"/>
  <c r="R46" i="307"/>
  <c r="Y318" i="319"/>
  <c r="U83" i="198"/>
  <c r="X68" i="307"/>
  <c r="Q67" i="307"/>
  <c r="Q61" i="307"/>
  <c r="V139" i="1"/>
  <c r="W23" i="1"/>
  <c r="Q29" i="330"/>
  <c r="E1923" i="230"/>
  <c r="M83" i="330"/>
  <c r="AB16" i="1"/>
  <c r="R333" i="319"/>
  <c r="R30" i="198"/>
  <c r="L22" i="3"/>
  <c r="AA86" i="1"/>
  <c r="E3247" i="230"/>
  <c r="E3266" i="230"/>
  <c r="E3400" i="230"/>
  <c r="E3401" i="230"/>
  <c r="Q27" i="307"/>
  <c r="V281" i="319"/>
  <c r="Y296" i="319"/>
  <c r="X311" i="319"/>
  <c r="I67" i="330"/>
  <c r="R67" i="307"/>
  <c r="V68" i="307"/>
  <c r="Q24" i="198"/>
  <c r="M68" i="198"/>
  <c r="S87" i="198"/>
  <c r="AC315" i="319"/>
  <c r="AA325" i="319"/>
  <c r="W327" i="319"/>
  <c r="M67" i="198"/>
  <c r="X318" i="319"/>
  <c r="E509" i="230"/>
  <c r="Y64" i="307"/>
  <c r="Y281" i="319"/>
  <c r="AB288" i="319"/>
  <c r="AB332" i="319"/>
  <c r="AB335" i="319"/>
  <c r="E1409" i="230"/>
  <c r="E2165" i="230"/>
  <c r="E2183" i="230"/>
  <c r="M72" i="198"/>
  <c r="W27" i="307"/>
  <c r="X280" i="319"/>
  <c r="X281" i="319"/>
  <c r="Y90" i="198"/>
  <c r="Y109" i="319"/>
  <c r="Y110" i="319"/>
  <c r="AA318" i="319"/>
  <c r="W326" i="319"/>
  <c r="AC327" i="319"/>
  <c r="U46" i="307"/>
  <c r="E1276" i="230"/>
  <c r="Z64" i="307"/>
  <c r="Y330" i="319"/>
  <c r="S23" i="1"/>
  <c r="W337" i="319"/>
  <c r="T71" i="307"/>
  <c r="T70" i="307"/>
  <c r="T62" i="307"/>
  <c r="W325" i="319"/>
  <c r="U316" i="319"/>
  <c r="T68" i="307"/>
  <c r="S161" i="307"/>
  <c r="V169" i="307"/>
  <c r="T27" i="307"/>
  <c r="U27" i="307"/>
  <c r="T83" i="198"/>
  <c r="Q161" i="307"/>
  <c r="U161" i="307"/>
  <c r="V161" i="307"/>
  <c r="Q169" i="307"/>
  <c r="U169" i="307"/>
  <c r="T67" i="307"/>
  <c r="W169" i="307"/>
  <c r="R27" i="307"/>
  <c r="X27" i="307"/>
  <c r="T161" i="307"/>
  <c r="S169" i="307"/>
  <c r="X169" i="307"/>
  <c r="AA56" i="1"/>
  <c r="E146" i="230"/>
  <c r="R169" i="307"/>
  <c r="V27" i="307"/>
  <c r="W161" i="307"/>
  <c r="Z161" i="307"/>
  <c r="X161" i="307"/>
  <c r="R161" i="307"/>
  <c r="E4" i="18"/>
  <c r="W46" i="198"/>
  <c r="E695" i="230"/>
  <c r="E1921" i="230"/>
  <c r="X337" i="319"/>
  <c r="Z27" i="307"/>
  <c r="Z169" i="307"/>
  <c r="W45" i="198"/>
  <c r="E1874" i="230"/>
  <c r="M22" i="330"/>
  <c r="K23" i="330"/>
  <c r="W12" i="1"/>
  <c r="J32" i="330"/>
  <c r="K39" i="330"/>
  <c r="K80" i="330"/>
  <c r="R8" i="198"/>
  <c r="V53" i="198"/>
  <c r="X87" i="198"/>
  <c r="Y91" i="198"/>
  <c r="X308" i="319"/>
  <c r="H318" i="319"/>
  <c r="AA326" i="319"/>
  <c r="K333" i="319"/>
  <c r="K336" i="319"/>
  <c r="AC337" i="319"/>
  <c r="W18" i="18"/>
  <c r="E3307" i="230"/>
  <c r="Q37" i="198"/>
  <c r="K108" i="330"/>
  <c r="Q64" i="307"/>
  <c r="U114" i="319"/>
  <c r="M51" i="330"/>
  <c r="E1838" i="230"/>
  <c r="Y280" i="319"/>
  <c r="E993" i="230"/>
  <c r="I23" i="330"/>
  <c r="AB315" i="319"/>
  <c r="S152" i="307"/>
  <c r="U132" i="1"/>
  <c r="L90" i="330"/>
  <c r="E2141" i="230"/>
  <c r="E3260" i="230"/>
  <c r="U90" i="198"/>
  <c r="E2323" i="230"/>
  <c r="T13" i="198"/>
  <c r="V47" i="198"/>
  <c r="T52" i="198"/>
  <c r="R110" i="198"/>
  <c r="V58" i="198"/>
  <c r="Y310" i="319"/>
  <c r="L47" i="330"/>
  <c r="W330" i="319"/>
  <c r="E2861" i="230"/>
  <c r="E3240" i="230"/>
  <c r="E1622" i="230"/>
  <c r="Z87" i="198"/>
  <c r="M29" i="330"/>
  <c r="V8" i="198"/>
  <c r="X333" i="319"/>
  <c r="W318" i="319"/>
  <c r="Z68" i="307"/>
  <c r="E2118" i="230"/>
  <c r="E3407" i="230"/>
  <c r="E693" i="230"/>
  <c r="E870" i="230"/>
  <c r="E1425" i="230"/>
  <c r="Y23" i="198"/>
  <c r="S89" i="198"/>
  <c r="AC325" i="319"/>
  <c r="E1361" i="230"/>
  <c r="E2525" i="230"/>
  <c r="E3197" i="230"/>
  <c r="V48" i="198"/>
  <c r="V311" i="319"/>
  <c r="E1625" i="230"/>
  <c r="L23" i="3"/>
  <c r="E1031" i="230"/>
  <c r="M24" i="330"/>
  <c r="Z315" i="319"/>
  <c r="E1430" i="230"/>
  <c r="V31" i="198"/>
  <c r="E892" i="230"/>
  <c r="T89" i="198"/>
  <c r="E1097" i="230"/>
  <c r="E1897" i="230"/>
  <c r="W300" i="319"/>
  <c r="E19" i="230"/>
  <c r="E775" i="230"/>
  <c r="Z62" i="1"/>
  <c r="Q31" i="330"/>
  <c r="AA296" i="319"/>
  <c r="M78" i="330"/>
  <c r="T325" i="319"/>
  <c r="AB305" i="319"/>
  <c r="U139" i="1"/>
  <c r="AA139" i="1"/>
  <c r="S48" i="198"/>
  <c r="T91" i="198"/>
  <c r="E2142" i="230"/>
  <c r="E2228" i="230"/>
  <c r="W139" i="1"/>
  <c r="E502" i="230"/>
  <c r="E1751" i="230"/>
  <c r="E2115" i="230"/>
  <c r="Q42" i="330"/>
  <c r="Y70" i="307"/>
  <c r="Y62" i="307"/>
  <c r="T42" i="307"/>
  <c r="V61" i="1"/>
  <c r="E947" i="230"/>
  <c r="E3405" i="230"/>
  <c r="V289" i="319"/>
  <c r="L53" i="330"/>
  <c r="R318" i="319"/>
  <c r="AB280" i="319"/>
  <c r="E1576" i="230"/>
  <c r="E1273" i="230"/>
  <c r="U58" i="198"/>
  <c r="K90" i="330"/>
  <c r="E266" i="230"/>
  <c r="E1136" i="230"/>
  <c r="E15" i="230"/>
  <c r="E1467" i="230"/>
  <c r="E3408" i="230"/>
  <c r="E148" i="230"/>
  <c r="Q90" i="198"/>
  <c r="E2101" i="230"/>
  <c r="S168" i="307"/>
  <c r="E1137" i="230"/>
  <c r="E1583" i="230"/>
  <c r="Y28" i="198"/>
  <c r="E2278" i="230"/>
  <c r="AC296" i="319"/>
  <c r="E608" i="230"/>
  <c r="E611" i="230"/>
  <c r="E3" i="18"/>
  <c r="Y7" i="198"/>
  <c r="L24" i="3"/>
  <c r="T11" i="198"/>
  <c r="W149" i="1"/>
  <c r="Q110" i="198"/>
  <c r="Y88" i="198"/>
  <c r="T149" i="1"/>
  <c r="E907" i="230"/>
  <c r="S53" i="307"/>
  <c r="X30" i="198"/>
  <c r="T45" i="198"/>
  <c r="AB316" i="319"/>
  <c r="E1466" i="230"/>
  <c r="R31" i="198"/>
  <c r="E1875" i="230"/>
  <c r="R45" i="198"/>
  <c r="Y52" i="198"/>
  <c r="E3203" i="230"/>
  <c r="E1446" i="230"/>
  <c r="E1624" i="230"/>
  <c r="W31" i="198"/>
  <c r="S149" i="1"/>
  <c r="Z45" i="198"/>
  <c r="R39" i="330"/>
  <c r="S148" i="1"/>
  <c r="AA330" i="319"/>
  <c r="I318" i="319"/>
  <c r="E2878" i="230"/>
  <c r="Z46" i="307"/>
  <c r="I337" i="319"/>
  <c r="Q48" i="198"/>
  <c r="E2539" i="230"/>
  <c r="E1270" i="230"/>
  <c r="Z46" i="198"/>
  <c r="T138" i="1"/>
  <c r="E3355" i="230"/>
  <c r="V125" i="319"/>
  <c r="Y58" i="198"/>
  <c r="W59" i="198"/>
  <c r="X310" i="319"/>
  <c r="E525" i="230"/>
  <c r="E3356" i="230"/>
  <c r="E3362" i="230"/>
  <c r="W81" i="198"/>
  <c r="U126" i="319"/>
  <c r="V24" i="198"/>
  <c r="Y63" i="1"/>
  <c r="AA150" i="1"/>
  <c r="T58" i="18"/>
  <c r="Y8" i="198"/>
  <c r="R49" i="198"/>
  <c r="R53" i="198"/>
  <c r="M46" i="330"/>
  <c r="AC98" i="1"/>
  <c r="X110" i="319"/>
  <c r="U315" i="319"/>
  <c r="AA315" i="319"/>
  <c r="N318" i="319"/>
  <c r="Z326" i="319"/>
  <c r="V109" i="319"/>
  <c r="V332" i="319"/>
  <c r="AA312" i="319"/>
  <c r="AB109" i="319"/>
  <c r="E3290" i="230"/>
  <c r="V31" i="1"/>
  <c r="E143" i="230"/>
  <c r="AC335" i="319"/>
  <c r="I32" i="330"/>
  <c r="E1429" i="230"/>
  <c r="E2232" i="230"/>
  <c r="R37" i="330"/>
  <c r="Z32" i="198"/>
  <c r="E1057" i="230"/>
  <c r="E1431" i="230"/>
  <c r="Q89" i="198"/>
  <c r="E1577" i="230"/>
  <c r="AA311" i="319"/>
  <c r="M70" i="198"/>
  <c r="Y327" i="319"/>
  <c r="E2113" i="230"/>
  <c r="X326" i="319"/>
  <c r="AB296" i="319"/>
  <c r="R30" i="330"/>
  <c r="AB314" i="319"/>
  <c r="E1272" i="230"/>
  <c r="E905" i="230"/>
  <c r="W168" i="307"/>
  <c r="E2256" i="230"/>
  <c r="AA289" i="319"/>
  <c r="T327" i="319"/>
  <c r="X67" i="307"/>
  <c r="E3339" i="230"/>
  <c r="Y314" i="319"/>
  <c r="U68" i="307"/>
  <c r="T46" i="307"/>
  <c r="Y316" i="319"/>
  <c r="V46" i="307"/>
  <c r="E1072" i="230"/>
  <c r="S46" i="307"/>
  <c r="Y335" i="319"/>
  <c r="S337" i="319"/>
  <c r="C75" i="319"/>
  <c r="E3267" i="230"/>
  <c r="V62" i="1"/>
  <c r="E2628" i="230"/>
  <c r="I11" i="330"/>
  <c r="Q91" i="198"/>
  <c r="E526" i="230"/>
  <c r="Q87" i="198"/>
  <c r="V110" i="319"/>
  <c r="X330" i="319"/>
  <c r="Y15" i="1"/>
  <c r="E2609" i="230"/>
  <c r="W83" i="198"/>
  <c r="E954" i="230"/>
  <c r="E1292" i="230"/>
  <c r="E1309" i="230"/>
  <c r="E1432" i="230"/>
  <c r="E2034" i="230"/>
  <c r="E2182" i="230"/>
  <c r="E2189" i="230"/>
  <c r="E3032" i="230"/>
  <c r="Y53" i="198"/>
  <c r="E1582" i="230"/>
  <c r="AA305" i="319"/>
  <c r="E3195" i="230"/>
  <c r="S17" i="1"/>
  <c r="J337" i="319"/>
  <c r="K24" i="330"/>
  <c r="U318" i="319"/>
  <c r="E3221" i="230"/>
  <c r="T289" i="319"/>
  <c r="R336" i="319"/>
  <c r="R337" i="319"/>
  <c r="E1468" i="230"/>
  <c r="E2235" i="230"/>
  <c r="AB327" i="319"/>
  <c r="R87" i="198"/>
  <c r="K37" i="330"/>
  <c r="AB330" i="319"/>
  <c r="S73" i="307"/>
  <c r="E909" i="230"/>
  <c r="AB17" i="1"/>
  <c r="T23" i="1"/>
  <c r="K337" i="319"/>
  <c r="Q88" i="198"/>
  <c r="E2544" i="230"/>
  <c r="V330" i="319"/>
  <c r="W311" i="319"/>
  <c r="E2629" i="230"/>
  <c r="Z296" i="319"/>
  <c r="E3224" i="230"/>
  <c r="AC310" i="319"/>
  <c r="Q32" i="330"/>
  <c r="E1271" i="230"/>
  <c r="X336" i="319"/>
  <c r="X325" i="319"/>
  <c r="S74" i="307"/>
  <c r="U280" i="319"/>
  <c r="E2545" i="230"/>
  <c r="X289" i="319"/>
  <c r="X316" i="319"/>
  <c r="E1580" i="230"/>
  <c r="AB110" i="319"/>
  <c r="E3198" i="230"/>
  <c r="R32" i="330"/>
  <c r="E776" i="230"/>
  <c r="X83" i="198"/>
  <c r="E2116" i="230"/>
  <c r="V335" i="319"/>
  <c r="V86" i="1"/>
  <c r="S92" i="1"/>
  <c r="I108" i="330"/>
  <c r="K115" i="330"/>
  <c r="Z99" i="1"/>
  <c r="V11" i="198"/>
  <c r="Q13" i="198"/>
  <c r="AA41" i="1"/>
  <c r="Z15" i="198"/>
  <c r="W45" i="1"/>
  <c r="T93" i="198"/>
  <c r="Z86" i="1"/>
  <c r="T53" i="198"/>
  <c r="W58" i="198"/>
  <c r="Z16" i="1"/>
  <c r="J41" i="330"/>
  <c r="W329" i="319"/>
  <c r="AA329" i="319"/>
  <c r="U81" i="198"/>
  <c r="X59" i="1"/>
  <c r="T62" i="1"/>
  <c r="AB67" i="1"/>
  <c r="E13" i="230"/>
  <c r="E755" i="230"/>
  <c r="E2641" i="230"/>
  <c r="T92" i="1"/>
  <c r="E1426" i="230"/>
  <c r="Z150" i="1"/>
  <c r="E1077" i="230"/>
  <c r="E162" i="230"/>
  <c r="T333" i="319"/>
  <c r="AC333" i="319"/>
  <c r="E1922" i="230"/>
  <c r="Y95" i="1"/>
  <c r="W81" i="307"/>
  <c r="E2875" i="230"/>
  <c r="Y86" i="1"/>
  <c r="E3285" i="230"/>
  <c r="E3403" i="230"/>
  <c r="U281" i="319"/>
  <c r="E1575" i="230"/>
  <c r="Y29" i="198"/>
  <c r="A5" i="307"/>
  <c r="J78" i="330"/>
  <c r="V49" i="198"/>
  <c r="M64" i="198"/>
  <c r="M13" i="330"/>
  <c r="V91" i="198"/>
  <c r="E3358" i="230"/>
  <c r="U63" i="1"/>
  <c r="K98" i="330"/>
  <c r="W59" i="1"/>
  <c r="E14" i="230"/>
  <c r="Y127" i="307"/>
  <c r="E1424" i="230"/>
  <c r="E3338" i="230"/>
  <c r="Y93" i="198"/>
  <c r="E1749" i="230"/>
  <c r="E607" i="230"/>
  <c r="E2516" i="230"/>
  <c r="M116" i="330"/>
  <c r="E802" i="230"/>
  <c r="E778" i="230"/>
  <c r="E1095" i="230"/>
  <c r="E2257" i="230"/>
  <c r="M73" i="198"/>
  <c r="Z25" i="198"/>
  <c r="W310" i="319"/>
  <c r="E1619" i="230"/>
  <c r="E1881" i="230"/>
  <c r="Q17" i="307"/>
  <c r="T32" i="198"/>
  <c r="E2" i="18"/>
  <c r="E2835" i="230"/>
  <c r="T48" i="198"/>
  <c r="X53" i="307"/>
  <c r="R38" i="330"/>
  <c r="K67" i="330"/>
  <c r="E2167" i="230"/>
  <c r="E3223" i="230"/>
  <c r="E1617" i="230"/>
  <c r="E1755" i="230"/>
  <c r="U28" i="198"/>
  <c r="K68" i="330"/>
  <c r="E2832" i="230"/>
  <c r="E1433" i="230"/>
  <c r="E2834" i="230"/>
  <c r="X302" i="319"/>
  <c r="AC302" i="319"/>
  <c r="S150" i="1"/>
  <c r="Y147" i="1"/>
  <c r="E676" i="230"/>
  <c r="E847" i="230"/>
  <c r="Q134" i="307"/>
  <c r="Y17" i="307"/>
  <c r="K38" i="330"/>
  <c r="I21" i="330"/>
  <c r="E1896" i="230"/>
  <c r="E1498" i="230"/>
  <c r="E950" i="230"/>
  <c r="V106" i="307"/>
  <c r="X300" i="319"/>
  <c r="E1074" i="230"/>
  <c r="Z126" i="319"/>
  <c r="AB66" i="1"/>
  <c r="Q106" i="307"/>
  <c r="E2121" i="230"/>
  <c r="L21" i="3"/>
  <c r="E83" i="230"/>
  <c r="E736" i="230"/>
  <c r="Q53" i="198"/>
  <c r="M75" i="198"/>
  <c r="E505" i="230"/>
  <c r="E567" i="230"/>
  <c r="Q57" i="198"/>
  <c r="Z12" i="1"/>
  <c r="W110" i="198"/>
  <c r="AA114" i="319"/>
  <c r="K47" i="330"/>
  <c r="E1815" i="230"/>
  <c r="R17" i="307"/>
  <c r="T127" i="307"/>
  <c r="V30" i="198"/>
  <c r="U54" i="18"/>
  <c r="G312" i="319"/>
  <c r="O318" i="319"/>
  <c r="T330" i="319"/>
  <c r="Y126" i="319"/>
  <c r="N333" i="319"/>
  <c r="N336" i="319"/>
  <c r="N337" i="319"/>
  <c r="T107" i="307"/>
  <c r="E1078" i="230"/>
  <c r="J104" i="330"/>
  <c r="E946" i="230"/>
  <c r="E3264" i="230"/>
  <c r="Y110" i="198"/>
  <c r="Z24" i="198"/>
  <c r="E504" i="230"/>
  <c r="E734" i="230"/>
  <c r="E1295" i="230"/>
  <c r="E2251" i="230"/>
  <c r="X50" i="198"/>
  <c r="E3199" i="230"/>
  <c r="L67" i="330"/>
  <c r="V52" i="198"/>
  <c r="E55" i="230"/>
  <c r="L46" i="330"/>
  <c r="S30" i="198"/>
  <c r="T7" i="198"/>
  <c r="I98" i="330"/>
  <c r="L108" i="330"/>
  <c r="Y15" i="198"/>
  <c r="K46" i="330"/>
  <c r="E3262" i="230"/>
  <c r="E3222" i="230"/>
  <c r="Z305" i="319"/>
  <c r="E1475" i="230"/>
  <c r="E1143" i="230"/>
  <c r="T87" i="198"/>
  <c r="E1756" i="230"/>
  <c r="Y31" i="198"/>
  <c r="U33" i="198"/>
  <c r="U48" i="198"/>
  <c r="V17" i="1"/>
  <c r="E2321" i="230"/>
  <c r="T310" i="319"/>
  <c r="E670" i="230"/>
  <c r="S147" i="1"/>
  <c r="K31" i="330"/>
  <c r="X107" i="307"/>
  <c r="E523" i="230"/>
  <c r="S64" i="307"/>
  <c r="R29" i="330"/>
  <c r="L98" i="330"/>
  <c r="AA310" i="319"/>
  <c r="Z28" i="198"/>
  <c r="R33" i="198"/>
  <c r="X15" i="198"/>
  <c r="X327" i="319"/>
  <c r="W28" i="198"/>
  <c r="E1059" i="230"/>
  <c r="S88" i="198"/>
  <c r="Q107" i="307"/>
  <c r="W53" i="307"/>
  <c r="E1139" i="230"/>
  <c r="U335" i="319"/>
  <c r="E269" i="230"/>
  <c r="R74" i="198"/>
  <c r="AB325" i="319"/>
  <c r="Y336" i="319"/>
  <c r="Z17" i="1"/>
  <c r="V296" i="319"/>
  <c r="E3246" i="230"/>
  <c r="E3265" i="230"/>
  <c r="Z300" i="319"/>
  <c r="T336" i="319"/>
  <c r="E2119" i="230"/>
  <c r="AC336" i="319"/>
  <c r="E3292" i="230"/>
  <c r="E3201" i="230"/>
  <c r="AA280" i="319"/>
  <c r="V107" i="307"/>
  <c r="B44" i="319"/>
  <c r="Y14" i="198"/>
  <c r="E3283" i="230"/>
  <c r="E3245" i="230"/>
  <c r="E2184" i="230"/>
  <c r="E1811" i="230"/>
  <c r="E2647" i="230"/>
  <c r="E3375" i="230"/>
  <c r="S5" i="198"/>
  <c r="T51" i="198"/>
  <c r="AD100" i="1"/>
  <c r="V59" i="198"/>
  <c r="Y59" i="198"/>
  <c r="L45" i="330"/>
  <c r="M60" i="330"/>
  <c r="L20" i="330"/>
  <c r="J31" i="330"/>
  <c r="S11" i="198"/>
  <c r="AB318" i="319"/>
  <c r="M65" i="198"/>
  <c r="Q26" i="198"/>
  <c r="AB62" i="1"/>
  <c r="Z115" i="307"/>
  <c r="L318" i="319"/>
  <c r="E122" i="230"/>
  <c r="R47" i="198"/>
  <c r="J47" i="330"/>
  <c r="X149" i="1"/>
  <c r="R42" i="330"/>
  <c r="R7" i="198"/>
  <c r="R14" i="198"/>
  <c r="L83" i="330"/>
  <c r="T28" i="198"/>
  <c r="Q7" i="198"/>
  <c r="V305" i="319"/>
  <c r="E1447" i="230"/>
  <c r="E758" i="230"/>
  <c r="X16" i="198"/>
  <c r="AA62" i="1"/>
  <c r="W15" i="18"/>
  <c r="Q47" i="198"/>
  <c r="R59" i="198"/>
  <c r="J24" i="330"/>
  <c r="M66" i="198"/>
  <c r="S59" i="198"/>
  <c r="U310" i="319"/>
  <c r="Y325" i="319"/>
  <c r="E1411" i="230"/>
  <c r="S46" i="198"/>
  <c r="K26" i="330"/>
  <c r="E2624" i="230"/>
  <c r="AA336" i="319"/>
  <c r="R50" i="198"/>
  <c r="E759" i="230"/>
  <c r="K29" i="330"/>
  <c r="E2136" i="230"/>
  <c r="J98" i="330"/>
  <c r="E147" i="230"/>
  <c r="E125" i="230"/>
  <c r="K42" i="330"/>
  <c r="AB289" i="319"/>
  <c r="V127" i="307"/>
  <c r="E140" i="230"/>
  <c r="M32" i="330"/>
  <c r="J75" i="330"/>
  <c r="E753" i="230"/>
  <c r="S28" i="198"/>
  <c r="E3217" i="230"/>
  <c r="E2254" i="230"/>
  <c r="U13" i="198"/>
  <c r="X58" i="198"/>
  <c r="S45" i="198"/>
  <c r="U67" i="307"/>
  <c r="R62" i="307"/>
  <c r="L42" i="330"/>
  <c r="Y83" i="198"/>
  <c r="R83" i="198"/>
  <c r="J318" i="319"/>
  <c r="Z13" i="198"/>
  <c r="U59" i="198"/>
  <c r="Z59" i="198"/>
  <c r="E2880" i="230"/>
  <c r="Z127" i="307"/>
  <c r="U16" i="198"/>
  <c r="E2140" i="230"/>
  <c r="E549" i="230"/>
  <c r="T110" i="198"/>
  <c r="E2188" i="230"/>
  <c r="X110" i="198"/>
  <c r="E1315" i="230"/>
  <c r="E2187" i="230"/>
  <c r="E522" i="230"/>
  <c r="R14" i="330"/>
  <c r="E2233" i="230"/>
  <c r="E3242" i="230"/>
  <c r="E1267" i="230"/>
  <c r="G318" i="319"/>
  <c r="M76" i="198"/>
  <c r="C44" i="319"/>
  <c r="I104" i="330"/>
  <c r="V83" i="198"/>
  <c r="E2259" i="230"/>
  <c r="E2250" i="2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BamSEC</author>
  </authors>
  <commentList>
    <comment ref="A88" authorId="0" shapeId="0" xr:uid="{0C36EB5C-8177-4E2E-9BA7-3F546C0488F4}">
      <text>
        <r>
          <rPr>
            <sz val="11"/>
            <color theme="1"/>
            <rFont val="Calibri"/>
            <family val="2"/>
            <scheme val="minor"/>
          </rPr>
          <t>Variations found in other tables:
"Net (loss) income" found in:
- 10-K filed on 2023-02-21 (https://www.bamsec.com/filing/167978823000031/1?table=29)</t>
        </r>
      </text>
    </comment>
    <comment ref="A89" authorId="0" shapeId="0" xr:uid="{B00D95D7-8FE1-45BF-AB69-DADEBFCB66F6}">
      <text>
        <r>
          <rPr>
            <sz val="11"/>
            <color theme="1"/>
            <rFont val="Calibri"/>
            <family val="2"/>
            <scheme val="minor"/>
          </rPr>
          <t>Variations found in other tables:
"Adjustments to reconcile net (loss) income to net cash (used in) provided by operating activities:" found in:
- 10-K filed on 2023-02-21 (https://www.bamsec.com/filing/167978823000031/1?table=29)</t>
        </r>
      </text>
    </comment>
    <comment ref="A92" authorId="0" shapeId="0" xr:uid="{AAF752AD-E11A-4776-9E25-433067EAA443}">
      <text>
        <r>
          <rPr>
            <sz val="11"/>
            <color theme="1"/>
            <rFont val="Calibri"/>
            <family val="2"/>
            <scheme val="minor"/>
          </rPr>
          <t>Variations found in other tables:
"Impairment expense" found in:
- 10-K filed on 2022-02-25 (https://www.bamsec.com/filing/167978822000031/1?table=26)</t>
        </r>
      </text>
    </comment>
    <comment ref="A98" authorId="0" shapeId="0" xr:uid="{E1D96FD3-4CF4-4AFB-8781-3CF99D4504BA}">
      <text>
        <r>
          <rPr>
            <sz val="11"/>
            <color theme="1"/>
            <rFont val="Calibri"/>
            <family val="2"/>
            <scheme val="minor"/>
          </rPr>
          <t>Variations found in other tables:
"(Gain) loss on disposal of property and equipment" found in:
- 10-K filed on 2023-02-21 (https://www.bamsec.com/filing/167978823000031/1?table=29)</t>
        </r>
      </text>
    </comment>
    <comment ref="A100" authorId="0" shapeId="0" xr:uid="{52796DE9-F1F3-45D6-9C45-8334976F4561}">
      <text>
        <r>
          <rPr>
            <sz val="11"/>
            <color theme="1"/>
            <rFont val="Calibri"/>
            <family val="2"/>
            <scheme val="minor"/>
          </rPr>
          <t>Variations found in other tables:
"Unrealized (gain) loss on foreign exchange" found in:
- 10-K filed on 2022-02-25 (https://www.bamsec.com/filing/167978822000031/1?table=26)</t>
        </r>
      </text>
    </comment>
    <comment ref="A103" authorId="0" shapeId="0" xr:uid="{E27CEA6D-16A3-49FB-A2D7-32777E6C1E44}">
      <text>
        <r>
          <rPr>
            <sz val="11"/>
            <color theme="1"/>
            <rFont val="Calibri"/>
            <family val="2"/>
            <scheme val="minor"/>
          </rPr>
          <t>Variations found in other tables:
"Realized (gain) loss on crypto assets" found in:
- 10-K filed on 2022-02-25 (https://www.bamsec.com/filing/167978822000031/1?table=26)</t>
        </r>
      </text>
    </comment>
    <comment ref="A108" authorId="0" shapeId="0" xr:uid="{939C2A0D-6ACC-41EB-BCB0-0EA15D85B66F}">
      <text>
        <r>
          <rPr>
            <sz val="11"/>
            <color theme="1"/>
            <rFont val="Calibri"/>
            <family val="2"/>
            <scheme val="minor"/>
          </rPr>
          <t>Variations found in other tables:
"Fair value loss (gain) on derivatives" found in:
- 10-K filed on 2023-02-21 (https://www.bamsec.com/filing/167978823000031/1?table=29)</t>
        </r>
      </text>
    </comment>
    <comment ref="A110" authorId="0" shapeId="0" xr:uid="{7A0E21D8-B2BA-487E-98A4-7C0B92AA84FA}">
      <text>
        <r>
          <rPr>
            <sz val="11"/>
            <color theme="1"/>
            <rFont val="Calibri"/>
            <family val="2"/>
            <scheme val="minor"/>
          </rPr>
          <t>Variations found in other tables:
"Loss (gain) on investments" found in:
- 10-K filed on 2023-02-21 (https://www.bamsec.com/filing/167978823000031/1?table=29)</t>
        </r>
      </text>
    </comment>
    <comment ref="A121" authorId="0" shapeId="0" xr:uid="{08DA5F82-3437-43BD-A310-95F809C2BC16}">
      <text>
        <r>
          <rPr>
            <sz val="11"/>
            <color theme="1"/>
            <rFont val="Calibri"/>
            <family val="2"/>
            <scheme val="minor"/>
          </rPr>
          <t>Variations found in other tables:
"Customer custodial cash liabilities" found in:
- 10-K filed on 2024-02-15 (https://www.bamsec.com/filing/167978824000022/1?table=37)</t>
        </r>
      </text>
    </comment>
    <comment ref="A143" authorId="0" shapeId="0" xr:uid="{86572E9D-3AB4-436B-83DB-1C1BEBE6F66C}">
      <text>
        <r>
          <rPr>
            <sz val="11"/>
            <color theme="1"/>
            <rFont val="Calibri"/>
            <family val="2"/>
            <scheme val="minor"/>
          </rPr>
          <t>Variations found in other tables:
"Net cash (used in) provided by operating activities" found in:
- 10-K filed on 2023-02-21 (https://www.bamsec.com/filing/167978823000031/1?table=29)</t>
        </r>
      </text>
    </comment>
    <comment ref="A161" authorId="0" shapeId="0" xr:uid="{AD65A2DC-CD6C-401A-8F6D-36907A73DF64}">
      <text>
        <r>
          <rPr>
            <sz val="11"/>
            <color theme="1"/>
            <rFont val="Calibri"/>
            <family val="2"/>
            <scheme val="minor"/>
          </rPr>
          <t>Variations found in other tables:
"Net cash provided by (used in) investing activities" found in:
- 10-K filed on 2024-02-15 (https://www.bamsec.com/filing/167978824000022/1?table=37)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BamSEC</author>
  </authors>
  <commentList>
    <comment ref="A89" authorId="0" shapeId="0" xr:uid="{138CA598-E41C-4392-BB00-4B858D56438E}">
      <text>
        <r>
          <rPr>
            <sz val="11"/>
            <color theme="1"/>
            <rFont val="Calibri"/>
            <family val="2"/>
            <scheme val="minor"/>
          </rPr>
          <t>Variations found in other tables:
"2023" found in:
- 10-K filed on 2024-02-15 (https://www.bamsec.com/filing/167978824000022/1?table=10)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BamSEC</author>
  </authors>
  <commentList>
    <comment ref="A47" authorId="0" shapeId="0" xr:uid="{6161FDE4-E10A-47D1-8550-A58A7B258100}">
      <text>
        <r>
          <rPr>
            <sz val="11"/>
            <color theme="1"/>
            <rFont val="Calibri"/>
            <family val="2"/>
            <scheme val="minor"/>
          </rPr>
          <t>Variations found in other tables:
"Net income" found in:
- 10-Q filed on 2021-05-14 (https://www.bamsec.com/filing/167978821000010/1?table=50)
"Net income (in millions)" found in:
- 10-Q filed on 2021-08-11 (https://www.bamsec.com/filing/167978821000026/1?table=53)
- 10-Q filed on 2021-11-10 (https://www.bamsec.com/filing/167978821000071/1?table=58)
"Net income (loss) (in millions)" found in:
- 10-K filed on 2022-02-25 (https://www.bamsec.com/filing/167978822000031/1?table=9)
"Net loss (in millions)" found in:
- 10-Q filed on 2023-05-04 (https://www.bamsec.com/filing/167978823000073/1?table=59)
- 10-Q filed on 2023-08-03 (https://www.bamsec.com/filing/167978823000106/1?table=65)
- 10-Q filed on 2023-11-02 (https://www.bamsec.com/filing/167978823000113/1?table=67)</t>
        </r>
      </text>
    </comment>
    <comment ref="A48" authorId="0" shapeId="0" xr:uid="{0CDAD5BC-0CF5-44DE-AC66-1EBC80496DA1}">
      <text>
        <r>
          <rPr>
            <sz val="11"/>
            <color theme="1"/>
            <rFont val="Calibri"/>
            <family val="2"/>
            <scheme val="minor"/>
          </rPr>
          <t>Variations found in other tables:
"Adjusted EBITDA" found in:
- 10-Q filed on 2021-05-14 (https://www.bamsec.com/filing/167978821000010/1?table=50)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Charles Gross</author>
    <author>Antoni Piotrowski</author>
  </authors>
  <commentList>
    <comment ref="M21" authorId="0" shapeId="0" xr:uid="{DFDC3CE9-54DA-48D4-BB7F-C86ED398392E}">
      <text>
        <r>
          <rPr>
            <sz val="9"/>
            <color indexed="81"/>
            <rFont val="Tahoma"/>
            <family val="2"/>
          </rPr>
          <t>9/30/2020, RESTATED, TTM, USD</t>
        </r>
      </text>
    </comment>
    <comment ref="M23" authorId="0" shapeId="0" xr:uid="{E5E4473B-0527-4382-9CF6-96A886F44CB3}">
      <text>
        <r>
          <rPr>
            <sz val="9"/>
            <color indexed="81"/>
            <rFont val="Tahoma"/>
            <family val="2"/>
          </rPr>
          <t>9/30/2020, RESTATED, TTM, USD</t>
        </r>
      </text>
    </comment>
    <comment ref="M24" authorId="0" shapeId="0" xr:uid="{0664AB94-9C1B-4708-A9E3-8FA56EF9EA30}">
      <text>
        <r>
          <rPr>
            <sz val="9"/>
            <color indexed="81"/>
            <rFont val="Tahoma"/>
            <family val="2"/>
          </rPr>
          <t>9/30/2020, RESTATED, TTM, USD</t>
        </r>
      </text>
    </comment>
    <comment ref="M25" authorId="0" shapeId="0" xr:uid="{E37FB2C5-A62E-4107-AD55-68950FF0C87C}">
      <text>
        <r>
          <rPr>
            <sz val="9"/>
            <color indexed="81"/>
            <rFont val="Tahoma"/>
            <family val="2"/>
          </rPr>
          <t>9/30/2020, RESTATED, TTM, USD</t>
        </r>
      </text>
    </comment>
    <comment ref="M26" authorId="0" shapeId="0" xr:uid="{CC150739-BF22-4BF3-96B3-B75D7BBE9657}">
      <text>
        <r>
          <rPr>
            <sz val="9"/>
            <color indexed="81"/>
            <rFont val="Tahoma"/>
            <family val="2"/>
          </rPr>
          <t>9/30/2020, RESTATED, TTM, USD</t>
        </r>
      </text>
    </comment>
    <comment ref="M27" authorId="0" shapeId="0" xr:uid="{18F1BE34-ABF3-4517-A234-8CD82A700F58}">
      <text>
        <r>
          <rPr>
            <sz val="9"/>
            <color indexed="81"/>
            <rFont val="Tahoma"/>
            <family val="2"/>
          </rPr>
          <t>9/30/2020, RESTATED, TTM, USD</t>
        </r>
      </text>
    </comment>
    <comment ref="M28" authorId="0" shapeId="0" xr:uid="{72A519B6-1937-4D88-AB27-4853456FF811}">
      <text>
        <r>
          <rPr>
            <sz val="9"/>
            <color indexed="81"/>
            <rFont val="Tahoma"/>
            <family val="2"/>
          </rPr>
          <t>9/30/2020, RESTATED, TTM, USD</t>
        </r>
      </text>
    </comment>
    <comment ref="M29" authorId="0" shapeId="0" xr:uid="{493D9832-2E4D-45A7-9568-AA64834BF791}">
      <text>
        <r>
          <rPr>
            <sz val="9"/>
            <color indexed="81"/>
            <rFont val="Tahoma"/>
            <family val="2"/>
          </rPr>
          <t>9/30/2020, RESTATED, TTM, USD</t>
        </r>
      </text>
    </comment>
    <comment ref="M30" authorId="0" shapeId="0" xr:uid="{2476E794-9751-4DF6-9611-695506713D0B}">
      <text>
        <r>
          <rPr>
            <sz val="9"/>
            <color indexed="81"/>
            <rFont val="Tahoma"/>
            <family val="2"/>
          </rPr>
          <t>9/30/2020, RESTATED, TTM, USD</t>
        </r>
      </text>
    </comment>
    <comment ref="M31" authorId="0" shapeId="0" xr:uid="{9DE04DB4-63DF-4007-8AE8-2AE784AC28B3}">
      <text>
        <r>
          <rPr>
            <sz val="9"/>
            <color indexed="81"/>
            <rFont val="Tahoma"/>
            <family val="2"/>
          </rPr>
          <t>9/30/2020, RESTATED, TTM, USD</t>
        </r>
      </text>
    </comment>
    <comment ref="M32" authorId="0" shapeId="0" xr:uid="{055D364A-8B44-4434-8DBF-1D765630A60D}">
      <text>
        <r>
          <rPr>
            <sz val="9"/>
            <color indexed="81"/>
            <rFont val="Tahoma"/>
            <family val="2"/>
          </rPr>
          <t>9/30/2020, RESTATED, TTM, USD</t>
        </r>
      </text>
    </comment>
    <comment ref="M36" authorId="0" shapeId="0" xr:uid="{5E9B7C92-6AAB-4DAD-B29D-92B5342B673F}">
      <text>
        <r>
          <rPr>
            <sz val="9"/>
            <color indexed="81"/>
            <rFont val="Tahoma"/>
            <family val="2"/>
          </rPr>
          <t>9/30/2020, RESTATED, TTM, USD</t>
        </r>
      </text>
    </comment>
    <comment ref="M38" authorId="0" shapeId="0" xr:uid="{7CFBFBF8-6654-4F1C-928C-DC366A2B6665}">
      <text>
        <r>
          <rPr>
            <sz val="9"/>
            <color indexed="81"/>
            <rFont val="Tahoma"/>
            <family val="2"/>
          </rPr>
          <t>9/30/2020, RESTATED, TTM, USD</t>
        </r>
      </text>
    </comment>
    <comment ref="M39" authorId="0" shapeId="0" xr:uid="{9F006581-9FCE-4517-B6DE-8B12AD705E51}">
      <text>
        <r>
          <rPr>
            <sz val="9"/>
            <color indexed="81"/>
            <rFont val="Tahoma"/>
            <family val="2"/>
          </rPr>
          <t>9/30/2020, RESTATED, TTM, USD</t>
        </r>
      </text>
    </comment>
    <comment ref="M40" authorId="0" shapeId="0" xr:uid="{0800AFC9-A0A3-45AC-AE3A-F0F63694F583}">
      <text>
        <r>
          <rPr>
            <sz val="9"/>
            <color indexed="81"/>
            <rFont val="Tahoma"/>
            <family val="2"/>
          </rPr>
          <t>9/30/2020, RESTATED, TTM, USD</t>
        </r>
      </text>
    </comment>
    <comment ref="M41" authorId="0" shapeId="0" xr:uid="{53A524B2-D2E3-4FCF-85B2-9F92499144C4}">
      <text>
        <r>
          <rPr>
            <sz val="9"/>
            <color indexed="81"/>
            <rFont val="Tahoma"/>
            <family val="2"/>
          </rPr>
          <t>9/30/2020, RESTATED, TTM, USD</t>
        </r>
      </text>
    </comment>
    <comment ref="M42" authorId="0" shapeId="0" xr:uid="{334074EC-CBE6-47F4-9465-9FE7941FD81A}">
      <text>
        <r>
          <rPr>
            <sz val="9"/>
            <color indexed="81"/>
            <rFont val="Tahoma"/>
            <family val="2"/>
          </rPr>
          <t>9/30/2020, RESTATED, TTM, USD</t>
        </r>
      </text>
    </comment>
    <comment ref="M43" authorId="0" shapeId="0" xr:uid="{5069DDE0-5176-4CD0-8547-876C145B9E5B}">
      <text>
        <r>
          <rPr>
            <sz val="9"/>
            <color indexed="81"/>
            <rFont val="Tahoma"/>
            <family val="2"/>
          </rPr>
          <t>9/30/2020, RESTATED, TTM, USD</t>
        </r>
      </text>
    </comment>
    <comment ref="M44" authorId="0" shapeId="0" xr:uid="{BA26F32C-25BD-4EAC-996B-93AC5AC33F5D}">
      <text>
        <r>
          <rPr>
            <sz val="9"/>
            <color indexed="81"/>
            <rFont val="Tahoma"/>
            <family val="2"/>
          </rPr>
          <t>9/30/2020, RESTATED, TTM, USD</t>
        </r>
      </text>
    </comment>
    <comment ref="M45" authorId="0" shapeId="0" xr:uid="{9B1AB275-F9B0-4842-9B3F-03ADA0F92F78}">
      <text>
        <r>
          <rPr>
            <sz val="9"/>
            <color indexed="81"/>
            <rFont val="Tahoma"/>
            <family val="2"/>
          </rPr>
          <t>9/30/2020, RESTATED, TTM, USD</t>
        </r>
      </text>
    </comment>
    <comment ref="M46" authorId="0" shapeId="0" xr:uid="{9B3B7546-5818-4A5E-AA9E-909C98B13B0E}">
      <text>
        <r>
          <rPr>
            <sz val="9"/>
            <color indexed="81"/>
            <rFont val="Tahoma"/>
            <family val="2"/>
          </rPr>
          <t>9/30/2020, RESTATED, TTM, USD</t>
        </r>
      </text>
    </comment>
    <comment ref="M47" authorId="0" shapeId="0" xr:uid="{A6A37087-63EC-4FA5-880B-CAFB73480D10}">
      <text>
        <r>
          <rPr>
            <sz val="9"/>
            <color indexed="81"/>
            <rFont val="Tahoma"/>
            <family val="2"/>
          </rPr>
          <t>9/30/2020, RESTATED, TTM, USD</t>
        </r>
      </text>
    </comment>
    <comment ref="M52" authorId="0" shapeId="0" xr:uid="{3C89C186-DDBB-4692-A94E-21A3CAE8D9CE}">
      <text>
        <r>
          <rPr>
            <sz val="9"/>
            <color indexed="81"/>
            <rFont val="Tahoma"/>
            <family val="2"/>
          </rPr>
          <t>9/30/2020, RESTATED, TTM, USD</t>
        </r>
      </text>
    </comment>
    <comment ref="M54" authorId="0" shapeId="0" xr:uid="{B71AC983-4DA7-449C-B317-3B9E2103C669}">
      <text>
        <r>
          <rPr>
            <sz val="9"/>
            <color indexed="81"/>
            <rFont val="Tahoma"/>
            <family val="2"/>
          </rPr>
          <t>9/30/2020, RESTATED, TTM, USD</t>
        </r>
      </text>
    </comment>
    <comment ref="M55" authorId="0" shapeId="0" xr:uid="{DBB6FDDD-C304-4577-96B6-60D1B4CB7291}">
      <text>
        <r>
          <rPr>
            <sz val="9"/>
            <color indexed="81"/>
            <rFont val="Tahoma"/>
            <family val="2"/>
          </rPr>
          <t>9/30/2020, RESTATED, TTM, USD</t>
        </r>
      </text>
    </comment>
    <comment ref="M56" authorId="0" shapeId="0" xr:uid="{6918293B-E2EA-4E6F-9656-3B39DE720256}">
      <text>
        <r>
          <rPr>
            <sz val="9"/>
            <color indexed="81"/>
            <rFont val="Tahoma"/>
            <family val="2"/>
          </rPr>
          <t>9/30/2020, RESTATED, TTM, USD</t>
        </r>
      </text>
    </comment>
    <comment ref="M57" authorId="0" shapeId="0" xr:uid="{BA25619E-3889-4186-955E-8913F0FFEE2B}">
      <text>
        <r>
          <rPr>
            <sz val="9"/>
            <color indexed="81"/>
            <rFont val="Tahoma"/>
            <family val="2"/>
          </rPr>
          <t>9/30/2020, RESTATED, TTM, USD</t>
        </r>
      </text>
    </comment>
    <comment ref="M58" authorId="0" shapeId="0" xr:uid="{FBF364D9-0F8F-4D95-BE16-400CC2E599F8}">
      <text>
        <r>
          <rPr>
            <sz val="9"/>
            <color indexed="81"/>
            <rFont val="Tahoma"/>
            <family val="2"/>
          </rPr>
          <t>9/30/2020, RESTATED, TTM, USD</t>
        </r>
      </text>
    </comment>
    <comment ref="M59" authorId="0" shapeId="0" xr:uid="{C2E52CD1-3040-4F46-B9CB-4AFAD8151C45}">
      <text>
        <r>
          <rPr>
            <sz val="9"/>
            <color indexed="81"/>
            <rFont val="Tahoma"/>
            <family val="2"/>
          </rPr>
          <t>9/30/2020, RESTATED, TTM, USD</t>
        </r>
      </text>
    </comment>
    <comment ref="M60" authorId="0" shapeId="0" xr:uid="{07E42FAF-E197-4472-BBB8-F26665717632}">
      <text>
        <r>
          <rPr>
            <sz val="9"/>
            <color indexed="81"/>
            <rFont val="Tahoma"/>
            <family val="2"/>
          </rPr>
          <t>9/30/2020, RESTATED, TTM, USD</t>
        </r>
      </text>
    </comment>
    <comment ref="M61" authorId="0" shapeId="0" xr:uid="{55CF8E60-4425-4AA1-999D-8A0DCEC5F801}">
      <text>
        <r>
          <rPr>
            <sz val="9"/>
            <color indexed="81"/>
            <rFont val="Tahoma"/>
            <family val="2"/>
          </rPr>
          <t>9/30/2020, RESTATED, TTM, USD</t>
        </r>
      </text>
    </comment>
    <comment ref="M62" authorId="0" shapeId="0" xr:uid="{93240B4B-28E5-4472-8F8A-DD38940D6FBE}">
      <text>
        <r>
          <rPr>
            <sz val="9"/>
            <color indexed="81"/>
            <rFont val="Tahoma"/>
            <family val="2"/>
          </rPr>
          <t>9/30/2020, RESTATED, TTM, USD</t>
        </r>
      </text>
    </comment>
    <comment ref="M63" authorId="0" shapeId="0" xr:uid="{642DF9ED-D063-4FD5-99C5-427559F534C4}">
      <text>
        <r>
          <rPr>
            <sz val="9"/>
            <color indexed="81"/>
            <rFont val="Tahoma"/>
            <family val="2"/>
          </rPr>
          <t>9/30/2020, RESTATED, TTM, USD</t>
        </r>
      </text>
    </comment>
    <comment ref="M68" authorId="0" shapeId="0" xr:uid="{445A1963-1E70-4E75-867A-FCB9D6C1413E}">
      <text>
        <r>
          <rPr>
            <sz val="9"/>
            <color indexed="81"/>
            <rFont val="Tahoma"/>
            <family val="2"/>
          </rPr>
          <t>9/30/2020, RESTATED, TTM, USD</t>
        </r>
      </text>
    </comment>
    <comment ref="M70" authorId="0" shapeId="0" xr:uid="{04D150B1-B89B-4C7A-8F15-76487F8C6B75}">
      <text>
        <r>
          <rPr>
            <sz val="9"/>
            <color indexed="81"/>
            <rFont val="Tahoma"/>
            <family val="2"/>
          </rPr>
          <t>9/30/2020, RESTATED, TTM, USD</t>
        </r>
      </text>
    </comment>
    <comment ref="M71" authorId="0" shapeId="0" xr:uid="{30099173-0768-4486-8DFF-E6988E08B1E4}">
      <text>
        <r>
          <rPr>
            <sz val="9"/>
            <color indexed="81"/>
            <rFont val="Tahoma"/>
            <family val="2"/>
          </rPr>
          <t>9/30/2020, RESTATED, TTM, USD</t>
        </r>
      </text>
    </comment>
    <comment ref="M72" authorId="0" shapeId="0" xr:uid="{5953AA99-AD9E-4603-A0D7-179F32CB6C6E}">
      <text>
        <r>
          <rPr>
            <sz val="9"/>
            <color indexed="81"/>
            <rFont val="Tahoma"/>
            <family val="2"/>
          </rPr>
          <t>9/30/2020, RESTATED, TTM, USD</t>
        </r>
      </text>
    </comment>
    <comment ref="M73" authorId="0" shapeId="0" xr:uid="{D2A2FCCE-B0F3-49FF-BCA1-E3667DF41E16}">
      <text>
        <r>
          <rPr>
            <sz val="9"/>
            <color indexed="81"/>
            <rFont val="Tahoma"/>
            <family val="2"/>
          </rPr>
          <t>9/30/2020, RESTATED, TTM, USD</t>
        </r>
      </text>
    </comment>
    <comment ref="M74" authorId="0" shapeId="0" xr:uid="{0DDFE6BE-CC0C-436D-A39D-14811C7274A9}">
      <text>
        <r>
          <rPr>
            <sz val="9"/>
            <color indexed="81"/>
            <rFont val="Tahoma"/>
            <family val="2"/>
          </rPr>
          <t>9/30/2020, RESTATED, TTM, USD</t>
        </r>
      </text>
    </comment>
    <comment ref="M75" authorId="0" shapeId="0" xr:uid="{054E57FF-2C08-4FB4-AB31-4386C7CCF828}">
      <text>
        <r>
          <rPr>
            <sz val="9"/>
            <color indexed="81"/>
            <rFont val="Tahoma"/>
            <family val="2"/>
          </rPr>
          <t>9/30/2020, RESTATED, TTM, USD</t>
        </r>
      </text>
    </comment>
    <comment ref="M76" authorId="0" shapeId="0" xr:uid="{3690A392-D0B1-473D-9DA4-4E7545A85924}">
      <text>
        <r>
          <rPr>
            <sz val="9"/>
            <color indexed="81"/>
            <rFont val="Tahoma"/>
            <family val="2"/>
          </rPr>
          <t>9/30/2020, RESTATED, TTM, USD</t>
        </r>
      </text>
    </comment>
    <comment ref="M77" authorId="0" shapeId="0" xr:uid="{BF80B8F0-849E-4E00-AB2B-7466D8384243}">
      <text>
        <r>
          <rPr>
            <sz val="9"/>
            <color indexed="81"/>
            <rFont val="Tahoma"/>
            <family val="2"/>
          </rPr>
          <t>9/30/2020, RESTATED, TTM, USD</t>
        </r>
      </text>
    </comment>
    <comment ref="M78" authorId="0" shapeId="0" xr:uid="{30C237D9-03C3-43B8-A142-9D3FF2CAAACE}">
      <text>
        <r>
          <rPr>
            <sz val="9"/>
            <color indexed="81"/>
            <rFont val="Tahoma"/>
            <family val="2"/>
          </rPr>
          <t>9/30/2020, RESTATED, TTM, USD</t>
        </r>
      </text>
    </comment>
    <comment ref="M79" authorId="0" shapeId="0" xr:uid="{52461EF8-C5DE-483C-BFAE-8E21E0D56541}">
      <text>
        <r>
          <rPr>
            <sz val="9"/>
            <color indexed="81"/>
            <rFont val="Tahoma"/>
            <family val="2"/>
          </rPr>
          <t>9/30/2020, RESTATED, TTM, USD</t>
        </r>
      </text>
    </comment>
    <comment ref="M84" authorId="0" shapeId="0" xr:uid="{80193378-8C84-433D-A89D-2FCBE1B9DBE2}">
      <text>
        <r>
          <rPr>
            <sz val="9"/>
            <color indexed="81"/>
            <rFont val="Tahoma"/>
            <family val="2"/>
          </rPr>
          <t>9/30/2020, RESTATED, TTM, USD</t>
        </r>
      </text>
    </comment>
    <comment ref="M86" authorId="0" shapeId="0" xr:uid="{85A1D313-9818-414C-90D5-A10AAD5E530F}">
      <text>
        <r>
          <rPr>
            <sz val="9"/>
            <color indexed="81"/>
            <rFont val="Tahoma"/>
            <family val="2"/>
          </rPr>
          <t>9/30/2020, RESTATED, TTM, USD</t>
        </r>
      </text>
    </comment>
    <comment ref="M87" authorId="0" shapeId="0" xr:uid="{8824BDDE-3784-4ED4-8E96-258249F5EF41}">
      <text>
        <r>
          <rPr>
            <sz val="9"/>
            <color indexed="81"/>
            <rFont val="Tahoma"/>
            <family val="2"/>
          </rPr>
          <t>9/30/2020, RESTATED, TTM, USD</t>
        </r>
      </text>
    </comment>
    <comment ref="M88" authorId="0" shapeId="0" xr:uid="{CADB94FB-3D6E-41C1-AB44-A8DC6895C41C}">
      <text>
        <r>
          <rPr>
            <sz val="9"/>
            <color indexed="81"/>
            <rFont val="Tahoma"/>
            <family val="2"/>
          </rPr>
          <t>9/30/2020, RESTATED, TTM, USD</t>
        </r>
      </text>
    </comment>
    <comment ref="M89" authorId="0" shapeId="0" xr:uid="{788FD305-70EF-4639-8432-DF32CE7F3A0D}">
      <text>
        <r>
          <rPr>
            <sz val="9"/>
            <color indexed="81"/>
            <rFont val="Tahoma"/>
            <family val="2"/>
          </rPr>
          <t>9/30/2020, RESTATED, TTM, USD</t>
        </r>
      </text>
    </comment>
    <comment ref="M90" authorId="0" shapeId="0" xr:uid="{3C702A3C-F0C8-4B34-8CBA-2F451B1E2A7B}">
      <text>
        <r>
          <rPr>
            <sz val="9"/>
            <color indexed="81"/>
            <rFont val="Tahoma"/>
            <family val="2"/>
          </rPr>
          <t>9/30/2020, RESTATED, TTM, USD</t>
        </r>
      </text>
    </comment>
    <comment ref="M91" authorId="0" shapeId="0" xr:uid="{AC568239-7DA0-4876-8B09-9A472C928DFF}">
      <text>
        <r>
          <rPr>
            <sz val="9"/>
            <color indexed="81"/>
            <rFont val="Tahoma"/>
            <family val="2"/>
          </rPr>
          <t>9/30/2020, RESTATED, TTM, USD</t>
        </r>
      </text>
    </comment>
    <comment ref="M92" authorId="0" shapeId="0" xr:uid="{BA5489BA-D54B-4FA6-B0E2-865A56EC252E}">
      <text>
        <r>
          <rPr>
            <sz val="9"/>
            <color indexed="81"/>
            <rFont val="Tahoma"/>
            <family val="2"/>
          </rPr>
          <t>9/30/2020, RESTATED, TTM, USD</t>
        </r>
      </text>
    </comment>
    <comment ref="M93" authorId="0" shapeId="0" xr:uid="{33F4087F-2AF3-44DA-A283-A1A685357E20}">
      <text>
        <r>
          <rPr>
            <sz val="9"/>
            <color indexed="81"/>
            <rFont val="Tahoma"/>
            <family val="2"/>
          </rPr>
          <t>9/30/2020, RESTATED, TTM, USD</t>
        </r>
      </text>
    </comment>
    <comment ref="M94" authorId="0" shapeId="0" xr:uid="{0B45868F-7600-4783-9994-6C586F7990BD}">
      <text>
        <r>
          <rPr>
            <sz val="9"/>
            <color indexed="81"/>
            <rFont val="Tahoma"/>
            <family val="2"/>
          </rPr>
          <t>9/30/2020, RESTATED, TTM, USD</t>
        </r>
      </text>
    </comment>
    <comment ref="M95" authorId="0" shapeId="0" xr:uid="{618EB1BE-7EDB-491A-AD5F-CC17409D1E25}">
      <text>
        <r>
          <rPr>
            <sz val="9"/>
            <color indexed="81"/>
            <rFont val="Tahoma"/>
            <family val="2"/>
          </rPr>
          <t>9/30/2020, RESTATED, TTM, USD</t>
        </r>
      </text>
    </comment>
    <comment ref="M100" authorId="1" shapeId="0" xr:uid="{DC65861D-B194-40FD-8273-D61E6F2ADF67}">
      <text>
        <r>
          <rPr>
            <sz val="9"/>
            <color indexed="81"/>
            <rFont val="Tahoma"/>
            <family val="2"/>
          </rPr>
          <t>5/9/2023, USD</t>
        </r>
      </text>
    </comment>
    <comment ref="M102" authorId="1" shapeId="0" xr:uid="{F2D582A4-C9B8-4409-BC16-2CE7E2E46656}">
      <text>
        <r>
          <rPr>
            <sz val="9"/>
            <color indexed="81"/>
            <rFont val="Tahoma"/>
            <family val="2"/>
          </rPr>
          <t>5/9/2023, USD</t>
        </r>
      </text>
    </comment>
    <comment ref="M103" authorId="1" shapeId="0" xr:uid="{99D6F765-04D6-41A1-8051-426248004898}">
      <text>
        <r>
          <rPr>
            <sz val="9"/>
            <color indexed="81"/>
            <rFont val="Tahoma"/>
            <family val="2"/>
          </rPr>
          <t>5/9/2023, USD</t>
        </r>
      </text>
    </comment>
    <comment ref="M104" authorId="1" shapeId="0" xr:uid="{2BA44A19-FE2A-4A13-839C-EE59F726A53F}">
      <text>
        <r>
          <rPr>
            <sz val="9"/>
            <color indexed="81"/>
            <rFont val="Tahoma"/>
            <family val="2"/>
          </rPr>
          <t>5/9/2023, USD</t>
        </r>
      </text>
    </comment>
    <comment ref="M105" authorId="1" shapeId="0" xr:uid="{0E84C8BD-222F-4D70-BF9D-A3043080F1D5}">
      <text>
        <r>
          <rPr>
            <sz val="9"/>
            <color indexed="81"/>
            <rFont val="Tahoma"/>
            <family val="2"/>
          </rPr>
          <t>5/9/2023, USD</t>
        </r>
      </text>
    </comment>
    <comment ref="M106" authorId="1" shapeId="0" xr:uid="{3F846F88-FF92-4269-8BC3-A186CAA580AE}">
      <text>
        <r>
          <rPr>
            <sz val="9"/>
            <color indexed="81"/>
            <rFont val="Tahoma"/>
            <family val="2"/>
          </rPr>
          <t>5/9/2023, USD</t>
        </r>
      </text>
    </comment>
    <comment ref="M107" authorId="1" shapeId="0" xr:uid="{7600ADAF-266A-451A-A098-EAC65985FCD2}">
      <text>
        <r>
          <rPr>
            <sz val="9"/>
            <color indexed="81"/>
            <rFont val="Tahoma"/>
            <family val="2"/>
          </rPr>
          <t>5/9/2023, USD</t>
        </r>
      </text>
    </comment>
    <comment ref="M108" authorId="1" shapeId="0" xr:uid="{8855A67A-2944-4ED1-A123-92BA8A8557DC}">
      <text>
        <r>
          <rPr>
            <sz val="9"/>
            <color indexed="81"/>
            <rFont val="Tahoma"/>
            <family val="2"/>
          </rPr>
          <t>5/9/2023, USD</t>
        </r>
      </text>
    </comment>
    <comment ref="M109" authorId="1" shapeId="0" xr:uid="{06CAC657-5226-4DEC-9F81-E0CDCF88C161}">
      <text>
        <r>
          <rPr>
            <sz val="9"/>
            <color indexed="81"/>
            <rFont val="Tahoma"/>
            <family val="2"/>
          </rPr>
          <t>5/9/2023, USD</t>
        </r>
      </text>
    </comment>
    <comment ref="M110" authorId="1" shapeId="0" xr:uid="{E4B08250-1F53-4C0B-9AAF-DB849175B4D6}">
      <text>
        <r>
          <rPr>
            <sz val="9"/>
            <color indexed="81"/>
            <rFont val="Tahoma"/>
            <family val="2"/>
          </rPr>
          <t>5/9/2023, USD</t>
        </r>
      </text>
    </comment>
    <comment ref="M111" authorId="1" shapeId="0" xr:uid="{3C95E81C-30B1-4461-9C47-3BF386DA186A}">
      <text>
        <r>
          <rPr>
            <sz val="9"/>
            <color indexed="81"/>
            <rFont val="Tahoma"/>
            <family val="2"/>
          </rPr>
          <t>5/9/2023, USD</t>
        </r>
      </text>
    </comment>
    <comment ref="M116" authorId="1" shapeId="0" xr:uid="{17BD6192-E524-42A6-B66E-A4132BF2D717}">
      <text>
        <r>
          <rPr>
            <sz val="9"/>
            <color indexed="81"/>
            <rFont val="Tahoma"/>
            <family val="2"/>
          </rPr>
          <t>3/31/2023, RESTATED, TTM, USD</t>
        </r>
      </text>
    </comment>
    <comment ref="M118" authorId="1" shapeId="0" xr:uid="{E30886A4-FD63-486D-9AC5-4B0BD0A60514}">
      <text>
        <r>
          <rPr>
            <sz val="9"/>
            <color indexed="81"/>
            <rFont val="Tahoma"/>
            <family val="2"/>
          </rPr>
          <t>3/31/2023, RESTATED, TTM, USD</t>
        </r>
      </text>
    </comment>
    <comment ref="M119" authorId="1" shapeId="0" xr:uid="{33B5558D-243F-4441-9624-FD6D86471344}">
      <text>
        <r>
          <rPr>
            <sz val="9"/>
            <color indexed="81"/>
            <rFont val="Tahoma"/>
            <family val="2"/>
          </rPr>
          <t>3/31/2023, RESTATED, TTM, USD</t>
        </r>
      </text>
    </comment>
    <comment ref="M120" authorId="1" shapeId="0" xr:uid="{15EC26D4-8815-4662-9C70-D0279FA770BC}">
      <text>
        <r>
          <rPr>
            <sz val="9"/>
            <color indexed="81"/>
            <rFont val="Tahoma"/>
            <family val="2"/>
          </rPr>
          <t>3/31/2023, RESTATED, TTM, USD</t>
        </r>
      </text>
    </comment>
    <comment ref="M121" authorId="1" shapeId="0" xr:uid="{189CA47A-F779-4137-A55E-9DEA5265BB0A}">
      <text>
        <r>
          <rPr>
            <sz val="9"/>
            <color indexed="81"/>
            <rFont val="Tahoma"/>
            <family val="2"/>
          </rPr>
          <t>3/31/2023, RESTATED, TTM, USD</t>
        </r>
      </text>
    </comment>
    <comment ref="M122" authorId="1" shapeId="0" xr:uid="{04E71B6E-7559-4DA0-9AD7-1BCF34ACFC7C}">
      <text>
        <r>
          <rPr>
            <sz val="9"/>
            <color indexed="81"/>
            <rFont val="Tahoma"/>
            <family val="2"/>
          </rPr>
          <t>3/31/2023, RESTATED, TTM, USD</t>
        </r>
      </text>
    </comment>
    <comment ref="M123" authorId="1" shapeId="0" xr:uid="{2F8D188F-91DF-4752-8AE6-1EB7F9D240B2}">
      <text>
        <r>
          <rPr>
            <sz val="9"/>
            <color indexed="81"/>
            <rFont val="Tahoma"/>
            <family val="2"/>
          </rPr>
          <t>3/31/2023, RESTATED, TTM, USD</t>
        </r>
      </text>
    </comment>
    <comment ref="M124" authorId="1" shapeId="0" xr:uid="{5AE22405-44E4-41ED-B193-99BB044A0095}">
      <text>
        <r>
          <rPr>
            <sz val="9"/>
            <color indexed="81"/>
            <rFont val="Tahoma"/>
            <family val="2"/>
          </rPr>
          <t>3/31/2023, RESTATED, TTM, USD</t>
        </r>
      </text>
    </comment>
    <comment ref="M125" authorId="1" shapeId="0" xr:uid="{08DB7DA0-0970-4242-BB41-DC253606A6E3}">
      <text>
        <r>
          <rPr>
            <sz val="9"/>
            <color indexed="81"/>
            <rFont val="Tahoma"/>
            <family val="2"/>
          </rPr>
          <t>12/31/2022, RESTATED, TTM, USD</t>
        </r>
      </text>
    </comment>
    <comment ref="M126" authorId="1" shapeId="0" xr:uid="{33411372-8BA5-48CD-B401-791CA792537B}">
      <text>
        <r>
          <rPr>
            <sz val="9"/>
            <color indexed="81"/>
            <rFont val="Tahoma"/>
            <family val="2"/>
          </rPr>
          <t>3/31/2023, RESTATED, TTM, USD</t>
        </r>
      </text>
    </comment>
    <comment ref="M127" authorId="1" shapeId="0" xr:uid="{D51D079E-8E57-47F4-B600-0E014277B00D}">
      <text>
        <r>
          <rPr>
            <sz val="9"/>
            <color indexed="81"/>
            <rFont val="Tahoma"/>
            <family val="2"/>
          </rPr>
          <t>3/31/2023, RESTATED, TTM, USD</t>
        </r>
      </text>
    </comment>
    <comment ref="M132" authorId="0" shapeId="0" xr:uid="{862ADEB7-430F-49F4-A50E-F7804DDD7381}">
      <text>
        <r>
          <rPr>
            <sz val="9"/>
            <color indexed="81"/>
            <rFont val="Tahoma"/>
            <family val="2"/>
          </rPr>
          <t>9/30/2020, RESTATED, TTM, USD</t>
        </r>
      </text>
    </comment>
    <comment ref="M134" authorId="0" shapeId="0" xr:uid="{24E1E532-935A-4D66-A47F-A9AAFB041D25}">
      <text>
        <r>
          <rPr>
            <sz val="9"/>
            <color indexed="81"/>
            <rFont val="Tahoma"/>
            <family val="2"/>
          </rPr>
          <t>9/30/2020, RESTATED, TTM, USD</t>
        </r>
      </text>
    </comment>
    <comment ref="M135" authorId="0" shapeId="0" xr:uid="{3F6826EA-2AF4-4DCC-8CC0-F7D125FE901D}">
      <text>
        <r>
          <rPr>
            <sz val="9"/>
            <color indexed="81"/>
            <rFont val="Tahoma"/>
            <family val="2"/>
          </rPr>
          <t>9/30/2020, RESTATED, TTM, USD</t>
        </r>
      </text>
    </comment>
    <comment ref="M136" authorId="0" shapeId="0" xr:uid="{FBBE8A67-EFC3-4350-BDBF-DEA77E93B5C9}">
      <text>
        <r>
          <rPr>
            <sz val="9"/>
            <color indexed="81"/>
            <rFont val="Tahoma"/>
            <family val="2"/>
          </rPr>
          <t>9/30/2020, RESTATED, TTM, USD</t>
        </r>
      </text>
    </comment>
    <comment ref="M137" authorId="0" shapeId="0" xr:uid="{04D2FA6B-28FE-4A2E-8AEB-BC6E8D1993EF}">
      <text>
        <r>
          <rPr>
            <sz val="9"/>
            <color indexed="81"/>
            <rFont val="Tahoma"/>
            <family val="2"/>
          </rPr>
          <t>9/30/2020, RESTATED, TTM, USD</t>
        </r>
      </text>
    </comment>
    <comment ref="M138" authorId="0" shapeId="0" xr:uid="{07722F72-51A3-4001-9A50-D9CDFC82D6A7}">
      <text>
        <r>
          <rPr>
            <sz val="9"/>
            <color indexed="81"/>
            <rFont val="Tahoma"/>
            <family val="2"/>
          </rPr>
          <t>9/30/2020, RESTATED, TTM, USD</t>
        </r>
      </text>
    </comment>
    <comment ref="M139" authorId="0" shapeId="0" xr:uid="{85947CC4-D981-4A70-B26B-8EEE5325C069}">
      <text>
        <r>
          <rPr>
            <sz val="9"/>
            <color indexed="81"/>
            <rFont val="Tahoma"/>
            <family val="2"/>
          </rPr>
          <t>9/30/2020, RESTATED, TTM, USD</t>
        </r>
      </text>
    </comment>
    <comment ref="M140" authorId="0" shapeId="0" xr:uid="{02ED5958-D5F6-49F7-8A99-9D7AB5965049}">
      <text>
        <r>
          <rPr>
            <sz val="9"/>
            <color indexed="81"/>
            <rFont val="Tahoma"/>
            <family val="2"/>
          </rPr>
          <t>9/30/2020, RESTATED, TTM, USD</t>
        </r>
      </text>
    </comment>
    <comment ref="M141" authorId="0" shapeId="0" xr:uid="{B3DFD490-6739-474F-B21B-B05B57F94AA3}">
      <text>
        <r>
          <rPr>
            <sz val="9"/>
            <color indexed="81"/>
            <rFont val="Tahoma"/>
            <family val="2"/>
          </rPr>
          <t>9/30/2020, RESTATED, TTM, USD</t>
        </r>
      </text>
    </comment>
    <comment ref="M142" authorId="0" shapeId="0" xr:uid="{0471A3D4-30FE-46C3-A4A8-79D40E2D95AD}">
      <text>
        <r>
          <rPr>
            <sz val="9"/>
            <color indexed="81"/>
            <rFont val="Tahoma"/>
            <family val="2"/>
          </rPr>
          <t>9/30/2020, RESTATED, TTM, USD</t>
        </r>
      </text>
    </comment>
    <comment ref="M143" authorId="0" shapeId="0" xr:uid="{BAAA4193-FB30-461F-AD1C-08D8575D6D48}">
      <text>
        <r>
          <rPr>
            <sz val="9"/>
            <color indexed="81"/>
            <rFont val="Tahoma"/>
            <family val="2"/>
          </rPr>
          <t>9/30/2020, RESTATED, TTM, USD</t>
        </r>
      </text>
    </comment>
    <comment ref="M148" authorId="1" shapeId="0" xr:uid="{1DCDB98A-BD2A-4F80-B630-66648902C8D4}">
      <text>
        <r>
          <rPr>
            <sz val="9"/>
            <color indexed="81"/>
            <rFont val="Tahoma"/>
            <family val="2"/>
          </rPr>
          <t>3/31/2023, RESTATED, TTM, USD</t>
        </r>
      </text>
    </comment>
    <comment ref="M150" authorId="1" shapeId="0" xr:uid="{41D0958B-7050-4A20-8D7C-BB168F46C892}">
      <text>
        <r>
          <rPr>
            <sz val="9"/>
            <color indexed="81"/>
            <rFont val="Tahoma"/>
            <family val="2"/>
          </rPr>
          <t>3/31/2023, RESTATED, TTM, USD</t>
        </r>
      </text>
    </comment>
    <comment ref="M151" authorId="1" shapeId="0" xr:uid="{C41BF2C5-C659-4E08-9C0D-2992A2809A20}">
      <text>
        <r>
          <rPr>
            <sz val="9"/>
            <color indexed="81"/>
            <rFont val="Tahoma"/>
            <family val="2"/>
          </rPr>
          <t>1/31/2023, RESTATED, TTM, USD</t>
        </r>
      </text>
    </comment>
    <comment ref="M152" authorId="1" shapeId="0" xr:uid="{8F389ABD-BD89-4D82-819D-432F9ABDA19C}">
      <text>
        <r>
          <rPr>
            <sz val="9"/>
            <color indexed="81"/>
            <rFont val="Tahoma"/>
            <family val="2"/>
          </rPr>
          <t>3/31/2023, RESTATED, TTM, USD</t>
        </r>
      </text>
    </comment>
    <comment ref="M153" authorId="1" shapeId="0" xr:uid="{5CFA7D98-21FE-48EF-ABEA-CA59E42CCB2D}">
      <text>
        <r>
          <rPr>
            <sz val="9"/>
            <color indexed="81"/>
            <rFont val="Tahoma"/>
            <family val="2"/>
          </rPr>
          <t>1/31/2023, RESTATED, TTM, USD</t>
        </r>
      </text>
    </comment>
    <comment ref="M154" authorId="1" shapeId="0" xr:uid="{30E41F61-8BB0-4C41-91DA-3FEA0D68E210}">
      <text>
        <r>
          <rPr>
            <sz val="9"/>
            <color indexed="81"/>
            <rFont val="Tahoma"/>
            <family val="2"/>
          </rPr>
          <t>1/31/2023, RESTATED, TTM, USD</t>
        </r>
      </text>
    </comment>
    <comment ref="M155" authorId="1" shapeId="0" xr:uid="{49ED0B9F-0278-412E-A959-1620144D9859}">
      <text>
        <r>
          <rPr>
            <sz val="9"/>
            <color indexed="81"/>
            <rFont val="Tahoma"/>
            <family val="2"/>
          </rPr>
          <t>2/28/2023, RESTATED, TTM, USD</t>
        </r>
      </text>
    </comment>
    <comment ref="M156" authorId="1" shapeId="0" xr:uid="{3A025CDC-E0A7-486A-8BF1-5665EA5F7CEC}">
      <text>
        <r>
          <rPr>
            <sz val="9"/>
            <color indexed="81"/>
            <rFont val="Tahoma"/>
            <family val="2"/>
          </rPr>
          <t>1/31/2023, RESTATED, TTM, USD</t>
        </r>
      </text>
    </comment>
    <comment ref="M157" authorId="1" shapeId="0" xr:uid="{6A307CDF-0E51-4FC3-95CA-20F6EE3541FE}">
      <text>
        <r>
          <rPr>
            <sz val="9"/>
            <color indexed="81"/>
            <rFont val="Tahoma"/>
            <family val="2"/>
          </rPr>
          <t>3/31/2023, RESTATED, TTM, USD</t>
        </r>
      </text>
    </comment>
    <comment ref="M158" authorId="1" shapeId="0" xr:uid="{12D01F48-80FD-482E-94AE-E3DEFD401FAB}">
      <text>
        <r>
          <rPr>
            <sz val="9"/>
            <color indexed="81"/>
            <rFont val="Tahoma"/>
            <family val="2"/>
          </rPr>
          <t>3/31/2023, RESTATED, TTM, USD</t>
        </r>
      </text>
    </comment>
    <comment ref="M159" authorId="1" shapeId="0" xr:uid="{1E9B24ED-B84A-4C03-B6FD-5C2166A8F2AA}">
      <text>
        <r>
          <rPr>
            <sz val="9"/>
            <color indexed="81"/>
            <rFont val="Tahoma"/>
            <family val="2"/>
          </rPr>
          <t>9/30/2022, RESTATED, TTM, USD</t>
        </r>
      </text>
    </comment>
    <comment ref="M164" authorId="1" shapeId="0" xr:uid="{8449FCAE-4C89-4A1A-8970-D34776D03572}">
      <text>
        <r>
          <rPr>
            <sz val="9"/>
            <color indexed="81"/>
            <rFont val="Tahoma"/>
            <family val="2"/>
          </rPr>
          <t>3/31/2023, RESTATED, TTM, USD</t>
        </r>
      </text>
    </comment>
    <comment ref="M166" authorId="1" shapeId="0" xr:uid="{DA7634DA-4245-480E-907F-2334556471C5}">
      <text>
        <r>
          <rPr>
            <sz val="9"/>
            <color indexed="81"/>
            <rFont val="Tahoma"/>
            <family val="2"/>
          </rPr>
          <t>3/31/2023, RESTATED, TTM, USD</t>
        </r>
      </text>
    </comment>
    <comment ref="M167" authorId="1" shapeId="0" xr:uid="{DE9FB708-C45B-4E79-8F2E-A0D864F2EF51}">
      <text>
        <r>
          <rPr>
            <sz val="9"/>
            <color indexed="81"/>
            <rFont val="Tahoma"/>
            <family val="2"/>
          </rPr>
          <t>1/31/2023, RESTATED, TTM, USD</t>
        </r>
      </text>
    </comment>
    <comment ref="M168" authorId="1" shapeId="0" xr:uid="{398BD3B9-1869-462A-863B-536121368DC4}">
      <text>
        <r>
          <rPr>
            <sz val="9"/>
            <color indexed="81"/>
            <rFont val="Tahoma"/>
            <family val="2"/>
          </rPr>
          <t>3/31/2023, RESTATED, TTM, USD</t>
        </r>
      </text>
    </comment>
    <comment ref="M169" authorId="1" shapeId="0" xr:uid="{9619814B-915F-4B27-A0FD-BDE5A3242B20}">
      <text>
        <r>
          <rPr>
            <sz val="9"/>
            <color indexed="81"/>
            <rFont val="Tahoma"/>
            <family val="2"/>
          </rPr>
          <t>1/31/2023, RESTATED, TTM, USD</t>
        </r>
      </text>
    </comment>
    <comment ref="M170" authorId="1" shapeId="0" xr:uid="{3C400267-0F80-4628-AD4D-454C0ECF8C19}">
      <text>
        <r>
          <rPr>
            <sz val="9"/>
            <color indexed="81"/>
            <rFont val="Tahoma"/>
            <family val="2"/>
          </rPr>
          <t>1/31/2023, RESTATED, TTM, USD</t>
        </r>
      </text>
    </comment>
    <comment ref="M171" authorId="1" shapeId="0" xr:uid="{F37F49D5-678C-4FDE-8611-03688A4572FD}">
      <text>
        <r>
          <rPr>
            <sz val="9"/>
            <color indexed="81"/>
            <rFont val="Tahoma"/>
            <family val="2"/>
          </rPr>
          <t>2/28/2023, RESTATED, TTM, USD</t>
        </r>
      </text>
    </comment>
    <comment ref="M172" authorId="1" shapeId="0" xr:uid="{211CFEC5-848E-410D-9BC2-C56F8A941224}">
      <text>
        <r>
          <rPr>
            <sz val="9"/>
            <color indexed="81"/>
            <rFont val="Tahoma"/>
            <family val="2"/>
          </rPr>
          <t>1/31/2023, RESTATED, TTM, USD</t>
        </r>
      </text>
    </comment>
    <comment ref="M173" authorId="1" shapeId="0" xr:uid="{B32C3844-470C-43A7-B32C-376DA9EE3457}">
      <text>
        <r>
          <rPr>
            <sz val="9"/>
            <color indexed="81"/>
            <rFont val="Tahoma"/>
            <family val="2"/>
          </rPr>
          <t>3/31/2023, RESTATED, TTM, USD</t>
        </r>
      </text>
    </comment>
    <comment ref="M174" authorId="1" shapeId="0" xr:uid="{B5F6C8E5-D248-4ECA-93BE-134DA3B7280E}">
      <text>
        <r>
          <rPr>
            <sz val="9"/>
            <color indexed="81"/>
            <rFont val="Tahoma"/>
            <family val="2"/>
          </rPr>
          <t>3/31/2023, RESTATED, TTM, USD</t>
        </r>
      </text>
    </comment>
    <comment ref="M175" authorId="1" shapeId="0" xr:uid="{EE619A9F-C3A8-40CF-BA55-82FD6E9076D3}">
      <text>
        <r>
          <rPr>
            <sz val="9"/>
            <color indexed="81"/>
            <rFont val="Tahoma"/>
            <family val="2"/>
          </rPr>
          <t>9/30/2022, RESTATED, TTM, USD</t>
        </r>
      </text>
    </comment>
    <comment ref="M180" authorId="1" shapeId="0" xr:uid="{03A09A57-EE9E-459F-BBD3-720BAE6987AF}">
      <text>
        <r>
          <rPr>
            <sz val="9"/>
            <color indexed="81"/>
            <rFont val="Tahoma"/>
            <family val="2"/>
          </rPr>
          <t>3/31/2023, RESTATED, TTM, USD</t>
        </r>
      </text>
    </comment>
    <comment ref="M182" authorId="1" shapeId="0" xr:uid="{665C4783-E09B-4BAD-8370-424635DE6F32}">
      <text>
        <r>
          <rPr>
            <sz val="9"/>
            <color indexed="81"/>
            <rFont val="Tahoma"/>
            <family val="2"/>
          </rPr>
          <t>3/31/2023, RESTATED, TTM, USD</t>
        </r>
      </text>
    </comment>
    <comment ref="M183" authorId="1" shapeId="0" xr:uid="{7744D34B-92FF-4D47-9A19-C00B3924D0F6}">
      <text>
        <r>
          <rPr>
            <sz val="9"/>
            <color indexed="81"/>
            <rFont val="Tahoma"/>
            <family val="2"/>
          </rPr>
          <t>1/31/2023, RESTATED, TTM, USD</t>
        </r>
      </text>
    </comment>
    <comment ref="M184" authorId="1" shapeId="0" xr:uid="{AAD17271-027A-40CE-AC17-5ED92C3BCB02}">
      <text>
        <r>
          <rPr>
            <sz val="9"/>
            <color indexed="81"/>
            <rFont val="Tahoma"/>
            <family val="2"/>
          </rPr>
          <t>3/31/2023, RESTATED, TTM, USD</t>
        </r>
      </text>
    </comment>
    <comment ref="M185" authorId="1" shapeId="0" xr:uid="{F64885F5-C0B1-480D-975D-06BD484520BC}">
      <text>
        <r>
          <rPr>
            <sz val="9"/>
            <color indexed="81"/>
            <rFont val="Tahoma"/>
            <family val="2"/>
          </rPr>
          <t>1/31/2023, RESTATED, TTM, USD</t>
        </r>
      </text>
    </comment>
    <comment ref="M186" authorId="1" shapeId="0" xr:uid="{AB32B41E-E968-4F48-945B-FFD520D9A69C}">
      <text>
        <r>
          <rPr>
            <sz val="9"/>
            <color indexed="81"/>
            <rFont val="Tahoma"/>
            <family val="2"/>
          </rPr>
          <t>1/31/2023, RESTATED, TTM, USD</t>
        </r>
      </text>
    </comment>
    <comment ref="M187" authorId="1" shapeId="0" xr:uid="{91104B71-CCAA-49AE-A068-CA1D47726AFD}">
      <text>
        <r>
          <rPr>
            <sz val="9"/>
            <color indexed="81"/>
            <rFont val="Tahoma"/>
            <family val="2"/>
          </rPr>
          <t>2/28/2023, RESTATED, TTM, USD</t>
        </r>
      </text>
    </comment>
    <comment ref="M188" authorId="1" shapeId="0" xr:uid="{C577A9C7-BA9F-405A-B6CD-0147D6DC5AF8}">
      <text>
        <r>
          <rPr>
            <sz val="9"/>
            <color indexed="81"/>
            <rFont val="Tahoma"/>
            <family val="2"/>
          </rPr>
          <t>1/31/2023, RESTATED, TTM, USD</t>
        </r>
      </text>
    </comment>
    <comment ref="M189" authorId="1" shapeId="0" xr:uid="{910FDB01-F5AA-4DED-A1D4-183B6EC2B4C0}">
      <text>
        <r>
          <rPr>
            <sz val="9"/>
            <color indexed="81"/>
            <rFont val="Tahoma"/>
            <family val="2"/>
          </rPr>
          <t>3/31/2023, RESTATED, TTM, USD</t>
        </r>
      </text>
    </comment>
    <comment ref="M190" authorId="1" shapeId="0" xr:uid="{E1006A6D-D499-482D-A7EE-9AD6ACC42EBC}">
      <text>
        <r>
          <rPr>
            <sz val="9"/>
            <color indexed="81"/>
            <rFont val="Tahoma"/>
            <family val="2"/>
          </rPr>
          <t>3/31/2023, RESTATED, TTM, USD</t>
        </r>
      </text>
    </comment>
    <comment ref="M191" authorId="1" shapeId="0" xr:uid="{1F174CDF-5F78-4A30-B156-D53F384BF49D}">
      <text>
        <r>
          <rPr>
            <sz val="9"/>
            <color indexed="81"/>
            <rFont val="Tahoma"/>
            <family val="2"/>
          </rPr>
          <t>9/30/2022, RESTATED, TTM, USD</t>
        </r>
      </text>
    </comment>
    <comment ref="M196" authorId="1" shapeId="0" xr:uid="{7ED48E60-DF8A-446B-9ADF-5EC17FE889E5}">
      <text>
        <r>
          <rPr>
            <sz val="9"/>
            <color indexed="81"/>
            <rFont val="Tahoma"/>
            <family val="2"/>
          </rPr>
          <t>3/31/2023, RESTATED, TTM, USD</t>
        </r>
      </text>
    </comment>
    <comment ref="M198" authorId="1" shapeId="0" xr:uid="{EC2B0BF4-FA89-4E11-997B-BA7FE0DBB471}">
      <text>
        <r>
          <rPr>
            <sz val="9"/>
            <color indexed="81"/>
            <rFont val="Tahoma"/>
            <family val="2"/>
          </rPr>
          <t>3/31/2023, RESTATED, TTM, USD</t>
        </r>
      </text>
    </comment>
    <comment ref="M199" authorId="1" shapeId="0" xr:uid="{F699F669-9700-42ED-869F-3C1F917D8378}">
      <text>
        <r>
          <rPr>
            <sz val="9"/>
            <color indexed="81"/>
            <rFont val="Tahoma"/>
            <family val="2"/>
          </rPr>
          <t>1/31/2023, RESTATED, TTM, USD</t>
        </r>
      </text>
    </comment>
    <comment ref="M200" authorId="1" shapeId="0" xr:uid="{575A56A8-4425-443F-A35B-91BA11CC1C8A}">
      <text>
        <r>
          <rPr>
            <sz val="9"/>
            <color indexed="81"/>
            <rFont val="Tahoma"/>
            <family val="2"/>
          </rPr>
          <t>3/31/2023, RESTATED, TTM, USD</t>
        </r>
      </text>
    </comment>
    <comment ref="M201" authorId="1" shapeId="0" xr:uid="{F6D5AEF0-BAED-403E-A929-26ACFC6E723F}">
      <text>
        <r>
          <rPr>
            <sz val="9"/>
            <color indexed="81"/>
            <rFont val="Tahoma"/>
            <family val="2"/>
          </rPr>
          <t>1/31/2023, RESTATED, TTM, USD</t>
        </r>
      </text>
    </comment>
    <comment ref="M202" authorId="1" shapeId="0" xr:uid="{87F6CE28-2D2B-4FF5-A0E6-529B3DE26F41}">
      <text>
        <r>
          <rPr>
            <sz val="9"/>
            <color indexed="81"/>
            <rFont val="Tahoma"/>
            <family val="2"/>
          </rPr>
          <t>1/31/2023, RESTATED, TTM, USD</t>
        </r>
      </text>
    </comment>
    <comment ref="M203" authorId="1" shapeId="0" xr:uid="{61347742-D3B8-416A-B79C-292BA4349C9E}">
      <text>
        <r>
          <rPr>
            <sz val="9"/>
            <color indexed="81"/>
            <rFont val="Tahoma"/>
            <family val="2"/>
          </rPr>
          <t>2/28/2023, RESTATED, TTM, USD</t>
        </r>
      </text>
    </comment>
    <comment ref="M204" authorId="1" shapeId="0" xr:uid="{4709BEA2-B8DB-4E46-917E-CD99D767EAB1}">
      <text>
        <r>
          <rPr>
            <sz val="9"/>
            <color indexed="81"/>
            <rFont val="Tahoma"/>
            <family val="2"/>
          </rPr>
          <t>1/31/2023, RESTATED, TTM, USD</t>
        </r>
      </text>
    </comment>
    <comment ref="M205" authorId="1" shapeId="0" xr:uid="{09F21434-2CE5-4A40-85EE-08C35E57C88C}">
      <text>
        <r>
          <rPr>
            <sz val="9"/>
            <color indexed="81"/>
            <rFont val="Tahoma"/>
            <family val="2"/>
          </rPr>
          <t>3/31/2023, RESTATED, TTM, USD</t>
        </r>
      </text>
    </comment>
    <comment ref="M206" authorId="1" shapeId="0" xr:uid="{04473E7F-2783-4474-AC53-070EA4B63C32}">
      <text>
        <r>
          <rPr>
            <sz val="9"/>
            <color indexed="81"/>
            <rFont val="Tahoma"/>
            <family val="2"/>
          </rPr>
          <t>3/31/2023, RESTATED, TTM, USD</t>
        </r>
      </text>
    </comment>
    <comment ref="M207" authorId="1" shapeId="0" xr:uid="{68160AFD-94F6-4148-9C2F-17FD784C5012}">
      <text>
        <r>
          <rPr>
            <sz val="9"/>
            <color indexed="81"/>
            <rFont val="Tahoma"/>
            <family val="2"/>
          </rPr>
          <t>9/30/2022, RESTATED, TTM, USD</t>
        </r>
      </text>
    </comment>
    <comment ref="M212" authorId="1" shapeId="0" xr:uid="{C31550CF-0DD6-46E1-9075-E82FE6A24C90}">
      <text>
        <r>
          <rPr>
            <sz val="9"/>
            <color indexed="81"/>
            <rFont val="Tahoma"/>
            <family val="2"/>
          </rPr>
          <t>3/31/2023, RESTATED, TTM, USD</t>
        </r>
      </text>
    </comment>
    <comment ref="M214" authorId="1" shapeId="0" xr:uid="{45B8E48A-81A9-44E5-B3A5-D1B78BF49BC2}">
      <text>
        <r>
          <rPr>
            <sz val="9"/>
            <color indexed="81"/>
            <rFont val="Tahoma"/>
            <family val="2"/>
          </rPr>
          <t>3/31/2023, RESTATED, TTM, USD</t>
        </r>
      </text>
    </comment>
    <comment ref="M215" authorId="1" shapeId="0" xr:uid="{A6231B20-67DF-4227-9353-78340CE25295}">
      <text>
        <r>
          <rPr>
            <sz val="9"/>
            <color indexed="81"/>
            <rFont val="Tahoma"/>
            <family val="2"/>
          </rPr>
          <t>1/31/2023, RESTATED, TTM, USD</t>
        </r>
      </text>
    </comment>
    <comment ref="M216" authorId="1" shapeId="0" xr:uid="{475A4BB7-9DE3-41B3-8CD5-68497B5ECAB7}">
      <text>
        <r>
          <rPr>
            <sz val="9"/>
            <color indexed="81"/>
            <rFont val="Tahoma"/>
            <family val="2"/>
          </rPr>
          <t>3/31/2023, RESTATED, TTM, USD</t>
        </r>
      </text>
    </comment>
    <comment ref="M217" authorId="1" shapeId="0" xr:uid="{344487BB-B221-4126-85F7-83292269F58D}">
      <text>
        <r>
          <rPr>
            <sz val="9"/>
            <color indexed="81"/>
            <rFont val="Tahoma"/>
            <family val="2"/>
          </rPr>
          <t>1/31/2023, RESTATED, TTM, USD</t>
        </r>
      </text>
    </comment>
    <comment ref="M218" authorId="1" shapeId="0" xr:uid="{9822DDD0-B069-40DB-B0B6-5060D459A5F5}">
      <text>
        <r>
          <rPr>
            <sz val="9"/>
            <color indexed="81"/>
            <rFont val="Tahoma"/>
            <family val="2"/>
          </rPr>
          <t>1/31/2023, RESTATED, TTM, USD</t>
        </r>
      </text>
    </comment>
    <comment ref="M219" authorId="1" shapeId="0" xr:uid="{3DA7F34D-5060-446F-B973-E7D5E65688BC}">
      <text>
        <r>
          <rPr>
            <sz val="9"/>
            <color indexed="81"/>
            <rFont val="Tahoma"/>
            <family val="2"/>
          </rPr>
          <t>2/28/2023, RESTATED, TTM, USD</t>
        </r>
      </text>
    </comment>
    <comment ref="M220" authorId="1" shapeId="0" xr:uid="{C9B57E26-D749-4B23-9365-9CBC07E35968}">
      <text>
        <r>
          <rPr>
            <sz val="9"/>
            <color indexed="81"/>
            <rFont val="Tahoma"/>
            <family val="2"/>
          </rPr>
          <t>1/31/2023, RESTATED, TTM, USD</t>
        </r>
      </text>
    </comment>
    <comment ref="M221" authorId="1" shapeId="0" xr:uid="{CF1B3B24-0408-4933-9C9A-1E04F34DF091}">
      <text>
        <r>
          <rPr>
            <sz val="9"/>
            <color indexed="81"/>
            <rFont val="Tahoma"/>
            <family val="2"/>
          </rPr>
          <t>3/31/2023, RESTATED, TTM, USD</t>
        </r>
      </text>
    </comment>
    <comment ref="M222" authorId="1" shapeId="0" xr:uid="{EAA0627F-6C02-40C7-AF17-79219FE9A555}">
      <text>
        <r>
          <rPr>
            <sz val="9"/>
            <color indexed="81"/>
            <rFont val="Tahoma"/>
            <family val="2"/>
          </rPr>
          <t>3/31/2023, RESTATED, TTM, USD</t>
        </r>
      </text>
    </comment>
    <comment ref="M223" authorId="1" shapeId="0" xr:uid="{520E48EF-4A8B-458A-8F18-066EA22E522C}">
      <text>
        <r>
          <rPr>
            <sz val="9"/>
            <color indexed="81"/>
            <rFont val="Tahoma"/>
            <family val="2"/>
          </rPr>
          <t>9/30/2022, RESTATED, TTM, USD</t>
        </r>
      </text>
    </comment>
    <comment ref="M228" authorId="1" shapeId="0" xr:uid="{069CF8B8-C49A-4B91-BB9B-C727884A6CE2}">
      <text>
        <r>
          <rPr>
            <sz val="9"/>
            <color indexed="81"/>
            <rFont val="Tahoma"/>
            <family val="2"/>
          </rPr>
          <t>3/31/2023, RESTATED, TTM, USD</t>
        </r>
      </text>
    </comment>
    <comment ref="M231" authorId="1" shapeId="0" xr:uid="{51E5A1AF-4446-4251-B7BE-F04C3D8DFA71}">
      <text>
        <r>
          <rPr>
            <sz val="9"/>
            <color indexed="81"/>
            <rFont val="Tahoma"/>
            <family val="2"/>
          </rPr>
          <t>3/31/2023, RESTATED, TTM, USD</t>
        </r>
      </text>
    </comment>
    <comment ref="M233" authorId="1" shapeId="0" xr:uid="{F945E50F-3BE4-491F-AC44-E1737AC20579}">
      <text>
        <r>
          <rPr>
            <sz val="9"/>
            <color indexed="81"/>
            <rFont val="Tahoma"/>
            <family val="2"/>
          </rPr>
          <t>3/31/2023, RESTATED, TTM, USD</t>
        </r>
      </text>
    </comment>
    <comment ref="M234" authorId="1" shapeId="0" xr:uid="{2916647D-4293-4479-A3FB-23D942AF5533}">
      <text>
        <r>
          <rPr>
            <sz val="9"/>
            <color indexed="81"/>
            <rFont val="Tahoma"/>
            <family val="2"/>
          </rPr>
          <t>3/31/2023, RESTATED, TTM, USD</t>
        </r>
      </text>
    </comment>
    <comment ref="M235" authorId="1" shapeId="0" xr:uid="{FB3EC219-C6B0-4D8F-B63F-4DF60CDC9427}">
      <text>
        <r>
          <rPr>
            <sz val="9"/>
            <color indexed="81"/>
            <rFont val="Tahoma"/>
            <family val="2"/>
          </rPr>
          <t>3/31/2023, RESTATED, TTM, USD</t>
        </r>
      </text>
    </comment>
    <comment ref="M237" authorId="1" shapeId="0" xr:uid="{59D91EF3-16EB-48D9-B0AF-5AE1FFDDF196}">
      <text>
        <r>
          <rPr>
            <sz val="9"/>
            <color indexed="81"/>
            <rFont val="Tahoma"/>
            <family val="2"/>
          </rPr>
          <t>12/31/2022, RESTATED, TTM, USD</t>
        </r>
      </text>
    </comment>
    <comment ref="M238" authorId="1" shapeId="0" xr:uid="{FF55BA46-5B1C-4319-BB99-3746829425AA}">
      <text>
        <r>
          <rPr>
            <sz val="9"/>
            <color indexed="81"/>
            <rFont val="Tahoma"/>
            <family val="2"/>
          </rPr>
          <t>3/31/2023, RESTATED, TTM, USD</t>
        </r>
      </text>
    </comment>
    <comment ref="M239" authorId="1" shapeId="0" xr:uid="{CED17399-67E3-450E-B5C5-817564775A6D}">
      <text>
        <r>
          <rPr>
            <sz val="9"/>
            <color indexed="81"/>
            <rFont val="Tahoma"/>
            <family val="2"/>
          </rPr>
          <t>3/31/2023, RESTATED, TTM, USD</t>
        </r>
      </text>
    </comment>
    <comment ref="M276" authorId="1" shapeId="0" xr:uid="{675A10F1-71CE-4125-8175-8FA53C8A0395}">
      <text>
        <r>
          <rPr>
            <sz val="9"/>
            <color indexed="81"/>
            <rFont val="Tahoma"/>
            <family val="2"/>
          </rPr>
          <t>3/31/2023, RESTATED, TTM, USD</t>
        </r>
      </text>
    </comment>
    <comment ref="M278" authorId="1" shapeId="0" xr:uid="{2C8B00FE-4BC6-4F97-AFCB-850946165111}">
      <text>
        <r>
          <rPr>
            <sz val="9"/>
            <color indexed="81"/>
            <rFont val="Tahoma"/>
            <family val="2"/>
          </rPr>
          <t>3/31/2023, RESTATED, TTM, USD</t>
        </r>
      </text>
    </comment>
    <comment ref="M280" authorId="1" shapeId="0" xr:uid="{385AEDFD-E52B-4552-8EEA-163B2534242D}">
      <text>
        <r>
          <rPr>
            <sz val="9"/>
            <color indexed="81"/>
            <rFont val="Tahoma"/>
            <family val="2"/>
          </rPr>
          <t>3/31/2023, RESTATED, TTM, USD</t>
        </r>
      </text>
    </comment>
    <comment ref="M284" authorId="1" shapeId="0" xr:uid="{DCD1C2A0-F170-4D1F-BA19-9FC2F6FFF19B}">
      <text>
        <r>
          <rPr>
            <sz val="9"/>
            <color indexed="81"/>
            <rFont val="Tahoma"/>
            <family val="2"/>
          </rPr>
          <t>3/31/2023, RESTATED, TTM, USD</t>
        </r>
      </text>
    </comment>
    <comment ref="M292" authorId="1" shapeId="0" xr:uid="{FD4A6105-ED70-4331-A90B-532E0AA081FC}">
      <text>
        <r>
          <rPr>
            <sz val="9"/>
            <color indexed="81"/>
            <rFont val="Tahoma"/>
            <family val="2"/>
          </rPr>
          <t>3/31/2023, RESTATED, TTM, USD</t>
        </r>
      </text>
    </comment>
    <comment ref="M294" authorId="1" shapeId="0" xr:uid="{97553AFA-4EBE-49E5-8ABB-02B930C27FFA}">
      <text>
        <r>
          <rPr>
            <sz val="9"/>
            <color indexed="81"/>
            <rFont val="Tahoma"/>
            <family val="2"/>
          </rPr>
          <t>3/31/2023, RESTATED, TTM, USD</t>
        </r>
      </text>
    </comment>
    <comment ref="M295" authorId="1" shapeId="0" xr:uid="{8E5A24AB-8B02-4300-AE22-B426FD36DEE2}">
      <text>
        <r>
          <rPr>
            <sz val="9"/>
            <color indexed="81"/>
            <rFont val="Tahoma"/>
            <family val="2"/>
          </rPr>
          <t>3/31/2023, RESTATED, TTM, USD</t>
        </r>
      </text>
    </comment>
    <comment ref="M301" authorId="1" shapeId="0" xr:uid="{EF1212AB-27BE-4529-B93D-AD26EA1E7A27}">
      <text>
        <r>
          <rPr>
            <sz val="9"/>
            <color indexed="81"/>
            <rFont val="Tahoma"/>
            <family val="2"/>
          </rPr>
          <t>12/31/2022, RESTATED, TTM, USD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<sst xmlns="http://schemas.openxmlformats.org/spreadsheetml/2006/main" count="13143" uniqueCount="3733">
  <si>
    <t>Symbol</t>
  </si>
  <si>
    <t>Cost of Equity</t>
  </si>
  <si>
    <t>Cost of Debt</t>
  </si>
  <si>
    <t>WACC</t>
  </si>
  <si>
    <t>Tax Rate</t>
  </si>
  <si>
    <t>Revenue</t>
  </si>
  <si>
    <t>Gross Profit</t>
  </si>
  <si>
    <t>EBITDA</t>
  </si>
  <si>
    <t>Depreciation</t>
  </si>
  <si>
    <t>Depreciation and Amortization</t>
  </si>
  <si>
    <t>Depreciation, Amortization and Depletion</t>
  </si>
  <si>
    <t>Depreciation, Non-Cash Adjustment</t>
  </si>
  <si>
    <t>Depreciation and Amortization, Non-Cash Adjustment</t>
  </si>
  <si>
    <t>Depreciation, Amortization and Depletion, Non-Cash Adjustment</t>
  </si>
  <si>
    <t>Amortization</t>
  </si>
  <si>
    <t>Amortization, Non-Cash Adjustment</t>
  </si>
  <si>
    <t>Adjusted Operating Income</t>
  </si>
  <si>
    <t>Operating Income</t>
  </si>
  <si>
    <t>Net Share Repurchases</t>
  </si>
  <si>
    <t>Weighted Average Price</t>
  </si>
  <si>
    <t>Working Capital</t>
  </si>
  <si>
    <t>Capital Expenditures</t>
  </si>
  <si>
    <t>Net New (Investment), Organic</t>
  </si>
  <si>
    <t>Net New (Investment), Total</t>
  </si>
  <si>
    <t>Irregular Non-Cash Items</t>
  </si>
  <si>
    <t>Free Cash Flow to the Firm</t>
  </si>
  <si>
    <t>Adjusted EBI</t>
  </si>
  <si>
    <t>% Gross margin</t>
  </si>
  <si>
    <t>% of revenue</t>
  </si>
  <si>
    <t>Working Capital Days</t>
  </si>
  <si>
    <t>Discounted FCFF</t>
  </si>
  <si>
    <t>Morningstar Standard Methodology</t>
  </si>
  <si>
    <t>+ Stage I Value</t>
  </si>
  <si>
    <t>+ Stage II Value</t>
  </si>
  <si>
    <t>+ Stage III Value</t>
  </si>
  <si>
    <t>+/- Enterprise Value Adj.</t>
  </si>
  <si>
    <t>+ Cash</t>
  </si>
  <si>
    <t>Equity Value</t>
  </si>
  <si>
    <t>RONIC</t>
  </si>
  <si>
    <t>Investment Rate</t>
  </si>
  <si>
    <t>Stage II EBI Growth Rate</t>
  </si>
  <si>
    <t>Length of Stage II</t>
  </si>
  <si>
    <t>Cash</t>
  </si>
  <si>
    <t>Cash and Cash Equivalents</t>
  </si>
  <si>
    <t>Cash, Cash Equivalents and Short Term Investments</t>
  </si>
  <si>
    <t>Net Property, Plant and Equipment</t>
  </si>
  <si>
    <t>Intangibles other than Goodwill</t>
  </si>
  <si>
    <t>Goodwill</t>
  </si>
  <si>
    <t>Comparables</t>
  </si>
  <si>
    <t>Valuation Multiples</t>
  </si>
  <si>
    <t>Operating Metrics</t>
  </si>
  <si>
    <t>Company Name</t>
  </si>
  <si>
    <t>Peer Weight</t>
  </si>
  <si>
    <t>Normalized EV / EBITDA</t>
  </si>
  <si>
    <t>Peer Weighted Avg</t>
  </si>
  <si>
    <t>EV / Forward EBITDA</t>
  </si>
  <si>
    <t>Price / Earnings</t>
  </si>
  <si>
    <t>Normalized Price / Earnings</t>
  </si>
  <si>
    <t>EV / Forward EBIT</t>
  </si>
  <si>
    <t>Normalized EV / EBIT</t>
  </si>
  <si>
    <t>Price / Sales</t>
  </si>
  <si>
    <t>Price / Book</t>
  </si>
  <si>
    <t>Revenue Growth</t>
  </si>
  <si>
    <t>TTM</t>
  </si>
  <si>
    <t>EBITDA Growth</t>
  </si>
  <si>
    <t>EBIT Margin</t>
  </si>
  <si>
    <t>DD&amp;A, % of Sales</t>
  </si>
  <si>
    <t>Capital Spending, % of Sales</t>
  </si>
  <si>
    <t>Medium</t>
  </si>
  <si>
    <t>Star Rating</t>
  </si>
  <si>
    <t>Fair Value</t>
  </si>
  <si>
    <t>Return to Top</t>
  </si>
  <si>
    <t>Data Index</t>
  </si>
  <si>
    <t>Valuation Metrics</t>
  </si>
  <si>
    <t>Normalized EV/EBITDA</t>
  </si>
  <si>
    <t>EV/Forward EBITDA</t>
  </si>
  <si>
    <t>P/E</t>
  </si>
  <si>
    <t>Normalized P/E</t>
  </si>
  <si>
    <t xml:space="preserve">EV/Forward EBIT </t>
  </si>
  <si>
    <t>Normalized EV/EBIT</t>
  </si>
  <si>
    <t>Price/Sales</t>
  </si>
  <si>
    <t>Price/Book</t>
  </si>
  <si>
    <t>DD&amp;A as % of Sales</t>
  </si>
  <si>
    <t>Capital Spending as % Sales</t>
  </si>
  <si>
    <t>EBITDA Margin</t>
  </si>
  <si>
    <t>Historical</t>
  </si>
  <si>
    <t>Stage I</t>
  </si>
  <si>
    <t>Length of Stage I</t>
  </si>
  <si>
    <t>Perpetuity Growth Rate</t>
  </si>
  <si>
    <t xml:space="preserve"> - Net Pension Obligation</t>
  </si>
  <si>
    <t>Stage II / III Free Cash Flows</t>
  </si>
  <si>
    <t>"G"</t>
  </si>
  <si>
    <t>Length</t>
  </si>
  <si>
    <t>Adj. Free Cash Flow to the Firm</t>
  </si>
  <si>
    <t>Other Operating Cash Flow</t>
  </si>
  <si>
    <t>Other Investing Cash Flow</t>
  </si>
  <si>
    <t>Other Financing Cash Flow</t>
  </si>
  <si>
    <t>Total Revenue</t>
  </si>
  <si>
    <t>Business Revenue</t>
  </si>
  <si>
    <t>Cost of Revenue</t>
  </si>
  <si>
    <t>Cost of Goods and Services</t>
  </si>
  <si>
    <t>Operating Income/Expenses</t>
  </si>
  <si>
    <t>Selling, General and Administrative Expenses</t>
  </si>
  <si>
    <t>General and Administrative Expenses</t>
  </si>
  <si>
    <t>Research and Development Expenses</t>
  </si>
  <si>
    <t>Other Income/Expense, Operating</t>
  </si>
  <si>
    <t>Total Operating Profit/Loss</t>
  </si>
  <si>
    <t>Non-Operating Income/Expenses, Total</t>
  </si>
  <si>
    <t>Total Net Finance Income/Expense</t>
  </si>
  <si>
    <t>Net Interest Income/Expense</t>
  </si>
  <si>
    <t>Interest Expense Net of Capitalized Interest</t>
  </si>
  <si>
    <t>Net Investment Income</t>
  </si>
  <si>
    <t>Irregular Income/Expenses</t>
  </si>
  <si>
    <t>Asset Disposals</t>
  </si>
  <si>
    <t>Impairment/Write Off/Write Down of Capital Assets</t>
  </si>
  <si>
    <t>Other Irregular Income/Expenses</t>
  </si>
  <si>
    <t>Other Income/Expense, Non-Operating</t>
  </si>
  <si>
    <t>Pretax Income</t>
  </si>
  <si>
    <t>Provision for Income Tax</t>
  </si>
  <si>
    <t>Net Income from Continuing Operations</t>
  </si>
  <si>
    <t>Discontinued Operations</t>
  </si>
  <si>
    <t>Net Income after Extraordinary Items and Discontinued Operations</t>
  </si>
  <si>
    <t>Net Income after Non-Controlling/Minority Interests</t>
  </si>
  <si>
    <t>Preferred/Other Stock Distribution</t>
  </si>
  <si>
    <t>Other Distributions</t>
  </si>
  <si>
    <t>Net Income Available to Common Stockholders</t>
  </si>
  <si>
    <t>Diluted Net Income Available to Common Stockholders</t>
  </si>
  <si>
    <t>Common Dividend Per Share</t>
  </si>
  <si>
    <t>Basic EPS</t>
  </si>
  <si>
    <t>Basic EPS from Continuing Operations</t>
  </si>
  <si>
    <t>Basic EPS from Discontinued Operations</t>
  </si>
  <si>
    <t>Diluted EPS</t>
  </si>
  <si>
    <t>Diluted EPS from Continuing Operations</t>
  </si>
  <si>
    <t>Diluted EPS from Discontinued Operations</t>
  </si>
  <si>
    <t>Basic Weighted Average Shares Outstanding</t>
  </si>
  <si>
    <t>Diluted Weighted Average Shares Outstanding</t>
  </si>
  <si>
    <t>Total Assets</t>
  </si>
  <si>
    <t>Total Current Assets</t>
  </si>
  <si>
    <t>Cash Equivalents</t>
  </si>
  <si>
    <t>Short Term Investments</t>
  </si>
  <si>
    <t>Trading/Listed Investments, Current</t>
  </si>
  <si>
    <t>Available-for-Sale Securities, Current</t>
  </si>
  <si>
    <t>Held-to-Maturity Securities, Current</t>
  </si>
  <si>
    <t>Other Short Term Investments</t>
  </si>
  <si>
    <t>Cash Restricted or Pledged, Current</t>
  </si>
  <si>
    <t>Derivative Investment and Hedging Assets, Current</t>
  </si>
  <si>
    <t>Inventories</t>
  </si>
  <si>
    <t>Raw Materials, Consumables and Supplies</t>
  </si>
  <si>
    <t>Work-in-Process</t>
  </si>
  <si>
    <t>Finished Goods and Merchandise</t>
  </si>
  <si>
    <t>Long Term Contracts</t>
  </si>
  <si>
    <t>Real Estate and Investment Properties</t>
  </si>
  <si>
    <t>Other Inventories</t>
  </si>
  <si>
    <t>Inventory Allowance/Adjustments</t>
  </si>
  <si>
    <t>Trade and Other Receivables, Current</t>
  </si>
  <si>
    <t>Trade/Accounts Receivable, Current</t>
  </si>
  <si>
    <t>Gross Trade/Accounts Receivable, Current</t>
  </si>
  <si>
    <t>Allowance/Adjustments for Trade/Accounts Receivable, Current</t>
  </si>
  <si>
    <t>Loans Receivable, Current</t>
  </si>
  <si>
    <t>Notes Receivable, Current</t>
  </si>
  <si>
    <t>Gross Notes Receivable, Current</t>
  </si>
  <si>
    <t>Allowance/Adjustments for Notes Receivable, Current</t>
  </si>
  <si>
    <t>Finance Lease Receivable, Current</t>
  </si>
  <si>
    <t>Dividends Receivable, Current</t>
  </si>
  <si>
    <t>Taxes Receivable, Current</t>
  </si>
  <si>
    <t>Amount Due From Related Parties, Current</t>
  </si>
  <si>
    <t>Accrued Income/Unbilled Revenue/Cost in Excess of Billings, Current</t>
  </si>
  <si>
    <t>Accrued Interest Receivable, Current</t>
  </si>
  <si>
    <t>Other Receivables, Current</t>
  </si>
  <si>
    <t>General Allowance for Receivables and Write Offs, Current</t>
  </si>
  <si>
    <t>Prepayments and Deposits, Current</t>
  </si>
  <si>
    <t>Deferred Tax Assets, Current</t>
  </si>
  <si>
    <t>Deferred Costs/Assets, Current</t>
  </si>
  <si>
    <t>Regulatory Assets, Current</t>
  </si>
  <si>
    <t>Assets Held for Sale/Discontinued Operations, Current</t>
  </si>
  <si>
    <t>Other Current Assets</t>
  </si>
  <si>
    <t>Total Non-Current Assets</t>
  </si>
  <si>
    <t>Gross Property, Plant and Equipment</t>
  </si>
  <si>
    <t>Properties</t>
  </si>
  <si>
    <t>Land and Improvements</t>
  </si>
  <si>
    <t>Buildings and Improvements</t>
  </si>
  <si>
    <t>Leasehold and Improvements</t>
  </si>
  <si>
    <t>Other Properties and Improvements</t>
  </si>
  <si>
    <t>Machinery, Furniture and Equipment</t>
  </si>
  <si>
    <t>Plant and Machinery</t>
  </si>
  <si>
    <t>Furniture, Fixtures and Office Equipment</t>
  </si>
  <si>
    <t>Flight, Fleet, Vehicle and Related Equipment</t>
  </si>
  <si>
    <t>Other Equipment</t>
  </si>
  <si>
    <t>Utility Plant</t>
  </si>
  <si>
    <t>Water Utility Plant</t>
  </si>
  <si>
    <t>Electric Utility Plant</t>
  </si>
  <si>
    <t>Natural Gas Utility Plant</t>
  </si>
  <si>
    <t>Common Utility Plant</t>
  </si>
  <si>
    <t>Construction in Progress and Advance Payments</t>
  </si>
  <si>
    <t>Leased Property, Plant and Equipment</t>
  </si>
  <si>
    <t>Other Property, Plant and Equipment</t>
  </si>
  <si>
    <t>Accumulated Depreciation and Impairment</t>
  </si>
  <si>
    <t>Accumulated Depreciation</t>
  </si>
  <si>
    <t>Accumulated Depreciation of Properties</t>
  </si>
  <si>
    <t>Accumulated Depreciation of Land and Improvements</t>
  </si>
  <si>
    <t>Accumulated Depreciation of Buildings</t>
  </si>
  <si>
    <t>Accumulated Depreciation of Leasehold and Improvements</t>
  </si>
  <si>
    <t>Accumulated Depreciation of Other Properties and Improvements</t>
  </si>
  <si>
    <t>Accumulated Depreciation of Machinery, Furniture and Equipment</t>
  </si>
  <si>
    <t>Accumulated Depreciation of Plant and Machinery</t>
  </si>
  <si>
    <t>Accumulated Depreciation of Furniture, Fixtures and Office Equipment</t>
  </si>
  <si>
    <t>Accumulated Depreciation of Flight, Fleet, Vehicle and Related Equipments</t>
  </si>
  <si>
    <t>Accumulated Depreciation of Other Equipment</t>
  </si>
  <si>
    <t>Accumulated Depreciation of Utility Plant</t>
  </si>
  <si>
    <t>Accumulated Depreciation of Water Utility Plant</t>
  </si>
  <si>
    <t>Accumulated Depreciation of Electric Utility Plant</t>
  </si>
  <si>
    <t>Accumulated Depreciation of Natural Gas, Oil, Fuel and Other Utility Plant</t>
  </si>
  <si>
    <t>Accumulated Depreciation of Common Utility Plant</t>
  </si>
  <si>
    <t>Accumulated Depreciation of Leased Property, Plant and Equipment</t>
  </si>
  <si>
    <t>Accumulated Depreciation of Construction in Progress</t>
  </si>
  <si>
    <t>Accumulated Depreciation of Other Property, Plant and Equipment</t>
  </si>
  <si>
    <t>Accumulated Impairment of PPE</t>
  </si>
  <si>
    <t>Net Mineral Property Interests and Exploration Assets</t>
  </si>
  <si>
    <t>Gross Mineral Property Interests and Exploration Assets</t>
  </si>
  <si>
    <t>Accumulated Amortization of Mineral Property Interests and Exploration Assets</t>
  </si>
  <si>
    <t>Investment Properties and Properties Held for Development</t>
  </si>
  <si>
    <t>Gross Investment Properties and Properties Held for Development</t>
  </si>
  <si>
    <t>Accumulated Depreciation of Investment Properties and Properties Held for Development</t>
  </si>
  <si>
    <t>Net Intangible Assets</t>
  </si>
  <si>
    <t>Gross Goodwill and Other Intangible Assets</t>
  </si>
  <si>
    <t>Trademarks and Patents</t>
  </si>
  <si>
    <t>Software and Technology</t>
  </si>
  <si>
    <t>Licenses and Rights</t>
  </si>
  <si>
    <t>Research and Development</t>
  </si>
  <si>
    <t>Customer Relationships</t>
  </si>
  <si>
    <t>Other Intangible Assets</t>
  </si>
  <si>
    <t>Accumulated Amortization and Impairment</t>
  </si>
  <si>
    <t>Accumulated Amortization of Intangible Assets</t>
  </si>
  <si>
    <t>Accumulated Amortization of Goodwill</t>
  </si>
  <si>
    <t>Accumulated Amortization of Intangibles other than Goodwill</t>
  </si>
  <si>
    <t>Accumulated Amortization of Trademarks and Patents</t>
  </si>
  <si>
    <t>Accumulated Amortization of Software and Technology</t>
  </si>
  <si>
    <t>Accumulated Amortization of Licences and Rights</t>
  </si>
  <si>
    <t>Accumulated Amortization of Research and Development</t>
  </si>
  <si>
    <t>Accumulated Amortization of Customer Relationships</t>
  </si>
  <si>
    <t>Accumulated Amortization of Other Intangible Assets</t>
  </si>
  <si>
    <t>Accumulated Impairment of Intangible Assets</t>
  </si>
  <si>
    <t>Accumulated Impairment of Goodwill</t>
  </si>
  <si>
    <t>Accumulated Impairment of Other Intangible Assets</t>
  </si>
  <si>
    <t>Biological Assets</t>
  </si>
  <si>
    <t>Gross Biological Assets</t>
  </si>
  <si>
    <t>Accumulated Depreciation and Amortization of Biological Assets</t>
  </si>
  <si>
    <t>Total Long Term Investments</t>
  </si>
  <si>
    <t>Long Term Equity Investments</t>
  </si>
  <si>
    <t>Investments in Subsidiaries</t>
  </si>
  <si>
    <t>Investments in Associates</t>
  </si>
  <si>
    <t>Investments in Joint Ventures</t>
  </si>
  <si>
    <t>Investments in Other Ventures under Equity Method</t>
  </si>
  <si>
    <t>Investment in Financial Assets, Non-Current</t>
  </si>
  <si>
    <t>Trading Securities/Assets, Non-Current</t>
  </si>
  <si>
    <t>Debt Securities, Non-Current</t>
  </si>
  <si>
    <t>Equity Securities/Shares, Non-Current</t>
  </si>
  <si>
    <t>Financial Assets Designated as Fair Value Through Profit or Loss, Non-Current</t>
  </si>
  <si>
    <t>Financial Investment Securities, Available-for-Sale &amp; Held-to-Maturity, Non-Current</t>
  </si>
  <si>
    <t>Available-for-Sale Securities, Non-Current</t>
  </si>
  <si>
    <t>Held-to-Maturity Securities, Non-Current</t>
  </si>
  <si>
    <t>Other Financial Assets, Non-Current</t>
  </si>
  <si>
    <t>Other Investments, Non-Current</t>
  </si>
  <si>
    <t>Derivative Investment and Hedging Assets, Non-Current</t>
  </si>
  <si>
    <t>Trade and Other Receivables, Non-Current</t>
  </si>
  <si>
    <t>Trade/Accounts Receivable, Non-Current</t>
  </si>
  <si>
    <t>Loans Receivable, Non-Current</t>
  </si>
  <si>
    <t>Notes Receivable, Non-Current</t>
  </si>
  <si>
    <t>Finance Lease Receivable, Non-Current</t>
  </si>
  <si>
    <t>Taxes Receivable, Non-Current</t>
  </si>
  <si>
    <t>Amount Due from Related Parties, Non-Current</t>
  </si>
  <si>
    <t>Accrued Income/Unbilled Revenue/Cost in Excess of Billings, Non-Current</t>
  </si>
  <si>
    <t>Other Receivables, Non-Current</t>
  </si>
  <si>
    <t>General Allowance for Receivables and Write Offs, Non-Current</t>
  </si>
  <si>
    <t>Prepayments and Deposits, Non-Current</t>
  </si>
  <si>
    <t>Prepayments, Non-Current</t>
  </si>
  <si>
    <t>Deposits Paid for Business and Fixed Assets, Non-Current</t>
  </si>
  <si>
    <t>Inventories, Non-Current</t>
  </si>
  <si>
    <t>Cash Restricted or Pledged, Non-Current</t>
  </si>
  <si>
    <t>Deferred Tax Assets, Non-Current</t>
  </si>
  <si>
    <t>Deferred Costs/Assets, Non-Current</t>
  </si>
  <si>
    <t>Regulatory Assets, Non-Current</t>
  </si>
  <si>
    <t>Pension and Other Employee Benefits, Non-Current</t>
  </si>
  <si>
    <t>Assets Held for Sale/Discontinued Operations, Non-Current</t>
  </si>
  <si>
    <t>Other Non-Current Assets</t>
  </si>
  <si>
    <t>Total Liabilities</t>
  </si>
  <si>
    <t>Total Current Liabilities</t>
  </si>
  <si>
    <t>Payables and Accrued Expenses, Current</t>
  </si>
  <si>
    <t>Trade and Other Payables, Current</t>
  </si>
  <si>
    <t>Trade/Accounts Payable, Current</t>
  </si>
  <si>
    <t>Trade Notes Payable, Current</t>
  </si>
  <si>
    <t>Dividends Payable, Current</t>
  </si>
  <si>
    <t>Interest Payable, Current</t>
  </si>
  <si>
    <t>Amount Due to Related Parties/Shareholders, Current</t>
  </si>
  <si>
    <t>Taxes Payable, Current</t>
  </si>
  <si>
    <t>Income Tax Payable, Current</t>
  </si>
  <si>
    <t>Other Tax Payable, Current</t>
  </si>
  <si>
    <t>Other Payable, Current</t>
  </si>
  <si>
    <t>Accrued Expenses, Current</t>
  </si>
  <si>
    <t>Financial Liabilities, Current</t>
  </si>
  <si>
    <t>Current Debt and Capital Lease Obligation</t>
  </si>
  <si>
    <t>Current Debt</t>
  </si>
  <si>
    <t>Bank Overdraft, Current Debt</t>
  </si>
  <si>
    <t>Bank/Credit Facilities, Current Debt</t>
  </si>
  <si>
    <t>Commercial Paper</t>
  </si>
  <si>
    <t>Notes Payable, Current Debt</t>
  </si>
  <si>
    <t>Non-Interest-Bearing Borrowings, Current Debt</t>
  </si>
  <si>
    <t>Borrowings from Associates and Related Parties, Current Debt</t>
  </si>
  <si>
    <t>Other Loans, Current Debt</t>
  </si>
  <si>
    <t>Current Portion of Long Term Debt and Capital Lease</t>
  </si>
  <si>
    <t>Current Portion of Long Term Debt</t>
  </si>
  <si>
    <t>Convertible Loans/Debentures, Current Portion of LT Debt</t>
  </si>
  <si>
    <t>Bank/Institutional Loans, Current Portion of LT Debt</t>
  </si>
  <si>
    <t>Non-Interest-Bearing Borrowings, Current Portion of LT Debt</t>
  </si>
  <si>
    <t>Borrowings from Associates and Related Parties, Current Portion of LT Debt</t>
  </si>
  <si>
    <t>Other Current Portion of LT Debt</t>
  </si>
  <si>
    <t>Capital Lease Obligations, Current</t>
  </si>
  <si>
    <t>Derivative and Hedging Liabilities, Current</t>
  </si>
  <si>
    <t>Other Financial Liabilities, Current</t>
  </si>
  <si>
    <t>Provisions, Current</t>
  </si>
  <si>
    <t>Provision for Employee Entitlements, Current</t>
  </si>
  <si>
    <t>Pension and Other Post-Retirement Benefit Plans, Current</t>
  </si>
  <si>
    <t>Other Employee-Related Liabilities, Current</t>
  </si>
  <si>
    <t>Provision for Mine Maintenance, Current</t>
  </si>
  <si>
    <t>Provision for Asset Retirement Obligation/Site Restoration and Rehabilitation, Current</t>
  </si>
  <si>
    <t>Other Provisions, Current</t>
  </si>
  <si>
    <t>Tax Liabilities, Current</t>
  </si>
  <si>
    <t>Deferred Tax Liabilities, Current</t>
  </si>
  <si>
    <t>Provision for Tax Liabilities, Current</t>
  </si>
  <si>
    <t>Deferred Liabilities, Current</t>
  </si>
  <si>
    <t>Deferred Income/Customer Advances/Billings in Excess of Cost, Current</t>
  </si>
  <si>
    <t>Other Deferred Liabilities, Current</t>
  </si>
  <si>
    <t>Regulatory Liabilities, Current</t>
  </si>
  <si>
    <t>Liabilities Held for Sale/Discontinued Operations, Current</t>
  </si>
  <si>
    <t>Other Current Liabilities</t>
  </si>
  <si>
    <t>Total Non-Current Liabilities</t>
  </si>
  <si>
    <t>Financial Liabilities, Non-Current</t>
  </si>
  <si>
    <t>Long Term Debt and Capital Lease Obligation</t>
  </si>
  <si>
    <t>Long Term Debt</t>
  </si>
  <si>
    <t>Notes Payables, Non-Current</t>
  </si>
  <si>
    <t>Convertible Debentures/Loans, Non-Current</t>
  </si>
  <si>
    <t>Bank/Institutional Loans, Non-Current</t>
  </si>
  <si>
    <t>Bank/Credit Facilities, Non-Current</t>
  </si>
  <si>
    <t>Non-Interest Bearing Borrowings, Non-Current</t>
  </si>
  <si>
    <t>Borrowings from Associates and Related Parties, Non-Current</t>
  </si>
  <si>
    <t>Other Loans, Non-Current</t>
  </si>
  <si>
    <t>Capital Lease Obligations, Non-Current</t>
  </si>
  <si>
    <t>Derivative and Hedging Liabilities, Non-Current</t>
  </si>
  <si>
    <t>Other Financial Liabilities, Non-Current</t>
  </si>
  <si>
    <t>Provisions, Non-Current</t>
  </si>
  <si>
    <t>Provision for Employee Entitlements, Non-Current</t>
  </si>
  <si>
    <t>Pension and Other Post-Retirement Benefit Plans, Non-Current</t>
  </si>
  <si>
    <t>Other Employee-Related Liabilities, Non-Current</t>
  </si>
  <si>
    <t>Provision for Mine Maintenance, Non-Current</t>
  </si>
  <si>
    <t>Provision for Asset Retirement Obligation/Site Restoration and Rehabilitation, Non-Current</t>
  </si>
  <si>
    <t>Other Provisions, Non-Current</t>
  </si>
  <si>
    <t>Tax Liabilities, Non-Current</t>
  </si>
  <si>
    <t>Deferred Tax Liabilities, Non-Current</t>
  </si>
  <si>
    <t>Provision for Tax Liabilities, Non-Current</t>
  </si>
  <si>
    <t>Deferred Liabilities, Non-Current</t>
  </si>
  <si>
    <t>Deferred Income/Customer Advances/Billings in Excess of Cost, Non-Current</t>
  </si>
  <si>
    <t>Other Deferred Liabilities, Non-Current</t>
  </si>
  <si>
    <t>Payables and Accrued Expenses, Non-Current</t>
  </si>
  <si>
    <t>Trade and Other Payables, Non-Current</t>
  </si>
  <si>
    <t>Trade/Accounts Payable, Non-Current</t>
  </si>
  <si>
    <t>Trade Notes Payable, Non-Current</t>
  </si>
  <si>
    <t>Taxes Payable, Non-Current</t>
  </si>
  <si>
    <t>Amount Due to Related Parties/Shareholders, Non-Current</t>
  </si>
  <si>
    <t>Other Payables, Non-Current</t>
  </si>
  <si>
    <t>Accrued Expenses, Non-Current</t>
  </si>
  <si>
    <t>Regulatory Liabilities, Non-Current</t>
  </si>
  <si>
    <t>Restricted Common Stock</t>
  </si>
  <si>
    <t>Liabilities Held for Sale/Discontinued Operations, Non-Current</t>
  </si>
  <si>
    <t>Other Non-Current Liabilities</t>
  </si>
  <si>
    <t>Preferred Securities Outside Stock Equity</t>
  </si>
  <si>
    <t>Total Equity</t>
  </si>
  <si>
    <t>Equity Attributable to Parent Stockholders</t>
  </si>
  <si>
    <t>Paid in Capital</t>
  </si>
  <si>
    <t>Capital Stock</t>
  </si>
  <si>
    <t>Common Stock</t>
  </si>
  <si>
    <t>Preferred Stock</t>
  </si>
  <si>
    <t>Additional Paid in Capital/Share Premium</t>
  </si>
  <si>
    <t>Capital Redemption</t>
  </si>
  <si>
    <t>Treasury Stock</t>
  </si>
  <si>
    <t>Stock Options/Warrants/DeferredShares/ConvertibleDebentures</t>
  </si>
  <si>
    <t>Stock Subscription</t>
  </si>
  <si>
    <t>Retained Earnings/Accumulated Deficit</t>
  </si>
  <si>
    <t>Reserves/Accumulated Comprehensive Income/Losses</t>
  </si>
  <si>
    <t>Surplus/Revenue Reserve</t>
  </si>
  <si>
    <t>Fixed Assets Revaluation Reserve</t>
  </si>
  <si>
    <t>Other Reserves/Accum. Comp. Inc</t>
  </si>
  <si>
    <t>Cumulative Foreign Exchange Translation Reserves/Accum. Comp. Inc</t>
  </si>
  <si>
    <t>Available for Sale Financial Investments Reserves/Accum. Comp. Inc</t>
  </si>
  <si>
    <t>Gain/Loss from Cash Flow Hedges Reserves/Accum. Comp. Inc</t>
  </si>
  <si>
    <t>Pension and Other Post-Retirement Benefit Plans Reserves/Accum. Comp. Inc</t>
  </si>
  <si>
    <t>Equity Attributable to Holders of Perpetual Capital Securities</t>
  </si>
  <si>
    <t>Other Equity Interest</t>
  </si>
  <si>
    <t>Total Partnership Capital</t>
  </si>
  <si>
    <t>Limited Partner Capital</t>
  </si>
  <si>
    <t>Common Unit</t>
  </si>
  <si>
    <t>Preferred Unit</t>
  </si>
  <si>
    <t>Subordinated Unit</t>
  </si>
  <si>
    <t>Treasury Unit</t>
  </si>
  <si>
    <t>General Partner Capital</t>
  </si>
  <si>
    <t>Retained Earnings/Accumulated Deficit, LP</t>
  </si>
  <si>
    <t>Reserves/Accumulated Comprehensive Income/Losses, LP</t>
  </si>
  <si>
    <t>Stock Options/Warrants/DeferredShares/ConvertibleDebentures, LP</t>
  </si>
  <si>
    <t>Other Partners Capital</t>
  </si>
  <si>
    <t>Balance Sheet Supplemental Section</t>
  </si>
  <si>
    <t>Common Shares Issued</t>
  </si>
  <si>
    <t>Common Shares Outstanding</t>
  </si>
  <si>
    <t>Common Shares Treasury</t>
  </si>
  <si>
    <t>Preferred Shares Issued</t>
  </si>
  <si>
    <t>Preferred Shares Outstanding</t>
  </si>
  <si>
    <t>Preferred Shares Treasury</t>
  </si>
  <si>
    <t>Total Employees</t>
  </si>
  <si>
    <t>Full Time Employees</t>
  </si>
  <si>
    <t>Part Time Employees</t>
  </si>
  <si>
    <t>Debt Maturity Schedule Total</t>
  </si>
  <si>
    <t>Debt due in Year 1</t>
  </si>
  <si>
    <t>Debt due in Year 2</t>
  </si>
  <si>
    <t>Debt due in Year 3</t>
  </si>
  <si>
    <t>Debt due in Year 4</t>
  </si>
  <si>
    <t>Debt due in Year 5</t>
  </si>
  <si>
    <t>Debt due Beyond</t>
  </si>
  <si>
    <t>Debt - Interests Charges and Other Adjustments</t>
  </si>
  <si>
    <t>Capital Lease Obligation Maturity Schedule Total</t>
  </si>
  <si>
    <t>Capital Lease due in Year 1</t>
  </si>
  <si>
    <t>Capital Lease due in Year 2</t>
  </si>
  <si>
    <t>Capital Lease due in Year 3</t>
  </si>
  <si>
    <t>Capital Lease due in Year 4</t>
  </si>
  <si>
    <t>Capital Lease due in Year 5</t>
  </si>
  <si>
    <t>Capital Lease due Beyond</t>
  </si>
  <si>
    <t>Capital Lease - Interests Charges and Other Adjustments</t>
  </si>
  <si>
    <t>Operating Lease due in Year 1</t>
  </si>
  <si>
    <t>Operating Lease due in Year 2</t>
  </si>
  <si>
    <t>Operating Lease due in Year 3</t>
  </si>
  <si>
    <t>Operating Lease due in Year 4</t>
  </si>
  <si>
    <t>Operating Lease due in Year 5</t>
  </si>
  <si>
    <t>Operating Lease due Beyond</t>
  </si>
  <si>
    <t>Operating Lease - Interests Charges and Other Adjustments</t>
  </si>
  <si>
    <t>Other Contractual Obligations Maturity Schedule Total</t>
  </si>
  <si>
    <t>Other Contractual Obligations due in Year 1</t>
  </si>
  <si>
    <t>Other Contractual Obligations due in Year 2</t>
  </si>
  <si>
    <t>Other Contractual Obligations due in Year 3</t>
  </si>
  <si>
    <t>Other Contractual Obligations due in Year 4</t>
  </si>
  <si>
    <t>Other Contractual Obligations due in Year 5</t>
  </si>
  <si>
    <t>Other Contractual Obligations due Beyond</t>
  </si>
  <si>
    <t>Total Lease Liability</t>
  </si>
  <si>
    <t>Total Contractual Obligations due in year 1</t>
  </si>
  <si>
    <t>Total Contractual Obligations due in year 2</t>
  </si>
  <si>
    <t>Total Contractual Obligations due in year 3</t>
  </si>
  <si>
    <t>Total Contractual Obligations due in year 4</t>
  </si>
  <si>
    <t>Total Contractual Obligations due in year 5</t>
  </si>
  <si>
    <t>Balance Sheet</t>
  </si>
  <si>
    <t>Income Statement</t>
  </si>
  <si>
    <t>Excise Taxes</t>
  </si>
  <si>
    <t>Sales Return and Allowances/Discounts</t>
  </si>
  <si>
    <t>Other Revenue</t>
  </si>
  <si>
    <t>Changes in Inventories</t>
  </si>
  <si>
    <t>Rent and Landing Fees, Cost of Revenue</t>
  </si>
  <si>
    <t>Taxes, Cost of Revenue</t>
  </si>
  <si>
    <t>Purchased Fuel, Power and Gas</t>
  </si>
  <si>
    <t>Operation Maintenance and Repairs</t>
  </si>
  <si>
    <t>Royalties, Cost</t>
  </si>
  <si>
    <t>Property Expenses and Hotel Operating Cost</t>
  </si>
  <si>
    <t>Staff Cost, Cost of Revenue</t>
  </si>
  <si>
    <t>Depreciation &amp; Amortization, Cost of Revenue</t>
  </si>
  <si>
    <t>Other Cost of Revenue</t>
  </si>
  <si>
    <t>Staff Costs</t>
  </si>
  <si>
    <t>Wages and Salaries</t>
  </si>
  <si>
    <t>Social Security Costs</t>
  </si>
  <si>
    <t>Pension and Other Employee Benefits Costs</t>
  </si>
  <si>
    <t>Stock-Based Compensation</t>
  </si>
  <si>
    <t>Directors' Remuneration</t>
  </si>
  <si>
    <t>Other Staff Costs</t>
  </si>
  <si>
    <t>Advisory/Management Fees</t>
  </si>
  <si>
    <t>Legal, Accounting, Auditing and Consulting Fees</t>
  </si>
  <si>
    <t>Legal Fees</t>
  </si>
  <si>
    <t>Auditor Fees</t>
  </si>
  <si>
    <t>Non-Audit Fees Paid to Auditor</t>
  </si>
  <si>
    <t>Other Professional Accounting and Consulting Fees</t>
  </si>
  <si>
    <t>Telecommunication Expense</t>
  </si>
  <si>
    <t>Insurance and Claims</t>
  </si>
  <si>
    <t>Rent Expense</t>
  </si>
  <si>
    <t>Selling and Marketing Expenses</t>
  </si>
  <si>
    <t>Operation and Maintenance Expenses</t>
  </si>
  <si>
    <t>Exploration Expenses</t>
  </si>
  <si>
    <t>Depletion</t>
  </si>
  <si>
    <t>Accretion of Asset Retirement Obligation</t>
  </si>
  <si>
    <t>Taxes Other Than Income Taxes</t>
  </si>
  <si>
    <t>Provision Expense/Write-Back</t>
  </si>
  <si>
    <t>Provision for Doubtful Accounts</t>
  </si>
  <si>
    <t>Other Provision Expense/Write-Back</t>
  </si>
  <si>
    <t>Income from Grants Received, Operating</t>
  </si>
  <si>
    <t>Other Income, Operating</t>
  </si>
  <si>
    <t>Other Expenses, Operating</t>
  </si>
  <si>
    <t>Gross Interest</t>
  </si>
  <si>
    <t>Interest Capitalized</t>
  </si>
  <si>
    <t>Interest Income</t>
  </si>
  <si>
    <t>Other Finance Income/Expenses</t>
  </si>
  <si>
    <t>Other Finance Income</t>
  </si>
  <si>
    <t>Other Finance Expenses</t>
  </si>
  <si>
    <t>Amortization and Accretion of Securities</t>
  </si>
  <si>
    <t>Dividend and Investment Income</t>
  </si>
  <si>
    <t>Gain/Loss on Investments and Other Financial Instruments</t>
  </si>
  <si>
    <t>Fair Value or Unrealized Gain/Loss on Financial Assets</t>
  </si>
  <si>
    <t>Income from Associates, Joint Ventures and Other Participating Interests</t>
  </si>
  <si>
    <t>Share of Profit and Interest from Associates</t>
  </si>
  <si>
    <t>Share of Profit and Interest from Joint Ventures</t>
  </si>
  <si>
    <t>Income from Other Participating Interests</t>
  </si>
  <si>
    <t>Gain/Loss on Investment Properties</t>
  </si>
  <si>
    <t>Fair Value Gain/Loss on Investment Properties</t>
  </si>
  <si>
    <t>Gain/Loss on Disposal of Investment Properties</t>
  </si>
  <si>
    <t>Gain/Loss on Foreign Exchange</t>
  </si>
  <si>
    <t>Realized Gain/Loss on Foreign Exchange</t>
  </si>
  <si>
    <t>Unrealized Gain/Loss on Foreign Exchange</t>
  </si>
  <si>
    <t>Gain/Loss on Derivatives</t>
  </si>
  <si>
    <t>Realized Gain/Loss on Derivatives</t>
  </si>
  <si>
    <t>Unrealized Gain/Loss on Derivatives</t>
  </si>
  <si>
    <t>Other Investment Income</t>
  </si>
  <si>
    <t>Rental Income</t>
  </si>
  <si>
    <t>Disposal of Businesses</t>
  </si>
  <si>
    <t>Discontinued Operations, Pre-Tax</t>
  </si>
  <si>
    <t>Goodwill Impairment/Write Off</t>
  </si>
  <si>
    <t>Impairment/Write Off/Write Down of Other Assets</t>
  </si>
  <si>
    <t>Gain/Loss on Extinguishment of Debt</t>
  </si>
  <si>
    <t>Debt Restructuring</t>
  </si>
  <si>
    <t>Litigation Income/Expense</t>
  </si>
  <si>
    <t>Merger and Acquisition Income/Expense</t>
  </si>
  <si>
    <t>Restructuring and Reorganization Income/Expense</t>
  </si>
  <si>
    <t>Preferred Dividend, Pre-Tax Distribution</t>
  </si>
  <si>
    <t>Current Tax</t>
  </si>
  <si>
    <t>Deferred Tax</t>
  </si>
  <si>
    <t>Domestic Tax</t>
  </si>
  <si>
    <t>Foreign Tax</t>
  </si>
  <si>
    <t>Other Tax</t>
  </si>
  <si>
    <t>Earnings from Equity Interest, Post-Tax</t>
  </si>
  <si>
    <t>Extraordinary Items</t>
  </si>
  <si>
    <t>Other Net of Taxes Adjustments</t>
  </si>
  <si>
    <t>Preferred Stock Dividends</t>
  </si>
  <si>
    <t>Convertible Preferred Stock Dividends</t>
  </si>
  <si>
    <t>Other Adjustments to Net Income Available to Common Stockholders</t>
  </si>
  <si>
    <t>Dilution to Earnings</t>
  </si>
  <si>
    <t>Net Income Allocated to Common Unitholders</t>
  </si>
  <si>
    <t>Net Income Allocated to Limited Partner</t>
  </si>
  <si>
    <t>Net Income Attributable to the Company, LP</t>
  </si>
  <si>
    <t>Net Income Including Non-Controlling Interests, LP</t>
  </si>
  <si>
    <t>Non-Controlling Interests, LP</t>
  </si>
  <si>
    <t>Preferred Interest, LP</t>
  </si>
  <si>
    <t>Other Adjustments to Net Income Attributable to the Company</t>
  </si>
  <si>
    <t>Net Income Allocated to General Partner</t>
  </si>
  <si>
    <t>Other Partner Equity, LP</t>
  </si>
  <si>
    <t>Net Income Allocated to Subordinate Unitholders</t>
  </si>
  <si>
    <t>Special Dividend Per Share</t>
  </si>
  <si>
    <t>Preferred Dividend Per Share</t>
  </si>
  <si>
    <t>Total Gross Dividends</t>
  </si>
  <si>
    <t>Common Shares Gross Dividends</t>
  </si>
  <si>
    <t>Special Gross Dividends</t>
  </si>
  <si>
    <t>Preferred Gross Dividends</t>
  </si>
  <si>
    <t>Cash Flows from/Used in Operating Activities, Direct</t>
  </si>
  <si>
    <t>Net Cash Flow from Continuing Operating Activities, Direct</t>
  </si>
  <si>
    <t>Cash Receipts from Operating Activities, Direct</t>
  </si>
  <si>
    <t>Receipts from Customers, Direct</t>
  </si>
  <si>
    <t>Receipts from Tax Refunds, Direct</t>
  </si>
  <si>
    <t>Receipts from Government Grants, Direct</t>
  </si>
  <si>
    <t>Dividends Received, Direct</t>
  </si>
  <si>
    <t>Interest Received, Direct</t>
  </si>
  <si>
    <t>Other Cash Receipts from Operating Activities, Direct</t>
  </si>
  <si>
    <t>Cash Payments from Operating Activities, Direct</t>
  </si>
  <si>
    <t>Payments to Suppliers for Goods and Services, Direct</t>
  </si>
  <si>
    <t>Payments to Employees, Direct</t>
  </si>
  <si>
    <t>Taxes Paid, Direct</t>
  </si>
  <si>
    <t>Dividends Paid, CFO Direct</t>
  </si>
  <si>
    <t>Common Stock Dividend Paid, CFO Direct</t>
  </si>
  <si>
    <t>Preferred Stock Dividend Paid, CFO Direct</t>
  </si>
  <si>
    <t>Interest Paid, Direct</t>
  </si>
  <si>
    <t>Other Cash Payments from Operating Activities, Direct</t>
  </si>
  <si>
    <t>Net Cash Flow from Discontinued Operating Activities, Direct</t>
  </si>
  <si>
    <t>Cash Flow from Operating Activities, Indirect</t>
  </si>
  <si>
    <t>Net Cash Flow from Continuing Operating Activities, Indirect</t>
  </si>
  <si>
    <t>Income/Loss before Non-Cash Adjustment</t>
  </si>
  <si>
    <t>Total Adjustments for Non-Cash Items</t>
  </si>
  <si>
    <t>Depletion, Non-Cash Adjustment</t>
  </si>
  <si>
    <t>Amortization of Securities, Non-Cash Adjustment</t>
  </si>
  <si>
    <t>Pension and Employee Benefit Expense, Non-Cash Adjustment</t>
  </si>
  <si>
    <t>Excess Tax Benefit from Stock-Based Compensation, Non-Cash Adjustment</t>
  </si>
  <si>
    <t>Stock-Based Compensation, Non-Cash Adjustment</t>
  </si>
  <si>
    <t>Taxes, Non-Cash Adjustment</t>
  </si>
  <si>
    <t>Minority Interest, Non-Cash Adjustment</t>
  </si>
  <si>
    <t>Interest and Finance Income/Expenses, Non-Cash Adjustment</t>
  </si>
  <si>
    <t>Allowance for Funds Used During Construction, Non-Cash Adjustment</t>
  </si>
  <si>
    <t>Other Provisions, Non-Cash Adjustment</t>
  </si>
  <si>
    <t>Net Investment Income/Loss, Non-Cash Adjustment</t>
  </si>
  <si>
    <t>Dividend and Interest Income, Non-Cash Adjustment</t>
  </si>
  <si>
    <t>Gain/Loss on Financial Instruments, Non-Cash Adjustment</t>
  </si>
  <si>
    <t>Unrealized Gain/Loss on Financial Instruments, Non-Cash Adjustment</t>
  </si>
  <si>
    <t>Gain/Loss on Derivatives, Non-Cash Adjustment</t>
  </si>
  <si>
    <t>Gain/Loss on Investment Properties, Non-Cash Adjustment</t>
  </si>
  <si>
    <t>Unrealized Gain/Loss on Investment Properties, Non-Cash Adjustment</t>
  </si>
  <si>
    <t>Share of Profit/Loss from Associates, Joint Ventures and other Equity Investments, Non-Cash Adjustment</t>
  </si>
  <si>
    <t>Net Foreign Exchange Gain/Loss, Non-Cash Adjustment</t>
  </si>
  <si>
    <t>Gain/Loss on Other Investments, Non-Cash Adjustment</t>
  </si>
  <si>
    <t>Irregular Income/Loss, Non-Cash Adjustment</t>
  </si>
  <si>
    <t>Gain/Loss on Disposals, Non-Cash Adjustment</t>
  </si>
  <si>
    <t>Gain/Loss on Disposal/Sale of Fixed Assets, Non-Cash Adjustment</t>
  </si>
  <si>
    <t>Gain/Loss on Disposal/Sale of Business, Non-Cash Adjustment</t>
  </si>
  <si>
    <t>Gain/Loss on Disposal/Sale of Other Assets, Non-Cash Adjustment</t>
  </si>
  <si>
    <t>Accretion of Asset Retirement Obligation, Non-Cash Adjustment</t>
  </si>
  <si>
    <t>Impairment/Write Off/Write Down of Capital Assets Loss/Reversal, Non-Cash Adjustment</t>
  </si>
  <si>
    <t>Impairment/Write Off/Write Down of Other Assets, Non-Cash Adjustment</t>
  </si>
  <si>
    <t>Gain/Loss on Extinguishment of Debt, Non-Cash Adjustment</t>
  </si>
  <si>
    <t>Impairment of Goodwill, Non-Cash Adjustment</t>
  </si>
  <si>
    <t>Reorganization and M&amp;A, Non-Cash Adjustment</t>
  </si>
  <si>
    <t>Other Irregular Income/Loss, Non-Cash Adjustment</t>
  </si>
  <si>
    <t>Other Operating Gain/Loss, Non-Cash Adjustment</t>
  </si>
  <si>
    <t>Other Non-Cash Items</t>
  </si>
  <si>
    <t>Changes in Operating Capital</t>
  </si>
  <si>
    <t>Change in Inventories</t>
  </si>
  <si>
    <t>Change in Trade and Other Receivables</t>
  </si>
  <si>
    <t>Change in Trade/Accounts Receivable</t>
  </si>
  <si>
    <t>Change in Loans Receivable</t>
  </si>
  <si>
    <t>Change in Notes Receivable</t>
  </si>
  <si>
    <t>Change in Finance Lease Receivable</t>
  </si>
  <si>
    <t>Change in Dividends Receivable</t>
  </si>
  <si>
    <t>Change in Tax Receivables</t>
  </si>
  <si>
    <t>Change in Accrued Income/Unbilled Revenue/Cost in Excess of Billings</t>
  </si>
  <si>
    <t>Change in Interest Receivables</t>
  </si>
  <si>
    <t>Change in Other Receivables</t>
  </si>
  <si>
    <t>Change in Prepayments and Deposits</t>
  </si>
  <si>
    <t>Change in Cash Restricted or Pledged</t>
  </si>
  <si>
    <t>Change in Other Current Assets</t>
  </si>
  <si>
    <t>Change in Payables and Accrued Expenses</t>
  </si>
  <si>
    <t>Change in Trade and Other Payables</t>
  </si>
  <si>
    <t>Change in Trade/Accounts Payable</t>
  </si>
  <si>
    <t>Change in Trade Notes Payable</t>
  </si>
  <si>
    <t>Change in Dividends Payable</t>
  </si>
  <si>
    <t>Change in Interest Payables</t>
  </si>
  <si>
    <t>Change in Taxes Payable</t>
  </si>
  <si>
    <t>Change in Other Payables</t>
  </si>
  <si>
    <t>Change in Accrued Expenses</t>
  </si>
  <si>
    <t>Change in Provisions</t>
  </si>
  <si>
    <t>Change in Deferred Assets/Liabilities</t>
  </si>
  <si>
    <t>Change in Other Current Liabilities</t>
  </si>
  <si>
    <t>Change in Other Operating Capital</t>
  </si>
  <si>
    <t>Dividend Paid, CFO Indirect</t>
  </si>
  <si>
    <t>Common Stock Dividend Paid, CFO Indirect</t>
  </si>
  <si>
    <t>Preferred Stock Dividend Paid, CFO Indirect</t>
  </si>
  <si>
    <t>Dividend Received, CFO Indirect</t>
  </si>
  <si>
    <t>Interest Paid, CFO Indirect</t>
  </si>
  <si>
    <t>Interest Received, CFO Indirect</t>
  </si>
  <si>
    <t>Taxes Refund/Paid, Indirect</t>
  </si>
  <si>
    <t>Net Cash Flow from Discontinued Operating Activities</t>
  </si>
  <si>
    <t>Cash Flow from Investing Activities</t>
  </si>
  <si>
    <t>Cash Flow from Continuing Investing Activities</t>
  </si>
  <si>
    <t>Capital Expenditure, Reported</t>
  </si>
  <si>
    <t>Payment for Loan Granted and Repayments Received, Net</t>
  </si>
  <si>
    <t>Cash Advances and Loans Made to Other Parties</t>
  </si>
  <si>
    <t>Cash Receipts from Repayment of Advances and Loans Made to Other Parties</t>
  </si>
  <si>
    <t>Exploration and Mine Development Costs</t>
  </si>
  <si>
    <t>Purchase/Sale and Disposal of Property, Plant and Equipment, Net</t>
  </si>
  <si>
    <t>Purchase of Property, Plant and Equipment</t>
  </si>
  <si>
    <t>Purchase of Mineral Properties/Rights/Interests</t>
  </si>
  <si>
    <t>Sale and Disposal of Property, Plant and Equipment</t>
  </si>
  <si>
    <t>Sale of Mineral Properties/Rights/Interests</t>
  </si>
  <si>
    <t>Purchase/Sale of Intangibles, Net</t>
  </si>
  <si>
    <t>Purchase of Intangibles</t>
  </si>
  <si>
    <t>Sale of Intangibles</t>
  </si>
  <si>
    <t>Purchase/Sale of Business, Net</t>
  </si>
  <si>
    <t>Purchase/Acquisition of Business</t>
  </si>
  <si>
    <t>Sale of Business</t>
  </si>
  <si>
    <t>Purchase/Sale of Equity Investments</t>
  </si>
  <si>
    <t>Purchase of Joint Venture/Associate</t>
  </si>
  <si>
    <t>Sale of Joint Venture/Associate</t>
  </si>
  <si>
    <t>Purchase/Sale of Investment Properties, Net</t>
  </si>
  <si>
    <t>Purchase of Investment Properties</t>
  </si>
  <si>
    <t>Sale of Investment Properties</t>
  </si>
  <si>
    <t>Purchase/Sale of Investments, Net</t>
  </si>
  <si>
    <t>Purchase of Investments</t>
  </si>
  <si>
    <t>Sale of Investments</t>
  </si>
  <si>
    <t>Purchase/Sale of Other Non-Current Assets, Net</t>
  </si>
  <si>
    <t>Purchase of Other Non-Current Assets</t>
  </si>
  <si>
    <t>Sales of Other Non-Current Assets</t>
  </si>
  <si>
    <t>Change in Restricted Cash and Cash Equivalents</t>
  </si>
  <si>
    <t>Dividends Received/Paid, CFI</t>
  </si>
  <si>
    <t>Interest Received/Paid, CFI</t>
  </si>
  <si>
    <t>Net Cash Flow from Discontinued Investing Activities</t>
  </si>
  <si>
    <t>Cash Flow from Financing Activities</t>
  </si>
  <si>
    <t>Cash Flow from Continuing Financing Activities</t>
  </si>
  <si>
    <t>Issuance of/Payments for Common Stock, Net</t>
  </si>
  <si>
    <t>Proceeds from Issuance of Common Stock</t>
  </si>
  <si>
    <t>Payments for Common Stock</t>
  </si>
  <si>
    <t>Issuance of/Payments for Preferred Stock, Net</t>
  </si>
  <si>
    <t>Proceeds from Issuance of Preferred Stock</t>
  </si>
  <si>
    <t>Payments for Preferred Stock</t>
  </si>
  <si>
    <t>Issuance of/Repayments for Debt, Net</t>
  </si>
  <si>
    <t>Issuance of/Repayments for Short Term Debt, Net</t>
  </si>
  <si>
    <t>Proceeds from Issuance of Short Term Debt</t>
  </si>
  <si>
    <t>Repayments for Short Term Debt</t>
  </si>
  <si>
    <t>Issuance of/Repayments for Long Term Debt, Net</t>
  </si>
  <si>
    <t>Proceeds from Issuance of Long Term Debt</t>
  </si>
  <si>
    <t>Repayments for Long Term Debt</t>
  </si>
  <si>
    <t>Issuance of/Repayments for Lease Financing</t>
  </si>
  <si>
    <t>Proceeds from Lease Financing</t>
  </si>
  <si>
    <t>Repayments for Lease Financing</t>
  </si>
  <si>
    <t>Issuance of/Repayments for Partners Equity, Net</t>
  </si>
  <si>
    <t>Proceeds from Issuance of Limited Partner Units</t>
  </si>
  <si>
    <t>Proceeds from Issuance of General Units</t>
  </si>
  <si>
    <t>Repayment for Limited Partner Units</t>
  </si>
  <si>
    <t>Repayment for General Units</t>
  </si>
  <si>
    <t>Net Movement in Non-Controlling/Minority Interest</t>
  </si>
  <si>
    <t>Issue and Financing Costs</t>
  </si>
  <si>
    <t>Share Issuance Costs</t>
  </si>
  <si>
    <t>Debt Issuance Costs</t>
  </si>
  <si>
    <t>Cash Dividends and Interest Paid</t>
  </si>
  <si>
    <t>Cash Dividends Paid</t>
  </si>
  <si>
    <t>Common Stock Dividends Paid</t>
  </si>
  <si>
    <t>Preferred Stock Dividends Paid</t>
  </si>
  <si>
    <t>Interest Paid, CFF</t>
  </si>
  <si>
    <t>Cash Dividends Paid to Non-Controlling/Minority Interests</t>
  </si>
  <si>
    <t>Excess Tax Benefit from Share-Based Compensation, Financing Activities</t>
  </si>
  <si>
    <t>Proceeds from Issuance/Exercising of Stock Options/Warrants</t>
  </si>
  <si>
    <t>Net Cash Flow from Discontinued Financing Activities</t>
  </si>
  <si>
    <t>Cash Flow from Discontinued Operation, Included in Net Change in Cash</t>
  </si>
  <si>
    <t>Other Cash Adjustments Included in Change in Cash</t>
  </si>
  <si>
    <t>Cash and Cash Equivalents, End of Period</t>
  </si>
  <si>
    <t>Change in Cash</t>
  </si>
  <si>
    <t>Effect of Exchange Rate Changes</t>
  </si>
  <si>
    <t>Other Changes</t>
  </si>
  <si>
    <t>Cash and Cash Equivalents, Beginning of Period</t>
  </si>
  <si>
    <t>Change in Cash as Reported, Supplemental</t>
  </si>
  <si>
    <t>Income Tax Paid, Supplemental</t>
  </si>
  <si>
    <t>Income Tax Refund, Supplemental</t>
  </si>
  <si>
    <t>Interest Paid, Supplemental</t>
  </si>
  <si>
    <t>Interest Received, Supplemental</t>
  </si>
  <si>
    <t>Total Net Change in Cash</t>
  </si>
  <si>
    <t>Reported Basic FFO per Share</t>
  </si>
  <si>
    <t>Reported Basic AFFO per Share</t>
  </si>
  <si>
    <t>Reported Diluted FFO</t>
  </si>
  <si>
    <t>Reported Diluted AFFO</t>
  </si>
  <si>
    <t>Reported Diluted FFO per Share</t>
  </si>
  <si>
    <t>Reported Diluted AFFO per Share</t>
  </si>
  <si>
    <t>Low</t>
  </si>
  <si>
    <t>High</t>
  </si>
  <si>
    <t>Extreme</t>
  </si>
  <si>
    <t>Very High</t>
  </si>
  <si>
    <t>Non-Controlling/Minority Interests (Income Statement)</t>
  </si>
  <si>
    <t>Exploration, Development and Mineral Property Lease Expenses, Cost of Revenue</t>
  </si>
  <si>
    <t>Capital/Share Premium Reserve</t>
  </si>
  <si>
    <t>Non-Controlling/Minority Interests (Balance Sheet)</t>
  </si>
  <si>
    <t>Total Liabilities as Reported</t>
  </si>
  <si>
    <t>Total Equity as Reported</t>
  </si>
  <si>
    <t>Basic Net Asset Value (NAV)</t>
  </si>
  <si>
    <t>Basic Net Asset Value (NAV) per Share</t>
  </si>
  <si>
    <t>Diluted Net Asset Value (NAV)</t>
  </si>
  <si>
    <t>Diluted Net Asset Value (NAV) per Share</t>
  </si>
  <si>
    <t>Operating Lease Obligation Maturity Schedule Total</t>
  </si>
  <si>
    <t>Other Contractual Obligations - Interest Charges and Other Adjustments</t>
  </si>
  <si>
    <t>Total Lease Liability - Due in year 1</t>
  </si>
  <si>
    <t>Total Lease Liability - Due in year 2</t>
  </si>
  <si>
    <t>Total Lease Liability - Due in year 3</t>
  </si>
  <si>
    <t>Total Lease Liability - Due in year 4</t>
  </si>
  <si>
    <t>Total Lease Liability - Due in year 5</t>
  </si>
  <si>
    <t>Total Lease Liability - Beyond</t>
  </si>
  <si>
    <t>Total Lease Liability - Interest Charges and Other Adjustments</t>
  </si>
  <si>
    <t>Total Contractual Obligations</t>
  </si>
  <si>
    <t>Total Contractual Obligations - Interests Charges and Other Adjustments</t>
  </si>
  <si>
    <t>Total Contractual Obligations due Beyond</t>
  </si>
  <si>
    <t>Reported Basic Funds from Operations (FFO)</t>
  </si>
  <si>
    <t>Reported Basic Adjusted Funds from Operations (AFFO)</t>
  </si>
  <si>
    <t>+</t>
  </si>
  <si>
    <t>-</t>
  </si>
  <si>
    <t>Last Fiscal Year End Date</t>
  </si>
  <si>
    <t>Year-End Diluted Shares Outstanding</t>
  </si>
  <si>
    <t>Model Rating</t>
  </si>
  <si>
    <t>Standard</t>
  </si>
  <si>
    <t>Stage II/III Methodology</t>
  </si>
  <si>
    <t>Thousands</t>
  </si>
  <si>
    <t>Millions</t>
  </si>
  <si>
    <t>Billions</t>
  </si>
  <si>
    <t>USD</t>
  </si>
  <si>
    <t>EUR</t>
  </si>
  <si>
    <t>CAD</t>
  </si>
  <si>
    <t>GBP</t>
  </si>
  <si>
    <t>RMB</t>
  </si>
  <si>
    <t>JPY</t>
  </si>
  <si>
    <t>NATIVE</t>
  </si>
  <si>
    <t>EBIT</t>
  </si>
  <si>
    <t>Sign</t>
  </si>
  <si>
    <t>Bull</t>
  </si>
  <si>
    <t>Base</t>
  </si>
  <si>
    <t>Bear</t>
  </si>
  <si>
    <t>Adjusted Diluted EPS</t>
  </si>
  <si>
    <t>Forecast</t>
  </si>
  <si>
    <t>Last Price</t>
  </si>
  <si>
    <t>Fair Value Estimate</t>
  </si>
  <si>
    <t>Market Cap</t>
  </si>
  <si>
    <t>Economic Moat</t>
  </si>
  <si>
    <t>None</t>
  </si>
  <si>
    <t>Moat Trend</t>
  </si>
  <si>
    <t>Stable</t>
  </si>
  <si>
    <t>Moat</t>
  </si>
  <si>
    <t>Wide</t>
  </si>
  <si>
    <t>Narrow</t>
  </si>
  <si>
    <t>Positive</t>
  </si>
  <si>
    <t>Negative</t>
  </si>
  <si>
    <t>Capital Allocation</t>
  </si>
  <si>
    <t>Uncertainty</t>
  </si>
  <si>
    <t>Exemplary</t>
  </si>
  <si>
    <t>Poor</t>
  </si>
  <si>
    <t>QQQQQ</t>
  </si>
  <si>
    <t>Cash Reconciliation</t>
  </si>
  <si>
    <t>Cash from Working Capital</t>
  </si>
  <si>
    <t xml:space="preserve"> - Oper. Lease Obligation</t>
  </si>
  <si>
    <t>Dividends Per Share</t>
  </si>
  <si>
    <t>Payout Ratio</t>
  </si>
  <si>
    <t>Common Dividends Per Share</t>
  </si>
  <si>
    <t>Special Dividends Per Share</t>
  </si>
  <si>
    <t>Exchange:Symbol</t>
  </si>
  <si>
    <t>Terminal Assumptions</t>
  </si>
  <si>
    <t>Cost of Capital</t>
  </si>
  <si>
    <t>Debt Share</t>
  </si>
  <si>
    <t>Equity Share</t>
  </si>
  <si>
    <t>Country Risk</t>
  </si>
  <si>
    <t>Scenarios</t>
  </si>
  <si>
    <t>User Defined 1</t>
  </si>
  <si>
    <t>User Defined 2</t>
  </si>
  <si>
    <t>User Defined 3</t>
  </si>
  <si>
    <t>Scenario</t>
  </si>
  <si>
    <t>Valuation</t>
  </si>
  <si>
    <t>Bull Value</t>
  </si>
  <si>
    <t>Bear Value</t>
  </si>
  <si>
    <t>Rolling Fair Value Estimate</t>
  </si>
  <si>
    <t>FX Rate (Reporting/Trading)</t>
  </si>
  <si>
    <t>ADR Conversion Rate</t>
  </si>
  <si>
    <t>User Value 1</t>
  </si>
  <si>
    <t>User Value 2</t>
  </si>
  <si>
    <t>User Value 3</t>
  </si>
  <si>
    <t>Non-Cash Items, From Cash Flows</t>
  </si>
  <si>
    <t>Adjusted Free Cash Flow To Firm</t>
  </si>
  <si>
    <t>Share Repurchases</t>
  </si>
  <si>
    <t>Dividend Payments</t>
  </si>
  <si>
    <t>Debt Maturity Schedule</t>
  </si>
  <si>
    <t>Capital Lease Obligations</t>
  </si>
  <si>
    <t>Cash Lease Obligations</t>
  </si>
  <si>
    <t>Debt Issuance</t>
  </si>
  <si>
    <t>Equity Issuance</t>
  </si>
  <si>
    <t>Cash, Post-Financing Activities</t>
  </si>
  <si>
    <t>Debt</t>
  </si>
  <si>
    <t>Capitalized Lease Obligations</t>
  </si>
  <si>
    <t>Debt + Lease Obligations</t>
  </si>
  <si>
    <t>Lease-Adjusted Debt/EBITDAR</t>
  </si>
  <si>
    <t>Net Lease Adjusted Debt/EBITDAR</t>
  </si>
  <si>
    <t>Refinancing Risk</t>
  </si>
  <si>
    <t>Contractual Obligations</t>
  </si>
  <si>
    <t>Other Obligations</t>
  </si>
  <si>
    <t>Cash Flow for Obligations</t>
  </si>
  <si>
    <t>Available Credit Facilities</t>
  </si>
  <si>
    <t>% ∆ YoY</t>
  </si>
  <si>
    <t>Name</t>
  </si>
  <si>
    <t>10 Years</t>
  </si>
  <si>
    <t>5 Years</t>
  </si>
  <si>
    <t>3 Years</t>
  </si>
  <si>
    <t>Trailing 12M</t>
  </si>
  <si>
    <t>1 Year</t>
  </si>
  <si>
    <t xml:space="preserve"> </t>
  </si>
  <si>
    <t>Annual Cash Surplus/(Shortage) Ex. Repurchase and Dividends</t>
  </si>
  <si>
    <t>Annual Cash Surplus/(Shortage)</t>
  </si>
  <si>
    <t>Alternative                Stage II/III Value</t>
  </si>
  <si>
    <t>Analyst</t>
  </si>
  <si>
    <t>Key ROIC Assumptions</t>
  </si>
  <si>
    <t>Cash Assumption</t>
  </si>
  <si>
    <t>% of Sales</t>
  </si>
  <si>
    <t>Operating Lease Multiplier</t>
  </si>
  <si>
    <t>Gross or Net Intangibles?</t>
  </si>
  <si>
    <t>Gross</t>
  </si>
  <si>
    <t>Include Goodwill</t>
  </si>
  <si>
    <t>Yes</t>
  </si>
  <si>
    <t>Estimated R&amp;D Useful Life</t>
  </si>
  <si>
    <t>R&amp;D Expense Capitalization %</t>
  </si>
  <si>
    <t>Estimated S&amp;M Useful Life</t>
  </si>
  <si>
    <t>S&amp;M Capitalization %</t>
  </si>
  <si>
    <t>Estimated Adv. Useful Life</t>
  </si>
  <si>
    <t>Advertising Capitalization %</t>
  </si>
  <si>
    <t>Estimated Other Useful Life</t>
  </si>
  <si>
    <t>Other Capitalization %</t>
  </si>
  <si>
    <t>Cumulative Economic Profit</t>
  </si>
  <si>
    <t>% of Market Cap</t>
  </si>
  <si>
    <t>Current Share Price Decomposition:</t>
  </si>
  <si>
    <t>Net Invested Capital:</t>
  </si>
  <si>
    <t>Current ROIC Value:</t>
  </si>
  <si>
    <t>Future Value Creation/Destruction</t>
  </si>
  <si>
    <t>Invested Capital</t>
  </si>
  <si>
    <t>Assumed Operating Cash</t>
  </si>
  <si>
    <t>All</t>
  </si>
  <si>
    <t>% of Total</t>
  </si>
  <si>
    <t>Working Capital Ex. Cash</t>
  </si>
  <si>
    <t>Adjusted Net Property, Plant and Equipment</t>
  </si>
  <si>
    <t>Estimated Remaining Life - Owned</t>
  </si>
  <si>
    <t>Net/Gross Ratio - Owned</t>
  </si>
  <si>
    <t>Operating Lease Expense</t>
  </si>
  <si>
    <t>Leased Asset Growth</t>
  </si>
  <si>
    <t>Portion of Acquisition Spending to PP&amp;E</t>
  </si>
  <si>
    <t>Net Intangibles other than Goodwill</t>
  </si>
  <si>
    <t>Estimated Remaining Life</t>
  </si>
  <si>
    <t>Net/Gross Ratio</t>
  </si>
  <si>
    <t>Portion of Acquisition Spending to Intangibles</t>
  </si>
  <si>
    <t>Net</t>
  </si>
  <si>
    <t>Portion of Acquisition Spending to Goodwill</t>
  </si>
  <si>
    <t>No</t>
  </si>
  <si>
    <t>Begin of Period Capitalized R&amp;D</t>
  </si>
  <si>
    <t>R&amp;D Amortization</t>
  </si>
  <si>
    <t>Capitalized R&amp;D (Period)</t>
  </si>
  <si>
    <t>End of Period Capitalized R&amp;D</t>
  </si>
  <si>
    <t>Long-Run Goodwill as % IC</t>
  </si>
  <si>
    <t>Begin of Period Capitalized Sales and Marketing</t>
  </si>
  <si>
    <t>Sales and Marketing Amortization</t>
  </si>
  <si>
    <t>Capitalized Sales and Marketing</t>
  </si>
  <si>
    <t>End of Period Capitalized Sales and Marketing</t>
  </si>
  <si>
    <t>Advertising Expense</t>
  </si>
  <si>
    <t>Begin of Period Capitalized Branding</t>
  </si>
  <si>
    <t>Advertising Amortization</t>
  </si>
  <si>
    <t>Capitalized Advertising</t>
  </si>
  <si>
    <t>End of Period Capitalized Branding</t>
  </si>
  <si>
    <t>Other Capitalized Operating Expenses</t>
  </si>
  <si>
    <t>Begin of Period Capitalized Other</t>
  </si>
  <si>
    <t>Other Amortization</t>
  </si>
  <si>
    <t>Capitalized Other</t>
  </si>
  <si>
    <t>End of Period Capitalized Other</t>
  </si>
  <si>
    <t>Operating Cash</t>
  </si>
  <si>
    <t>Working Capital, Ex. Cash</t>
  </si>
  <si>
    <t>PP&amp;E, Net; Including Leases</t>
  </si>
  <si>
    <t>GAAP Intangible Assets</t>
  </si>
  <si>
    <t>Capitalized R&amp;D</t>
  </si>
  <si>
    <t>Capitalized S&amp;M</t>
  </si>
  <si>
    <t>Capitalized Branding</t>
  </si>
  <si>
    <t>Capitalized Other Expenses</t>
  </si>
  <si>
    <t>Adjusted Economic Earnings Before Interest</t>
  </si>
  <si>
    <t>Interest Component of Lease Expense</t>
  </si>
  <si>
    <t>R&amp;D Expense Adjustment</t>
  </si>
  <si>
    <t>S&amp;M Expense Adjustment</t>
  </si>
  <si>
    <t>Advertising Expense Adjustment</t>
  </si>
  <si>
    <t>Other Capitalized Expense Adjustment</t>
  </si>
  <si>
    <t>Economic EBIT</t>
  </si>
  <si>
    <t>Economic EBIT Margin %</t>
  </si>
  <si>
    <t>10-Year Historical Average</t>
  </si>
  <si>
    <t>Invested Capital Turns</t>
  </si>
  <si>
    <t>Tax Expense (Long-run Tax Rate)</t>
  </si>
  <si>
    <t>Adjusted Economic EBI</t>
  </si>
  <si>
    <t>Capitalized Op. Costs</t>
  </si>
  <si>
    <t>Expensed Op. Costs</t>
  </si>
  <si>
    <t>Capital Spending</t>
  </si>
  <si>
    <t>Long-run Tax Rate</t>
  </si>
  <si>
    <t>Adj. Return on Invested Capital</t>
  </si>
  <si>
    <t>Economic Profit (m)</t>
  </si>
  <si>
    <t>PB ROIC</t>
  </si>
  <si>
    <t>Share Price (+90 Days; Trailing 30 Day VWAP)</t>
  </si>
  <si>
    <t>Balance Sheet Date</t>
  </si>
  <si>
    <t>FY Marker</t>
  </si>
  <si>
    <t>FY-9</t>
  </si>
  <si>
    <t>FY-8</t>
  </si>
  <si>
    <t>FY-7</t>
  </si>
  <si>
    <t>FY-6</t>
  </si>
  <si>
    <t>FY-5</t>
  </si>
  <si>
    <t>FY-4</t>
  </si>
  <si>
    <t>FY-3</t>
  </si>
  <si>
    <t>FY-2</t>
  </si>
  <si>
    <t>FY-1</t>
  </si>
  <si>
    <t>FY</t>
  </si>
  <si>
    <t>Castle Value</t>
  </si>
  <si>
    <t>Moat Value</t>
  </si>
  <si>
    <t>Future Expectations</t>
  </si>
  <si>
    <t>Excess Cash</t>
  </si>
  <si>
    <t>Debt, Preferred, and Minority Interest</t>
  </si>
  <si>
    <t>Net Invested Capital (Adjusted Book Value)</t>
  </si>
  <si>
    <t>Net Invested Capital ROIC-Implied Fair Value</t>
  </si>
  <si>
    <t>Net Invested Capital (Adjusted Book Value)/Share</t>
  </si>
  <si>
    <t>Net Invested Capital ROIC-Implied Fair Value/Share</t>
  </si>
  <si>
    <t>Residual Per Share</t>
  </si>
  <si>
    <t>Owned Gross Property, Plant, and Equipment</t>
  </si>
  <si>
    <t>Owned Net Property, Plant, and Equipment</t>
  </si>
  <si>
    <t>Share Based Compensation</t>
  </si>
  <si>
    <t>Stock Options</t>
  </si>
  <si>
    <t>Share Price</t>
  </si>
  <si>
    <t>Weighted Exercise Price</t>
  </si>
  <si>
    <t>Contractual Term (Years)</t>
  </si>
  <si>
    <t>Volatility</t>
  </si>
  <si>
    <t>Risk Free Rate</t>
  </si>
  <si>
    <t>Dividend Yield</t>
  </si>
  <si>
    <t>N(D1)</t>
  </si>
  <si>
    <t>N(D2)</t>
  </si>
  <si>
    <t>Black-Scholes Parameters</t>
  </si>
  <si>
    <t>Intrinsic Value Per Share</t>
  </si>
  <si>
    <t>EV Adjustment</t>
  </si>
  <si>
    <t>Restricted Stock</t>
  </si>
  <si>
    <t>Fair Value Per Share</t>
  </si>
  <si>
    <t>Reporting Currency</t>
  </si>
  <si>
    <t>Trading Currency</t>
  </si>
  <si>
    <t>Preferred Units</t>
  </si>
  <si>
    <t>Current Share Price</t>
  </si>
  <si>
    <t>Forecasts vs. Consensus</t>
  </si>
  <si>
    <t>Total Revenue Consensus Mean</t>
  </si>
  <si>
    <t>Gross Income Consensus Mean</t>
  </si>
  <si>
    <t>Free Cash Flow</t>
  </si>
  <si>
    <t>Free Cash Flow Consensus Mean</t>
  </si>
  <si>
    <t>EBITDA, Adjusted</t>
  </si>
  <si>
    <t>EBITDA (Normalized) Consensus Mean</t>
  </si>
  <si>
    <t>EBIT, Adjusted</t>
  </si>
  <si>
    <t>EBIT Consensus Mean</t>
  </si>
  <si>
    <t>Dividends Per Common Share</t>
  </si>
  <si>
    <t>Dividend per Share Consensus Mean</t>
  </si>
  <si>
    <t>Capital Expenditure Consensus Mean</t>
  </si>
  <si>
    <t>Consensus Functionality</t>
  </si>
  <si>
    <t>Drop Down</t>
  </si>
  <si>
    <t>PB Formula</t>
  </si>
  <si>
    <t>Diluted EPS (Normalized) Consensus Mean</t>
  </si>
  <si>
    <t>% Adjusted operating margin</t>
  </si>
  <si>
    <t>Unvested Shares Outstanding (Mil.)</t>
  </si>
  <si>
    <t>Unrecognized Comp. Cost (Mil.)</t>
  </si>
  <si>
    <t>Interest Expense (less tax-shield)</t>
  </si>
  <si>
    <t>CAGR Functionality</t>
  </si>
  <si>
    <t>Historical 5Y</t>
  </si>
  <si>
    <t>Forward 5Y</t>
  </si>
  <si>
    <t>Options Outstanding (Mil.)</t>
  </si>
  <si>
    <t>Net Income</t>
  </si>
  <si>
    <t>Adjustments</t>
  </si>
  <si>
    <t>Accounts Payable</t>
  </si>
  <si>
    <t>(Purchases)/Sales of Companies &amp; Assets</t>
  </si>
  <si>
    <t>After-tax Items</t>
  </si>
  <si>
    <t>Adjustments to Net Income</t>
  </si>
  <si>
    <t>Adjusted Net Income</t>
  </si>
  <si>
    <t>% of adjusted EBI</t>
  </si>
  <si>
    <t>Formula Currency</t>
  </si>
  <si>
    <t>Accounts Receivable</t>
  </si>
  <si>
    <t>Days inventory</t>
  </si>
  <si>
    <t>Days receivable</t>
  </si>
  <si>
    <t>Other Operating Assets</t>
  </si>
  <si>
    <t>Other Operating Liabilities</t>
  </si>
  <si>
    <t>Non-Operating Liabilities</t>
  </si>
  <si>
    <t>Non-Operating Assets</t>
  </si>
  <si>
    <t>Minority Interest</t>
  </si>
  <si>
    <t>Cash and Equivalents</t>
  </si>
  <si>
    <t>Inventory</t>
  </si>
  <si>
    <t>Other Intangibles</t>
  </si>
  <si>
    <t>Net Property, Plant, and Equipment</t>
  </si>
  <si>
    <t>Shareholder's Equity</t>
  </si>
  <si>
    <t>Cost of Goods Sold</t>
  </si>
  <si>
    <t>Diluted Earnings Per Share (Adjusted)</t>
  </si>
  <si>
    <t>Diluted Earnings Per Share (GAAP)</t>
  </si>
  <si>
    <t>Weighted Average Diluted Shares Outstanding</t>
  </si>
  <si>
    <t>(Minority Interest)</t>
  </si>
  <si>
    <t>Income Tax Expense</t>
  </si>
  <si>
    <t>(Capital Expenditures)</t>
  </si>
  <si>
    <t>Effective Income Tax Rate</t>
  </si>
  <si>
    <t>Days payable</t>
  </si>
  <si>
    <t>Net Debt</t>
  </si>
  <si>
    <t>Morningstar Contact Information</t>
  </si>
  <si>
    <t>Analyst Name</t>
  </si>
  <si>
    <t>Phone Number</t>
  </si>
  <si>
    <t>Email</t>
  </si>
  <si>
    <t>Analyst Note</t>
  </si>
  <si>
    <t>Financial Non-Cash (Gains)/Losses</t>
  </si>
  <si>
    <t>Irregular Cash (Gains)/Losses</t>
  </si>
  <si>
    <t>EBITDA Build-Up</t>
  </si>
  <si>
    <t xml:space="preserve">EBITDA </t>
  </si>
  <si>
    <t>Adjusted EBITDA</t>
  </si>
  <si>
    <t>Selling, General &amp; Administrative Expenses</t>
  </si>
  <si>
    <t>% of sales</t>
  </si>
  <si>
    <t>Depreciation &amp; Amortization</t>
  </si>
  <si>
    <t>Advertising &amp; Marketing Expenses</t>
  </si>
  <si>
    <t>Research &amp; Development</t>
  </si>
  <si>
    <t>Net New Investment (NNI) Less Amortization</t>
  </si>
  <si>
    <t>Fully Diluted Share Outstanding</t>
  </si>
  <si>
    <t>Fully Diluted Earnings Per Share (Adjusted)</t>
  </si>
  <si>
    <t>Fully Diluted Earnings Per Share (GAAP)</t>
  </si>
  <si>
    <t>Enterprise Value</t>
  </si>
  <si>
    <t>Debt/Adjusted EBITDA</t>
  </si>
  <si>
    <t>Net Debt/Adjusted EBITDA</t>
  </si>
  <si>
    <t>Adjusted EBITDA Margin</t>
  </si>
  <si>
    <t>Gross Profit Growth</t>
  </si>
  <si>
    <t>Adjusted EBIT Growth</t>
  </si>
  <si>
    <t>EBIT Growth</t>
  </si>
  <si>
    <t>Net Income Growth</t>
  </si>
  <si>
    <t>Adjusted Net Income Growth</t>
  </si>
  <si>
    <t>Diluted EPS Growth</t>
  </si>
  <si>
    <t>Adjusted Diluted EPS Growth</t>
  </si>
  <si>
    <t>Adjusted Fully Diluted EPS Growth</t>
  </si>
  <si>
    <t>Dividends Per Share Growth</t>
  </si>
  <si>
    <t>Adjusted EBITDA Growth</t>
  </si>
  <si>
    <t>Free Cash Flow to the Firm Growth</t>
  </si>
  <si>
    <t>Gross Margin</t>
  </si>
  <si>
    <t>Adjusted EBIT Margin</t>
  </si>
  <si>
    <t>Net Income Margin</t>
  </si>
  <si>
    <t>Adjusted Net Income Margin</t>
  </si>
  <si>
    <t>FCFF Margin</t>
  </si>
  <si>
    <t>Preferred Value</t>
  </si>
  <si>
    <t>Debt-to-Cap</t>
  </si>
  <si>
    <t>Net Debt to EBITDA</t>
  </si>
  <si>
    <t>Debt to EBITDA</t>
  </si>
  <si>
    <t>Debt to Adjusted EBITDA</t>
  </si>
  <si>
    <t>Net Debt to Adjusted EBITDA</t>
  </si>
  <si>
    <t>EBITDA to Net Interest Expense</t>
  </si>
  <si>
    <t>Adjusted EBITDA to Net Interest Expense</t>
  </si>
  <si>
    <t>Return on Assets</t>
  </si>
  <si>
    <t>Return on Equity</t>
  </si>
  <si>
    <t>Adjusted Return on Assets</t>
  </si>
  <si>
    <t>Adjusted Return on Equity</t>
  </si>
  <si>
    <t>Debt-to-Equity</t>
  </si>
  <si>
    <t>Adjusted EBI Growth</t>
  </si>
  <si>
    <t>EBIT to Net Interest Expense</t>
  </si>
  <si>
    <t>3Y Historical</t>
  </si>
  <si>
    <t>5Y Projected</t>
  </si>
  <si>
    <t>Debt to Capital</t>
  </si>
  <si>
    <t>Adjusted EBITDA / Net Interest</t>
  </si>
  <si>
    <t>Adjusted ROIC</t>
  </si>
  <si>
    <t>ROIC</t>
  </si>
  <si>
    <t>Adjusted EBIT</t>
  </si>
  <si>
    <t>EBI</t>
  </si>
  <si>
    <t>FCFF</t>
  </si>
  <si>
    <t>Earnings Yield</t>
  </si>
  <si>
    <t>Adjusted Earnings Yield</t>
  </si>
  <si>
    <t>Free Cash Flow Yield</t>
  </si>
  <si>
    <t>Adjusted Diluted EPS, after FX/ADR</t>
  </si>
  <si>
    <t>Dividends Per Share, after FX/ADR</t>
  </si>
  <si>
    <t>Adjusted Diluted EPS, FX/ADR</t>
  </si>
  <si>
    <t>Dividends, FX/ADR</t>
  </si>
  <si>
    <t>Adjusted Diluted EPS, after FX/ADR Growth</t>
  </si>
  <si>
    <t>Dividends Per Share, after FX/ADR Growth</t>
  </si>
  <si>
    <t>Reporting Frequency</t>
  </si>
  <si>
    <t>Net Interest Expense</t>
  </si>
  <si>
    <t>Multiples</t>
  </si>
  <si>
    <t>EV-to-Adjusted EBITDA</t>
  </si>
  <si>
    <t>EV-to-EBIT</t>
  </si>
  <si>
    <t>EV-to-EBITDA</t>
  </si>
  <si>
    <t>EV-to-FCFF</t>
  </si>
  <si>
    <t>EV-to-Sales</t>
  </si>
  <si>
    <t>Price-to-book</t>
  </si>
  <si>
    <t>Price-to-earnings</t>
  </si>
  <si>
    <t>Present</t>
  </si>
  <si>
    <t>Currency Exchange Rate</t>
  </si>
  <si>
    <t>Disclaimer</t>
  </si>
  <si>
    <t>Free Cash Flow (FCFF) Growth Rate 3-Yr Hist. CAGR</t>
  </si>
  <si>
    <t>Free Cash Flow (FCFF) Growth Rate 5-Yr Proj. CAGR</t>
  </si>
  <si>
    <t>IDB: ADR Conversion Rate</t>
  </si>
  <si>
    <t>IDB: Cash and Investments</t>
  </si>
  <si>
    <t>IDB: Cost of Equity</t>
  </si>
  <si>
    <t>IDB: Country Risk Premium</t>
  </si>
  <si>
    <t>IDB: Current Fiscal Year</t>
  </si>
  <si>
    <t>IDB: Debt</t>
  </si>
  <si>
    <t xml:space="preserve">IDB: Disclaimer </t>
  </si>
  <si>
    <t>IDB: Entity Identifier (Representative Instrument)</t>
  </si>
  <si>
    <t>IDB: Fair Value Estimate</t>
  </si>
  <si>
    <t>IDB: Foreign Exchange Rate</t>
  </si>
  <si>
    <t xml:space="preserve">IDB: Last Fiscal Year End Date </t>
  </si>
  <si>
    <t xml:space="preserve">IDB: Local Currency </t>
  </si>
  <si>
    <t>IDB: Long Run Average Effective Tax Rate</t>
  </si>
  <si>
    <t xml:space="preserve">IDB: Moat Rating </t>
  </si>
  <si>
    <t xml:space="preserve">IDB: Model Type </t>
  </si>
  <si>
    <t>IDB: Other Adjustments to Equity Value</t>
  </si>
  <si>
    <t>IDB: Pre Tax Cost of Debt</t>
  </si>
  <si>
    <t>IDB: Present Value of Stage I</t>
  </si>
  <si>
    <t>IDB: Present Value of Stage II</t>
  </si>
  <si>
    <t>IDB: Present Value of Stage III</t>
  </si>
  <si>
    <t>IDB: Projected Diluted Shares Outstanding</t>
  </si>
  <si>
    <t>IDB: Reporting Currency</t>
  </si>
  <si>
    <t>IDB: Reporting Currency Expected Inflation Premium</t>
  </si>
  <si>
    <t>IDB: Stage II/III Methodology</t>
  </si>
  <si>
    <t>IDB: Stage II/III: Alternative Value</t>
  </si>
  <si>
    <t>IDB: Stage II/III: Multiple or NAV</t>
  </si>
  <si>
    <t>IDB: Stage II: Earnings Before Interest (EBI) Growth Rate</t>
  </si>
  <si>
    <t>IDB: Stage II: Investment Rate</t>
  </si>
  <si>
    <t>IDB: Stage II: Length</t>
  </si>
  <si>
    <t>IDB: Stage II: Return on New Invested Capital (RONIC)</t>
  </si>
  <si>
    <t xml:space="preserve">IDB: Total Debt to Adjusted EBITDA 3 Yr Historical Average </t>
  </si>
  <si>
    <t xml:space="preserve">IDB: Total Debt to Adjusted EBITDA 5 Yr Projected Average </t>
  </si>
  <si>
    <t xml:space="preserve">IDB: Total Dividends per Share Adjusted for FX ADR Growth 3 Yr Historical CAGR </t>
  </si>
  <si>
    <t xml:space="preserve">IDB: Total Dividends per Share Adjusted for FX ADR Growth 5 Yr Projected CAGR </t>
  </si>
  <si>
    <t>IDB: Total Equity Value</t>
  </si>
  <si>
    <t>IDB: Trading Currency</t>
  </si>
  <si>
    <t>IDB: Uncertainty Rating</t>
  </si>
  <si>
    <t>IDB: Unit</t>
  </si>
  <si>
    <t>IDB: Weighted Average Cost of Capital</t>
  </si>
  <si>
    <t>IDB: Weighting of Debt in WACC</t>
  </si>
  <si>
    <t>IDB: Weighting of Equity in WACC</t>
  </si>
  <si>
    <t>IDB: Weighting of Preferred in WACC</t>
  </si>
  <si>
    <t>LHY End Date</t>
  </si>
  <si>
    <t>Local Currency</t>
  </si>
  <si>
    <t>Long-run Average Effective Tax Rate</t>
  </si>
  <si>
    <t>Moat Rating</t>
  </si>
  <si>
    <t>Model Type</t>
  </si>
  <si>
    <t>ModelType</t>
  </si>
  <si>
    <t>Other Adjustments</t>
  </si>
  <si>
    <t>Other Adjustments to Equity Value</t>
  </si>
  <si>
    <t>Present Value of Stage I</t>
  </si>
  <si>
    <t>Present Value of Stage II</t>
  </si>
  <si>
    <t>Present Value of Stage III</t>
  </si>
  <si>
    <t>Pre-Tax Cost of Debt %</t>
  </si>
  <si>
    <t>Projected Diluted Shares Outstanding</t>
  </si>
  <si>
    <t>ShareclassID</t>
  </si>
  <si>
    <t>Stage II EBI, FCFF Growth Rate</t>
  </si>
  <si>
    <t>Stage II Investment Rate</t>
  </si>
  <si>
    <t>Total Equity Value</t>
  </si>
  <si>
    <t>Total Firm Value</t>
  </si>
  <si>
    <t>Uncertainty Rating</t>
  </si>
  <si>
    <t>Unit</t>
  </si>
  <si>
    <t>Weighted Average Cost of Capital</t>
  </si>
  <si>
    <t>Weighting of Debt in WACC</t>
  </si>
  <si>
    <t>Weighting of Equity in WACC</t>
  </si>
  <si>
    <t>Weighting of Preferred in WACC</t>
  </si>
  <si>
    <t>Cash and Investments</t>
  </si>
  <si>
    <t>Company Specific Metric 01</t>
  </si>
  <si>
    <t>Company Specific Metric 02</t>
  </si>
  <si>
    <t>Company Specific Metric 03</t>
  </si>
  <si>
    <t>Company Specific Metric 04</t>
  </si>
  <si>
    <t>Company Specific Metric 05</t>
  </si>
  <si>
    <t>Net Income Margin %</t>
  </si>
  <si>
    <t>Net Margin</t>
  </si>
  <si>
    <t>Worksheet</t>
  </si>
  <si>
    <t>Cell</t>
  </si>
  <si>
    <t>Friendly Name</t>
  </si>
  <si>
    <t>Year</t>
  </si>
  <si>
    <t>H60</t>
  </si>
  <si>
    <t>I60</t>
  </si>
  <si>
    <t>J60</t>
  </si>
  <si>
    <t>K60</t>
  </si>
  <si>
    <t>L60</t>
  </si>
  <si>
    <t>M60</t>
  </si>
  <si>
    <t>N60</t>
  </si>
  <si>
    <t>O60</t>
  </si>
  <si>
    <t>P60</t>
  </si>
  <si>
    <t>Q60</t>
  </si>
  <si>
    <t>R60</t>
  </si>
  <si>
    <t>T60</t>
  </si>
  <si>
    <t>U60</t>
  </si>
  <si>
    <t>V60</t>
  </si>
  <si>
    <t>W60</t>
  </si>
  <si>
    <t>X60</t>
  </si>
  <si>
    <t>Y60</t>
  </si>
  <si>
    <t>Z60</t>
  </si>
  <si>
    <t>AA60</t>
  </si>
  <si>
    <t>AB60</t>
  </si>
  <si>
    <t>S60</t>
  </si>
  <si>
    <t>H33</t>
  </si>
  <si>
    <t>I33</t>
  </si>
  <si>
    <t>J33</t>
  </si>
  <si>
    <t>K33</t>
  </si>
  <si>
    <t>L33</t>
  </si>
  <si>
    <t>M33</t>
  </si>
  <si>
    <t>N33</t>
  </si>
  <si>
    <t>O33</t>
  </si>
  <si>
    <t>P33</t>
  </si>
  <si>
    <t>Q33</t>
  </si>
  <si>
    <t>R33</t>
  </si>
  <si>
    <t>T33</t>
  </si>
  <si>
    <t>U33</t>
  </si>
  <si>
    <t>V33</t>
  </si>
  <si>
    <t>W33</t>
  </si>
  <si>
    <t>X33</t>
  </si>
  <si>
    <t>Y33</t>
  </si>
  <si>
    <t>Z33</t>
  </si>
  <si>
    <t>AA33</t>
  </si>
  <si>
    <t>AB33</t>
  </si>
  <si>
    <t>S33</t>
  </si>
  <si>
    <t>H86</t>
  </si>
  <si>
    <t>I86</t>
  </si>
  <si>
    <t>J86</t>
  </si>
  <si>
    <t>K86</t>
  </si>
  <si>
    <t>L86</t>
  </si>
  <si>
    <t>M86</t>
  </si>
  <si>
    <t>N86</t>
  </si>
  <si>
    <t>O86</t>
  </si>
  <si>
    <t>P86</t>
  </si>
  <si>
    <t>Q86</t>
  </si>
  <si>
    <t>R86</t>
  </si>
  <si>
    <t>T86</t>
  </si>
  <si>
    <t>U86</t>
  </si>
  <si>
    <t>V86</t>
  </si>
  <si>
    <t>W86</t>
  </si>
  <si>
    <t>X86</t>
  </si>
  <si>
    <t>Y86</t>
  </si>
  <si>
    <t>Z86</t>
  </si>
  <si>
    <t>AA86</t>
  </si>
  <si>
    <t>AB86</t>
  </si>
  <si>
    <t>S86</t>
  </si>
  <si>
    <t>H78</t>
  </si>
  <si>
    <t>I78</t>
  </si>
  <si>
    <t>J78</t>
  </si>
  <si>
    <t>K78</t>
  </si>
  <si>
    <t>L78</t>
  </si>
  <si>
    <t>M78</t>
  </si>
  <si>
    <t>N78</t>
  </si>
  <si>
    <t>O78</t>
  </si>
  <si>
    <t>P78</t>
  </si>
  <si>
    <t>Q78</t>
  </si>
  <si>
    <t>R78</t>
  </si>
  <si>
    <t>T78</t>
  </si>
  <si>
    <t>U78</t>
  </si>
  <si>
    <t>V78</t>
  </si>
  <si>
    <t>W78</t>
  </si>
  <si>
    <t>X78</t>
  </si>
  <si>
    <t>Y78</t>
  </si>
  <si>
    <t>Z78</t>
  </si>
  <si>
    <t>AA78</t>
  </si>
  <si>
    <t>AB78</t>
  </si>
  <si>
    <t>S78</t>
  </si>
  <si>
    <t>H186</t>
  </si>
  <si>
    <t>Acquisitions &amp; Divestitures (AUS)</t>
  </si>
  <si>
    <t>I186</t>
  </si>
  <si>
    <t>J186</t>
  </si>
  <si>
    <t>K186</t>
  </si>
  <si>
    <t>L186</t>
  </si>
  <si>
    <t>M186</t>
  </si>
  <si>
    <t>N186</t>
  </si>
  <si>
    <t>O186</t>
  </si>
  <si>
    <t>P186</t>
  </si>
  <si>
    <t>Q186</t>
  </si>
  <si>
    <t>R186</t>
  </si>
  <si>
    <t>T186</t>
  </si>
  <si>
    <t>U186</t>
  </si>
  <si>
    <t>V186</t>
  </si>
  <si>
    <t>W186</t>
  </si>
  <si>
    <t>X186</t>
  </si>
  <si>
    <t>Y186</t>
  </si>
  <si>
    <t>Z186</t>
  </si>
  <si>
    <t>AA186</t>
  </si>
  <si>
    <t>AB186</t>
  </si>
  <si>
    <t>S186</t>
  </si>
  <si>
    <t>H54</t>
  </si>
  <si>
    <t>I54</t>
  </si>
  <si>
    <t>J54</t>
  </si>
  <si>
    <t>K54</t>
  </si>
  <si>
    <t>L54</t>
  </si>
  <si>
    <t>M54</t>
  </si>
  <si>
    <t>N54</t>
  </si>
  <si>
    <t>O54</t>
  </si>
  <si>
    <t>P54</t>
  </si>
  <si>
    <t>Q54</t>
  </si>
  <si>
    <t>R54</t>
  </si>
  <si>
    <t>T54</t>
  </si>
  <si>
    <t>U54</t>
  </si>
  <si>
    <t>V54</t>
  </si>
  <si>
    <t>W54</t>
  </si>
  <si>
    <t>X54</t>
  </si>
  <si>
    <t>Y54</t>
  </si>
  <si>
    <t>Z54</t>
  </si>
  <si>
    <t>AA54</t>
  </si>
  <si>
    <t>AB54</t>
  </si>
  <si>
    <t>S54</t>
  </si>
  <si>
    <t>H55</t>
  </si>
  <si>
    <t>I55</t>
  </si>
  <si>
    <t>J55</t>
  </si>
  <si>
    <t>K55</t>
  </si>
  <si>
    <t>L55</t>
  </si>
  <si>
    <t>M55</t>
  </si>
  <si>
    <t>N55</t>
  </si>
  <si>
    <t>O55</t>
  </si>
  <si>
    <t>P55</t>
  </si>
  <si>
    <t>Q55</t>
  </si>
  <si>
    <t>R55</t>
  </si>
  <si>
    <t>T55</t>
  </si>
  <si>
    <t>U55</t>
  </si>
  <si>
    <t>V55</t>
  </si>
  <si>
    <t>W55</t>
  </si>
  <si>
    <t>X55</t>
  </si>
  <si>
    <t>Y55</t>
  </si>
  <si>
    <t>Z55</t>
  </si>
  <si>
    <t>AA55</t>
  </si>
  <si>
    <t>AB55</t>
  </si>
  <si>
    <t>S55</t>
  </si>
  <si>
    <t>H36</t>
  </si>
  <si>
    <t>I36</t>
  </si>
  <si>
    <t>J36</t>
  </si>
  <si>
    <t>K36</t>
  </si>
  <si>
    <t>L36</t>
  </si>
  <si>
    <t>M36</t>
  </si>
  <si>
    <t>N36</t>
  </si>
  <si>
    <t>O36</t>
  </si>
  <si>
    <t>P36</t>
  </si>
  <si>
    <t>Q36</t>
  </si>
  <si>
    <t>R36</t>
  </si>
  <si>
    <t>T36</t>
  </si>
  <si>
    <t>U36</t>
  </si>
  <si>
    <t>V36</t>
  </si>
  <si>
    <t>W36</t>
  </si>
  <si>
    <t>X36</t>
  </si>
  <si>
    <t>Y36</t>
  </si>
  <si>
    <t>Z36</t>
  </si>
  <si>
    <t>AA36</t>
  </si>
  <si>
    <t>AB36</t>
  </si>
  <si>
    <t>S36</t>
  </si>
  <si>
    <t>Adjusted Net Income (Loss)</t>
  </si>
  <si>
    <t>H18</t>
  </si>
  <si>
    <t>I18</t>
  </si>
  <si>
    <t>J18</t>
  </si>
  <si>
    <t>K18</t>
  </si>
  <si>
    <t>L18</t>
  </si>
  <si>
    <t>M18</t>
  </si>
  <si>
    <t>N18</t>
  </si>
  <si>
    <t>O18</t>
  </si>
  <si>
    <t>P18</t>
  </si>
  <si>
    <t>Q18</t>
  </si>
  <si>
    <t>R18</t>
  </si>
  <si>
    <t>T18</t>
  </si>
  <si>
    <t>U18</t>
  </si>
  <si>
    <t>V18</t>
  </si>
  <si>
    <t>W18</t>
  </si>
  <si>
    <t>X18</t>
  </si>
  <si>
    <t>Y18</t>
  </si>
  <si>
    <t>Z18</t>
  </si>
  <si>
    <t>AA18</t>
  </si>
  <si>
    <t>AB18</t>
  </si>
  <si>
    <t>S18</t>
  </si>
  <si>
    <t>H32</t>
  </si>
  <si>
    <t>After-tax items</t>
  </si>
  <si>
    <t>I32</t>
  </si>
  <si>
    <t>J32</t>
  </si>
  <si>
    <t>K32</t>
  </si>
  <si>
    <t>L32</t>
  </si>
  <si>
    <t>M32</t>
  </si>
  <si>
    <t>N32</t>
  </si>
  <si>
    <t>O32</t>
  </si>
  <si>
    <t>P32</t>
  </si>
  <si>
    <t>Q32</t>
  </si>
  <si>
    <t>R32</t>
  </si>
  <si>
    <t>T32</t>
  </si>
  <si>
    <t>U32</t>
  </si>
  <si>
    <t>V32</t>
  </si>
  <si>
    <t>W32</t>
  </si>
  <si>
    <t>X32</t>
  </si>
  <si>
    <t>Y32</t>
  </si>
  <si>
    <t>Z32</t>
  </si>
  <si>
    <t>AA32</t>
  </si>
  <si>
    <t>AB32</t>
  </si>
  <si>
    <t>S32</t>
  </si>
  <si>
    <t>H63</t>
  </si>
  <si>
    <t>I63</t>
  </si>
  <si>
    <t>J63</t>
  </si>
  <si>
    <t>K63</t>
  </si>
  <si>
    <t>L63</t>
  </si>
  <si>
    <t>M63</t>
  </si>
  <si>
    <t>N63</t>
  </si>
  <si>
    <t>O63</t>
  </si>
  <si>
    <t>P63</t>
  </si>
  <si>
    <t>Q63</t>
  </si>
  <si>
    <t>R63</t>
  </si>
  <si>
    <t>T63</t>
  </si>
  <si>
    <t>U63</t>
  </si>
  <si>
    <t>V63</t>
  </si>
  <si>
    <t>W63</t>
  </si>
  <si>
    <t>X63</t>
  </si>
  <si>
    <t>Y63</t>
  </si>
  <si>
    <t>Z63</t>
  </si>
  <si>
    <t>AA63</t>
  </si>
  <si>
    <t>AB63</t>
  </si>
  <si>
    <t>S63</t>
  </si>
  <si>
    <t>H75</t>
  </si>
  <si>
    <t>Cash &amp; Equivalents</t>
  </si>
  <si>
    <t>I75</t>
  </si>
  <si>
    <t>J75</t>
  </si>
  <si>
    <t>K75</t>
  </si>
  <si>
    <t>L75</t>
  </si>
  <si>
    <t>M75</t>
  </si>
  <si>
    <t>N75</t>
  </si>
  <si>
    <t>O75</t>
  </si>
  <si>
    <t>P75</t>
  </si>
  <si>
    <t>Q75</t>
  </si>
  <si>
    <t>R75</t>
  </si>
  <si>
    <t>T75</t>
  </si>
  <si>
    <t>U75</t>
  </si>
  <si>
    <t>V75</t>
  </si>
  <si>
    <t>W75</t>
  </si>
  <si>
    <t>X75</t>
  </si>
  <si>
    <t>Y75</t>
  </si>
  <si>
    <t>Z75</t>
  </si>
  <si>
    <t>AA75</t>
  </si>
  <si>
    <t>AB75</t>
  </si>
  <si>
    <t>S75</t>
  </si>
  <si>
    <t>Q110</t>
  </si>
  <si>
    <t>H37</t>
  </si>
  <si>
    <t>Common Stock (Purchase) or Sale</t>
  </si>
  <si>
    <t>I37</t>
  </si>
  <si>
    <t>J37</t>
  </si>
  <si>
    <t>K37</t>
  </si>
  <si>
    <t>L37</t>
  </si>
  <si>
    <t>M37</t>
  </si>
  <si>
    <t>N37</t>
  </si>
  <si>
    <t>O37</t>
  </si>
  <si>
    <t>P37</t>
  </si>
  <si>
    <t>Q37</t>
  </si>
  <si>
    <t>R37</t>
  </si>
  <si>
    <t>T37</t>
  </si>
  <si>
    <t>U37</t>
  </si>
  <si>
    <t>V37</t>
  </si>
  <si>
    <t>W37</t>
  </si>
  <si>
    <t>X37</t>
  </si>
  <si>
    <t>Y37</t>
  </si>
  <si>
    <t>Z37</t>
  </si>
  <si>
    <t>AA37</t>
  </si>
  <si>
    <t>AB37</t>
  </si>
  <si>
    <t>S37</t>
  </si>
  <si>
    <t>S202</t>
  </si>
  <si>
    <t>H202</t>
  </si>
  <si>
    <t>I202</t>
  </si>
  <si>
    <t>J202</t>
  </si>
  <si>
    <t>K202</t>
  </si>
  <si>
    <t>L202</t>
  </si>
  <si>
    <t>M202</t>
  </si>
  <si>
    <t>N202</t>
  </si>
  <si>
    <t>O202</t>
  </si>
  <si>
    <t>P202</t>
  </si>
  <si>
    <t>Q202</t>
  </si>
  <si>
    <t>R202</t>
  </si>
  <si>
    <t>T202</t>
  </si>
  <si>
    <t>U202</t>
  </si>
  <si>
    <t>V202</t>
  </si>
  <si>
    <t>W202</t>
  </si>
  <si>
    <t>X202</t>
  </si>
  <si>
    <t>Y202</t>
  </si>
  <si>
    <t>Z202</t>
  </si>
  <si>
    <t>AA202</t>
  </si>
  <si>
    <t>AB202</t>
  </si>
  <si>
    <t>S203</t>
  </si>
  <si>
    <t>H203</t>
  </si>
  <si>
    <t>I203</t>
  </si>
  <si>
    <t>J203</t>
  </si>
  <si>
    <t>K203</t>
  </si>
  <si>
    <t>L203</t>
  </si>
  <si>
    <t>M203</t>
  </si>
  <si>
    <t>N203</t>
  </si>
  <si>
    <t>O203</t>
  </si>
  <si>
    <t>P203</t>
  </si>
  <si>
    <t>Q203</t>
  </si>
  <si>
    <t>R203</t>
  </si>
  <si>
    <t>T203</t>
  </si>
  <si>
    <t>U203</t>
  </si>
  <si>
    <t>V203</t>
  </si>
  <si>
    <t>W203</t>
  </si>
  <si>
    <t>X203</t>
  </si>
  <si>
    <t>Y203</t>
  </si>
  <si>
    <t>Z203</t>
  </si>
  <si>
    <t>AA203</t>
  </si>
  <si>
    <t>AB203</t>
  </si>
  <si>
    <t>S204</t>
  </si>
  <si>
    <t>H204</t>
  </si>
  <si>
    <t>I204</t>
  </si>
  <si>
    <t>J204</t>
  </si>
  <si>
    <t>K204</t>
  </si>
  <si>
    <t>L204</t>
  </si>
  <si>
    <t>M204</t>
  </si>
  <si>
    <t>N204</t>
  </si>
  <si>
    <t>O204</t>
  </si>
  <si>
    <t>P204</t>
  </si>
  <si>
    <t>Q204</t>
  </si>
  <si>
    <t>R204</t>
  </si>
  <si>
    <t>T204</t>
  </si>
  <si>
    <t>U204</t>
  </si>
  <si>
    <t>V204</t>
  </si>
  <si>
    <t>W204</t>
  </si>
  <si>
    <t>X204</t>
  </si>
  <si>
    <t>Y204</t>
  </si>
  <si>
    <t>Z204</t>
  </si>
  <si>
    <t>AA204</t>
  </si>
  <si>
    <t>AB204</t>
  </si>
  <si>
    <t>S205</t>
  </si>
  <si>
    <t>H205</t>
  </si>
  <si>
    <t>I205</t>
  </si>
  <si>
    <t>J205</t>
  </si>
  <si>
    <t>K205</t>
  </si>
  <si>
    <t>L205</t>
  </si>
  <si>
    <t>M205</t>
  </si>
  <si>
    <t>N205</t>
  </si>
  <si>
    <t>O205</t>
  </si>
  <si>
    <t>P205</t>
  </si>
  <si>
    <t>Q205</t>
  </si>
  <si>
    <t>R205</t>
  </si>
  <si>
    <t>T205</t>
  </si>
  <si>
    <t>U205</t>
  </si>
  <si>
    <t>V205</t>
  </si>
  <si>
    <t>W205</t>
  </si>
  <si>
    <t>X205</t>
  </si>
  <si>
    <t>Y205</t>
  </si>
  <si>
    <t>Z205</t>
  </si>
  <si>
    <t>AA205</t>
  </si>
  <si>
    <t>AB205</t>
  </si>
  <si>
    <t>S206</t>
  </si>
  <si>
    <t>H206</t>
  </si>
  <si>
    <t>I206</t>
  </si>
  <si>
    <t>J206</t>
  </si>
  <si>
    <t>K206</t>
  </si>
  <si>
    <t>L206</t>
  </si>
  <si>
    <t>M206</t>
  </si>
  <si>
    <t>N206</t>
  </si>
  <si>
    <t>O206</t>
  </si>
  <si>
    <t>P206</t>
  </si>
  <si>
    <t>Q206</t>
  </si>
  <si>
    <t>R206</t>
  </si>
  <si>
    <t>T206</t>
  </si>
  <si>
    <t>U206</t>
  </si>
  <si>
    <t>V206</t>
  </si>
  <si>
    <t>W206</t>
  </si>
  <si>
    <t>X206</t>
  </si>
  <si>
    <t>Y206</t>
  </si>
  <si>
    <t>Z206</t>
  </si>
  <si>
    <t>AA206</t>
  </si>
  <si>
    <t>AB206</t>
  </si>
  <si>
    <t>Z104</t>
  </si>
  <si>
    <t>S13</t>
  </si>
  <si>
    <t>H13</t>
  </si>
  <si>
    <t>I13</t>
  </si>
  <si>
    <t>J13</t>
  </si>
  <si>
    <t>K13</t>
  </si>
  <si>
    <t>L13</t>
  </si>
  <si>
    <t>M13</t>
  </si>
  <si>
    <t>N13</t>
  </si>
  <si>
    <t>O13</t>
  </si>
  <si>
    <t>P13</t>
  </si>
  <si>
    <t>Q13</t>
  </si>
  <si>
    <t>R13</t>
  </si>
  <si>
    <t>T13</t>
  </si>
  <si>
    <t>U13</t>
  </si>
  <si>
    <t>V13</t>
  </si>
  <si>
    <t>W13</t>
  </si>
  <si>
    <t>X13</t>
  </si>
  <si>
    <t>Y13</t>
  </si>
  <si>
    <t>Z13</t>
  </si>
  <si>
    <t>AA13</t>
  </si>
  <si>
    <t>AB13</t>
  </si>
  <si>
    <t>V117</t>
  </si>
  <si>
    <t>H77</t>
  </si>
  <si>
    <t>Days in Inventory</t>
  </si>
  <si>
    <t>I77</t>
  </si>
  <si>
    <t>J77</t>
  </si>
  <si>
    <t>K77</t>
  </si>
  <si>
    <t>L77</t>
  </si>
  <si>
    <t>M77</t>
  </si>
  <si>
    <t>N77</t>
  </si>
  <si>
    <t>O77</t>
  </si>
  <si>
    <t>P77</t>
  </si>
  <si>
    <t>Q77</t>
  </si>
  <si>
    <t>R77</t>
  </si>
  <si>
    <t>T77</t>
  </si>
  <si>
    <t>U77</t>
  </si>
  <si>
    <t>V77</t>
  </si>
  <si>
    <t>W77</t>
  </si>
  <si>
    <t>X77</t>
  </si>
  <si>
    <t>Y77</t>
  </si>
  <si>
    <t>Z77</t>
  </si>
  <si>
    <t>AA77</t>
  </si>
  <si>
    <t>AB77</t>
  </si>
  <si>
    <t>S77</t>
  </si>
  <si>
    <t>H79</t>
  </si>
  <si>
    <t>Days in Receivables</t>
  </si>
  <si>
    <t>I79</t>
  </si>
  <si>
    <t>J79</t>
  </si>
  <si>
    <t>K79</t>
  </si>
  <si>
    <t>L79</t>
  </si>
  <si>
    <t>M79</t>
  </si>
  <si>
    <t>N79</t>
  </si>
  <si>
    <t>O79</t>
  </si>
  <si>
    <t>P79</t>
  </si>
  <si>
    <t>Q79</t>
  </si>
  <si>
    <t>R79</t>
  </si>
  <si>
    <t>T79</t>
  </si>
  <si>
    <t>U79</t>
  </si>
  <si>
    <t>V79</t>
  </si>
  <si>
    <t>W79</t>
  </si>
  <si>
    <t>X79</t>
  </si>
  <si>
    <t>Y79</t>
  </si>
  <si>
    <t>Z79</t>
  </si>
  <si>
    <t>AA79</t>
  </si>
  <si>
    <t>AB79</t>
  </si>
  <si>
    <t>S79</t>
  </si>
  <si>
    <t>H87</t>
  </si>
  <si>
    <t>Days Payables Outstanding</t>
  </si>
  <si>
    <t>I87</t>
  </si>
  <si>
    <t>J87</t>
  </si>
  <si>
    <t>K87</t>
  </si>
  <si>
    <t>L87</t>
  </si>
  <si>
    <t>M87</t>
  </si>
  <si>
    <t>N87</t>
  </si>
  <si>
    <t>O87</t>
  </si>
  <si>
    <t>P87</t>
  </si>
  <si>
    <t>Q87</t>
  </si>
  <si>
    <t>R87</t>
  </si>
  <si>
    <t>T87</t>
  </si>
  <si>
    <t>U87</t>
  </si>
  <si>
    <t>V87</t>
  </si>
  <si>
    <t>W87</t>
  </si>
  <si>
    <t>X87</t>
  </si>
  <si>
    <t>Y87</t>
  </si>
  <si>
    <t>Z87</t>
  </si>
  <si>
    <t>AA87</t>
  </si>
  <si>
    <t>AB87</t>
  </si>
  <si>
    <t>S87</t>
  </si>
  <si>
    <t>Q111</t>
  </si>
  <si>
    <t>H22</t>
  </si>
  <si>
    <t>Depreciation &amp; Amortization (if reported separately)</t>
  </si>
  <si>
    <t>I22</t>
  </si>
  <si>
    <t>J22</t>
  </si>
  <si>
    <t>K22</t>
  </si>
  <si>
    <t>L22</t>
  </si>
  <si>
    <t>M22</t>
  </si>
  <si>
    <t>N22</t>
  </si>
  <si>
    <t>O22</t>
  </si>
  <si>
    <t>P22</t>
  </si>
  <si>
    <t>Q22</t>
  </si>
  <si>
    <t>R22</t>
  </si>
  <si>
    <t>T22</t>
  </si>
  <si>
    <t>U22</t>
  </si>
  <si>
    <t>V22</t>
  </si>
  <si>
    <t>W22</t>
  </si>
  <si>
    <t>X22</t>
  </si>
  <si>
    <t>Y22</t>
  </si>
  <si>
    <t>Z22</t>
  </si>
  <si>
    <t>AA22</t>
  </si>
  <si>
    <t>AB22</t>
  </si>
  <si>
    <t>S22</t>
  </si>
  <si>
    <t>H62</t>
  </si>
  <si>
    <t>Depreciation Expense</t>
  </si>
  <si>
    <t>I62</t>
  </si>
  <si>
    <t>J62</t>
  </si>
  <si>
    <t>K62</t>
  </si>
  <si>
    <t>L62</t>
  </si>
  <si>
    <t>M62</t>
  </si>
  <si>
    <t>N62</t>
  </si>
  <si>
    <t>O62</t>
  </si>
  <si>
    <t>P62</t>
  </si>
  <si>
    <t>Q62</t>
  </si>
  <si>
    <t>R62</t>
  </si>
  <si>
    <t>T62</t>
  </si>
  <si>
    <t>U62</t>
  </si>
  <si>
    <t>V62</t>
  </si>
  <si>
    <t>W62</t>
  </si>
  <si>
    <t>X62</t>
  </si>
  <si>
    <t>Y62</t>
  </si>
  <si>
    <t>Z62</t>
  </si>
  <si>
    <t>AA62</t>
  </si>
  <si>
    <t>AB62</t>
  </si>
  <si>
    <t>S62</t>
  </si>
  <si>
    <t>H41</t>
  </si>
  <si>
    <t>I41</t>
  </si>
  <si>
    <t>J41</t>
  </si>
  <si>
    <t>K41</t>
  </si>
  <si>
    <t>L41</t>
  </si>
  <si>
    <t>M41</t>
  </si>
  <si>
    <t>N41</t>
  </si>
  <si>
    <t>O41</t>
  </si>
  <si>
    <t>P41</t>
  </si>
  <si>
    <t>Q41</t>
  </si>
  <si>
    <t>R41</t>
  </si>
  <si>
    <t>T41</t>
  </si>
  <si>
    <t>U41</t>
  </si>
  <si>
    <t>V41</t>
  </si>
  <si>
    <t>W41</t>
  </si>
  <si>
    <t>X41</t>
  </si>
  <si>
    <t>Y41</t>
  </si>
  <si>
    <t>Z41</t>
  </si>
  <si>
    <t>AA41</t>
  </si>
  <si>
    <t>AB41</t>
  </si>
  <si>
    <t>S41</t>
  </si>
  <si>
    <t>H42</t>
  </si>
  <si>
    <t>Diluted EPS, Adjusted</t>
  </si>
  <si>
    <t>I42</t>
  </si>
  <si>
    <t>J42</t>
  </si>
  <si>
    <t>K42</t>
  </si>
  <si>
    <t>L42</t>
  </si>
  <si>
    <t>M42</t>
  </si>
  <si>
    <t>N42</t>
  </si>
  <si>
    <t>O42</t>
  </si>
  <si>
    <t>P42</t>
  </si>
  <si>
    <t>Q42</t>
  </si>
  <si>
    <t>R42</t>
  </si>
  <si>
    <t>T42</t>
  </si>
  <si>
    <t>U42</t>
  </si>
  <si>
    <t>V42</t>
  </si>
  <si>
    <t>W42</t>
  </si>
  <si>
    <t>X42</t>
  </si>
  <si>
    <t>Y42</t>
  </si>
  <si>
    <t>Z42</t>
  </si>
  <si>
    <t>AA42</t>
  </si>
  <si>
    <t>AB42</t>
  </si>
  <si>
    <t>S42</t>
  </si>
  <si>
    <t>P122</t>
  </si>
  <si>
    <t>S172</t>
  </si>
  <si>
    <t>Dividend Franking (AUS)</t>
  </si>
  <si>
    <t>H172</t>
  </si>
  <si>
    <t>I172</t>
  </si>
  <si>
    <t>J172</t>
  </si>
  <si>
    <t>K172</t>
  </si>
  <si>
    <t>L172</t>
  </si>
  <si>
    <t>M172</t>
  </si>
  <si>
    <t>N172</t>
  </si>
  <si>
    <t>O172</t>
  </si>
  <si>
    <t>P172</t>
  </si>
  <si>
    <t>Q172</t>
  </si>
  <si>
    <t>R172</t>
  </si>
  <si>
    <t>T172</t>
  </si>
  <si>
    <t>U172</t>
  </si>
  <si>
    <t>V172</t>
  </si>
  <si>
    <t>W172</t>
  </si>
  <si>
    <t>X172</t>
  </si>
  <si>
    <t>Y172</t>
  </si>
  <si>
    <t>Z172</t>
  </si>
  <si>
    <t>AA172</t>
  </si>
  <si>
    <t>AB172</t>
  </si>
  <si>
    <t>H49</t>
  </si>
  <si>
    <t>Dividend Payout Ratio</t>
  </si>
  <si>
    <t>I49</t>
  </si>
  <si>
    <t>J49</t>
  </si>
  <si>
    <t>K49</t>
  </si>
  <si>
    <t>L49</t>
  </si>
  <si>
    <t>M49</t>
  </si>
  <si>
    <t>N49</t>
  </si>
  <si>
    <t>O49</t>
  </si>
  <si>
    <t>P49</t>
  </si>
  <si>
    <t>Q49</t>
  </si>
  <si>
    <t>R49</t>
  </si>
  <si>
    <t>T49</t>
  </si>
  <si>
    <t>U49</t>
  </si>
  <si>
    <t>V49</t>
  </si>
  <si>
    <t>W49</t>
  </si>
  <si>
    <t>X49</t>
  </si>
  <si>
    <t>Y49</t>
  </si>
  <si>
    <t>Z49</t>
  </si>
  <si>
    <t>AA49</t>
  </si>
  <si>
    <t>AB49</t>
  </si>
  <si>
    <t>S49</t>
  </si>
  <si>
    <t>H192</t>
  </si>
  <si>
    <t>Dividends Paid (AUS)</t>
  </si>
  <si>
    <t>I192</t>
  </si>
  <si>
    <t>J192</t>
  </si>
  <si>
    <t>K192</t>
  </si>
  <si>
    <t>L192</t>
  </si>
  <si>
    <t>M192</t>
  </si>
  <si>
    <t>N192</t>
  </si>
  <si>
    <t>O192</t>
  </si>
  <si>
    <t>P192</t>
  </si>
  <si>
    <t>Q192</t>
  </si>
  <si>
    <t>R192</t>
  </si>
  <si>
    <t>T192</t>
  </si>
  <si>
    <t>U192</t>
  </si>
  <si>
    <t>V192</t>
  </si>
  <si>
    <t>W192</t>
  </si>
  <si>
    <t>X192</t>
  </si>
  <si>
    <t>Y192</t>
  </si>
  <si>
    <t>Z192</t>
  </si>
  <si>
    <t>AA192</t>
  </si>
  <si>
    <t>AB192</t>
  </si>
  <si>
    <t>S192</t>
  </si>
  <si>
    <t>H46</t>
  </si>
  <si>
    <t>I46</t>
  </si>
  <si>
    <t>J46</t>
  </si>
  <si>
    <t>K46</t>
  </si>
  <si>
    <t>L46</t>
  </si>
  <si>
    <t>M46</t>
  </si>
  <si>
    <t>N46</t>
  </si>
  <si>
    <t>O46</t>
  </si>
  <si>
    <t>P46</t>
  </si>
  <si>
    <t>Q46</t>
  </si>
  <si>
    <t>R46</t>
  </si>
  <si>
    <t>T46</t>
  </si>
  <si>
    <t>U46</t>
  </si>
  <si>
    <t>V46</t>
  </si>
  <si>
    <t>W46</t>
  </si>
  <si>
    <t>X46</t>
  </si>
  <si>
    <t>Y46</t>
  </si>
  <si>
    <t>Z46</t>
  </si>
  <si>
    <t>AA46</t>
  </si>
  <si>
    <t>AB46</t>
  </si>
  <si>
    <t>S46</t>
  </si>
  <si>
    <t>H24</t>
  </si>
  <si>
    <t>EBIT (ex charges)</t>
  </si>
  <si>
    <t>I24</t>
  </si>
  <si>
    <t>J24</t>
  </si>
  <si>
    <t>K24</t>
  </si>
  <si>
    <t>L24</t>
  </si>
  <si>
    <t>M24</t>
  </si>
  <si>
    <t>N24</t>
  </si>
  <si>
    <t>O24</t>
  </si>
  <si>
    <t>P24</t>
  </si>
  <si>
    <t>Q24</t>
  </si>
  <si>
    <t>R24</t>
  </si>
  <si>
    <t>T24</t>
  </si>
  <si>
    <t>U24</t>
  </si>
  <si>
    <t>V24</t>
  </si>
  <si>
    <t>W24</t>
  </si>
  <si>
    <t>X24</t>
  </si>
  <si>
    <t>Y24</t>
  </si>
  <si>
    <t>Z24</t>
  </si>
  <si>
    <t>AA24</t>
  </si>
  <si>
    <t>AB24</t>
  </si>
  <si>
    <t>S24</t>
  </si>
  <si>
    <t>H25</t>
  </si>
  <si>
    <t>EBIT / Revenue (Operating Margin)</t>
  </si>
  <si>
    <t>I25</t>
  </si>
  <si>
    <t>J25</t>
  </si>
  <si>
    <t>K25</t>
  </si>
  <si>
    <t>L25</t>
  </si>
  <si>
    <t>M25</t>
  </si>
  <si>
    <t>N25</t>
  </si>
  <si>
    <t>O25</t>
  </si>
  <si>
    <t>P25</t>
  </si>
  <si>
    <t>Q25</t>
  </si>
  <si>
    <t>R25</t>
  </si>
  <si>
    <t>T25</t>
  </si>
  <si>
    <t>U25</t>
  </si>
  <si>
    <t>V25</t>
  </si>
  <si>
    <t>W25</t>
  </si>
  <si>
    <t>X25</t>
  </si>
  <si>
    <t>Y25</t>
  </si>
  <si>
    <t>Z25</t>
  </si>
  <si>
    <t>AA25</t>
  </si>
  <si>
    <t>AB25</t>
  </si>
  <si>
    <t>S25</t>
  </si>
  <si>
    <t>EBIT, ex charges</t>
  </si>
  <si>
    <t>H51</t>
  </si>
  <si>
    <t>I51</t>
  </si>
  <si>
    <t>J51</t>
  </si>
  <si>
    <t>K51</t>
  </si>
  <si>
    <t>L51</t>
  </si>
  <si>
    <t>M51</t>
  </si>
  <si>
    <t>N51</t>
  </si>
  <si>
    <t>O51</t>
  </si>
  <si>
    <t>P51</t>
  </si>
  <si>
    <t>Q51</t>
  </si>
  <si>
    <t>R51</t>
  </si>
  <si>
    <t>T51</t>
  </si>
  <si>
    <t>U51</t>
  </si>
  <si>
    <t>V51</t>
  </si>
  <si>
    <t>W51</t>
  </si>
  <si>
    <t>X51</t>
  </si>
  <si>
    <t>Y51</t>
  </si>
  <si>
    <t>Z51</t>
  </si>
  <si>
    <t>AA51</t>
  </si>
  <si>
    <t>AB51</t>
  </si>
  <si>
    <t>S51</t>
  </si>
  <si>
    <t>H52</t>
  </si>
  <si>
    <t>I52</t>
  </si>
  <si>
    <t>J52</t>
  </si>
  <si>
    <t>K52</t>
  </si>
  <si>
    <t>L52</t>
  </si>
  <si>
    <t>M52</t>
  </si>
  <si>
    <t>N52</t>
  </si>
  <si>
    <t>O52</t>
  </si>
  <si>
    <t>P52</t>
  </si>
  <si>
    <t>Q52</t>
  </si>
  <si>
    <t>R52</t>
  </si>
  <si>
    <t>T52</t>
  </si>
  <si>
    <t>U52</t>
  </si>
  <si>
    <t>V52</t>
  </si>
  <si>
    <t>W52</t>
  </si>
  <si>
    <t>X52</t>
  </si>
  <si>
    <t>Y52</t>
  </si>
  <si>
    <t>Z52</t>
  </si>
  <si>
    <t>AA52</t>
  </si>
  <si>
    <t>AB52</t>
  </si>
  <si>
    <t>S52</t>
  </si>
  <si>
    <t>H31</t>
  </si>
  <si>
    <t>Effective Tax Rate</t>
  </si>
  <si>
    <t>I31</t>
  </si>
  <si>
    <t>J31</t>
  </si>
  <si>
    <t>K31</t>
  </si>
  <si>
    <t>L31</t>
  </si>
  <si>
    <t>M31</t>
  </si>
  <si>
    <t>N31</t>
  </si>
  <si>
    <t>O31</t>
  </si>
  <si>
    <t>P31</t>
  </si>
  <si>
    <t>Q31</t>
  </si>
  <si>
    <t>R31</t>
  </si>
  <si>
    <t>T31</t>
  </si>
  <si>
    <t>U31</t>
  </si>
  <si>
    <t>V31</t>
  </si>
  <si>
    <t>W31</t>
  </si>
  <si>
    <t>X31</t>
  </si>
  <si>
    <t>Y31</t>
  </si>
  <si>
    <t>Z31</t>
  </si>
  <si>
    <t>AA31</t>
  </si>
  <si>
    <t>AB31</t>
  </si>
  <si>
    <t>S31</t>
  </si>
  <si>
    <t>H72</t>
  </si>
  <si>
    <t>Enterprise Free Cash Flow</t>
  </si>
  <si>
    <t>I72</t>
  </si>
  <si>
    <t>J72</t>
  </si>
  <si>
    <t>K72</t>
  </si>
  <si>
    <t>L72</t>
  </si>
  <si>
    <t>M72</t>
  </si>
  <si>
    <t>N72</t>
  </si>
  <si>
    <t>O72</t>
  </si>
  <si>
    <t>P72</t>
  </si>
  <si>
    <t>Q72</t>
  </si>
  <si>
    <t>R72</t>
  </si>
  <si>
    <t>T72</t>
  </si>
  <si>
    <t>U72</t>
  </si>
  <si>
    <t>V72</t>
  </si>
  <si>
    <t>W72</t>
  </si>
  <si>
    <t>X72</t>
  </si>
  <si>
    <t>Y72</t>
  </si>
  <si>
    <t>Z72</t>
  </si>
  <si>
    <t>AA72</t>
  </si>
  <si>
    <t>AB72</t>
  </si>
  <si>
    <t>S72</t>
  </si>
  <si>
    <t>H198</t>
  </si>
  <si>
    <t>Exchange Rate (AUS)</t>
  </si>
  <si>
    <t>I198</t>
  </si>
  <si>
    <t>J198</t>
  </si>
  <si>
    <t>K198</t>
  </si>
  <si>
    <t>L198</t>
  </si>
  <si>
    <t>M198</t>
  </si>
  <si>
    <t>N198</t>
  </si>
  <si>
    <t>O198</t>
  </si>
  <si>
    <t>P198</t>
  </si>
  <si>
    <t>Q198</t>
  </si>
  <si>
    <t>R198</t>
  </si>
  <si>
    <t>T198</t>
  </si>
  <si>
    <t>U198</t>
  </si>
  <si>
    <t>V198</t>
  </si>
  <si>
    <t>W198</t>
  </si>
  <si>
    <t>X198</t>
  </si>
  <si>
    <t>Y198</t>
  </si>
  <si>
    <t>Z198</t>
  </si>
  <si>
    <t>AA198</t>
  </si>
  <si>
    <t>AB198</t>
  </si>
  <si>
    <t>S198</t>
  </si>
  <si>
    <t>S195</t>
  </si>
  <si>
    <t>Exchange Rate or Other Adjustment (AUS)</t>
  </si>
  <si>
    <t>H195</t>
  </si>
  <si>
    <t>I195</t>
  </si>
  <si>
    <t>J195</t>
  </si>
  <si>
    <t>K195</t>
  </si>
  <si>
    <t>L195</t>
  </si>
  <si>
    <t>M195</t>
  </si>
  <si>
    <t>N195</t>
  </si>
  <si>
    <t>O195</t>
  </si>
  <si>
    <t>P195</t>
  </si>
  <si>
    <t>Q195</t>
  </si>
  <si>
    <t>R195</t>
  </si>
  <si>
    <t>T195</t>
  </si>
  <si>
    <t>U195</t>
  </si>
  <si>
    <t>V195</t>
  </si>
  <si>
    <t>W195</t>
  </si>
  <si>
    <t>X195</t>
  </si>
  <si>
    <t>Y195</t>
  </si>
  <si>
    <t>Z195</t>
  </si>
  <si>
    <t>AA195</t>
  </si>
  <si>
    <t>AB195</t>
  </si>
  <si>
    <t>H26</t>
  </si>
  <si>
    <t>I26</t>
  </si>
  <si>
    <t>J26</t>
  </si>
  <si>
    <t>K26</t>
  </si>
  <si>
    <t>L26</t>
  </si>
  <si>
    <t>M26</t>
  </si>
  <si>
    <t>N26</t>
  </si>
  <si>
    <t>O26</t>
  </si>
  <si>
    <t>P26</t>
  </si>
  <si>
    <t>Q26</t>
  </si>
  <si>
    <t>R26</t>
  </si>
  <si>
    <t>T26</t>
  </si>
  <si>
    <t>U26</t>
  </si>
  <si>
    <t>V26</t>
  </si>
  <si>
    <t>W26</t>
  </si>
  <si>
    <t>X26</t>
  </si>
  <si>
    <t>Y26</t>
  </si>
  <si>
    <t>Z26</t>
  </si>
  <si>
    <t>AA26</t>
  </si>
  <si>
    <t>AB26</t>
  </si>
  <si>
    <t>S26</t>
  </si>
  <si>
    <t>Q69</t>
  </si>
  <si>
    <t>R69</t>
  </si>
  <si>
    <t>H81</t>
  </si>
  <si>
    <t>I81</t>
  </si>
  <si>
    <t>J81</t>
  </si>
  <si>
    <t>K81</t>
  </si>
  <si>
    <t>L81</t>
  </si>
  <si>
    <t>M81</t>
  </si>
  <si>
    <t>N81</t>
  </si>
  <si>
    <t>O81</t>
  </si>
  <si>
    <t>P81</t>
  </si>
  <si>
    <t>Q81</t>
  </si>
  <si>
    <t>R81</t>
  </si>
  <si>
    <t>T81</t>
  </si>
  <si>
    <t>U81</t>
  </si>
  <si>
    <t>V81</t>
  </si>
  <si>
    <t>W81</t>
  </si>
  <si>
    <t>X81</t>
  </si>
  <si>
    <t>Y81</t>
  </si>
  <si>
    <t>Z81</t>
  </si>
  <si>
    <t>AA81</t>
  </si>
  <si>
    <t>AB81</t>
  </si>
  <si>
    <t>S81</t>
  </si>
  <si>
    <t>S15</t>
  </si>
  <si>
    <t>Gross Margin Percent</t>
  </si>
  <si>
    <t>H15</t>
  </si>
  <si>
    <t>I15</t>
  </si>
  <si>
    <t>J15</t>
  </si>
  <si>
    <t>K15</t>
  </si>
  <si>
    <t>L15</t>
  </si>
  <si>
    <t>M15</t>
  </si>
  <si>
    <t>N15</t>
  </si>
  <si>
    <t>O15</t>
  </si>
  <si>
    <t>P15</t>
  </si>
  <si>
    <t>Q15</t>
  </si>
  <si>
    <t>R15</t>
  </si>
  <si>
    <t>T15</t>
  </si>
  <si>
    <t>U15</t>
  </si>
  <si>
    <t>V15</t>
  </si>
  <si>
    <t>W15</t>
  </si>
  <si>
    <t>X15</t>
  </si>
  <si>
    <t>Y15</t>
  </si>
  <si>
    <t>Z15</t>
  </si>
  <si>
    <t>AA15</t>
  </si>
  <si>
    <t>AB15</t>
  </si>
  <si>
    <t>S14</t>
  </si>
  <si>
    <t>H14</t>
  </si>
  <si>
    <t>I14</t>
  </si>
  <si>
    <t>J14</t>
  </si>
  <si>
    <t>K14</t>
  </si>
  <si>
    <t>L14</t>
  </si>
  <si>
    <t>M14</t>
  </si>
  <si>
    <t>N14</t>
  </si>
  <si>
    <t>O14</t>
  </si>
  <si>
    <t>P14</t>
  </si>
  <si>
    <t>Q14</t>
  </si>
  <si>
    <t>R14</t>
  </si>
  <si>
    <t>T14</t>
  </si>
  <si>
    <t>U14</t>
  </si>
  <si>
    <t>V14</t>
  </si>
  <si>
    <t>W14</t>
  </si>
  <si>
    <t>X14</t>
  </si>
  <si>
    <t>Y14</t>
  </si>
  <si>
    <t>Z14</t>
  </si>
  <si>
    <t>AA14</t>
  </si>
  <si>
    <t>AB14</t>
  </si>
  <si>
    <t>IDB: (Capital Expenditures) - CF</t>
  </si>
  <si>
    <t>IDB: (Minority Interest) - IS</t>
  </si>
  <si>
    <t>IDB: Accounts Payable - BS</t>
  </si>
  <si>
    <t>IDB: Accounts Receivable - BS</t>
  </si>
  <si>
    <t>IDB: Adjusted Diluted Earnings Per Share - IS</t>
  </si>
  <si>
    <t>IDB: Adjusted EBITDA - IS</t>
  </si>
  <si>
    <t>IDB: Adjusted EBITDA Margin</t>
  </si>
  <si>
    <t>IDB: Adjusted Net Income - IS</t>
  </si>
  <si>
    <t>V118</t>
  </si>
  <si>
    <t>IDB: Amoritzation - CF</t>
  </si>
  <si>
    <t>IDB: Cash and Equivalents - BS</t>
  </si>
  <si>
    <t>IDB: Common Stock Issuance or (Repurchase) - CF</t>
  </si>
  <si>
    <t>IDB: Cost of Goods Sold - IS</t>
  </si>
  <si>
    <t xml:space="preserve">IDB: Days Inventory </t>
  </si>
  <si>
    <t xml:space="preserve">IDB: Days Payables Outstanding </t>
  </si>
  <si>
    <t xml:space="preserve">IDB: Days Receivables </t>
  </si>
  <si>
    <t>IDB: Depreciation - CF</t>
  </si>
  <si>
    <t>IDB: Depreciation and Amortization - IS</t>
  </si>
  <si>
    <t>IDB: Diluted Earnings Per Share - IS</t>
  </si>
  <si>
    <t>T73</t>
  </si>
  <si>
    <t>IDB: Discounted Free Cash Flow to the Firm</t>
  </si>
  <si>
    <t>U73</t>
  </si>
  <si>
    <t>V73</t>
  </si>
  <si>
    <t>W73</t>
  </si>
  <si>
    <t>X73</t>
  </si>
  <si>
    <t>Y73</t>
  </si>
  <si>
    <t>Z73</t>
  </si>
  <si>
    <t>AA73</t>
  </si>
  <si>
    <t>AB73</t>
  </si>
  <si>
    <t>S73</t>
  </si>
  <si>
    <t>IDB: Dividend Franking - AUS</t>
  </si>
  <si>
    <t>IDB: Dividend Payout Ratio - IS</t>
  </si>
  <si>
    <t>IDB: Dividends Per Common Share - IS</t>
  </si>
  <si>
    <t>IDB: EBIT/Revenue</t>
  </si>
  <si>
    <t>IDB: EBITDA - IS</t>
  </si>
  <si>
    <t>IDB: EBITDA Margin</t>
  </si>
  <si>
    <t>IDB: Effective Income Tax Rate - IS</t>
  </si>
  <si>
    <t>IDB: Exchange Rate - AUS</t>
  </si>
  <si>
    <t>IDB: Financial Non-Cash (Gains)/Losses</t>
  </si>
  <si>
    <t>IDB: Free Cash Flow to the Firm</t>
  </si>
  <si>
    <t>IDB: Goodwill - BS</t>
  </si>
  <si>
    <t>IDB: Gross Margin Percent</t>
  </si>
  <si>
    <t>IDB: Gross Profit - IS</t>
  </si>
  <si>
    <t>S30</t>
  </si>
  <si>
    <t>IDB: Income Tax Expense - IS</t>
  </si>
  <si>
    <t>H30</t>
  </si>
  <si>
    <t>I30</t>
  </si>
  <si>
    <t>J30</t>
  </si>
  <si>
    <t>K30</t>
  </si>
  <si>
    <t>L30</t>
  </si>
  <si>
    <t>M30</t>
  </si>
  <si>
    <t>N30</t>
  </si>
  <si>
    <t>O30</t>
  </si>
  <si>
    <t>P30</t>
  </si>
  <si>
    <t>Q30</t>
  </si>
  <si>
    <t>R30</t>
  </si>
  <si>
    <t>T30</t>
  </si>
  <si>
    <t>U30</t>
  </si>
  <si>
    <t>V30</t>
  </si>
  <si>
    <t>W30</t>
  </si>
  <si>
    <t>X30</t>
  </si>
  <si>
    <t>Y30</t>
  </si>
  <si>
    <t>Z30</t>
  </si>
  <si>
    <t>AA30</t>
  </si>
  <si>
    <t>AB30</t>
  </si>
  <si>
    <t>S182</t>
  </si>
  <si>
    <t>IDB: Income Taxes Paid - AUS</t>
  </si>
  <si>
    <t>H182</t>
  </si>
  <si>
    <t>I182</t>
  </si>
  <si>
    <t>J182</t>
  </si>
  <si>
    <t>K182</t>
  </si>
  <si>
    <t>L182</t>
  </si>
  <si>
    <t>M182</t>
  </si>
  <si>
    <t>N182</t>
  </si>
  <si>
    <t>O182</t>
  </si>
  <si>
    <t>P182</t>
  </si>
  <si>
    <t>Q182</t>
  </si>
  <si>
    <t>R182</t>
  </si>
  <si>
    <t>T182</t>
  </si>
  <si>
    <t>U182</t>
  </si>
  <si>
    <t>V182</t>
  </si>
  <si>
    <t>W182</t>
  </si>
  <si>
    <t>X182</t>
  </si>
  <si>
    <t>Y182</t>
  </si>
  <si>
    <t>Z182</t>
  </si>
  <si>
    <t>AA182</t>
  </si>
  <si>
    <t>AB182</t>
  </si>
  <si>
    <t>H76</t>
  </si>
  <si>
    <t>IDB: Inventory - BS</t>
  </si>
  <si>
    <t>I76</t>
  </si>
  <si>
    <t>J76</t>
  </si>
  <si>
    <t>K76</t>
  </si>
  <si>
    <t>L76</t>
  </si>
  <si>
    <t>M76</t>
  </si>
  <si>
    <t>N76</t>
  </si>
  <si>
    <t>O76</t>
  </si>
  <si>
    <t>P76</t>
  </si>
  <si>
    <t>Q76</t>
  </si>
  <si>
    <t>R76</t>
  </si>
  <si>
    <t>T76</t>
  </si>
  <si>
    <t>U76</t>
  </si>
  <si>
    <t>V76</t>
  </si>
  <si>
    <t>W76</t>
  </si>
  <si>
    <t>X76</t>
  </si>
  <si>
    <t>Y76</t>
  </si>
  <si>
    <t>Z76</t>
  </si>
  <si>
    <t>AA76</t>
  </si>
  <si>
    <t>AB76</t>
  </si>
  <si>
    <t>S76</t>
  </si>
  <si>
    <t>S27</t>
  </si>
  <si>
    <t>IDB: Irregular Cash (Gains)/Losses</t>
  </si>
  <si>
    <t>H27</t>
  </si>
  <si>
    <t>I27</t>
  </si>
  <si>
    <t>J27</t>
  </si>
  <si>
    <t>K27</t>
  </si>
  <si>
    <t>L27</t>
  </si>
  <si>
    <t>M27</t>
  </si>
  <si>
    <t>N27</t>
  </si>
  <si>
    <t>O27</t>
  </si>
  <si>
    <t>P27</t>
  </si>
  <si>
    <t>Q27</t>
  </si>
  <si>
    <t>R27</t>
  </si>
  <si>
    <t>T27</t>
  </si>
  <si>
    <t>U27</t>
  </si>
  <si>
    <t>V27</t>
  </si>
  <si>
    <t>W27</t>
  </si>
  <si>
    <t>X27</t>
  </si>
  <si>
    <t>Y27</t>
  </si>
  <si>
    <t>Z27</t>
  </si>
  <si>
    <t>AA27</t>
  </si>
  <si>
    <t>AB27</t>
  </si>
  <si>
    <t>Q116</t>
  </si>
  <si>
    <t>V119</t>
  </si>
  <si>
    <t>H93</t>
  </si>
  <si>
    <t>IDB: Minority Interest - BS</t>
  </si>
  <si>
    <t>I93</t>
  </si>
  <si>
    <t>J93</t>
  </si>
  <si>
    <t>K93</t>
  </si>
  <si>
    <t>L93</t>
  </si>
  <si>
    <t>M93</t>
  </si>
  <si>
    <t>N93</t>
  </si>
  <si>
    <t>O93</t>
  </si>
  <si>
    <t>P93</t>
  </si>
  <si>
    <t>Q93</t>
  </si>
  <si>
    <t>R93</t>
  </si>
  <si>
    <t>T93</t>
  </si>
  <si>
    <t>U93</t>
  </si>
  <si>
    <t>V93</t>
  </si>
  <si>
    <t>W93</t>
  </si>
  <si>
    <t>X93</t>
  </si>
  <si>
    <t>Y93</t>
  </si>
  <si>
    <t>Z93</t>
  </si>
  <si>
    <t>AA93</t>
  </si>
  <si>
    <t>AB93</t>
  </si>
  <si>
    <t>S93</t>
  </si>
  <si>
    <t>R5</t>
  </si>
  <si>
    <t>H67</t>
  </si>
  <si>
    <t>IDB: Net (Acquisitions), Asset Sales and Disposals - CF</t>
  </si>
  <si>
    <t>I67</t>
  </si>
  <si>
    <t>J67</t>
  </si>
  <si>
    <t>K67</t>
  </si>
  <si>
    <t>L67</t>
  </si>
  <si>
    <t>M67</t>
  </si>
  <si>
    <t>N67</t>
  </si>
  <si>
    <t>O67</t>
  </si>
  <si>
    <t>P67</t>
  </si>
  <si>
    <t>Q67</t>
  </si>
  <si>
    <t>R67</t>
  </si>
  <si>
    <t>T67</t>
  </si>
  <si>
    <t>U67</t>
  </si>
  <si>
    <t>V67</t>
  </si>
  <si>
    <t>W67</t>
  </si>
  <si>
    <t>X67</t>
  </si>
  <si>
    <t>Y67</t>
  </si>
  <si>
    <t>Z67</t>
  </si>
  <si>
    <t>AA67</t>
  </si>
  <si>
    <t>AB67</t>
  </si>
  <si>
    <t>S67</t>
  </si>
  <si>
    <t>S34</t>
  </si>
  <si>
    <t>IDB: Net Income - IS</t>
  </si>
  <si>
    <t>H34</t>
  </si>
  <si>
    <t>I34</t>
  </si>
  <si>
    <t>J34</t>
  </si>
  <si>
    <t>K34</t>
  </si>
  <si>
    <t>L34</t>
  </si>
  <si>
    <t>M34</t>
  </si>
  <si>
    <t>N34</t>
  </si>
  <si>
    <t>O34</t>
  </si>
  <si>
    <t>P34</t>
  </si>
  <si>
    <t>Q34</t>
  </si>
  <si>
    <t>R34</t>
  </si>
  <si>
    <t>T34</t>
  </si>
  <si>
    <t>U34</t>
  </si>
  <si>
    <t>V34</t>
  </si>
  <si>
    <t>W34</t>
  </si>
  <si>
    <t>X34</t>
  </si>
  <si>
    <t>Y34</t>
  </si>
  <si>
    <t>Z34</t>
  </si>
  <si>
    <t>AA34</t>
  </si>
  <si>
    <t>AB34</t>
  </si>
  <si>
    <t>S29</t>
  </si>
  <si>
    <t>IDB: Net Interest Expense - IS</t>
  </si>
  <si>
    <t>H29</t>
  </si>
  <si>
    <t>I29</t>
  </si>
  <si>
    <t>J29</t>
  </si>
  <si>
    <t>K29</t>
  </si>
  <si>
    <t>L29</t>
  </si>
  <si>
    <t>M29</t>
  </si>
  <si>
    <t>N29</t>
  </si>
  <si>
    <t>O29</t>
  </si>
  <si>
    <t>P29</t>
  </si>
  <si>
    <t>Q29</t>
  </si>
  <si>
    <t>R29</t>
  </si>
  <si>
    <t>T29</t>
  </si>
  <si>
    <t>U29</t>
  </si>
  <si>
    <t>V29</t>
  </si>
  <si>
    <t>W29</t>
  </si>
  <si>
    <t>X29</t>
  </si>
  <si>
    <t>Y29</t>
  </si>
  <si>
    <t>Z29</t>
  </si>
  <si>
    <t>AA29</t>
  </si>
  <si>
    <t>AB29</t>
  </si>
  <si>
    <t>S181</t>
  </si>
  <si>
    <t>IDB: Net Interest Paid - AUS</t>
  </si>
  <si>
    <t>H181</t>
  </si>
  <si>
    <t>I181</t>
  </si>
  <si>
    <t>J181</t>
  </si>
  <si>
    <t>K181</t>
  </si>
  <si>
    <t>L181</t>
  </si>
  <si>
    <t>M181</t>
  </si>
  <si>
    <t>N181</t>
  </si>
  <si>
    <t>O181</t>
  </si>
  <si>
    <t>P181</t>
  </si>
  <si>
    <t>Q181</t>
  </si>
  <si>
    <t>R181</t>
  </si>
  <si>
    <t>T181</t>
  </si>
  <si>
    <t>U181</t>
  </si>
  <si>
    <t>V181</t>
  </si>
  <si>
    <t>W181</t>
  </si>
  <si>
    <t>X181</t>
  </si>
  <si>
    <t>Y181</t>
  </si>
  <si>
    <t>Z181</t>
  </si>
  <si>
    <t>AA181</t>
  </si>
  <si>
    <t>AB181</t>
  </si>
  <si>
    <t>H68</t>
  </si>
  <si>
    <t>IDB: Net New Investment</t>
  </si>
  <si>
    <t>I68</t>
  </si>
  <si>
    <t>J68</t>
  </si>
  <si>
    <t>K68</t>
  </si>
  <si>
    <t>L68</t>
  </si>
  <si>
    <t>M68</t>
  </si>
  <si>
    <t>N68</t>
  </si>
  <si>
    <t>O68</t>
  </si>
  <si>
    <t>P68</t>
  </si>
  <si>
    <t>Q68</t>
  </si>
  <si>
    <t>R68</t>
  </si>
  <si>
    <t>T68</t>
  </si>
  <si>
    <t>U68</t>
  </si>
  <si>
    <t>V68</t>
  </si>
  <si>
    <t>W68</t>
  </si>
  <si>
    <t>X68</t>
  </si>
  <si>
    <t>Y68</t>
  </si>
  <si>
    <t>Z68</t>
  </si>
  <si>
    <t>AA68</t>
  </si>
  <si>
    <t>AB68</t>
  </si>
  <si>
    <t>S68</t>
  </si>
  <si>
    <t>H82</t>
  </si>
  <si>
    <t>IDB: Net Property, Plant, and Equipment - BS</t>
  </si>
  <si>
    <t>I82</t>
  </si>
  <si>
    <t>J82</t>
  </si>
  <si>
    <t>K82</t>
  </si>
  <si>
    <t>L82</t>
  </si>
  <si>
    <t>M82</t>
  </si>
  <si>
    <t>N82</t>
  </si>
  <si>
    <t>O82</t>
  </si>
  <si>
    <t>P82</t>
  </si>
  <si>
    <t>Q82</t>
  </si>
  <si>
    <t>R82</t>
  </si>
  <si>
    <t>T82</t>
  </si>
  <si>
    <t>U82</t>
  </si>
  <si>
    <t>V82</t>
  </si>
  <si>
    <t>W82</t>
  </si>
  <si>
    <t>X82</t>
  </si>
  <si>
    <t>Y82</t>
  </si>
  <si>
    <t>Z82</t>
  </si>
  <si>
    <t>AA82</t>
  </si>
  <si>
    <t>AB82</t>
  </si>
  <si>
    <t>S82</t>
  </si>
  <si>
    <t>S176</t>
  </si>
  <si>
    <t>IDB: Net Tangible Assets Per Share - AUS</t>
  </si>
  <si>
    <t>H176</t>
  </si>
  <si>
    <t>I176</t>
  </si>
  <si>
    <t>J176</t>
  </si>
  <si>
    <t>K176</t>
  </si>
  <si>
    <t>L176</t>
  </si>
  <si>
    <t>M176</t>
  </si>
  <si>
    <t>N176</t>
  </si>
  <si>
    <t>O176</t>
  </si>
  <si>
    <t>P176</t>
  </si>
  <si>
    <t>Q176</t>
  </si>
  <si>
    <t>R176</t>
  </si>
  <si>
    <t>T176</t>
  </si>
  <si>
    <t>U176</t>
  </si>
  <si>
    <t>V176</t>
  </si>
  <si>
    <t>W176</t>
  </si>
  <si>
    <t>X176</t>
  </si>
  <si>
    <t>Y176</t>
  </si>
  <si>
    <t>Z176</t>
  </si>
  <si>
    <t>AA176</t>
  </si>
  <si>
    <t>AB176</t>
  </si>
  <si>
    <t>IDB: Operating Income, excl. charges - IS</t>
  </si>
  <si>
    <t>S28</t>
  </si>
  <si>
    <t>IDB: Operating Income, incl charges - IS</t>
  </si>
  <si>
    <t>H28</t>
  </si>
  <si>
    <t>I28</t>
  </si>
  <si>
    <t>J28</t>
  </si>
  <si>
    <t>K28</t>
  </si>
  <si>
    <t>L28</t>
  </si>
  <si>
    <t>M28</t>
  </si>
  <si>
    <t>N28</t>
  </si>
  <si>
    <t>O28</t>
  </si>
  <si>
    <t>P28</t>
  </si>
  <si>
    <t>Q28</t>
  </si>
  <si>
    <t>R28</t>
  </si>
  <si>
    <t>T28</t>
  </si>
  <si>
    <t>U28</t>
  </si>
  <si>
    <t>V28</t>
  </si>
  <si>
    <t>W28</t>
  </si>
  <si>
    <t>X28</t>
  </si>
  <si>
    <t>Y28</t>
  </si>
  <si>
    <t>Z28</t>
  </si>
  <si>
    <t>AA28</t>
  </si>
  <si>
    <t>AB28</t>
  </si>
  <si>
    <t>IDB: Operating Margin ex charges</t>
  </si>
  <si>
    <t>H80</t>
  </si>
  <si>
    <t>IDB: Other Intangibles - BS</t>
  </si>
  <si>
    <t>I80</t>
  </si>
  <si>
    <t>J80</t>
  </si>
  <si>
    <t>K80</t>
  </si>
  <si>
    <t>L80</t>
  </si>
  <si>
    <t>M80</t>
  </si>
  <si>
    <t>N80</t>
  </si>
  <si>
    <t>O80</t>
  </si>
  <si>
    <t>P80</t>
  </si>
  <si>
    <t>Q80</t>
  </si>
  <si>
    <t>R80</t>
  </si>
  <si>
    <t>T80</t>
  </si>
  <si>
    <t>U80</t>
  </si>
  <si>
    <t>V80</t>
  </si>
  <si>
    <t>W80</t>
  </si>
  <si>
    <t>X80</t>
  </si>
  <si>
    <t>Y80</t>
  </si>
  <si>
    <t>Z80</t>
  </si>
  <si>
    <t>AA80</t>
  </si>
  <si>
    <t>AB80</t>
  </si>
  <si>
    <t>S80</t>
  </si>
  <si>
    <t>H83</t>
  </si>
  <si>
    <t>IDB: Other Operating Assets</t>
  </si>
  <si>
    <t>I83</t>
  </si>
  <si>
    <t>J83</t>
  </si>
  <si>
    <t>K83</t>
  </si>
  <si>
    <t>L83</t>
  </si>
  <si>
    <t>M83</t>
  </si>
  <si>
    <t>N83</t>
  </si>
  <si>
    <t>O83</t>
  </si>
  <si>
    <t>P83</t>
  </si>
  <si>
    <t>Q83</t>
  </si>
  <si>
    <t>R83</t>
  </si>
  <si>
    <t>T83</t>
  </si>
  <si>
    <t>U83</t>
  </si>
  <si>
    <t>V83</t>
  </si>
  <si>
    <t>W83</t>
  </si>
  <si>
    <t>X83</t>
  </si>
  <si>
    <t>Y83</t>
  </si>
  <si>
    <t>Z83</t>
  </si>
  <si>
    <t>AA83</t>
  </si>
  <si>
    <t>AB83</t>
  </si>
  <si>
    <t>S83</t>
  </si>
  <si>
    <t>S183</t>
  </si>
  <si>
    <t>IDB: Other Operating Cash Flow - AUS</t>
  </si>
  <si>
    <t>H183</t>
  </si>
  <si>
    <t>I183</t>
  </si>
  <si>
    <t>J183</t>
  </si>
  <si>
    <t>K183</t>
  </si>
  <si>
    <t>L183</t>
  </si>
  <si>
    <t>M183</t>
  </si>
  <si>
    <t>N183</t>
  </si>
  <si>
    <t>O183</t>
  </si>
  <si>
    <t>P183</t>
  </si>
  <si>
    <t>Q183</t>
  </si>
  <si>
    <t>R183</t>
  </si>
  <si>
    <t>T183</t>
  </si>
  <si>
    <t>U183</t>
  </si>
  <si>
    <t>V183</t>
  </si>
  <si>
    <t>W183</t>
  </si>
  <si>
    <t>X183</t>
  </si>
  <si>
    <t>Y183</t>
  </si>
  <si>
    <t>Z183</t>
  </si>
  <si>
    <t>AA183</t>
  </si>
  <si>
    <t>AB183</t>
  </si>
  <si>
    <t>H89</t>
  </si>
  <si>
    <t>IDB: Other Operating Liabilities</t>
  </si>
  <si>
    <t>I89</t>
  </si>
  <si>
    <t>J89</t>
  </si>
  <si>
    <t>K89</t>
  </si>
  <si>
    <t>L89</t>
  </si>
  <si>
    <t>M89</t>
  </si>
  <si>
    <t>N89</t>
  </si>
  <si>
    <t>O89</t>
  </si>
  <si>
    <t>P89</t>
  </si>
  <si>
    <t>Q89</t>
  </si>
  <si>
    <t>R89</t>
  </si>
  <si>
    <t>T89</t>
  </si>
  <si>
    <t>U89</t>
  </si>
  <si>
    <t>V89</t>
  </si>
  <si>
    <t>W89</t>
  </si>
  <si>
    <t>X89</t>
  </si>
  <si>
    <t>Y89</t>
  </si>
  <si>
    <t>Z89</t>
  </si>
  <si>
    <t>AA89</t>
  </si>
  <si>
    <t>AB89</t>
  </si>
  <si>
    <t>S89</t>
  </si>
  <si>
    <t>S180</t>
  </si>
  <si>
    <t>IDB: Payments to Suppliers - AUS</t>
  </si>
  <si>
    <t>H180</t>
  </si>
  <si>
    <t>I180</t>
  </si>
  <si>
    <t>J180</t>
  </si>
  <si>
    <t>K180</t>
  </si>
  <si>
    <t>L180</t>
  </si>
  <si>
    <t>M180</t>
  </si>
  <si>
    <t>N180</t>
  </si>
  <si>
    <t>O180</t>
  </si>
  <si>
    <t>P180</t>
  </si>
  <si>
    <t>Q180</t>
  </si>
  <si>
    <t>R180</t>
  </si>
  <si>
    <t>T180</t>
  </si>
  <si>
    <t>U180</t>
  </si>
  <si>
    <t>V180</t>
  </si>
  <si>
    <t>W180</t>
  </si>
  <si>
    <t>X180</t>
  </si>
  <si>
    <t>Y180</t>
  </si>
  <si>
    <t>Z180</t>
  </si>
  <si>
    <t>AA180</t>
  </si>
  <si>
    <t>AB180</t>
  </si>
  <si>
    <t>Z105</t>
  </si>
  <si>
    <t>Q104</t>
  </si>
  <si>
    <t>Q105</t>
  </si>
  <si>
    <t>Q106</t>
  </si>
  <si>
    <t>S40</t>
  </si>
  <si>
    <t>S179</t>
  </si>
  <si>
    <t>IDB: Receipts from Customers - AUS</t>
  </si>
  <si>
    <t>H179</t>
  </si>
  <si>
    <t>I179</t>
  </si>
  <si>
    <t>J179</t>
  </si>
  <si>
    <t>K179</t>
  </si>
  <si>
    <t>L179</t>
  </si>
  <si>
    <t>M179</t>
  </si>
  <si>
    <t>N179</t>
  </si>
  <si>
    <t>O179</t>
  </si>
  <si>
    <t>P179</t>
  </si>
  <si>
    <t>Q179</t>
  </si>
  <si>
    <t>R179</t>
  </si>
  <si>
    <t>T179</t>
  </si>
  <si>
    <t>U179</t>
  </si>
  <si>
    <t>V179</t>
  </si>
  <si>
    <t>W179</t>
  </si>
  <si>
    <t>X179</t>
  </si>
  <si>
    <t>Y179</t>
  </si>
  <si>
    <t>Z179</t>
  </si>
  <si>
    <t>AA179</t>
  </si>
  <si>
    <t>AB179</t>
  </si>
  <si>
    <t>IDB: Regular Dividends Per Share - IS</t>
  </si>
  <si>
    <t>AB105</t>
  </si>
  <si>
    <t>S11</t>
  </si>
  <si>
    <t>IDB: Revenue - IS</t>
  </si>
  <si>
    <t>H11</t>
  </si>
  <si>
    <t>I11</t>
  </si>
  <si>
    <t>J11</t>
  </si>
  <si>
    <t>K11</t>
  </si>
  <si>
    <t>L11</t>
  </si>
  <si>
    <t>M11</t>
  </si>
  <si>
    <t>N11</t>
  </si>
  <si>
    <t>O11</t>
  </si>
  <si>
    <t>P11</t>
  </si>
  <si>
    <t>Q11</t>
  </si>
  <si>
    <t>R11</t>
  </si>
  <si>
    <t>T11</t>
  </si>
  <si>
    <t>U11</t>
  </si>
  <si>
    <t>V11</t>
  </si>
  <si>
    <t>W11</t>
  </si>
  <si>
    <t>X11</t>
  </si>
  <si>
    <t>Y11</t>
  </si>
  <si>
    <t>Z11</t>
  </si>
  <si>
    <t>AA11</t>
  </si>
  <si>
    <t>AB11</t>
  </si>
  <si>
    <t>S12</t>
  </si>
  <si>
    <t xml:space="preserve">IDB: Revenue Growth </t>
  </si>
  <si>
    <t>H12</t>
  </si>
  <si>
    <t>I12</t>
  </si>
  <si>
    <t>J12</t>
  </si>
  <si>
    <t>K12</t>
  </si>
  <si>
    <t>L12</t>
  </si>
  <si>
    <t>M12</t>
  </si>
  <si>
    <t>N12</t>
  </si>
  <si>
    <t>O12</t>
  </si>
  <si>
    <t>P12</t>
  </si>
  <si>
    <t>Q12</t>
  </si>
  <si>
    <t>R12</t>
  </si>
  <si>
    <t>T12</t>
  </si>
  <si>
    <t>U12</t>
  </si>
  <si>
    <t>V12</t>
  </si>
  <si>
    <t>W12</t>
  </si>
  <si>
    <t>X12</t>
  </si>
  <si>
    <t>Y12</t>
  </si>
  <si>
    <t>Z12</t>
  </si>
  <si>
    <t>AA12</t>
  </si>
  <si>
    <t>AB12</t>
  </si>
  <si>
    <t>S16</t>
  </si>
  <si>
    <t>IDB: Selling, General, and Administrative Expenses - IS</t>
  </si>
  <si>
    <t>H16</t>
  </si>
  <si>
    <t>I16</t>
  </si>
  <si>
    <t>J16</t>
  </si>
  <si>
    <t>K16</t>
  </si>
  <si>
    <t>L16</t>
  </si>
  <si>
    <t>M16</t>
  </si>
  <si>
    <t>N16</t>
  </si>
  <si>
    <t>O16</t>
  </si>
  <si>
    <t>P16</t>
  </si>
  <si>
    <t>Q16</t>
  </si>
  <si>
    <t>R16</t>
  </si>
  <si>
    <t>T16</t>
  </si>
  <si>
    <t>U16</t>
  </si>
  <si>
    <t>V16</t>
  </si>
  <si>
    <t>W16</t>
  </si>
  <si>
    <t>X16</t>
  </si>
  <si>
    <t>Y16</t>
  </si>
  <si>
    <t>Z16</t>
  </si>
  <si>
    <t>AA16</t>
  </si>
  <si>
    <t>AB16</t>
  </si>
  <si>
    <t>S47</t>
  </si>
  <si>
    <t>IDB: Special Dividends Per Share - IS</t>
  </si>
  <si>
    <t>H47</t>
  </si>
  <si>
    <t>I47</t>
  </si>
  <si>
    <t>J47</t>
  </si>
  <si>
    <t>K47</t>
  </si>
  <si>
    <t>L47</t>
  </si>
  <si>
    <t>M47</t>
  </si>
  <si>
    <t>N47</t>
  </si>
  <si>
    <t>O47</t>
  </si>
  <si>
    <t>P47</t>
  </si>
  <si>
    <t>Q47</t>
  </si>
  <si>
    <t>R47</t>
  </si>
  <si>
    <t>T47</t>
  </si>
  <si>
    <t>U47</t>
  </si>
  <si>
    <t>V47</t>
  </si>
  <si>
    <t>W47</t>
  </si>
  <si>
    <t>X47</t>
  </si>
  <si>
    <t>Y47</t>
  </si>
  <si>
    <t>Z47</t>
  </si>
  <si>
    <t>AA47</t>
  </si>
  <si>
    <t>AB47</t>
  </si>
  <si>
    <t>V110</t>
  </si>
  <si>
    <t>V113</t>
  </si>
  <si>
    <t>V111</t>
  </si>
  <si>
    <t>V106</t>
  </si>
  <si>
    <t>V105</t>
  </si>
  <si>
    <t>V109</t>
  </si>
  <si>
    <t>V104</t>
  </si>
  <si>
    <t>H85</t>
  </si>
  <si>
    <t>IDB: Total Assets - BS</t>
  </si>
  <si>
    <t>I85</t>
  </si>
  <si>
    <t>J85</t>
  </si>
  <si>
    <t>K85</t>
  </si>
  <si>
    <t>L85</t>
  </si>
  <si>
    <t>M85</t>
  </si>
  <si>
    <t>N85</t>
  </si>
  <si>
    <t>O85</t>
  </si>
  <si>
    <t>P85</t>
  </si>
  <si>
    <t>Q85</t>
  </si>
  <si>
    <t>R85</t>
  </si>
  <si>
    <t>T85</t>
  </si>
  <si>
    <t>U85</t>
  </si>
  <si>
    <t>V85</t>
  </si>
  <si>
    <t>W85</t>
  </si>
  <si>
    <t>X85</t>
  </si>
  <si>
    <t>Y85</t>
  </si>
  <si>
    <t>Z85</t>
  </si>
  <si>
    <t>AA85</t>
  </si>
  <si>
    <t>AB85</t>
  </si>
  <si>
    <t>S85</t>
  </si>
  <si>
    <t>H88</t>
  </si>
  <si>
    <t>IDB: Total Debt - BS</t>
  </si>
  <si>
    <t>I88</t>
  </si>
  <si>
    <t>J88</t>
  </si>
  <si>
    <t>K88</t>
  </si>
  <si>
    <t>L88</t>
  </si>
  <si>
    <t>M88</t>
  </si>
  <si>
    <t>N88</t>
  </si>
  <si>
    <t>O88</t>
  </si>
  <si>
    <t>P88</t>
  </si>
  <si>
    <t>Q88</t>
  </si>
  <si>
    <t>R88</t>
  </si>
  <si>
    <t>T88</t>
  </si>
  <si>
    <t>U88</t>
  </si>
  <si>
    <t>V88</t>
  </si>
  <si>
    <t>W88</t>
  </si>
  <si>
    <t>X88</t>
  </si>
  <si>
    <t>Y88</t>
  </si>
  <si>
    <t>Z88</t>
  </si>
  <si>
    <t>AA88</t>
  </si>
  <si>
    <t>AB88</t>
  </si>
  <si>
    <t>S88</t>
  </si>
  <si>
    <t>L74</t>
  </si>
  <si>
    <t>M74</t>
  </si>
  <si>
    <t>H94</t>
  </si>
  <si>
    <t>IDB: Total Equity - BS</t>
  </si>
  <si>
    <t>I94</t>
  </si>
  <si>
    <t>J94</t>
  </si>
  <si>
    <t>K94</t>
  </si>
  <si>
    <t>L94</t>
  </si>
  <si>
    <t>M94</t>
  </si>
  <si>
    <t>N94</t>
  </si>
  <si>
    <t>O94</t>
  </si>
  <si>
    <t>P94</t>
  </si>
  <si>
    <t>Q94</t>
  </si>
  <si>
    <t>R94</t>
  </si>
  <si>
    <t>T94</t>
  </si>
  <si>
    <t>U94</t>
  </si>
  <si>
    <t>V94</t>
  </si>
  <si>
    <t>W94</t>
  </si>
  <si>
    <t>X94</t>
  </si>
  <si>
    <t>Y94</t>
  </si>
  <si>
    <t>Z94</t>
  </si>
  <si>
    <t>AA94</t>
  </si>
  <si>
    <t>AB94</t>
  </si>
  <si>
    <t>S94</t>
  </si>
  <si>
    <t>Q114</t>
  </si>
  <si>
    <t>H91</t>
  </si>
  <si>
    <t>IDB: Total Liabilities</t>
  </si>
  <si>
    <t>I91</t>
  </si>
  <si>
    <t>J91</t>
  </si>
  <si>
    <t>K91</t>
  </si>
  <si>
    <t>L91</t>
  </si>
  <si>
    <t>M91</t>
  </si>
  <si>
    <t>N91</t>
  </si>
  <si>
    <t>O91</t>
  </si>
  <si>
    <t>P91</t>
  </si>
  <si>
    <t>Q91</t>
  </si>
  <si>
    <t>R91</t>
  </si>
  <si>
    <t>T91</t>
  </si>
  <si>
    <t>U91</t>
  </si>
  <si>
    <t>V91</t>
  </si>
  <si>
    <t>W91</t>
  </si>
  <si>
    <t>X91</t>
  </si>
  <si>
    <t>Y91</t>
  </si>
  <si>
    <t>Z91</t>
  </si>
  <si>
    <t>AA91</t>
  </si>
  <si>
    <t>AB91</t>
  </si>
  <si>
    <t>S91</t>
  </si>
  <si>
    <t>H92</t>
  </si>
  <si>
    <t>IDB: Total Shareholder Equity - BS</t>
  </si>
  <si>
    <t>I92</t>
  </si>
  <si>
    <t>J92</t>
  </si>
  <si>
    <t>K92</t>
  </si>
  <si>
    <t>L92</t>
  </si>
  <si>
    <t>M92</t>
  </si>
  <si>
    <t>N92</t>
  </si>
  <si>
    <t>O92</t>
  </si>
  <si>
    <t>P92</t>
  </si>
  <si>
    <t>Q92</t>
  </si>
  <si>
    <t>R92</t>
  </si>
  <si>
    <t>T92</t>
  </si>
  <si>
    <t>U92</t>
  </si>
  <si>
    <t>V92</t>
  </si>
  <si>
    <t>W92</t>
  </si>
  <si>
    <t>X92</t>
  </si>
  <si>
    <t>Y92</t>
  </si>
  <si>
    <t>Z92</t>
  </si>
  <si>
    <t>AA92</t>
  </si>
  <si>
    <t>AB92</t>
  </si>
  <si>
    <t>S92</t>
  </si>
  <si>
    <t>V120</t>
  </si>
  <si>
    <t>U5</t>
  </si>
  <si>
    <t>V122</t>
  </si>
  <si>
    <t>S39</t>
  </si>
  <si>
    <t>IDB: Weighted Average Diluted Shares Outstanding - IS</t>
  </si>
  <si>
    <t>H39</t>
  </si>
  <si>
    <t>I39</t>
  </si>
  <si>
    <t>J39</t>
  </si>
  <si>
    <t>K39</t>
  </si>
  <si>
    <t>L39</t>
  </si>
  <si>
    <t>M39</t>
  </si>
  <si>
    <t>N39</t>
  </si>
  <si>
    <t>O39</t>
  </si>
  <si>
    <t>P39</t>
  </si>
  <si>
    <t>Q39</t>
  </si>
  <si>
    <t>R39</t>
  </si>
  <si>
    <t>T39</t>
  </si>
  <si>
    <t>U39</t>
  </si>
  <si>
    <t>V39</t>
  </si>
  <si>
    <t>W39</t>
  </si>
  <si>
    <t>X39</t>
  </si>
  <si>
    <t>Y39</t>
  </si>
  <si>
    <t>Z39</t>
  </si>
  <si>
    <t>AA39</t>
  </si>
  <si>
    <t>AB39</t>
  </si>
  <si>
    <t>Z109</t>
  </si>
  <si>
    <t>Z110</t>
  </si>
  <si>
    <t>Income Tax Expense (Benefit)</t>
  </si>
  <si>
    <t>Income Taxes Paid (AUS)</t>
  </si>
  <si>
    <t>Minority Interest - Balance Sheet</t>
  </si>
  <si>
    <t>Net (Acquisitions), Asset Sales, and Disposals</t>
  </si>
  <si>
    <t>S196</t>
  </si>
  <si>
    <t>Net Change in Cash (AUS)</t>
  </si>
  <si>
    <t>H196</t>
  </si>
  <si>
    <t>I196</t>
  </si>
  <si>
    <t>J196</t>
  </si>
  <si>
    <t>K196</t>
  </si>
  <si>
    <t>L196</t>
  </si>
  <si>
    <t>M196</t>
  </si>
  <si>
    <t>N196</t>
  </si>
  <si>
    <t>O196</t>
  </si>
  <si>
    <t>P196</t>
  </si>
  <si>
    <t>Q196</t>
  </si>
  <si>
    <t>R196</t>
  </si>
  <si>
    <t>T196</t>
  </si>
  <si>
    <t>U196</t>
  </si>
  <si>
    <t>V196</t>
  </si>
  <si>
    <t>W196</t>
  </si>
  <si>
    <t>X196</t>
  </si>
  <si>
    <t>Y196</t>
  </si>
  <si>
    <t>Z196</t>
  </si>
  <si>
    <t>AA196</t>
  </si>
  <si>
    <t>AB196</t>
  </si>
  <si>
    <t>S194</t>
  </si>
  <si>
    <t>Net Financing Cash Flow (AUS)</t>
  </si>
  <si>
    <t>H194</t>
  </si>
  <si>
    <t>I194</t>
  </si>
  <si>
    <t>J194</t>
  </si>
  <si>
    <t>K194</t>
  </si>
  <si>
    <t>L194</t>
  </si>
  <si>
    <t>M194</t>
  </si>
  <si>
    <t>N194</t>
  </si>
  <si>
    <t>O194</t>
  </si>
  <si>
    <t>P194</t>
  </si>
  <si>
    <t>Q194</t>
  </si>
  <si>
    <t>R194</t>
  </si>
  <si>
    <t>T194</t>
  </si>
  <si>
    <t>U194</t>
  </si>
  <si>
    <t>V194</t>
  </si>
  <si>
    <t>W194</t>
  </si>
  <si>
    <t>X194</t>
  </si>
  <si>
    <t>Y194</t>
  </si>
  <si>
    <t>Z194</t>
  </si>
  <si>
    <t>AA194</t>
  </si>
  <si>
    <t>AB194</t>
  </si>
  <si>
    <t>Net Income (Loss)</t>
  </si>
  <si>
    <t>Net Interest Paid (AUS)</t>
  </si>
  <si>
    <t>S189</t>
  </si>
  <si>
    <t>Net Investing Cash Flow (AUS)</t>
  </si>
  <si>
    <t>H189</t>
  </si>
  <si>
    <t>I189</t>
  </si>
  <si>
    <t>J189</t>
  </si>
  <si>
    <t>K189</t>
  </si>
  <si>
    <t>L189</t>
  </si>
  <si>
    <t>M189</t>
  </si>
  <si>
    <t>N189</t>
  </si>
  <si>
    <t>O189</t>
  </si>
  <si>
    <t>P189</t>
  </si>
  <si>
    <t>Q189</t>
  </si>
  <si>
    <t>R189</t>
  </si>
  <si>
    <t>T189</t>
  </si>
  <si>
    <t>U189</t>
  </si>
  <si>
    <t>V189</t>
  </si>
  <si>
    <t>W189</t>
  </si>
  <si>
    <t>X189</t>
  </si>
  <si>
    <t>Y189</t>
  </si>
  <si>
    <t>Z189</t>
  </si>
  <si>
    <t>AA189</t>
  </si>
  <si>
    <t>AB189</t>
  </si>
  <si>
    <t>H64</t>
  </si>
  <si>
    <t>I64</t>
  </si>
  <si>
    <t>J64</t>
  </si>
  <si>
    <t>K64</t>
  </si>
  <si>
    <t>L64</t>
  </si>
  <si>
    <t>M64</t>
  </si>
  <si>
    <t>N64</t>
  </si>
  <si>
    <t>O64</t>
  </si>
  <si>
    <t>P64</t>
  </si>
  <si>
    <t>Q64</t>
  </si>
  <si>
    <t>R64</t>
  </si>
  <si>
    <t>T64</t>
  </si>
  <si>
    <t>U64</t>
  </si>
  <si>
    <t>V64</t>
  </si>
  <si>
    <t>W64</t>
  </si>
  <si>
    <t>X64</t>
  </si>
  <si>
    <t>Y64</t>
  </si>
  <si>
    <t>Z64</t>
  </si>
  <si>
    <t>AA64</t>
  </si>
  <si>
    <t>AB64</t>
  </si>
  <si>
    <t>S64</t>
  </si>
  <si>
    <t>S184</t>
  </si>
  <si>
    <t>Net Operating Cash Flow (AUS)</t>
  </si>
  <si>
    <t>H184</t>
  </si>
  <si>
    <t>I184</t>
  </si>
  <si>
    <t>J184</t>
  </si>
  <si>
    <t>K184</t>
  </si>
  <si>
    <t>L184</t>
  </si>
  <si>
    <t>M184</t>
  </si>
  <si>
    <t>N184</t>
  </si>
  <si>
    <t>O184</t>
  </si>
  <si>
    <t>P184</t>
  </si>
  <si>
    <t>Q184</t>
  </si>
  <si>
    <t>R184</t>
  </si>
  <si>
    <t>T184</t>
  </si>
  <si>
    <t>U184</t>
  </si>
  <si>
    <t>V184</t>
  </si>
  <si>
    <t>W184</t>
  </si>
  <si>
    <t>X184</t>
  </si>
  <si>
    <t>Y184</t>
  </si>
  <si>
    <t>Z184</t>
  </si>
  <si>
    <t>AA184</t>
  </si>
  <si>
    <t>AB184</t>
  </si>
  <si>
    <t>S185</t>
  </si>
  <si>
    <t>Net Payments for PP&amp;E (AUS)</t>
  </si>
  <si>
    <t>H185</t>
  </si>
  <si>
    <t>I185</t>
  </si>
  <si>
    <t>J185</t>
  </si>
  <si>
    <t>K185</t>
  </si>
  <si>
    <t>L185</t>
  </si>
  <si>
    <t>M185</t>
  </si>
  <si>
    <t>N185</t>
  </si>
  <si>
    <t>O185</t>
  </si>
  <si>
    <t>P185</t>
  </si>
  <si>
    <t>Q185</t>
  </si>
  <si>
    <t>R185</t>
  </si>
  <si>
    <t>T185</t>
  </si>
  <si>
    <t>U185</t>
  </si>
  <si>
    <t>V185</t>
  </si>
  <si>
    <t>W185</t>
  </si>
  <si>
    <t>X185</t>
  </si>
  <si>
    <t>Y185</t>
  </si>
  <si>
    <t>Z185</t>
  </si>
  <si>
    <t>AA185</t>
  </si>
  <si>
    <t>AB185</t>
  </si>
  <si>
    <t>S187</t>
  </si>
  <si>
    <t>Net Purchases/Sales of Investments (AUS)</t>
  </si>
  <si>
    <t>H187</t>
  </si>
  <si>
    <t>I187</t>
  </si>
  <si>
    <t>J187</t>
  </si>
  <si>
    <t>K187</t>
  </si>
  <si>
    <t>L187</t>
  </si>
  <si>
    <t>M187</t>
  </si>
  <si>
    <t>N187</t>
  </si>
  <si>
    <t>O187</t>
  </si>
  <si>
    <t>P187</t>
  </si>
  <si>
    <t>Q187</t>
  </si>
  <si>
    <t>R187</t>
  </si>
  <si>
    <t>T187</t>
  </si>
  <si>
    <t>U187</t>
  </si>
  <si>
    <t>V187</t>
  </si>
  <si>
    <t>W187</t>
  </si>
  <si>
    <t>X187</t>
  </si>
  <si>
    <t>Y187</t>
  </si>
  <si>
    <t>Z187</t>
  </si>
  <si>
    <t>AA187</t>
  </si>
  <si>
    <t>AB187</t>
  </si>
  <si>
    <t>Net Tangible Assets Per Share (AUS)</t>
  </si>
  <si>
    <t>H71</t>
  </si>
  <si>
    <t>I71</t>
  </si>
  <si>
    <t>J71</t>
  </si>
  <si>
    <t>K71</t>
  </si>
  <si>
    <t>L71</t>
  </si>
  <si>
    <t>M71</t>
  </si>
  <si>
    <t>N71</t>
  </si>
  <si>
    <t>O71</t>
  </si>
  <si>
    <t>P71</t>
  </si>
  <si>
    <t>Q71</t>
  </si>
  <si>
    <t>R71</t>
  </si>
  <si>
    <t>T71</t>
  </si>
  <si>
    <t>U71</t>
  </si>
  <si>
    <t>V71</t>
  </si>
  <si>
    <t>W71</t>
  </si>
  <si>
    <t>X71</t>
  </si>
  <si>
    <t>Y71</t>
  </si>
  <si>
    <t>Z71</t>
  </si>
  <si>
    <t>AA71</t>
  </si>
  <si>
    <t>AB71</t>
  </si>
  <si>
    <t>S71</t>
  </si>
  <si>
    <t>H90</t>
  </si>
  <si>
    <t>I90</t>
  </si>
  <si>
    <t>J90</t>
  </si>
  <si>
    <t>K90</t>
  </si>
  <si>
    <t>L90</t>
  </si>
  <si>
    <t>M90</t>
  </si>
  <si>
    <t>N90</t>
  </si>
  <si>
    <t>O90</t>
  </si>
  <si>
    <t>P90</t>
  </si>
  <si>
    <t>Q90</t>
  </si>
  <si>
    <t>R90</t>
  </si>
  <si>
    <t>T90</t>
  </si>
  <si>
    <t>U90</t>
  </si>
  <si>
    <t>V90</t>
  </si>
  <si>
    <t>W90</t>
  </si>
  <si>
    <t>X90</t>
  </si>
  <si>
    <t>Y90</t>
  </si>
  <si>
    <t>Z90</t>
  </si>
  <si>
    <t>AA90</t>
  </si>
  <si>
    <t>AB90</t>
  </si>
  <si>
    <t>S90</t>
  </si>
  <si>
    <t>Operating Income (ex charges)</t>
  </si>
  <si>
    <t>Operating Income (incl charges)</t>
  </si>
  <si>
    <t>Operating Margin (ex charges)</t>
  </si>
  <si>
    <t>S193</t>
  </si>
  <si>
    <t>Other Financing Cash Flow (AUS)</t>
  </si>
  <si>
    <t>H193</t>
  </si>
  <si>
    <t>I193</t>
  </si>
  <si>
    <t>J193</t>
  </si>
  <si>
    <t>K193</t>
  </si>
  <si>
    <t>L193</t>
  </si>
  <si>
    <t>M193</t>
  </si>
  <si>
    <t>N193</t>
  </si>
  <si>
    <t>O193</t>
  </si>
  <si>
    <t>P193</t>
  </si>
  <si>
    <t>Q193</t>
  </si>
  <si>
    <t>R193</t>
  </si>
  <si>
    <t>T193</t>
  </si>
  <si>
    <t>U193</t>
  </si>
  <si>
    <t>V193</t>
  </si>
  <si>
    <t>W193</t>
  </si>
  <si>
    <t>X193</t>
  </si>
  <si>
    <t>Y193</t>
  </si>
  <si>
    <t>Z193</t>
  </si>
  <si>
    <t>AA193</t>
  </si>
  <si>
    <t>AB193</t>
  </si>
  <si>
    <t>S188</t>
  </si>
  <si>
    <t>Other Investing Cash Flow (AUS)</t>
  </si>
  <si>
    <t>H188</t>
  </si>
  <si>
    <t>I188</t>
  </si>
  <si>
    <t>J188</t>
  </si>
  <si>
    <t>K188</t>
  </si>
  <si>
    <t>L188</t>
  </si>
  <si>
    <t>M188</t>
  </si>
  <si>
    <t>N188</t>
  </si>
  <si>
    <t>O188</t>
  </si>
  <si>
    <t>P188</t>
  </si>
  <si>
    <t>Q188</t>
  </si>
  <si>
    <t>R188</t>
  </si>
  <si>
    <t>T188</t>
  </si>
  <si>
    <t>U188</t>
  </si>
  <si>
    <t>V188</t>
  </si>
  <si>
    <t>W188</t>
  </si>
  <si>
    <t>X188</t>
  </si>
  <si>
    <t>Y188</t>
  </si>
  <si>
    <t>Z188</t>
  </si>
  <si>
    <t>AA188</t>
  </si>
  <si>
    <t>AB188</t>
  </si>
  <si>
    <t>H84</t>
  </si>
  <si>
    <t>I84</t>
  </si>
  <si>
    <t>J84</t>
  </si>
  <si>
    <t>K84</t>
  </si>
  <si>
    <t>L84</t>
  </si>
  <si>
    <t>M84</t>
  </si>
  <si>
    <t>N84</t>
  </si>
  <si>
    <t>O84</t>
  </si>
  <si>
    <t>P84</t>
  </si>
  <si>
    <t>Q84</t>
  </si>
  <si>
    <t>R84</t>
  </si>
  <si>
    <t>T84</t>
  </si>
  <si>
    <t>U84</t>
  </si>
  <si>
    <t>V84</t>
  </si>
  <si>
    <t>W84</t>
  </si>
  <si>
    <t>X84</t>
  </si>
  <si>
    <t>Y84</t>
  </si>
  <si>
    <t>Z84</t>
  </si>
  <si>
    <t>AA84</t>
  </si>
  <si>
    <t>AB84</t>
  </si>
  <si>
    <t>S84</t>
  </si>
  <si>
    <t>Other Operating Cash Flow (AUS)</t>
  </si>
  <si>
    <t>Payments to Suppliers (AUS)</t>
  </si>
  <si>
    <t>S191</t>
  </si>
  <si>
    <t>Proceeds from Borrowings (AUS)</t>
  </si>
  <si>
    <t>H191</t>
  </si>
  <si>
    <t>I191</t>
  </si>
  <si>
    <t>J191</t>
  </si>
  <si>
    <t>K191</t>
  </si>
  <si>
    <t>L191</t>
  </si>
  <si>
    <t>M191</t>
  </si>
  <si>
    <t>N191</t>
  </si>
  <si>
    <t>O191</t>
  </si>
  <si>
    <t>P191</t>
  </si>
  <si>
    <t>Q191</t>
  </si>
  <si>
    <t>R191</t>
  </si>
  <si>
    <t>T191</t>
  </si>
  <si>
    <t>U191</t>
  </si>
  <si>
    <t>V191</t>
  </si>
  <si>
    <t>W191</t>
  </si>
  <si>
    <t>X191</t>
  </si>
  <si>
    <t>Y191</t>
  </si>
  <si>
    <t>Z191</t>
  </si>
  <si>
    <t>AA191</t>
  </si>
  <si>
    <t>AB191</t>
  </si>
  <si>
    <t>S190</t>
  </si>
  <si>
    <t>Proceeds from Issues (AUS)</t>
  </si>
  <si>
    <t>H190</t>
  </si>
  <si>
    <t>I190</t>
  </si>
  <si>
    <t>J190</t>
  </si>
  <si>
    <t>K190</t>
  </si>
  <si>
    <t>L190</t>
  </si>
  <si>
    <t>M190</t>
  </si>
  <si>
    <t>N190</t>
  </si>
  <si>
    <t>O190</t>
  </si>
  <si>
    <t>P190</t>
  </si>
  <si>
    <t>Q190</t>
  </si>
  <si>
    <t>R190</t>
  </si>
  <si>
    <t>T190</t>
  </si>
  <si>
    <t>U190</t>
  </si>
  <si>
    <t>V190</t>
  </si>
  <si>
    <t>W190</t>
  </si>
  <si>
    <t>X190</t>
  </si>
  <si>
    <t>Y190</t>
  </si>
  <si>
    <t>Z190</t>
  </si>
  <si>
    <t>AA190</t>
  </si>
  <si>
    <t>AB190</t>
  </si>
  <si>
    <t>Property Plant &amp; Equipment, Net</t>
  </si>
  <si>
    <t>Receipts from Customers(AUS)</t>
  </si>
  <si>
    <t>Regular Dividends Per Share (Declared)</t>
  </si>
  <si>
    <t>H20</t>
  </si>
  <si>
    <t>Research &amp; Development Expenses</t>
  </si>
  <si>
    <t>I20</t>
  </si>
  <si>
    <t>J20</t>
  </si>
  <si>
    <t>K20</t>
  </si>
  <si>
    <t>L20</t>
  </si>
  <si>
    <t>M20</t>
  </si>
  <si>
    <t>N20</t>
  </si>
  <si>
    <t>O20</t>
  </si>
  <si>
    <t>P20</t>
  </si>
  <si>
    <t>Q20</t>
  </si>
  <si>
    <t>R20</t>
  </si>
  <si>
    <t>T20</t>
  </si>
  <si>
    <t>U20</t>
  </si>
  <si>
    <t>V20</t>
  </si>
  <si>
    <t>W20</t>
  </si>
  <si>
    <t>X20</t>
  </si>
  <si>
    <t>Y20</t>
  </si>
  <si>
    <t>Z20</t>
  </si>
  <si>
    <t>AA20</t>
  </si>
  <si>
    <t>AB20</t>
  </si>
  <si>
    <t>S20</t>
  </si>
  <si>
    <t>Q115</t>
  </si>
  <si>
    <t>Total Shareholders' Equity</t>
  </si>
  <si>
    <t>H57</t>
  </si>
  <si>
    <t>I57</t>
  </si>
  <si>
    <t>J57</t>
  </si>
  <si>
    <t>K57</t>
  </si>
  <si>
    <t>L57</t>
  </si>
  <si>
    <t>M57</t>
  </si>
  <si>
    <t>N57</t>
  </si>
  <si>
    <t>O57</t>
  </si>
  <si>
    <t>P57</t>
  </si>
  <si>
    <t>Q57</t>
  </si>
  <si>
    <t>R57</t>
  </si>
  <si>
    <t>T57</t>
  </si>
  <si>
    <t>U57</t>
  </si>
  <si>
    <t>V57</t>
  </si>
  <si>
    <t>W57</t>
  </si>
  <si>
    <t>X57</t>
  </si>
  <si>
    <t>Y57</t>
  </si>
  <si>
    <t>Z57</t>
  </si>
  <si>
    <t>AA57</t>
  </si>
  <si>
    <t>AB57</t>
  </si>
  <si>
    <t>S57</t>
  </si>
  <si>
    <t>Value</t>
  </si>
  <si>
    <t>V124</t>
  </si>
  <si>
    <t>General Model 7.001</t>
  </si>
  <si>
    <t>_ExportData</t>
  </si>
  <si>
    <t>H2</t>
  </si>
  <si>
    <t>ModelTypeName</t>
  </si>
  <si>
    <t>ModelTypeVersion</t>
  </si>
  <si>
    <t>General Model</t>
  </si>
  <si>
    <t>Valuation Tab Functions</t>
  </si>
  <si>
    <t>Comparables Functions</t>
  </si>
  <si>
    <t>PB Data Functions</t>
  </si>
  <si>
    <t>Pitchbook Historicals</t>
  </si>
  <si>
    <t>LastModified</t>
  </si>
  <si>
    <t>H59</t>
  </si>
  <si>
    <t>I59</t>
  </si>
  <si>
    <t>J59</t>
  </si>
  <si>
    <t>K59</t>
  </si>
  <si>
    <t>L59</t>
  </si>
  <si>
    <t>M59</t>
  </si>
  <si>
    <t>N59</t>
  </si>
  <si>
    <t>O59</t>
  </si>
  <si>
    <t>P59</t>
  </si>
  <si>
    <t>Q59</t>
  </si>
  <si>
    <t>R59</t>
  </si>
  <si>
    <t>T59</t>
  </si>
  <si>
    <t>U59</t>
  </si>
  <si>
    <t>V59</t>
  </si>
  <si>
    <t>W59</t>
  </si>
  <si>
    <t>X59</t>
  </si>
  <si>
    <t>Y59</t>
  </si>
  <si>
    <t>Z59</t>
  </si>
  <si>
    <t>AA59</t>
  </si>
  <si>
    <t>AB59</t>
  </si>
  <si>
    <t>S59</t>
  </si>
  <si>
    <t>Ratios</t>
  </si>
  <si>
    <t>Z106</t>
  </si>
  <si>
    <t>V116</t>
  </si>
  <si>
    <t>R113</t>
  </si>
  <si>
    <t>Z113</t>
  </si>
  <si>
    <t>Z108</t>
  </si>
  <si>
    <t>Preferred Share</t>
  </si>
  <si>
    <t>Inflation Premium</t>
  </si>
  <si>
    <t>PB Addin Installed</t>
  </si>
  <si>
    <t>W109</t>
  </si>
  <si>
    <t>Perpetuity Year</t>
  </si>
  <si>
    <t>Odds &amp; Ends</t>
  </si>
  <si>
    <t>Assets / Equity</t>
  </si>
  <si>
    <t>S9</t>
  </si>
  <si>
    <t>F27</t>
  </si>
  <si>
    <t>G27</t>
  </si>
  <si>
    <t>Cash Flow Statement Supplemental Section</t>
  </si>
  <si>
    <t>Cash Flow Statement Operating Metrics</t>
  </si>
  <si>
    <t>Five-Star Price</t>
  </si>
  <si>
    <t>Four-Star Price</t>
  </si>
  <si>
    <t>Two-Star Price</t>
  </si>
  <si>
    <t>One-Star Price</t>
  </si>
  <si>
    <t>QQQQ</t>
  </si>
  <si>
    <t>QQQ</t>
  </si>
  <si>
    <t>QQ</t>
  </si>
  <si>
    <t>Q</t>
  </si>
  <si>
    <t>Cost of Preferred</t>
  </si>
  <si>
    <t>Buildup</t>
  </si>
  <si>
    <t xml:space="preserve">Five-Star Price </t>
  </si>
  <si>
    <t>Estimated COE</t>
  </si>
  <si>
    <t>Adjusted P / E</t>
  </si>
  <si>
    <t xml:space="preserve">Fair Value Estimate </t>
  </si>
  <si>
    <t>Pre-Tax Cost of Debt</t>
  </si>
  <si>
    <t>EV / Adjusted EBITDA</t>
  </si>
  <si>
    <t xml:space="preserve">One-Star Price </t>
  </si>
  <si>
    <t>Estimated WACC</t>
  </si>
  <si>
    <t>EV / Sales</t>
  </si>
  <si>
    <t xml:space="preserve">Market Price </t>
  </si>
  <si>
    <t>ROIC *</t>
  </si>
  <si>
    <t>P / FVE</t>
  </si>
  <si>
    <t>Adjusted ROIC *</t>
  </si>
  <si>
    <t>FCF Yield</t>
  </si>
  <si>
    <t>* 5-Yr Projected Average</t>
  </si>
  <si>
    <t>(Price)</t>
  </si>
  <si>
    <t>(Fair Value)</t>
  </si>
  <si>
    <t/>
  </si>
  <si>
    <t>Projected CAGR/AVG</t>
  </si>
  <si>
    <t>Adjusted Income</t>
  </si>
  <si>
    <t>Adjusted EPS</t>
  </si>
  <si>
    <t>Growth (% YoY)</t>
  </si>
  <si>
    <t>Profitability (%)</t>
  </si>
  <si>
    <t>Operating Margin</t>
  </si>
  <si>
    <t>Leverage</t>
  </si>
  <si>
    <t>Debt / Capital</t>
  </si>
  <si>
    <t>Debt / EBITDA</t>
  </si>
  <si>
    <t>EBITDA / Interest Expense</t>
  </si>
  <si>
    <t>Cash Flow</t>
  </si>
  <si>
    <t>Dividends per Share</t>
  </si>
  <si>
    <t>Dividend Franking</t>
  </si>
  <si>
    <t>Pro Forma Income Statement</t>
  </si>
  <si>
    <t>Selling, General, and Admin. Expenses</t>
  </si>
  <si>
    <t>Pro Forma Balance Sheet</t>
  </si>
  <si>
    <t>Historical CAGR/AVG</t>
  </si>
  <si>
    <t>000-000-0000</t>
  </si>
  <si>
    <t>3-Year</t>
  </si>
  <si>
    <t>5-Year</t>
  </si>
  <si>
    <t>The data and algorithms embedded in these spreadsheets (1) are proprietary to Morningstar, Inc.; (2) may not be copied or redistributed; (3) do not constitute investment advice; and (4) are not warranted to be accurate, complete, or timely. Morningstar is not responsible for any damages or losses arising from any use of these spreadsheets or the data contained therein.</t>
  </si>
  <si>
    <t>Weighted Avg Diluted Shares Outstanding</t>
  </si>
  <si>
    <t>Net New Investment (Organic)</t>
  </si>
  <si>
    <t>Net New Investment (Total)</t>
  </si>
  <si>
    <t>PATCH?</t>
  </si>
  <si>
    <t>Disable All PB</t>
  </si>
  <si>
    <t>Z112</t>
  </si>
  <si>
    <t>C7</t>
  </si>
  <si>
    <t>Last Modified</t>
  </si>
  <si>
    <t>Total CoD</t>
  </si>
  <si>
    <t>Total CoE</t>
  </si>
  <si>
    <t>Cost Of Debt</t>
  </si>
  <si>
    <t>RFR</t>
  </si>
  <si>
    <t>Consensus Median</t>
  </si>
  <si>
    <t>Consensus Mean</t>
  </si>
  <si>
    <t>Consensus High</t>
  </si>
  <si>
    <t>Consensus Low</t>
  </si>
  <si>
    <t>Gross Income</t>
  </si>
  <si>
    <t>EBITDA (Normalized)</t>
  </si>
  <si>
    <t>Dividend per Share</t>
  </si>
  <si>
    <t>Diluted EPS (Normalized)</t>
  </si>
  <si>
    <t>Capital Expenditure</t>
  </si>
  <si>
    <t>CAGR</t>
  </si>
  <si>
    <t>No. Estimates</t>
  </si>
  <si>
    <t>Quarters</t>
  </si>
  <si>
    <t>Japan YE Adjustment</t>
  </si>
  <si>
    <t>Comparables Layout Options</t>
  </si>
  <si>
    <t>Patch Date</t>
  </si>
  <si>
    <t>Model Version</t>
  </si>
  <si>
    <t>#SPECIFYREQUIRED</t>
  </si>
  <si>
    <t xml:space="preserve">  - Debt</t>
  </si>
  <si>
    <t>On Open</t>
  </si>
  <si>
    <t>Manual</t>
  </si>
  <si>
    <t>PB Refresh Options</t>
  </si>
  <si>
    <t>PB Fundamentals (Latest 3Y)</t>
  </si>
  <si>
    <t>Comparables Data</t>
  </si>
  <si>
    <t>Valuation Tab Items</t>
  </si>
  <si>
    <t>Ratios Tab Items</t>
  </si>
  <si>
    <t>ROIC Tab Items</t>
  </si>
  <si>
    <t>Year Ended December 31,</t>
  </si>
  <si>
    <t>Consolidated Statement of Operations Data</t>
  </si>
  <si>
    <t>(in thousands, except per share data)</t>
  </si>
  <si>
    <t>Revenue:</t>
  </si>
  <si>
    <t>Net revenue</t>
  </si>
  <si>
    <t>Other revenue</t>
  </si>
  <si>
    <t>Total revenue</t>
  </si>
  <si>
    <t>Operating expenses:</t>
  </si>
  <si>
    <t>Transaction expense</t>
  </si>
  <si>
    <t>Technology and development</t>
  </si>
  <si>
    <t>Sales and marketing</t>
  </si>
  <si>
    <t>General and administrative</t>
  </si>
  <si>
    <t>Restructuring</t>
  </si>
  <si>
    <t>Other operating expense</t>
  </si>
  <si>
    <t>Total operating expenses</t>
  </si>
  <si>
    <t>Operating income (loss)</t>
  </si>
  <si>
    <t>Other income, net</t>
  </si>
  <si>
    <t>Interest Expense</t>
  </si>
  <si>
    <t>Income (loss) before provision for (benefit from) income taxes</t>
  </si>
  <si>
    <t>Provision for (benefit from) income taxes</t>
  </si>
  <si>
    <t>Net income (loss)</t>
  </si>
  <si>
    <t>Net income (loss) attributable to common stockholders:</t>
  </si>
  <si>
    <t>Basic</t>
  </si>
  <si>
    <t>Diluted</t>
  </si>
  <si>
    <t>Net income (loss) per share attributable to common stockholders:</t>
  </si>
  <si>
    <t>Weighted-average shares of common stock used to compute net income (loss) per share attributable to common stockholders:</t>
  </si>
  <si>
    <t>Pro forma net income per share attributable to common stockholders (unaudited):</t>
  </si>
  <si>
    <t>Pro forma weighted-average shares of common stock used to compute pro forma net income per share attributable to common stockholders (unaudited):</t>
  </si>
  <si>
    <t>December 31,</t>
  </si>
  <si>
    <t>Assets</t>
  </si>
  <si>
    <t>Current assets:</t>
  </si>
  <si>
    <t>Cash and cash equivalents</t>
  </si>
  <si>
    <t>Restricted cash</t>
  </si>
  <si>
    <t>Customer custodial funds</t>
  </si>
  <si>
    <t>USDC</t>
  </si>
  <si>
    <t>Accounts receivable, net of allowance</t>
  </si>
  <si>
    <t>Income tax receivable</t>
  </si>
  <si>
    <t>Prepaid expenses and other current assets</t>
  </si>
  <si>
    <t>Total current assets</t>
  </si>
  <si>
    <t>Crypto assets held</t>
  </si>
  <si>
    <t>Lease right-of-use assets</t>
  </si>
  <si>
    <t>Property and equipment, net</t>
  </si>
  <si>
    <t>Intangible assets, net</t>
  </si>
  <si>
    <t>Other non-current assets</t>
  </si>
  <si>
    <t>Total assets</t>
  </si>
  <si>
    <t>Liabilities, Convertible Preferred Stock, and Stockholders' Equity</t>
  </si>
  <si>
    <t>Current liabilities:</t>
  </si>
  <si>
    <t>Custodial funds due to customers</t>
  </si>
  <si>
    <t>Accounts payable and accrued expenses</t>
  </si>
  <si>
    <t>Crypto asset borrowings</t>
  </si>
  <si>
    <t>Lease liabilities, current</t>
  </si>
  <si>
    <t>Other current liabilities</t>
  </si>
  <si>
    <t>Total current liabilities</t>
  </si>
  <si>
    <t>Lease liabilities, non-current</t>
  </si>
  <si>
    <t>Long-term debt</t>
  </si>
  <si>
    <t>Other non-current liabilities</t>
  </si>
  <si>
    <t>Total liabilities</t>
  </si>
  <si>
    <t>Commitments and contingencies (Note 19)</t>
  </si>
  <si>
    <t>Convertible preferred stock, $0.00001 par value; 126,605 shares authorized; 112,878 and 114,959 shares issued and outstanding at December 31, 2020 and December 31, 2019, respectively; aggregate liquidation preference of $578,750 and $580,981 at December 31, 2020 and December 31, 2019, respectively; no shares issued and outstanding, pro forma</t>
  </si>
  <si>
    <t>Stockholders' equity</t>
  </si>
  <si>
    <t>Class A common stock, $0.00001 par value; 267,640 and 259,104 shares authorized at December 31, 2020 and December 31, 2019, respectively; 12,204 and 7,317 shares issued and outstanding at December 31, 2020 and December 31, 2019, respectively; 21,035 shares issued and outstanding, pro forma</t>
  </si>
  <si>
    <t>Class B common stock, $0.00001 par value; 208,414 shares authorized at December 31, 2020 and December 31, 2019; 60,904 and 59,677 shares issued and outstanding at December 31, 2020 and December 31, 2019, respectively; 164,951 shares issued and outstanding, pro forma</t>
  </si>
  <si>
    <t>Additional paid-in capital</t>
  </si>
  <si>
    <t>Accumulated other comprehensive income (loss)</t>
  </si>
  <si>
    <t>Retained earnings</t>
  </si>
  <si>
    <t>Total stockholders' equity</t>
  </si>
  <si>
    <t>Total liabilities, convertible preferred stock, and stockholders' equity</t>
  </si>
  <si>
    <t>Cash flows from operating activities</t>
  </si>
  <si>
    <t>Adjustments to reconcile net income (loss) to net cash provided by (used in) operating activities</t>
  </si>
  <si>
    <t>Depreciation and amortization</t>
  </si>
  <si>
    <t>Stock-based compensation expense</t>
  </si>
  <si>
    <t>Provision for transaction losses and doubtful accounts</t>
  </si>
  <si>
    <t>Loss on disposal of property and equipment</t>
  </si>
  <si>
    <t>Deferred income taxes</t>
  </si>
  <si>
    <t>Unrealized loss (gain) on foreign exchange</t>
  </si>
  <si>
    <t>Non-cash lease expense</t>
  </si>
  <si>
    <t>Change in fair value of contingent consideration</t>
  </si>
  <si>
    <t>Crypto assets received as revenue</t>
  </si>
  <si>
    <t>Crypto asset payments for expenses</t>
  </si>
  <si>
    <t>Changes in operating assets and liabilities:</t>
  </si>
  <si>
    <t>Lease liabilities</t>
  </si>
  <si>
    <t>Net cash provided by (used in) operating activities</t>
  </si>
  <si>
    <t>Cash flows from investing activities</t>
  </si>
  <si>
    <t>Purchase of property and equipment</t>
  </si>
  <si>
    <t>Proceeds from sale of property and equipment</t>
  </si>
  <si>
    <t>Capitalized internal-use software development costs</t>
  </si>
  <si>
    <t>Business combination, net of cash acquired</t>
  </si>
  <si>
    <t>Purchase of investments</t>
  </si>
  <si>
    <t>Asset acquisition</t>
  </si>
  <si>
    <t>Proceeds from settlement of investments</t>
  </si>
  <si>
    <t>Loans originated</t>
  </si>
  <si>
    <t>Cash flows from financing activities</t>
  </si>
  <si>
    <t>Net increase (decrease) in cash, cash equivalents, and restricted cash</t>
  </si>
  <si>
    <t>As of or for the Year Ended December 31,</t>
  </si>
  <si>
    <t>(in millions, except percentages)</t>
  </si>
  <si>
    <t>Verified Users</t>
  </si>
  <si>
    <t>Monthly Transacting Users</t>
  </si>
  <si>
    <t>Assets on Platform</t>
  </si>
  <si>
    <t>Trading Volume</t>
  </si>
  <si>
    <t>Adjusted EBITDA(1)</t>
  </si>
  <si>
    <t>Cost</t>
  </si>
  <si>
    <t>Fair value</t>
  </si>
  <si>
    <t>Cost(1)</t>
  </si>
  <si>
    <t>Fair Value(2)</t>
  </si>
  <si>
    <t>(in millions)</t>
  </si>
  <si>
    <t>Bitcoin</t>
  </si>
  <si>
    <t>Ethereum</t>
  </si>
  <si>
    <t>Other</t>
  </si>
  <si>
    <t>Total</t>
  </si>
  <si>
    <t>(in thousands)</t>
  </si>
  <si>
    <t>Transaction revenue</t>
  </si>
  <si>
    <t>Subscription and services revenue</t>
  </si>
  <si>
    <t>Retail, net</t>
  </si>
  <si>
    <t>Institutional</t>
  </si>
  <si>
    <t>Total transaction revenue</t>
  </si>
  <si>
    <t>Custodial fee revenue</t>
  </si>
  <si>
    <t>Staking revenue</t>
  </si>
  <si>
    <t>Earn campaign revenue</t>
  </si>
  <si>
    <t>Interest income</t>
  </si>
  <si>
    <t>Other subscription and services revenue</t>
  </si>
  <si>
    <t>Total subscription and services revenue</t>
  </si>
  <si>
    <t>Total net revenue</t>
  </si>
  <si>
    <t>Crypto asset sales revenue</t>
  </si>
  <si>
    <t>Corporate interest income</t>
  </si>
  <si>
    <t>Total other revenue</t>
  </si>
  <si>
    <t>United States</t>
  </si>
  <si>
    <t>Rest of the World(1)</t>
  </si>
  <si>
    <t>As of December 31, 2020</t>
  </si>
  <si>
    <t>Gross Carrying Amount</t>
  </si>
  <si>
    <t>Accumulated Amortization</t>
  </si>
  <si>
    <t>Intangible Assets, Net</t>
  </si>
  <si>
    <t>Amortizing intangible assets</t>
  </si>
  <si>
    <t>Acquired developed technology</t>
  </si>
  <si>
    <t>Customer relationships</t>
  </si>
  <si>
    <t>Trade name</t>
  </si>
  <si>
    <t>Non-compete agreement</t>
  </si>
  <si>
    <t>Indefinite life intangible assets</t>
  </si>
  <si>
    <t>Domain name</t>
  </si>
  <si>
    <t>Licenses</t>
  </si>
  <si>
    <t>1Q2019</t>
  </si>
  <si>
    <t>2Q2019</t>
  </si>
  <si>
    <t>3Q2019</t>
  </si>
  <si>
    <t>4Q2019</t>
  </si>
  <si>
    <t>1Q2020</t>
  </si>
  <si>
    <t>2Q2020</t>
  </si>
  <si>
    <t>3Q2020</t>
  </si>
  <si>
    <t>4Q2020</t>
  </si>
  <si>
    <t>1Q2021</t>
  </si>
  <si>
    <t>2Q2021</t>
  </si>
  <si>
    <t>3Q2021</t>
  </si>
  <si>
    <t>4Q2021</t>
  </si>
  <si>
    <t>Period End Market Cap</t>
  </si>
  <si>
    <t>Average Market Cap</t>
  </si>
  <si>
    <t>Trading Revenue</t>
  </si>
  <si>
    <t>Rev/Market Cap</t>
  </si>
  <si>
    <t>Rev/average Market cap</t>
  </si>
  <si>
    <t>Trading Volume/Market Cap</t>
  </si>
  <si>
    <t>Trading Revenue/Trading Volume</t>
  </si>
  <si>
    <t>Three Months Ended</t>
  </si>
  <si>
    <t>Mar. 31, 2019</t>
  </si>
  <si>
    <t>Jun. 30, 2019</t>
  </si>
  <si>
    <t>Sep. 30 2019</t>
  </si>
  <si>
    <t>Dec. 31, 2019</t>
  </si>
  <si>
    <t>Mar. 31, 2020</t>
  </si>
  <si>
    <t>Jun. 30, 2020</t>
  </si>
  <si>
    <t>Sep. 30, 2020</t>
  </si>
  <si>
    <t>Dec. 31, 2020</t>
  </si>
  <si>
    <t>Net revenue:</t>
  </si>
  <si>
    <t>Other expense (income), net</t>
  </si>
  <si>
    <t>MTUs</t>
  </si>
  <si>
    <t>Operating Expenses Ex Depreciation/Ammortization and Transaction Expenses</t>
  </si>
  <si>
    <t>% Revenue</t>
  </si>
  <si>
    <t>% Growth</t>
  </si>
  <si>
    <t>Base Case</t>
  </si>
  <si>
    <t>Bull Case</t>
  </si>
  <si>
    <t>Bear Case</t>
  </si>
  <si>
    <t>Transaction Expense</t>
  </si>
  <si>
    <t>% of Net Revenue</t>
  </si>
  <si>
    <t xml:space="preserve">Depreciation </t>
  </si>
  <si>
    <t>% of Revenue</t>
  </si>
  <si>
    <t>Ammortization</t>
  </si>
  <si>
    <t>Rate</t>
  </si>
  <si>
    <t>% revenue</t>
  </si>
  <si>
    <t>Corporate Interest Income</t>
  </si>
  <si>
    <t>Revenue Build Up</t>
  </si>
  <si>
    <t>Transaction Revenue</t>
  </si>
  <si>
    <t>Staking Revenue</t>
  </si>
  <si>
    <t>Transaction Revenue Buildup</t>
  </si>
  <si>
    <t xml:space="preserve">Crypto Marketcap </t>
  </si>
  <si>
    <t>Growth%</t>
  </si>
  <si>
    <t>Growth %</t>
  </si>
  <si>
    <t>Crypto Maketcap Buildup</t>
  </si>
  <si>
    <t>Crytpo as a Commodity Store of Value</t>
  </si>
  <si>
    <t>Market Share of Crypto as a Commodity Store of Value</t>
  </si>
  <si>
    <t>Crypto as a currency store of value/transaction medium</t>
  </si>
  <si>
    <t>Crypto as a Native Protocol Token/Governence (Raw Speculative Elements Included)</t>
  </si>
  <si>
    <t>Total Market Cap</t>
  </si>
  <si>
    <t>Retail Trading Revenue</t>
  </si>
  <si>
    <t>Institutional Trading Revenue</t>
  </si>
  <si>
    <t>Retail Average Rate</t>
  </si>
  <si>
    <t>Institutional Average Rate</t>
  </si>
  <si>
    <t>Combined Average Rate</t>
  </si>
  <si>
    <t>Net (loss) income (in millions)</t>
  </si>
  <si>
    <t>Adjusted EBITDA (in millions)</t>
  </si>
  <si>
    <t>2023-6-31</t>
  </si>
  <si>
    <t>2023-09-31</t>
  </si>
  <si>
    <t>Total Trading Revenue</t>
  </si>
  <si>
    <t>Retail Trading Volume (Billions)</t>
  </si>
  <si>
    <t>Institutional Volume (Billions)</t>
  </si>
  <si>
    <t>1Q2022</t>
  </si>
  <si>
    <t>2Q2022</t>
  </si>
  <si>
    <t>3Q2022</t>
  </si>
  <si>
    <t>4Q2022</t>
  </si>
  <si>
    <t>1Q2023</t>
  </si>
  <si>
    <t>2Q2023</t>
  </si>
  <si>
    <t>3Q2023</t>
  </si>
  <si>
    <t>4Q2023</t>
  </si>
  <si>
    <t>Trading Revenue/ average market cap</t>
  </si>
  <si>
    <t>Retail Trading Revenue/Volume</t>
  </si>
  <si>
    <t>Institutional Trading Volume (Billions)</t>
  </si>
  <si>
    <t>Institutional Trading Revenue/Volume</t>
  </si>
  <si>
    <t>Trading Volume (Billions)</t>
  </si>
  <si>
    <t>NAS:COIN</t>
  </si>
  <si>
    <t>Michael Miller</t>
  </si>
  <si>
    <t>Michael.Miller@morningstar.com</t>
  </si>
  <si>
    <t>0P0001M2C4</t>
  </si>
  <si>
    <t>NYS:SQ</t>
  </si>
  <si>
    <t>NAS:PYPL</t>
  </si>
  <si>
    <t>STO:SFL</t>
  </si>
  <si>
    <t>PINX:VYGVQ</t>
  </si>
  <si>
    <t>PINX:CRCW</t>
  </si>
  <si>
    <t>STU:WD0</t>
  </si>
  <si>
    <t>NAS:HOOD</t>
  </si>
  <si>
    <t>BOM:532960</t>
  </si>
  <si>
    <t>NYS:MA</t>
  </si>
  <si>
    <t>NAS:MSTR</t>
  </si>
  <si>
    <t>Accounts payable</t>
  </si>
  <si>
    <t>Other impairment expense</t>
  </si>
  <si>
    <t>Investment impairment expense</t>
  </si>
  <si>
    <t>Restructuring stock-based compensation expense</t>
  </si>
  <si>
    <t>(Gain) loss on investments</t>
  </si>
  <si>
    <t>Fair value (gain) loss on derivatives</t>
  </si>
  <si>
    <t>Gain on extinguishment of long-term debt, net</t>
  </si>
  <si>
    <t>Crypto asset impairment expense</t>
  </si>
  <si>
    <t>Realized gain on crypto assets</t>
  </si>
  <si>
    <t>Other operating activities, net</t>
  </si>
  <si>
    <t>Net changes in operating assets and liabilities</t>
  </si>
  <si>
    <t>Purchase of assembled workforce</t>
  </si>
  <si>
    <t>Proceeds from repayment of loans</t>
  </si>
  <si>
    <t>Assets pledged as collateral</t>
  </si>
  <si>
    <t>Assets pledged as collateral returned</t>
  </si>
  <si>
    <t>Settlement of crypto futures contract</t>
  </si>
  <si>
    <t>Purchase of crypto assets held</t>
  </si>
  <si>
    <t>Disposal of crypto assets held</t>
  </si>
  <si>
    <t>Other investing activities, net</t>
  </si>
  <si>
    <t>Issuance of common stock upon exercise of stock options, net of repurchases</t>
  </si>
  <si>
    <t>Taxes paid related to net share settlement of equity awards</t>
  </si>
  <si>
    <t>Proceeds received under the ESPP</t>
  </si>
  <si>
    <t>Issuance of convertible senior notes, net</t>
  </si>
  <si>
    <t>Issuance of senior notes, net</t>
  </si>
  <si>
    <t>Purchase of capped calls</t>
  </si>
  <si>
    <t>Repayment of long-term debt</t>
  </si>
  <si>
    <t>Assets received as collateral</t>
  </si>
  <si>
    <t>Assets received as collateral returned</t>
  </si>
  <si>
    <t>Proceeds from short-term borrowings</t>
  </si>
  <si>
    <t>Repayments of short-term borrowings</t>
  </si>
  <si>
    <t>Other financing activities</t>
  </si>
  <si>
    <t>Net cash (used in) provided by financing activities</t>
  </si>
  <si>
    <t>Effect of exchange rates on cash, cash equivalents, and restricted cash</t>
  </si>
  <si>
    <t>Cash, cash equivalents, and restricted cash, beginning of period</t>
  </si>
  <si>
    <t>Cash, cash equivalents, and restricted cash, end of period</t>
  </si>
  <si>
    <t>Supplemental disclosure of cash flow information</t>
  </si>
  <si>
    <t>Cash paid during the period for interest</t>
  </si>
  <si>
    <t>Cash paid during the period for income taxes</t>
  </si>
  <si>
    <t>Operating cash outflows for amounts included in the measurement of operating lease liabilities</t>
  </si>
  <si>
    <t>Amortization of debt discount and issuance costs</t>
  </si>
  <si>
    <t>Accounts and loans receivable</t>
  </si>
  <si>
    <t>Deposits in transit</t>
  </si>
  <si>
    <t>Income taxes, net</t>
  </si>
  <si>
    <t>Other current and non-current assets</t>
  </si>
  <si>
    <t>Other current and non-current liabilities</t>
  </si>
  <si>
    <t>Net cash (used in) provided by investing activities</t>
  </si>
  <si>
    <t>Trading Volume (in billions):</t>
  </si>
  <si>
    <t>Retail</t>
  </si>
  <si>
    <t>Consumer</t>
  </si>
  <si>
    <t>Trading Volume by crypto asset:</t>
  </si>
  <si>
    <t>USDT</t>
  </si>
  <si>
    <t>Other crypto assets</t>
  </si>
  <si>
    <t>Transaction revenue by crypto asset:</t>
  </si>
  <si>
    <t xml:space="preserve">181,827 		</t>
  </si>
  <si>
    <t>Deferred Taxes</t>
  </si>
  <si>
    <t>Pension Adjustment</t>
  </si>
  <si>
    <t>(AU/NZ Only) Dividend Franking %</t>
  </si>
  <si>
    <t>S48</t>
  </si>
  <si>
    <t>H48</t>
  </si>
  <si>
    <t>I48</t>
  </si>
  <si>
    <t>J48</t>
  </si>
  <si>
    <t>K48</t>
  </si>
  <si>
    <t>L48</t>
  </si>
  <si>
    <t>M48</t>
  </si>
  <si>
    <t>N48</t>
  </si>
  <si>
    <t>O48</t>
  </si>
  <si>
    <t>P48</t>
  </si>
  <si>
    <t>Q48</t>
  </si>
  <si>
    <t>R48</t>
  </si>
  <si>
    <t>T48</t>
  </si>
  <si>
    <t>U48</t>
  </si>
  <si>
    <t>V48</t>
  </si>
  <si>
    <t>W48</t>
  </si>
  <si>
    <t>X48</t>
  </si>
  <si>
    <t>Y48</t>
  </si>
  <si>
    <t>Z48</t>
  </si>
  <si>
    <t>AA48</t>
  </si>
  <si>
    <t>AB48</t>
  </si>
  <si>
    <t>Accounts receivable, net</t>
  </si>
  <si>
    <t>Customer custodial fund liabilities</t>
  </si>
  <si>
    <t>Adjustments to reconcile net income (loss) to net cash provided by (used in) operating activities:</t>
  </si>
  <si>
    <t>Gains on crypto assets held for operations, net</t>
  </si>
  <si>
    <t>Gains on crypto assets held for investment, net</t>
  </si>
  <si>
    <t>Gains on crypto assets held, net (prior to ASU 2023-08)</t>
  </si>
  <si>
    <t>Crypto asset impairment expense (prior to ASU 2023-08)</t>
  </si>
  <si>
    <t>Crypto assets received as revenue (prior to ASU 2023-08)</t>
  </si>
  <si>
    <t>Crypto asset payments for expenses (prior to ASU 2023-08)</t>
  </si>
  <si>
    <t>Business combinations, net of cash acquired</t>
  </si>
  <si>
    <t>Fiat loans originated</t>
  </si>
  <si>
    <t>Proceeds from repayment of fiat loans</t>
  </si>
  <si>
    <t>Purchase of crypto assets held (prior to ASU 2023-08)</t>
  </si>
  <si>
    <t>Sale of crypto assets held (prior to ASU 2023-08)</t>
  </si>
  <si>
    <t>Purchases of capped calls</t>
  </si>
  <si>
    <t>Fiat received as collateral</t>
  </si>
  <si>
    <t>Fiat received as collateral returned</t>
  </si>
  <si>
    <t>Other financing activities, net</t>
  </si>
  <si>
    <t>Net cash provided by (used in) financing activities</t>
  </si>
  <si>
    <t>Net increase (decrease) in cash, cash equivalents, and restricted cash and cash equivalents</t>
  </si>
  <si>
    <t>Effect of exchange rates on cash, cash equivalents, and restricted cash and cash equivalents</t>
  </si>
  <si>
    <t>Cash, cash equivalents, and restricted cash and cash equivalents, beginning of period</t>
  </si>
  <si>
    <t>Cash, cash equivalents, and restricted cash and cash equivalents, end of period</t>
  </si>
  <si>
    <t>Other Transaction revenue</t>
  </si>
  <si>
    <t>Stablecoin Revenue</t>
  </si>
  <si>
    <t>Capitalized internally developed software</t>
  </si>
  <si>
    <t>Other(1)</t>
  </si>
  <si>
    <t>Total software and equipment, gross</t>
  </si>
  <si>
    <t>Accumulated depreciation and amortization</t>
  </si>
  <si>
    <t>Total software and equipment, net</t>
  </si>
  <si>
    <t>1Q2024</t>
  </si>
  <si>
    <t>2Q2024</t>
  </si>
  <si>
    <t>3Q2024</t>
  </si>
  <si>
    <t>4Q2024</t>
  </si>
  <si>
    <t>Other Transaction Revenue</t>
  </si>
  <si>
    <t>Other Trasnsaction Revenue</t>
  </si>
  <si>
    <t>Stable Coin Revenue</t>
  </si>
  <si>
    <t>Average USDC Market Cap</t>
  </si>
  <si>
    <t>Revenue per $ of Market Cap</t>
  </si>
  <si>
    <t>$ Change</t>
  </si>
  <si>
    <t>Interest and Finance Fee Income</t>
  </si>
  <si>
    <t xml:space="preserve"> Other Revenue</t>
  </si>
  <si>
    <t>Adjusted Return on New Invested Capital</t>
  </si>
  <si>
    <t>To see the above star rating on Valuation and Summary, close and reopen this workbook.</t>
  </si>
  <si>
    <t>GM7001m-1</t>
  </si>
  <si>
    <t>1Q2025</t>
  </si>
  <si>
    <t>2Q2025</t>
  </si>
  <si>
    <t>3Q2025</t>
  </si>
  <si>
    <t>4Q2025</t>
  </si>
  <si>
    <t>Losses (gains) on crypto assets held for operations, net</t>
  </si>
  <si>
    <t>Losses (gains) on crypto assets held for investment, net</t>
  </si>
  <si>
    <t>Net income</t>
  </si>
  <si>
    <t>Source</t>
  </si>
  <si>
    <t>Adjustments to reconcile net income to net cash provided by operating activities:</t>
  </si>
  <si>
    <t>(Gains) losses on investments, net</t>
  </si>
  <si>
    <t>Gains on extinguishment of long-term debt, net</t>
  </si>
  <si>
    <t>Gains on crypto assets held, net (pre ASU 2023-08)</t>
  </si>
  <si>
    <t>Crypto asset impairment expense (pre ASU 2023-08)</t>
  </si>
  <si>
    <t>Crypto assets received as revenue (pre ASU 2023-08)</t>
  </si>
  <si>
    <t>Crypto asset payments for expenses (pre ASU 2023-08)</t>
  </si>
  <si>
    <t>Customer custodial funds in transit</t>
  </si>
  <si>
    <t>Net cash provided by operating activities</t>
  </si>
  <si>
    <t>Return of assets pledged as collateral</t>
  </si>
  <si>
    <t>Business combinations, net of cash and cash equivalents acquired</t>
  </si>
  <si>
    <t>Purchases of crypto assets held for investment</t>
  </si>
  <si>
    <t>Dispositions of crypto assets held for investment</t>
  </si>
  <si>
    <t>Dispositions of investments</t>
  </si>
  <si>
    <t>Purchase of crypto assets held (pre ASU 2023-08)</t>
  </si>
  <si>
    <t>Sale of crypto assets held (pre ASU 2023-08)</t>
  </si>
  <si>
    <t>Net cash used in investing activities</t>
  </si>
  <si>
    <t>Issuances of convertible senior notes, net</t>
  </si>
  <si>
    <t>Repurchase of common stock</t>
  </si>
  <si>
    <t>Customer collateral received</t>
  </si>
  <si>
    <t>Return of customer collateral</t>
  </si>
  <si>
    <t>NO</t>
  </si>
  <si>
    <t>March 09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</si>
</sst>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8" formatCode="&quot;$&quot;#,##0.00_);[Red]\(&quot;$&quot;#,##0.00\)"/>
    <numFmt numFmtId="41" formatCode="_(* #,##0_);_(* \(#,##0\);_(* &quot;-&quot;_);_(@_)"/>
    <numFmt numFmtId="44" formatCode="_(&quot;$&quot;* #,##0.00_);_(&quot;$&quot;* \(#,##0.00\);_(&quot;$&quot;* &quot;-&quot;??_);_(@_)"/>
    <numFmt numFmtId="43" formatCode="_(* #,##0.00_);_(* \(#,##0.00\);_(* &quot;-&quot;??_);_(@_)"/>
    <numFmt numFmtId="164" formatCode="_(* #,##0,,_);_(* \(#,##0,,\);_(* &quot;-&quot;??_);_(@_)"/>
    <numFmt numFmtId="165" formatCode="0.0%"/>
    <numFmt numFmtId="166" formatCode="0.0\x"/>
    <numFmt numFmtId="167" formatCode="#&quot;E&quot;"/>
    <numFmt numFmtId="168" formatCode="_(* #,##0_);_(* \(#,##0\);_(* &quot;-&quot;??_);_(@_)"/>
    <numFmt numFmtId="169" formatCode="dd\-mmm\-yy"/>
    <numFmt numFmtId="170" formatCode="_(* #,##0.0_);_(* \(#,##0.0\);_(* &quot;-&quot;??_);_(@_)"/>
    <numFmt numFmtId="171" formatCode="[$-409]d\ mmm\ yyyy;@"/>
    <numFmt numFmtId="172" formatCode="0000&quot;E&quot;"/>
    <numFmt numFmtId="173" formatCode="0.00_);\(0.00\)"/>
    <numFmt numFmtId="174" formatCode="_(* #,##0_);_(* \(#,##0\);_(* &quot;—&quot;??_);_(@_)"/>
    <numFmt numFmtId="175" formatCode="_(* #,##0.00_);_(* \(#,##0.00\);_(* &quot;—&quot;??_);_(@_)"/>
    <numFmt numFmtId="176" formatCode="#,##0.0"/>
    <numFmt numFmtId="177" formatCode="0.0"/>
    <numFmt numFmtId="178" formatCode="_(* #,##0.00_);_(* \(#,##0.00\);_(* &quot;—&quot;_);_(@_)"/>
    <numFmt numFmtId="179" formatCode="_(* #,##0_);_(* \(#,##0\);_(* &quot;—&quot;_);_(@_)"/>
    <numFmt numFmtId="180" formatCode="0.000"/>
    <numFmt numFmtId="181" formatCode="0.0%;[Red]\(0.0%\)"/>
    <numFmt numFmtId="182" formatCode="#,###;[Red]\(#,###\)"/>
    <numFmt numFmtId="183" formatCode="#,###;\(#,###\)"/>
    <numFmt numFmtId="184" formatCode="_(* #,##0.0_);_(* \(#,##0.0\);_(* &quot;—&quot;_);_(@_)"/>
    <numFmt numFmtId="185" formatCode="####&quot;E&quot;"/>
    <numFmt numFmtId="186" formatCode="_(0_);_(\(0\);_(&quot;-&quot;_);@_)"/>
    <numFmt numFmtId="187" formatCode="_(\$* #,##0_);_(\$* \(#,##0\);_(\$* &quot;-&quot;_);_(@_)"/>
    <numFmt numFmtId="188" formatCode="_(#,##0_);_(\(#,##0\);_(&quot;-&quot;_);_(@_)"/>
    <numFmt numFmtId="189" formatCode="_(\$* #,##0.00_);_(\$* \(#,##0.00\);_(\$* &quot;-&quot;_);_(@_)"/>
    <numFmt numFmtId="190" formatCode="_(#,##0.0_);_(\(#,##0.0\);_(&quot;-&quot;_);_(@_)"/>
    <numFmt numFmtId="191" formatCode="_(\$* #,##0.0_);_(\$* \(#,##0.0\);_(\$* &quot;-&quot;_);_(@_)"/>
    <numFmt numFmtId="192" formatCode="0.000%"/>
    <numFmt numFmtId="193" formatCode="_(* #,##0.00000_);_(* \(#,##0.00000\);_(* &quot;-&quot;??_);_(@_)"/>
    <numFmt numFmtId="194" formatCode="#,##0.000_);[Red]\(#,##0.000\)"/>
    <numFmt numFmtId="195" formatCode="_(* #,##0.0000_);_(* \(#,##0.0000\);_(* &quot;-&quot;_);_(@_)"/>
    <numFmt numFmtId="196" formatCode="_(* #,##0.000_);_(* \(#,##0.000\);_(* &quot;-&quot;_);_(@_)"/>
    <numFmt numFmtId="197" formatCode="_(* #,##0.00000_);_(* \(#,##0.00000\);_(* &quot;-&quot;_);_(@_)"/>
    <numFmt numFmtId="198" formatCode="0.00000%"/>
    <numFmt numFmtId="199" formatCode="yyyy\-mm\-dd"/>
    <numFmt numFmtId="200" formatCode="0.0000000000%"/>
    <numFmt numFmtId="201" formatCode="&quot;$&quot;#,##0.00"/>
    <numFmt numFmtId="202" formatCode="_(#,##0%_);_(\(#,##0\)%;_(&quot;-&quot;\%_);@"/>
    <numFmt numFmtId="203" formatCode="_(&quot;$&quot;* #,##0_);_(&quot;$&quot;* \(#,##0\);_(&quot;$&quot;* &quot;-&quot;??_);_(@_)"/>
    <numFmt numFmtId="204" formatCode="&quot;$&quot;#,##0.0"/>
  </numFmts>
  <fonts count="85">
    <font>
      <sz val="11"/>
      <color theme="1"/>
      <name val="Calibri"/>
      <family val="2"/>
      <scheme val="minor"/>
    </font>
    <font>
      <sz val="11"/>
      <color theme="1"/>
      <name val="Calibri"/>
      <family val="2"/>
      <scheme val="minor"/>
    </font>
    <font>
      <u/>
      <sz val="11"/>
      <color theme="10"/>
      <name val="Calibri"/>
      <family val="2"/>
      <scheme val="minor"/>
    </font>
    <font>
      <sz val="9"/>
      <color indexed="81"/>
      <name val="Tahoma"/>
      <family val="2"/>
    </font>
    <font>
      <sz val="11"/>
      <color theme="1"/>
      <name val="Arial Narrow"/>
      <family val="2"/>
    </font>
    <font>
      <sz val="10"/>
      <name val="Arial Narrow"/>
      <family val="2"/>
    </font>
    <font>
      <sz val="11"/>
      <color indexed="8"/>
      <name val="Arial Narrow"/>
      <family val="2"/>
    </font>
    <font>
      <sz val="11"/>
      <color indexed="8"/>
      <name val="Calibri"/>
      <family val="2"/>
    </font>
    <font>
      <sz val="8"/>
      <name val="Calibri"/>
      <family val="2"/>
      <scheme val="minor"/>
    </font>
    <font>
      <sz val="11"/>
      <color theme="1"/>
      <name val="MORN Intrinsic"/>
      <family val="2"/>
    </font>
    <font>
      <sz val="11"/>
      <color rgb="FFFFFFFF"/>
      <name val="MORN Intrinsic"/>
      <family val="2"/>
    </font>
    <font>
      <b/>
      <u/>
      <sz val="11"/>
      <color theme="1"/>
      <name val="MORN Intrinsic"/>
      <family val="2"/>
    </font>
    <font>
      <b/>
      <sz val="11"/>
      <color theme="1"/>
      <name val="MORN Intrinsic"/>
      <family val="2"/>
    </font>
    <font>
      <sz val="10"/>
      <color theme="1"/>
      <name val="MORN Intrinsic"/>
      <family val="2"/>
    </font>
    <font>
      <b/>
      <sz val="14"/>
      <color theme="1"/>
      <name val="MORN Intrinsic"/>
      <family val="2"/>
    </font>
    <font>
      <b/>
      <sz val="10"/>
      <color theme="1"/>
      <name val="MORN Intrinsic"/>
      <family val="2"/>
    </font>
    <font>
      <sz val="10"/>
      <color theme="0" tint="-0.499984740745262"/>
      <name val="MORN Intrinsic"/>
      <family val="2"/>
    </font>
    <font>
      <sz val="9"/>
      <color theme="0" tint="-0.499984740745262"/>
      <name val="MORN Intrinsic"/>
      <family val="2"/>
    </font>
    <font>
      <b/>
      <sz val="10"/>
      <color theme="0" tint="-0.499984740745262"/>
      <name val="MORN Intrinsic"/>
      <family val="2"/>
    </font>
    <font>
      <b/>
      <sz val="10"/>
      <color rgb="FFFF0000"/>
      <name val="MORN Intrinsic"/>
      <family val="2"/>
    </font>
    <font>
      <b/>
      <sz val="11"/>
      <color theme="0"/>
      <name val="MORN Intrinsic"/>
      <family val="2"/>
    </font>
    <font>
      <sz val="11"/>
      <name val="MORN Intrinsic"/>
      <family val="2"/>
    </font>
    <font>
      <b/>
      <sz val="9"/>
      <color theme="1"/>
      <name val="MORN Intrinsic"/>
      <family val="2"/>
    </font>
    <font>
      <u/>
      <sz val="11"/>
      <color rgb="FFFF0000"/>
      <name val="MORN Intrinsic"/>
      <family val="2"/>
    </font>
    <font>
      <i/>
      <sz val="11"/>
      <color theme="0"/>
      <name val="MORN Intrinsic"/>
      <family val="2"/>
    </font>
    <font>
      <sz val="11"/>
      <color theme="0"/>
      <name val="MORN Intrinsic"/>
      <family val="2"/>
    </font>
    <font>
      <u/>
      <sz val="9"/>
      <color rgb="FFFF0000"/>
      <name val="MORN Intrinsic"/>
      <family val="2"/>
    </font>
    <font>
      <sz val="14"/>
      <color theme="1"/>
      <name val="MORN Intrinsic"/>
      <family val="2"/>
    </font>
    <font>
      <sz val="22"/>
      <color rgb="FFFF0000"/>
      <name val="MORN Intrinsic"/>
      <family val="2"/>
    </font>
    <font>
      <sz val="20"/>
      <color rgb="FFFF0000"/>
      <name val="MORN Intrinsic"/>
      <family val="2"/>
    </font>
    <font>
      <b/>
      <sz val="8.5"/>
      <color theme="1"/>
      <name val="MORN Intrinsic"/>
      <family val="2"/>
    </font>
    <font>
      <sz val="8.5"/>
      <color theme="1"/>
      <name val="MORN Intrinsic"/>
      <family val="2"/>
    </font>
    <font>
      <b/>
      <i/>
      <sz val="8.5"/>
      <color theme="1"/>
      <name val="MORN Intrinsic"/>
      <family val="2"/>
    </font>
    <font>
      <b/>
      <i/>
      <sz val="11"/>
      <color theme="1"/>
      <name val="MORN Intrinsic"/>
      <family val="2"/>
    </font>
    <font>
      <b/>
      <sz val="12"/>
      <color theme="0"/>
      <name val="MORN Intrinsic"/>
      <family val="2"/>
    </font>
    <font>
      <b/>
      <sz val="12"/>
      <color theme="1"/>
      <name val="MORN Intrinsic"/>
      <family val="2"/>
    </font>
    <font>
      <sz val="8.5"/>
      <color theme="0" tint="-0.499984740745262"/>
      <name val="MORN Intrinsic"/>
      <family val="2"/>
    </font>
    <font>
      <i/>
      <sz val="8.5"/>
      <color theme="1"/>
      <name val="MORN Intrinsic"/>
      <family val="2"/>
    </font>
    <font>
      <sz val="8.5"/>
      <color theme="0"/>
      <name val="MORN Intrinsic"/>
      <family val="2"/>
    </font>
    <font>
      <i/>
      <sz val="10"/>
      <color theme="0" tint="-0.499984740745262"/>
      <name val="MORN Intrinsic"/>
      <family val="2"/>
    </font>
    <font>
      <sz val="12"/>
      <color theme="1"/>
      <name val="MORN Intrinsic"/>
      <family val="2"/>
    </font>
    <font>
      <i/>
      <sz val="10"/>
      <color theme="1"/>
      <name val="MORN Intrinsic"/>
      <family val="2"/>
    </font>
    <font>
      <i/>
      <sz val="10"/>
      <name val="MORN Intrinsic"/>
      <family val="2"/>
    </font>
    <font>
      <i/>
      <sz val="12"/>
      <color theme="1"/>
      <name val="MORN Intrinsic"/>
      <family val="2"/>
    </font>
    <font>
      <i/>
      <sz val="11"/>
      <color theme="1"/>
      <name val="MORN Intrinsic"/>
      <family val="2"/>
    </font>
    <font>
      <sz val="10"/>
      <name val="MORN Intrinsic"/>
      <family val="2"/>
    </font>
    <font>
      <sz val="11"/>
      <color theme="0" tint="-4.9989318521683403E-2"/>
      <name val="MORN Intrinsic"/>
      <family val="2"/>
    </font>
    <font>
      <sz val="10"/>
      <color theme="0"/>
      <name val="MORN Intrinsic"/>
      <family val="2"/>
    </font>
    <font>
      <b/>
      <u/>
      <sz val="11"/>
      <color theme="0"/>
      <name val="MORN Intrinsic"/>
      <family val="2"/>
    </font>
    <font>
      <b/>
      <u/>
      <sz val="11"/>
      <color theme="0" tint="-4.9989318521683403E-2"/>
      <name val="MORN Intrinsic"/>
      <family val="2"/>
    </font>
    <font>
      <b/>
      <u/>
      <sz val="10"/>
      <color theme="1"/>
      <name val="MORN Intrinsic"/>
      <family val="2"/>
    </font>
    <font>
      <b/>
      <sz val="10"/>
      <name val="MORN Intrinsic"/>
      <family val="2"/>
    </font>
    <font>
      <sz val="5"/>
      <color rgb="FF000000"/>
      <name val="MORN Intrinsic"/>
      <family val="2"/>
    </font>
    <font>
      <sz val="9"/>
      <color theme="1"/>
      <name val="MORN Intrinsic"/>
      <family val="2"/>
    </font>
    <font>
      <b/>
      <sz val="10"/>
      <color theme="0"/>
      <name val="MORN Intrinsic"/>
      <family val="2"/>
    </font>
    <font>
      <sz val="10"/>
      <color rgb="FFFF0000"/>
      <name val="MORN Intrinsic"/>
      <family val="2"/>
    </font>
    <font>
      <b/>
      <i/>
      <sz val="10"/>
      <color theme="1"/>
      <name val="MORN Intrinsic"/>
      <family val="2"/>
    </font>
    <font>
      <b/>
      <i/>
      <sz val="10"/>
      <color theme="0"/>
      <name val="MORN Intrinsic"/>
      <family val="2"/>
    </font>
    <font>
      <i/>
      <sz val="10"/>
      <color theme="0"/>
      <name val="MORN Intrinsic"/>
      <family val="2"/>
    </font>
    <font>
      <u/>
      <sz val="10"/>
      <color theme="10"/>
      <name val="MORN Intrinsic"/>
      <family val="2"/>
    </font>
    <font>
      <sz val="10"/>
      <color theme="4"/>
      <name val="MORN Intrinsic"/>
      <family val="2"/>
    </font>
    <font>
      <sz val="10"/>
      <color rgb="FF0070C0"/>
      <name val="MORN Intrinsic"/>
      <family val="2"/>
    </font>
    <font>
      <sz val="10"/>
      <color rgb="FFFFFFFF"/>
      <name val="MORN Intrinsic"/>
      <family val="2"/>
    </font>
    <font>
      <i/>
      <sz val="10"/>
      <color rgb="FFFFFFFF"/>
      <name val="MORN Intrinsic"/>
      <family val="2"/>
    </font>
    <font>
      <i/>
      <u/>
      <sz val="10"/>
      <color theme="10"/>
      <name val="MORN Intrinsic"/>
      <family val="2"/>
    </font>
    <font>
      <b/>
      <sz val="18"/>
      <name val="MORN Intrinsic"/>
      <family val="2"/>
    </font>
    <font>
      <sz val="9"/>
      <name val="MORN Intrinsic"/>
      <family val="2"/>
    </font>
    <font>
      <b/>
      <sz val="11"/>
      <color indexed="8"/>
      <name val="MORN Intrinsic"/>
      <family val="2"/>
    </font>
    <font>
      <sz val="11"/>
      <color indexed="8"/>
      <name val="MORN Intrinsic"/>
      <family val="2"/>
    </font>
    <font>
      <b/>
      <i/>
      <sz val="11"/>
      <color indexed="8"/>
      <name val="MORN Intrinsic"/>
      <family val="2"/>
    </font>
    <font>
      <sz val="7"/>
      <color rgb="FF000000"/>
      <name val="MORN Intrinsic"/>
      <family val="2"/>
    </font>
    <font>
      <i/>
      <sz val="11"/>
      <color indexed="8"/>
      <name val="MORN Intrinsic"/>
      <family val="2"/>
    </font>
    <font>
      <b/>
      <u/>
      <sz val="12"/>
      <color indexed="8"/>
      <name val="MORN Intrinsic"/>
      <family val="2"/>
    </font>
    <font>
      <i/>
      <sz val="9"/>
      <color theme="1"/>
      <name val="MORN Intrinsic"/>
      <family val="2"/>
    </font>
    <font>
      <b/>
      <sz val="11"/>
      <name val="MORN Intrinsic"/>
      <family val="2"/>
    </font>
    <font>
      <sz val="10"/>
      <color rgb="FF000000"/>
      <name val="MORN Intrinsic"/>
      <family val="2"/>
    </font>
    <font>
      <sz val="9"/>
      <color rgb="FF000000"/>
      <name val="MORN Intrinsic"/>
      <family val="2"/>
    </font>
    <font>
      <b/>
      <i/>
      <sz val="10"/>
      <color rgb="FF808080"/>
      <name val="MORN Intrinsic"/>
      <family val="2"/>
    </font>
    <font>
      <b/>
      <sz val="10"/>
      <color rgb="FF808080"/>
      <name val="MORN Intrinsic"/>
      <family val="2"/>
    </font>
    <font>
      <sz val="11"/>
      <color theme="1"/>
      <name val="Morningstar Symbols"/>
    </font>
    <font>
      <b/>
      <sz val="11"/>
      <name val="Calibri"/>
      <family val="2"/>
    </font>
    <font>
      <sz val="11"/>
      <name val="Calibri"/>
      <family val="2"/>
    </font>
    <font>
      <b/>
      <u/>
      <sz val="11"/>
      <color rgb="FF0000FF"/>
      <name val="Calibri"/>
      <family val="2"/>
    </font>
    <font>
      <sz val="11"/>
      <color rgb="FF000000"/>
      <name val="Calibri"/>
      <family val="2"/>
    </font>
    <font>
      <sz val="8"/>
      <color rgb="FF000000"/>
      <name val="Segoe UI"/>
      <charset val="1"/>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indexed="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59999389629810485"/>
        <bgColor indexed="64"/>
      </patternFill>
    </fill>
  </fills>
  <borders count="30">
    <border>
      <left/>
      <right/>
      <top/>
      <bottom/>
      <diagonal/>
    </border>
    <border>
      <left/>
      <right/>
      <top/>
      <bottom style="thin">
        <color auto="1"/>
      </bottom>
      <diagonal/>
    </border>
    <border>
      <left/>
      <right/>
      <top/>
      <bottom style="hair">
        <color indexed="64"/>
      </bottom>
      <diagonal/>
    </border>
    <border>
      <left style="hair">
        <color indexed="64"/>
      </left>
      <right/>
      <top/>
      <bottom/>
      <diagonal/>
    </border>
    <border>
      <left/>
      <right/>
      <top style="hair">
        <color indexed="64"/>
      </top>
      <bottom/>
      <diagonal/>
    </border>
    <border>
      <left/>
      <right/>
      <top style="hair">
        <color theme="1"/>
      </top>
      <bottom/>
      <diagonal/>
    </border>
    <border>
      <left/>
      <right/>
      <top style="thin">
        <color theme="1"/>
      </top>
      <bottom/>
      <diagonal/>
    </border>
    <border>
      <left/>
      <right/>
      <top/>
      <bottom style="dotted">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theme="1"/>
      </bottom>
      <diagonal/>
    </border>
    <border>
      <left style="thin">
        <color auto="1"/>
      </left>
      <right style="thin">
        <color auto="1"/>
      </right>
      <top/>
      <bottom style="thin">
        <color auto="1"/>
      </bottom>
      <diagonal/>
    </border>
    <border>
      <left/>
      <right style="thin">
        <color indexed="64"/>
      </right>
      <top/>
      <bottom/>
      <diagonal/>
    </border>
    <border>
      <left/>
      <right/>
      <top style="medium">
        <color rgb="FF000000"/>
      </top>
      <bottom style="double">
        <color rgb="FF000000"/>
      </bottom>
      <diagonal/>
    </border>
    <border>
      <left/>
      <right/>
      <top/>
      <bottom style="dotted">
        <color auto="1"/>
      </bottom>
      <diagonal/>
    </border>
    <border>
      <left style="thin">
        <color indexed="64"/>
      </left>
      <right style="thin">
        <color indexed="64"/>
      </right>
      <top/>
      <bottom/>
      <diagonal/>
    </border>
  </borders>
  <cellStyleXfs count="1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0" borderId="0"/>
    <xf numFmtId="44" fontId="6" fillId="0" borderId="0" applyFont="0" applyFill="0" applyBorder="0" applyAlignment="0" applyProtection="0"/>
    <xf numFmtId="44" fontId="4" fillId="0" borderId="0" applyFont="0" applyFill="0" applyBorder="0" applyAlignment="0" applyProtection="0"/>
    <xf numFmtId="9" fontId="6" fillId="0" borderId="0" applyFont="0" applyFill="0" applyBorder="0" applyAlignment="0" applyProtection="0"/>
    <xf numFmtId="0" fontId="5" fillId="0" borderId="0" applyNumberFormat="0" applyFill="0" applyBorder="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0" fontId="1" fillId="0" borderId="0"/>
    <xf numFmtId="0" fontId="6" fillId="0" borderId="0"/>
  </cellStyleXfs>
  <cellXfs count="746">
    <xf numFmtId="0" fontId="0" fillId="0" borderId="0" xfId="0"/>
    <xf numFmtId="0" fontId="9" fillId="2" borderId="0" xfId="0" applyFont="1" applyFill="1" applyAlignment="1">
      <alignment horizontal="right"/>
    </xf>
    <xf numFmtId="0" fontId="9" fillId="2" borderId="0" xfId="0" applyFont="1" applyFill="1"/>
    <xf numFmtId="14" fontId="9" fillId="2" borderId="0" xfId="0" applyNumberFormat="1" applyFont="1" applyFill="1"/>
    <xf numFmtId="0" fontId="10" fillId="2" borderId="0" xfId="0" applyFont="1" applyFill="1"/>
    <xf numFmtId="0" fontId="9" fillId="2" borderId="0" xfId="0" applyFont="1" applyFill="1" applyAlignment="1">
      <alignment horizontal="center"/>
    </xf>
    <xf numFmtId="0" fontId="10" fillId="2" borderId="0" xfId="0" applyFont="1" applyFill="1" applyProtection="1">
      <protection locked="0"/>
    </xf>
    <xf numFmtId="0" fontId="12" fillId="2" borderId="0" xfId="0" applyFont="1" applyFill="1"/>
    <xf numFmtId="0" fontId="9" fillId="4" borderId="0" xfId="0" applyFont="1" applyFill="1" applyAlignment="1" applyProtection="1">
      <alignment horizontal="center"/>
      <protection locked="0"/>
    </xf>
    <xf numFmtId="0" fontId="13" fillId="2" borderId="0" xfId="0" applyFont="1" applyFill="1"/>
    <xf numFmtId="0" fontId="13" fillId="3" borderId="0" xfId="0" applyFont="1" applyFill="1"/>
    <xf numFmtId="0" fontId="14" fillId="2" borderId="0" xfId="0" applyFont="1" applyFill="1"/>
    <xf numFmtId="0" fontId="13" fillId="2" borderId="4" xfId="0" applyFont="1" applyFill="1" applyBorder="1"/>
    <xf numFmtId="0" fontId="15" fillId="2" borderId="0" xfId="0" applyFont="1" applyFill="1"/>
    <xf numFmtId="0" fontId="15" fillId="2" borderId="0" xfId="0" applyFont="1" applyFill="1" applyAlignment="1">
      <alignment horizontal="left"/>
    </xf>
    <xf numFmtId="0" fontId="13" fillId="5" borderId="0" xfId="0" applyFont="1" applyFill="1"/>
    <xf numFmtId="2" fontId="13" fillId="2" borderId="0" xfId="0" applyNumberFormat="1" applyFont="1" applyFill="1" applyAlignment="1">
      <alignment horizontal="left"/>
    </xf>
    <xf numFmtId="0" fontId="13" fillId="2" borderId="0" xfId="0" applyFont="1" applyFill="1" applyAlignment="1">
      <alignment horizontal="left" indent="3"/>
    </xf>
    <xf numFmtId="14" fontId="13" fillId="2" borderId="0" xfId="0" applyNumberFormat="1" applyFont="1" applyFill="1"/>
    <xf numFmtId="0" fontId="13" fillId="2" borderId="2" xfId="0" applyFont="1" applyFill="1" applyBorder="1"/>
    <xf numFmtId="0" fontId="13" fillId="2" borderId="0" xfId="0" applyFont="1" applyFill="1" applyAlignment="1">
      <alignment horizontal="left"/>
    </xf>
    <xf numFmtId="43" fontId="13" fillId="2" borderId="0" xfId="1" applyFont="1" applyFill="1"/>
    <xf numFmtId="165" fontId="13" fillId="2" borderId="0" xfId="3" applyNumberFormat="1" applyFont="1" applyFill="1"/>
    <xf numFmtId="2" fontId="13" fillId="2" borderId="0" xfId="0" applyNumberFormat="1" applyFont="1" applyFill="1"/>
    <xf numFmtId="0" fontId="13" fillId="2" borderId="0" xfId="0" applyFont="1" applyFill="1" applyProtection="1">
      <protection locked="0"/>
    </xf>
    <xf numFmtId="0" fontId="16" fillId="2" borderId="4" xfId="0" applyFont="1" applyFill="1" applyBorder="1"/>
    <xf numFmtId="0" fontId="17" fillId="2" borderId="4" xfId="0" applyFont="1" applyFill="1" applyBorder="1" applyAlignment="1">
      <alignment horizontal="left"/>
    </xf>
    <xf numFmtId="0" fontId="17" fillId="2" borderId="4" xfId="0" applyFont="1" applyFill="1" applyBorder="1" applyAlignment="1">
      <alignment horizontal="right"/>
    </xf>
    <xf numFmtId="0" fontId="18" fillId="2" borderId="2" xfId="0" applyFont="1" applyFill="1" applyBorder="1" applyAlignment="1">
      <alignment horizontal="right"/>
    </xf>
    <xf numFmtId="0" fontId="15" fillId="2" borderId="2" xfId="0" applyFont="1" applyFill="1" applyBorder="1"/>
    <xf numFmtId="0" fontId="15" fillId="2" borderId="2" xfId="0" applyFont="1" applyFill="1" applyBorder="1" applyAlignment="1">
      <alignment horizontal="left"/>
    </xf>
    <xf numFmtId="0" fontId="15" fillId="2" borderId="2" xfId="0" applyFont="1" applyFill="1" applyBorder="1" applyAlignment="1">
      <alignment horizontal="right"/>
    </xf>
    <xf numFmtId="0" fontId="19" fillId="2" borderId="0" xfId="0" applyFont="1" applyFill="1"/>
    <xf numFmtId="172" fontId="18" fillId="2" borderId="0" xfId="0" applyNumberFormat="1" applyFont="1" applyFill="1"/>
    <xf numFmtId="0" fontId="15" fillId="2" borderId="0" xfId="0" applyFont="1" applyFill="1" applyAlignment="1">
      <alignment horizontal="right"/>
    </xf>
    <xf numFmtId="172" fontId="15" fillId="2" borderId="0" xfId="0" applyNumberFormat="1" applyFont="1" applyFill="1" applyAlignment="1">
      <alignment horizontal="right"/>
    </xf>
    <xf numFmtId="0" fontId="18" fillId="2" borderId="0" xfId="0" applyFont="1" applyFill="1" applyAlignment="1">
      <alignment horizontal="right"/>
    </xf>
    <xf numFmtId="168" fontId="13" fillId="2" borderId="0" xfId="1" applyNumberFormat="1" applyFont="1" applyFill="1"/>
    <xf numFmtId="0" fontId="19" fillId="2" borderId="4" xfId="0" applyFont="1" applyFill="1" applyBorder="1"/>
    <xf numFmtId="165" fontId="13" fillId="3" borderId="0" xfId="0" applyNumberFormat="1" applyFont="1" applyFill="1"/>
    <xf numFmtId="166" fontId="13" fillId="2" borderId="0" xfId="0" applyNumberFormat="1" applyFont="1" applyFill="1"/>
    <xf numFmtId="165" fontId="13" fillId="2" borderId="0" xfId="0" applyNumberFormat="1" applyFont="1" applyFill="1"/>
    <xf numFmtId="0" fontId="15" fillId="2" borderId="4" xfId="0" applyFont="1" applyFill="1" applyBorder="1"/>
    <xf numFmtId="172" fontId="18" fillId="2" borderId="4" xfId="0" applyNumberFormat="1" applyFont="1" applyFill="1" applyBorder="1"/>
    <xf numFmtId="168" fontId="15" fillId="2" borderId="0" xfId="1" applyNumberFormat="1" applyFont="1" applyFill="1"/>
    <xf numFmtId="168" fontId="13" fillId="2" borderId="4" xfId="1" applyNumberFormat="1" applyFont="1" applyFill="1" applyBorder="1"/>
    <xf numFmtId="43" fontId="15" fillId="2" borderId="0" xfId="1" applyFont="1" applyFill="1"/>
    <xf numFmtId="0" fontId="15" fillId="3" borderId="0" xfId="0" applyFont="1" applyFill="1"/>
    <xf numFmtId="168" fontId="15" fillId="3" borderId="0" xfId="1" applyNumberFormat="1" applyFont="1" applyFill="1"/>
    <xf numFmtId="168" fontId="13" fillId="3" borderId="0" xfId="1" applyNumberFormat="1" applyFont="1" applyFill="1"/>
    <xf numFmtId="0" fontId="9" fillId="3" borderId="0" xfId="0" applyFont="1" applyFill="1"/>
    <xf numFmtId="0" fontId="12" fillId="3" borderId="0" xfId="0" applyFont="1" applyFill="1"/>
    <xf numFmtId="0" fontId="9" fillId="3" borderId="0" xfId="0" applyFont="1" applyFill="1" applyAlignment="1">
      <alignment vertical="center"/>
    </xf>
    <xf numFmtId="164" fontId="20" fillId="3" borderId="0" xfId="0" applyNumberFormat="1" applyFont="1" applyFill="1" applyAlignment="1">
      <alignment horizontal="left" vertical="center"/>
    </xf>
    <xf numFmtId="164" fontId="20" fillId="3" borderId="0" xfId="0" applyNumberFormat="1" applyFont="1" applyFill="1" applyAlignment="1">
      <alignment horizontal="center" vertical="center"/>
    </xf>
    <xf numFmtId="169" fontId="21" fillId="3" borderId="0" xfId="2" applyNumberFormat="1" applyFont="1" applyFill="1" applyBorder="1" applyAlignment="1">
      <alignment horizontal="center"/>
    </xf>
    <xf numFmtId="0" fontId="22" fillId="3" borderId="0" xfId="0" applyFont="1" applyFill="1"/>
    <xf numFmtId="0" fontId="23" fillId="2" borderId="0" xfId="4" applyFont="1" applyFill="1" applyBorder="1"/>
    <xf numFmtId="0" fontId="9" fillId="0" borderId="0" xfId="0" applyFont="1"/>
    <xf numFmtId="0" fontId="24" fillId="2" borderId="0" xfId="0" applyFont="1" applyFill="1" applyAlignment="1">
      <alignment horizontal="left"/>
    </xf>
    <xf numFmtId="2" fontId="25" fillId="2" borderId="0" xfId="0" applyNumberFormat="1" applyFont="1" applyFill="1"/>
    <xf numFmtId="0" fontId="26" fillId="3" borderId="0" xfId="4" applyFont="1" applyFill="1" applyBorder="1"/>
    <xf numFmtId="0" fontId="14" fillId="2" borderId="0" xfId="0" applyFont="1" applyFill="1" applyAlignment="1">
      <alignment horizontal="left" vertical="center"/>
    </xf>
    <xf numFmtId="0" fontId="27" fillId="2" borderId="0" xfId="0" applyFont="1" applyFill="1"/>
    <xf numFmtId="2" fontId="14" fillId="2" borderId="0" xfId="0" applyNumberFormat="1" applyFont="1" applyFill="1" applyAlignment="1">
      <alignment horizontal="left"/>
    </xf>
    <xf numFmtId="0" fontId="28" fillId="2" borderId="0" xfId="0" applyFont="1" applyFill="1" applyAlignment="1">
      <alignment horizontal="right" vertical="center" indent="1"/>
    </xf>
    <xf numFmtId="0" fontId="9" fillId="2" borderId="2" xfId="0" applyFont="1" applyFill="1" applyBorder="1"/>
    <xf numFmtId="0" fontId="29" fillId="2" borderId="0" xfId="0" applyFont="1" applyFill="1" applyAlignment="1">
      <alignment horizontal="right" vertical="center"/>
    </xf>
    <xf numFmtId="0" fontId="30" fillId="2" borderId="4" xfId="0" applyFont="1" applyFill="1" applyBorder="1" applyAlignment="1">
      <alignment horizontal="left"/>
    </xf>
    <xf numFmtId="0" fontId="30" fillId="2" borderId="4" xfId="0" applyFont="1" applyFill="1" applyBorder="1" applyAlignment="1">
      <alignment horizontal="right"/>
    </xf>
    <xf numFmtId="0" fontId="30" fillId="2" borderId="4" xfId="0" applyFont="1" applyFill="1" applyBorder="1"/>
    <xf numFmtId="0" fontId="31" fillId="2" borderId="5" xfId="0" applyFont="1" applyFill="1" applyBorder="1"/>
    <xf numFmtId="1" fontId="30" fillId="2" borderId="4" xfId="0" applyNumberFormat="1" applyFont="1" applyFill="1" applyBorder="1" applyAlignment="1">
      <alignment horizontal="left"/>
    </xf>
    <xf numFmtId="167" fontId="30" fillId="2" borderId="4" xfId="0" applyNumberFormat="1" applyFont="1" applyFill="1" applyBorder="1"/>
    <xf numFmtId="167" fontId="32" fillId="2" borderId="4" xfId="0" applyNumberFormat="1" applyFont="1" applyFill="1" applyBorder="1"/>
    <xf numFmtId="0" fontId="31" fillId="2" borderId="5" xfId="0" applyFont="1" applyFill="1" applyBorder="1" applyAlignment="1">
      <alignment horizontal="left"/>
    </xf>
    <xf numFmtId="167" fontId="33" fillId="2" borderId="4" xfId="0" applyNumberFormat="1" applyFont="1" applyFill="1" applyBorder="1"/>
    <xf numFmtId="0" fontId="26" fillId="3" borderId="0" xfId="4" applyFont="1" applyFill="1" applyBorder="1" applyAlignment="1">
      <alignment horizontal="left"/>
    </xf>
    <xf numFmtId="0" fontId="34" fillId="2" borderId="0" xfId="0" applyFont="1" applyFill="1" applyAlignment="1">
      <alignment horizontal="left" vertical="top"/>
    </xf>
    <xf numFmtId="0" fontId="31" fillId="2" borderId="0" xfId="0" applyFont="1" applyFill="1"/>
    <xf numFmtId="0" fontId="31" fillId="2" borderId="0" xfId="0" applyFont="1" applyFill="1" applyAlignment="1">
      <alignment horizontal="left"/>
    </xf>
    <xf numFmtId="2" fontId="31" fillId="2" borderId="0" xfId="0" applyNumberFormat="1" applyFont="1" applyFill="1" applyAlignment="1">
      <alignment horizontal="left" vertical="top"/>
    </xf>
    <xf numFmtId="3" fontId="31" fillId="2" borderId="0" xfId="1" applyNumberFormat="1" applyFont="1" applyFill="1" applyBorder="1" applyAlignment="1">
      <alignment horizontal="left" vertical="top"/>
    </xf>
    <xf numFmtId="0" fontId="31" fillId="2" borderId="0" xfId="0" applyFont="1" applyFill="1" applyAlignment="1" applyProtection="1">
      <alignment vertical="top"/>
      <protection locked="0"/>
    </xf>
    <xf numFmtId="0" fontId="31" fillId="0" borderId="0" xfId="0" applyFont="1"/>
    <xf numFmtId="0" fontId="23" fillId="2" borderId="0" xfId="4" applyFont="1" applyFill="1" applyBorder="1" applyAlignment="1">
      <alignment horizontal="left"/>
    </xf>
    <xf numFmtId="0" fontId="35" fillId="2" borderId="0" xfId="0" applyFont="1" applyFill="1" applyAlignment="1">
      <alignment horizontal="left" vertical="top"/>
    </xf>
    <xf numFmtId="171" fontId="36" fillId="2" borderId="0" xfId="0" applyNumberFormat="1" applyFont="1" applyFill="1" applyAlignment="1">
      <alignment horizontal="left" vertical="top"/>
    </xf>
    <xf numFmtId="0" fontId="36" fillId="2" borderId="0" xfId="0" applyFont="1" applyFill="1" applyAlignment="1">
      <alignment horizontal="left" vertical="top"/>
    </xf>
    <xf numFmtId="0" fontId="30" fillId="2" borderId="0" xfId="0" applyFont="1" applyFill="1" applyAlignment="1">
      <alignment horizontal="left"/>
    </xf>
    <xf numFmtId="0" fontId="37" fillId="0" borderId="0" xfId="0" applyFont="1"/>
    <xf numFmtId="0" fontId="38" fillId="2" borderId="0" xfId="0" applyFont="1" applyFill="1"/>
    <xf numFmtId="0" fontId="30" fillId="2" borderId="0" xfId="1" applyNumberFormat="1" applyFont="1" applyFill="1" applyBorder="1"/>
    <xf numFmtId="9" fontId="37" fillId="2" borderId="0" xfId="0" applyNumberFormat="1" applyFont="1" applyFill="1"/>
    <xf numFmtId="2" fontId="31" fillId="2" borderId="0" xfId="0" applyNumberFormat="1" applyFont="1" applyFill="1" applyAlignment="1">
      <alignment horizontal="left" vertical="center"/>
    </xf>
    <xf numFmtId="168" fontId="30" fillId="2" borderId="0" xfId="1" applyNumberFormat="1" applyFont="1" applyFill="1" applyBorder="1"/>
    <xf numFmtId="0" fontId="31" fillId="2" borderId="0" xfId="0" applyFont="1" applyFill="1" applyAlignment="1">
      <alignment horizontal="left" vertical="center" indent="1"/>
    </xf>
    <xf numFmtId="0" fontId="18" fillId="3" borderId="0" xfId="0" applyFont="1" applyFill="1"/>
    <xf numFmtId="0" fontId="13" fillId="0" borderId="0" xfId="0" applyFont="1"/>
    <xf numFmtId="0" fontId="13" fillId="2" borderId="0" xfId="0" applyFont="1" applyFill="1" applyAlignment="1">
      <alignment horizontal="left" vertical="center" indent="5"/>
    </xf>
    <xf numFmtId="0" fontId="18" fillId="2" borderId="24" xfId="0" applyFont="1" applyFill="1" applyBorder="1" applyAlignment="1">
      <alignment horizontal="left"/>
    </xf>
    <xf numFmtId="0" fontId="16" fillId="2" borderId="24" xfId="0" applyFont="1" applyFill="1" applyBorder="1"/>
    <xf numFmtId="0" fontId="16" fillId="3" borderId="0" xfId="0" applyFont="1" applyFill="1"/>
    <xf numFmtId="0" fontId="15" fillId="0" borderId="0" xfId="0" applyFont="1" applyAlignment="1">
      <alignment horizontal="right" vertical="top"/>
    </xf>
    <xf numFmtId="172" fontId="18" fillId="0" borderId="0" xfId="0" applyNumberFormat="1" applyFont="1" applyAlignment="1">
      <alignment horizontal="right" vertical="top"/>
    </xf>
    <xf numFmtId="0" fontId="39" fillId="3" borderId="0" xfId="0" applyFont="1" applyFill="1" applyAlignment="1">
      <alignment vertical="top"/>
    </xf>
    <xf numFmtId="0" fontId="40" fillId="3" borderId="0" xfId="0" applyFont="1" applyFill="1"/>
    <xf numFmtId="0" fontId="19" fillId="0" borderId="0" xfId="0" applyFont="1"/>
    <xf numFmtId="43" fontId="40" fillId="3" borderId="0" xfId="1" applyFont="1" applyFill="1"/>
    <xf numFmtId="164" fontId="9" fillId="2" borderId="0" xfId="0" applyNumberFormat="1" applyFont="1" applyFill="1"/>
    <xf numFmtId="0" fontId="13" fillId="3" borderId="0" xfId="0" applyFont="1" applyFill="1" applyAlignment="1">
      <alignment vertical="top"/>
    </xf>
    <xf numFmtId="174" fontId="13" fillId="3" borderId="0" xfId="1" applyNumberFormat="1" applyFont="1" applyFill="1" applyBorder="1" applyAlignment="1" applyProtection="1">
      <alignment vertical="top"/>
      <protection locked="0"/>
    </xf>
    <xf numFmtId="164" fontId="9" fillId="0" borderId="0" xfId="0" applyNumberFormat="1" applyFont="1"/>
    <xf numFmtId="164" fontId="9" fillId="3" borderId="0" xfId="0" applyNumberFormat="1" applyFont="1" applyFill="1"/>
    <xf numFmtId="165" fontId="41" fillId="2" borderId="0" xfId="0" applyNumberFormat="1" applyFont="1" applyFill="1"/>
    <xf numFmtId="165" fontId="41" fillId="0" borderId="0" xfId="0" applyNumberFormat="1" applyFont="1" applyAlignment="1">
      <alignment horizontal="left" vertical="top"/>
    </xf>
    <xf numFmtId="165" fontId="41" fillId="0" borderId="0" xfId="0" applyNumberFormat="1" applyFont="1" applyAlignment="1">
      <alignment vertical="top"/>
    </xf>
    <xf numFmtId="165" fontId="42" fillId="0" borderId="0" xfId="0" applyNumberFormat="1" applyFont="1" applyAlignment="1">
      <alignment vertical="top"/>
    </xf>
    <xf numFmtId="165" fontId="41" fillId="0" borderId="0" xfId="0" applyNumberFormat="1" applyFont="1"/>
    <xf numFmtId="165" fontId="41" fillId="3" borderId="0" xfId="0" applyNumberFormat="1" applyFont="1" applyFill="1"/>
    <xf numFmtId="0" fontId="15" fillId="0" borderId="4" xfId="0" applyFont="1" applyBorder="1" applyAlignment="1">
      <alignment vertical="center"/>
    </xf>
    <xf numFmtId="179" fontId="15" fillId="0" borderId="4" xfId="1" applyNumberFormat="1" applyFont="1" applyBorder="1" applyAlignment="1">
      <alignment vertical="center"/>
    </xf>
    <xf numFmtId="179" fontId="15" fillId="0" borderId="5" xfId="1" applyNumberFormat="1" applyFont="1" applyBorder="1" applyAlignment="1">
      <alignment vertical="center"/>
    </xf>
    <xf numFmtId="0" fontId="40" fillId="3" borderId="0" xfId="0" applyFont="1" applyFill="1" applyAlignment="1">
      <alignment vertical="top"/>
    </xf>
    <xf numFmtId="0" fontId="9" fillId="2" borderId="0" xfId="0" applyFont="1" applyFill="1" applyAlignment="1">
      <alignment vertical="top"/>
    </xf>
    <xf numFmtId="0" fontId="9" fillId="0" borderId="0" xfId="0" applyFont="1" applyAlignment="1">
      <alignment vertical="top"/>
    </xf>
    <xf numFmtId="0" fontId="9" fillId="3" borderId="0" xfId="0" applyFont="1" applyFill="1" applyAlignment="1">
      <alignment vertical="top"/>
    </xf>
    <xf numFmtId="174" fontId="13" fillId="3" borderId="0" xfId="1" applyNumberFormat="1" applyFont="1" applyFill="1" applyBorder="1" applyAlignment="1" applyProtection="1">
      <alignment horizontal="right" vertical="top"/>
      <protection locked="0"/>
    </xf>
    <xf numFmtId="0" fontId="43" fillId="3" borderId="0" xfId="0" applyFont="1" applyFill="1"/>
    <xf numFmtId="0" fontId="44" fillId="2" borderId="0" xfId="0" applyFont="1" applyFill="1"/>
    <xf numFmtId="0" fontId="41" fillId="0" borderId="0" xfId="0" applyFont="1" applyAlignment="1">
      <alignment vertical="center"/>
    </xf>
    <xf numFmtId="0" fontId="44" fillId="0" borderId="0" xfId="0" applyFont="1"/>
    <xf numFmtId="0" fontId="44" fillId="3" borderId="0" xfId="0" applyFont="1" applyFill="1"/>
    <xf numFmtId="0" fontId="13" fillId="3" borderId="0" xfId="0" applyFont="1" applyFill="1" applyAlignment="1">
      <alignment vertical="center"/>
    </xf>
    <xf numFmtId="0" fontId="15" fillId="0" borderId="4" xfId="0" applyFont="1" applyBorder="1"/>
    <xf numFmtId="179" fontId="15" fillId="0" borderId="4" xfId="1" applyNumberFormat="1" applyFont="1" applyBorder="1" applyAlignment="1"/>
    <xf numFmtId="165" fontId="41" fillId="0" borderId="0" xfId="0" applyNumberFormat="1" applyFont="1" applyAlignment="1">
      <alignment horizontal="left" vertical="top" indent="2"/>
    </xf>
    <xf numFmtId="165" fontId="41" fillId="0" borderId="0" xfId="0" applyNumberFormat="1" applyFont="1" applyAlignment="1">
      <alignment horizontal="right" vertical="top"/>
    </xf>
    <xf numFmtId="165" fontId="42" fillId="0" borderId="0" xfId="0" applyNumberFormat="1" applyFont="1" applyAlignment="1">
      <alignment horizontal="right" vertical="top"/>
    </xf>
    <xf numFmtId="0" fontId="13" fillId="3" borderId="0" xfId="0" applyFont="1" applyFill="1" applyAlignment="1">
      <alignment horizontal="left" vertical="top" indent="2"/>
    </xf>
    <xf numFmtId="179" fontId="13" fillId="3" borderId="0" xfId="1" applyNumberFormat="1" applyFont="1" applyFill="1" applyBorder="1" applyAlignment="1" applyProtection="1">
      <alignment horizontal="right" vertical="top"/>
      <protection locked="0"/>
    </xf>
    <xf numFmtId="0" fontId="13" fillId="0" borderId="0" xfId="0" applyFont="1" applyAlignment="1">
      <alignment vertical="top"/>
    </xf>
    <xf numFmtId="168" fontId="13" fillId="3" borderId="0" xfId="1" applyNumberFormat="1" applyFont="1" applyFill="1" applyBorder="1" applyAlignment="1" applyProtection="1">
      <alignment horizontal="right" vertical="top"/>
      <protection locked="0"/>
    </xf>
    <xf numFmtId="168" fontId="45" fillId="0" borderId="0" xfId="0" applyNumberFormat="1" applyFont="1"/>
    <xf numFmtId="168" fontId="13" fillId="0" borderId="0" xfId="0" applyNumberFormat="1" applyFont="1"/>
    <xf numFmtId="175" fontId="13" fillId="3" borderId="0" xfId="0" applyNumberFormat="1" applyFont="1" applyFill="1" applyAlignment="1" applyProtection="1">
      <alignment horizontal="right" vertical="top"/>
      <protection locked="0"/>
    </xf>
    <xf numFmtId="175" fontId="13" fillId="0" borderId="0" xfId="0" applyNumberFormat="1" applyFont="1" applyAlignment="1">
      <alignment horizontal="right" vertical="top"/>
    </xf>
    <xf numFmtId="0" fontId="40" fillId="3" borderId="0" xfId="0" applyFont="1" applyFill="1" applyAlignment="1">
      <alignment vertical="center"/>
    </xf>
    <xf numFmtId="0" fontId="9" fillId="2" borderId="0" xfId="0" applyFont="1" applyFill="1" applyAlignment="1">
      <alignment vertical="center"/>
    </xf>
    <xf numFmtId="175" fontId="13" fillId="3" borderId="0" xfId="0" applyNumberFormat="1" applyFont="1" applyFill="1" applyAlignment="1" applyProtection="1">
      <alignment horizontal="right" vertical="center"/>
      <protection locked="0"/>
    </xf>
    <xf numFmtId="0" fontId="9" fillId="0" borderId="0" xfId="0" applyFont="1" applyAlignment="1">
      <alignment vertical="center"/>
    </xf>
    <xf numFmtId="0" fontId="13" fillId="4" borderId="28" xfId="0" applyFont="1" applyFill="1" applyBorder="1" applyAlignment="1">
      <alignment vertical="top"/>
    </xf>
    <xf numFmtId="9" fontId="13" fillId="4" borderId="28" xfId="0" applyNumberFormat="1" applyFont="1" applyFill="1" applyBorder="1" applyAlignment="1" applyProtection="1">
      <alignment horizontal="right" vertical="top"/>
      <protection locked="0"/>
    </xf>
    <xf numFmtId="0" fontId="41" fillId="3" borderId="0" xfId="0" applyFont="1" applyFill="1"/>
    <xf numFmtId="0" fontId="41" fillId="2" borderId="0" xfId="0" applyFont="1" applyFill="1"/>
    <xf numFmtId="0" fontId="41" fillId="0" borderId="0" xfId="0" applyFont="1"/>
    <xf numFmtId="9" fontId="41" fillId="0" borderId="0" xfId="3" applyFont="1" applyBorder="1" applyAlignment="1">
      <alignment horizontal="right" vertical="top"/>
    </xf>
    <xf numFmtId="164" fontId="19" fillId="0" borderId="0" xfId="0" applyNumberFormat="1" applyFont="1"/>
    <xf numFmtId="165" fontId="15" fillId="0" borderId="0" xfId="0" applyNumberFormat="1" applyFont="1" applyAlignment="1">
      <alignment vertical="center"/>
    </xf>
    <xf numFmtId="179" fontId="13" fillId="0" borderId="0" xfId="0" applyNumberFormat="1" applyFont="1" applyAlignment="1">
      <alignment horizontal="right" vertical="top"/>
    </xf>
    <xf numFmtId="179" fontId="13" fillId="0" borderId="0" xfId="1" applyNumberFormat="1" applyFont="1" applyFill="1" applyBorder="1" applyAlignment="1">
      <alignment horizontal="right" vertical="top"/>
    </xf>
    <xf numFmtId="165" fontId="41" fillId="0" borderId="0" xfId="0" applyNumberFormat="1" applyFont="1" applyAlignment="1">
      <alignment horizontal="left" vertical="center"/>
    </xf>
    <xf numFmtId="165" fontId="41" fillId="0" borderId="0" xfId="3" applyNumberFormat="1" applyFont="1" applyAlignment="1">
      <alignment horizontal="right" vertical="top"/>
    </xf>
    <xf numFmtId="174" fontId="13" fillId="3" borderId="0" xfId="1" applyNumberFormat="1" applyFont="1" applyFill="1" applyBorder="1" applyAlignment="1">
      <alignment horizontal="left" vertical="center"/>
    </xf>
    <xf numFmtId="174" fontId="13" fillId="3" borderId="0" xfId="1" applyNumberFormat="1" applyFont="1" applyFill="1" applyBorder="1" applyAlignment="1" applyProtection="1">
      <alignment horizontal="right" vertical="center"/>
      <protection locked="0"/>
    </xf>
    <xf numFmtId="168" fontId="41" fillId="0" borderId="0" xfId="0" applyNumberFormat="1" applyFont="1" applyAlignment="1">
      <alignment horizontal="right" vertical="top"/>
    </xf>
    <xf numFmtId="168" fontId="42" fillId="0" borderId="0" xfId="1" applyNumberFormat="1" applyFont="1" applyFill="1" applyBorder="1" applyAlignment="1">
      <alignment horizontal="right" vertical="top"/>
    </xf>
    <xf numFmtId="168" fontId="42" fillId="0" borderId="0" xfId="1" applyNumberFormat="1" applyFont="1" applyFill="1" applyAlignment="1">
      <alignment horizontal="right" vertical="top"/>
    </xf>
    <xf numFmtId="168" fontId="41" fillId="0" borderId="0" xfId="1" applyNumberFormat="1" applyFont="1" applyAlignment="1">
      <alignment horizontal="right" vertical="top"/>
    </xf>
    <xf numFmtId="0" fontId="15" fillId="0" borderId="5" xfId="0" applyFont="1" applyBorder="1"/>
    <xf numFmtId="179" fontId="15" fillId="0" borderId="5" xfId="1" applyNumberFormat="1" applyFont="1" applyBorder="1" applyAlignment="1"/>
    <xf numFmtId="0" fontId="15" fillId="0" borderId="5" xfId="0" applyFont="1" applyBorder="1" applyAlignment="1">
      <alignment vertical="center"/>
    </xf>
    <xf numFmtId="168" fontId="41" fillId="0" borderId="0" xfId="1" applyNumberFormat="1" applyFont="1" applyAlignment="1">
      <alignment horizontal="right" vertical="top" indent="2"/>
    </xf>
    <xf numFmtId="164" fontId="41" fillId="0" borderId="0" xfId="0" applyNumberFormat="1" applyFont="1" applyAlignment="1">
      <alignment horizontal="right" vertical="top" indent="2"/>
    </xf>
    <xf numFmtId="168" fontId="41" fillId="0" borderId="0" xfId="1" applyNumberFormat="1" applyFont="1" applyFill="1" applyBorder="1" applyAlignment="1">
      <alignment horizontal="right" vertical="top" indent="2"/>
    </xf>
    <xf numFmtId="168" fontId="41" fillId="0" borderId="0" xfId="1" applyNumberFormat="1" applyFont="1" applyFill="1" applyAlignment="1">
      <alignment horizontal="right" vertical="top" indent="2"/>
    </xf>
    <xf numFmtId="168" fontId="41" fillId="3" borderId="0" xfId="1" applyNumberFormat="1" applyFont="1" applyFill="1" applyAlignment="1" applyProtection="1">
      <alignment horizontal="right" vertical="top" indent="2"/>
      <protection locked="0"/>
    </xf>
    <xf numFmtId="168" fontId="41" fillId="3" borderId="0" xfId="1" applyNumberFormat="1" applyFont="1" applyFill="1" applyBorder="1" applyAlignment="1" applyProtection="1">
      <alignment horizontal="right" vertical="top" indent="2"/>
      <protection locked="0"/>
    </xf>
    <xf numFmtId="0" fontId="15" fillId="0" borderId="5" xfId="0" applyFont="1" applyBorder="1" applyAlignment="1">
      <alignment vertical="top"/>
    </xf>
    <xf numFmtId="179" fontId="15" fillId="0" borderId="5" xfId="1" applyNumberFormat="1" applyFont="1" applyBorder="1" applyAlignment="1">
      <alignment vertical="top"/>
    </xf>
    <xf numFmtId="179" fontId="15" fillId="0" borderId="4" xfId="1" applyNumberFormat="1" applyFont="1" applyBorder="1" applyAlignment="1">
      <alignment vertical="top"/>
    </xf>
    <xf numFmtId="179" fontId="13" fillId="2" borderId="0" xfId="1" applyNumberFormat="1" applyFont="1" applyFill="1" applyBorder="1" applyAlignment="1" applyProtection="1">
      <alignment horizontal="right" vertical="top"/>
    </xf>
    <xf numFmtId="0" fontId="25" fillId="2" borderId="0" xfId="0" applyFont="1" applyFill="1" applyAlignment="1">
      <alignment horizontal="right"/>
    </xf>
    <xf numFmtId="0" fontId="46" fillId="3" borderId="0" xfId="0" applyFont="1" applyFill="1" applyAlignment="1">
      <alignment horizontal="right"/>
    </xf>
    <xf numFmtId="0" fontId="47" fillId="0" borderId="0" xfId="0" applyFont="1" applyAlignment="1">
      <alignment horizontal="right"/>
    </xf>
    <xf numFmtId="0" fontId="45" fillId="0" borderId="0" xfId="0" applyFont="1" applyAlignment="1">
      <alignment horizontal="right"/>
    </xf>
    <xf numFmtId="0" fontId="48" fillId="0" borderId="0" xfId="0" applyFont="1" applyAlignment="1">
      <alignment horizontal="right"/>
    </xf>
    <xf numFmtId="0" fontId="49" fillId="3" borderId="0" xfId="0" applyFont="1" applyFill="1" applyAlignment="1">
      <alignment horizontal="right"/>
    </xf>
    <xf numFmtId="0" fontId="50" fillId="0" borderId="0" xfId="0" applyFont="1" applyAlignment="1">
      <alignment horizontal="right"/>
    </xf>
    <xf numFmtId="37" fontId="25" fillId="0" borderId="0" xfId="1" applyNumberFormat="1" applyFont="1" applyFill="1" applyBorder="1"/>
    <xf numFmtId="37" fontId="46" fillId="3" borderId="0" xfId="1" applyNumberFormat="1" applyFont="1" applyFill="1" applyBorder="1"/>
    <xf numFmtId="179" fontId="13" fillId="0" borderId="0" xfId="1" applyNumberFormat="1" applyFont="1" applyAlignment="1">
      <alignment horizontal="right" vertical="top"/>
    </xf>
    <xf numFmtId="179" fontId="13" fillId="0" borderId="0" xfId="1" applyNumberFormat="1" applyFont="1" applyBorder="1" applyAlignment="1">
      <alignment horizontal="right" vertical="top"/>
    </xf>
    <xf numFmtId="37" fontId="25" fillId="0" borderId="0" xfId="1" applyNumberFormat="1" applyFont="1" applyBorder="1"/>
    <xf numFmtId="37" fontId="25" fillId="0" borderId="0" xfId="1" applyNumberFormat="1" applyFont="1" applyFill="1"/>
    <xf numFmtId="37" fontId="46" fillId="3" borderId="0" xfId="1" applyNumberFormat="1" applyFont="1" applyFill="1"/>
    <xf numFmtId="179" fontId="15" fillId="0" borderId="5" xfId="1" applyNumberFormat="1" applyFont="1" applyFill="1" applyBorder="1" applyAlignment="1">
      <alignment horizontal="right" vertical="center"/>
    </xf>
    <xf numFmtId="37" fontId="13" fillId="0" borderId="0" xfId="1" applyNumberFormat="1" applyFont="1" applyBorder="1"/>
    <xf numFmtId="39" fontId="13" fillId="0" borderId="0" xfId="1" applyNumberFormat="1" applyFont="1" applyBorder="1"/>
    <xf numFmtId="0" fontId="13" fillId="0" borderId="5" xfId="0" applyFont="1" applyBorder="1"/>
    <xf numFmtId="0" fontId="19" fillId="0" borderId="5" xfId="0" applyFont="1" applyBorder="1"/>
    <xf numFmtId="0" fontId="19" fillId="0" borderId="5" xfId="0" applyFont="1" applyBorder="1" applyAlignment="1">
      <alignment horizontal="left"/>
    </xf>
    <xf numFmtId="164" fontId="13" fillId="0" borderId="0" xfId="0" applyNumberFormat="1" applyFont="1"/>
    <xf numFmtId="168" fontId="13" fillId="0" borderId="0" xfId="1" applyNumberFormat="1" applyFont="1"/>
    <xf numFmtId="0" fontId="13" fillId="0" borderId="0" xfId="0" applyFont="1" applyAlignment="1">
      <alignment horizontal="left"/>
    </xf>
    <xf numFmtId="165" fontId="13" fillId="0" borderId="0" xfId="0" applyNumberFormat="1" applyFont="1"/>
    <xf numFmtId="165" fontId="13" fillId="3" borderId="0" xfId="3" applyNumberFormat="1" applyFont="1" applyFill="1" applyBorder="1" applyAlignment="1" applyProtection="1">
      <alignment horizontal="right" vertical="center"/>
      <protection locked="0"/>
    </xf>
    <xf numFmtId="165" fontId="13" fillId="3" borderId="0" xfId="0" applyNumberFormat="1" applyFont="1" applyFill="1" applyProtection="1">
      <protection locked="0"/>
    </xf>
    <xf numFmtId="165" fontId="13" fillId="3" borderId="0" xfId="3" applyNumberFormat="1" applyFont="1" applyFill="1" applyProtection="1">
      <protection locked="0"/>
    </xf>
    <xf numFmtId="165" fontId="15" fillId="2" borderId="4" xfId="0" applyNumberFormat="1" applyFont="1" applyFill="1" applyBorder="1"/>
    <xf numFmtId="165" fontId="15" fillId="0" borderId="4" xfId="0" applyNumberFormat="1" applyFont="1" applyBorder="1"/>
    <xf numFmtId="164" fontId="13" fillId="3" borderId="0" xfId="0" applyNumberFormat="1" applyFont="1" applyFill="1" applyProtection="1">
      <protection locked="0"/>
    </xf>
    <xf numFmtId="168" fontId="13" fillId="3" borderId="0" xfId="1" applyNumberFormat="1" applyFont="1" applyFill="1" applyBorder="1" applyProtection="1">
      <protection locked="0"/>
    </xf>
    <xf numFmtId="168" fontId="13" fillId="3" borderId="0" xfId="1" applyNumberFormat="1" applyFont="1" applyFill="1" applyBorder="1" applyAlignment="1" applyProtection="1">
      <protection locked="0"/>
    </xf>
    <xf numFmtId="165" fontId="13" fillId="2" borderId="0" xfId="3" applyNumberFormat="1" applyFont="1" applyFill="1" applyProtection="1"/>
    <xf numFmtId="168" fontId="13" fillId="3" borderId="0" xfId="0" applyNumberFormat="1" applyFont="1" applyFill="1" applyProtection="1">
      <protection locked="0"/>
    </xf>
    <xf numFmtId="168" fontId="47" fillId="0" borderId="0" xfId="0" applyNumberFormat="1" applyFont="1"/>
    <xf numFmtId="168" fontId="13" fillId="3" borderId="0" xfId="1" applyNumberFormat="1" applyFont="1" applyFill="1" applyProtection="1">
      <protection locked="0"/>
    </xf>
    <xf numFmtId="0" fontId="13" fillId="3" borderId="0" xfId="0" applyFont="1" applyFill="1" applyAlignment="1" applyProtection="1">
      <alignment horizontal="right"/>
      <protection locked="0"/>
    </xf>
    <xf numFmtId="49" fontId="13" fillId="0" borderId="0" xfId="0" applyNumberFormat="1" applyFont="1"/>
    <xf numFmtId="0" fontId="47" fillId="0" borderId="0" xfId="0" applyFont="1" applyAlignment="1">
      <alignment horizontal="left"/>
    </xf>
    <xf numFmtId="166" fontId="13" fillId="3" borderId="0" xfId="0" applyNumberFormat="1" applyFont="1" applyFill="1" applyProtection="1">
      <protection locked="0"/>
    </xf>
    <xf numFmtId="168" fontId="13" fillId="0" borderId="0" xfId="1" applyNumberFormat="1" applyFont="1" applyFill="1" applyBorder="1" applyAlignment="1"/>
    <xf numFmtId="165" fontId="51" fillId="2" borderId="4" xfId="0" applyNumberFormat="1" applyFont="1" applyFill="1" applyBorder="1" applyAlignment="1">
      <alignment horizontal="right" vertical="center"/>
    </xf>
    <xf numFmtId="165" fontId="13" fillId="0" borderId="0" xfId="3" applyNumberFormat="1" applyFont="1" applyProtection="1"/>
    <xf numFmtId="164" fontId="15" fillId="0" borderId="5" xfId="0" applyNumberFormat="1" applyFont="1" applyBorder="1"/>
    <xf numFmtId="168" fontId="15" fillId="0" borderId="5" xfId="1" applyNumberFormat="1" applyFont="1" applyBorder="1"/>
    <xf numFmtId="43" fontId="15" fillId="0" borderId="0" xfId="1" applyFont="1"/>
    <xf numFmtId="168" fontId="15" fillId="0" borderId="0" xfId="0" applyNumberFormat="1" applyFont="1"/>
    <xf numFmtId="0" fontId="15" fillId="0" borderId="0" xfId="0" applyFont="1" applyAlignment="1">
      <alignment horizontal="left"/>
    </xf>
    <xf numFmtId="0" fontId="13" fillId="4" borderId="0" xfId="0" applyFont="1" applyFill="1"/>
    <xf numFmtId="0" fontId="15" fillId="4" borderId="0" xfId="0" applyFont="1" applyFill="1" applyAlignment="1" applyProtection="1">
      <alignment horizontal="right"/>
      <protection locked="0"/>
    </xf>
    <xf numFmtId="14" fontId="13" fillId="3" borderId="0" xfId="0" applyNumberFormat="1" applyFont="1" applyFill="1" applyProtection="1">
      <protection locked="0"/>
    </xf>
    <xf numFmtId="0" fontId="15" fillId="4" borderId="0" xfId="0" applyFont="1" applyFill="1" applyAlignment="1" applyProtection="1">
      <alignment horizontal="right" vertical="center"/>
      <protection locked="0"/>
    </xf>
    <xf numFmtId="0" fontId="13" fillId="3" borderId="0" xfId="0" applyFont="1" applyFill="1" applyProtection="1">
      <protection locked="0"/>
    </xf>
    <xf numFmtId="0" fontId="47" fillId="0" borderId="0" xfId="0" applyFont="1"/>
    <xf numFmtId="173" fontId="13" fillId="3" borderId="0" xfId="0" applyNumberFormat="1" applyFont="1" applyFill="1" applyProtection="1">
      <protection locked="0"/>
    </xf>
    <xf numFmtId="0" fontId="47" fillId="2" borderId="0" xfId="0" applyFont="1" applyFill="1"/>
    <xf numFmtId="2" fontId="13" fillId="3" borderId="0" xfId="0" applyNumberFormat="1" applyFont="1" applyFill="1" applyProtection="1">
      <protection locked="0"/>
    </xf>
    <xf numFmtId="0" fontId="13" fillId="2" borderId="0" xfId="0" applyFont="1" applyFill="1" applyAlignment="1">
      <alignment horizontal="right"/>
    </xf>
    <xf numFmtId="0" fontId="47" fillId="4" borderId="0" xfId="0" applyFont="1" applyFill="1"/>
    <xf numFmtId="0" fontId="52" fillId="3" borderId="0" xfId="0" applyFont="1" applyFill="1" applyAlignment="1" applyProtection="1">
      <alignment horizontal="right"/>
      <protection locked="0"/>
    </xf>
    <xf numFmtId="169" fontId="47" fillId="2" borderId="0" xfId="0" applyNumberFormat="1" applyFont="1" applyFill="1" applyAlignment="1">
      <alignment vertical="center"/>
    </xf>
    <xf numFmtId="0" fontId="47" fillId="2" borderId="0" xfId="0" applyFont="1" applyFill="1" applyAlignment="1">
      <alignment vertical="center"/>
    </xf>
    <xf numFmtId="2" fontId="13" fillId="4" borderId="0" xfId="0" applyNumberFormat="1" applyFont="1" applyFill="1" applyProtection="1">
      <protection locked="0"/>
    </xf>
    <xf numFmtId="169" fontId="47" fillId="2" borderId="0" xfId="0" applyNumberFormat="1" applyFont="1" applyFill="1" applyAlignment="1">
      <alignment horizontal="right"/>
    </xf>
    <xf numFmtId="4" fontId="13" fillId="4" borderId="0" xfId="0" applyNumberFormat="1" applyFont="1" applyFill="1" applyProtection="1">
      <protection locked="0"/>
    </xf>
    <xf numFmtId="0" fontId="53" fillId="2" borderId="0" xfId="0" applyFont="1" applyFill="1"/>
    <xf numFmtId="168" fontId="45" fillId="2" borderId="0" xfId="0" applyNumberFormat="1" applyFont="1" applyFill="1"/>
    <xf numFmtId="168" fontId="13" fillId="2" borderId="0" xfId="0" applyNumberFormat="1" applyFont="1" applyFill="1"/>
    <xf numFmtId="179" fontId="45" fillId="3" borderId="0" xfId="0" applyNumberFormat="1" applyFont="1" applyFill="1" applyProtection="1">
      <protection locked="0"/>
    </xf>
    <xf numFmtId="179" fontId="13" fillId="3" borderId="0" xfId="0" applyNumberFormat="1" applyFont="1" applyFill="1" applyProtection="1">
      <protection locked="0"/>
    </xf>
    <xf numFmtId="0" fontId="53" fillId="0" borderId="0" xfId="0" applyFont="1"/>
    <xf numFmtId="0" fontId="13" fillId="0" borderId="2" xfId="0" applyFont="1" applyBorder="1"/>
    <xf numFmtId="179" fontId="45" fillId="3" borderId="2" xfId="0" applyNumberFormat="1" applyFont="1" applyFill="1" applyBorder="1" applyProtection="1">
      <protection locked="0"/>
    </xf>
    <xf numFmtId="179" fontId="45" fillId="2" borderId="2" xfId="0" applyNumberFormat="1" applyFont="1" applyFill="1" applyBorder="1"/>
    <xf numFmtId="179" fontId="13" fillId="2" borderId="2" xfId="0" applyNumberFormat="1" applyFont="1" applyFill="1" applyBorder="1"/>
    <xf numFmtId="0" fontId="15" fillId="2" borderId="0" xfId="0" applyFont="1" applyFill="1" applyAlignment="1">
      <alignment vertical="center"/>
    </xf>
    <xf numFmtId="168" fontId="51" fillId="2" borderId="0" xfId="0" applyNumberFormat="1" applyFont="1" applyFill="1" applyAlignment="1">
      <alignment vertical="center"/>
    </xf>
    <xf numFmtId="168" fontId="15" fillId="2" borderId="0" xfId="0" applyNumberFormat="1" applyFont="1" applyFill="1" applyAlignment="1">
      <alignment vertical="center"/>
    </xf>
    <xf numFmtId="37" fontId="13" fillId="3" borderId="0" xfId="0" applyNumberFormat="1" applyFont="1" applyFill="1" applyProtection="1">
      <protection locked="0"/>
    </xf>
    <xf numFmtId="37" fontId="13" fillId="2" borderId="0" xfId="0" applyNumberFormat="1" applyFont="1" applyFill="1" applyAlignment="1">
      <alignment horizontal="left"/>
    </xf>
    <xf numFmtId="37" fontId="13" fillId="2" borderId="0" xfId="0" applyNumberFormat="1" applyFont="1" applyFill="1" applyAlignment="1">
      <alignment horizontal="right"/>
    </xf>
    <xf numFmtId="0" fontId="53" fillId="0" borderId="0" xfId="0" applyFont="1" applyAlignment="1">
      <alignment vertical="center"/>
    </xf>
    <xf numFmtId="0" fontId="15" fillId="2" borderId="4" xfId="0" applyFont="1" applyFill="1" applyBorder="1" applyAlignment="1">
      <alignment vertical="center"/>
    </xf>
    <xf numFmtId="0" fontId="54" fillId="0" borderId="4" xfId="0" applyFont="1" applyBorder="1" applyAlignment="1">
      <alignment vertical="center"/>
    </xf>
    <xf numFmtId="37" fontId="15" fillId="0" borderId="4" xfId="0" applyNumberFormat="1" applyFont="1" applyBorder="1" applyAlignment="1">
      <alignment vertical="center"/>
    </xf>
    <xf numFmtId="0" fontId="15" fillId="0" borderId="0" xfId="0" applyFont="1" applyAlignment="1">
      <alignment vertical="center"/>
    </xf>
    <xf numFmtId="0" fontId="54" fillId="0" borderId="0" xfId="0" applyFont="1" applyAlignment="1">
      <alignment vertical="center"/>
    </xf>
    <xf numFmtId="37" fontId="15" fillId="0" borderId="0" xfId="0" applyNumberFormat="1" applyFont="1" applyAlignment="1">
      <alignment vertical="center"/>
    </xf>
    <xf numFmtId="0" fontId="13" fillId="0" borderId="0" xfId="0" applyFont="1" applyAlignment="1">
      <alignment vertical="center"/>
    </xf>
    <xf numFmtId="37" fontId="13" fillId="0" borderId="0" xfId="0" applyNumberFormat="1" applyFont="1" applyAlignment="1">
      <alignment vertical="center"/>
    </xf>
    <xf numFmtId="0" fontId="45" fillId="3" borderId="0" xfId="0" applyFont="1" applyFill="1" applyProtection="1">
      <protection locked="0"/>
    </xf>
    <xf numFmtId="168" fontId="45" fillId="3" borderId="0" xfId="0" applyNumberFormat="1" applyFont="1" applyFill="1" applyProtection="1">
      <protection locked="0"/>
    </xf>
    <xf numFmtId="0" fontId="45" fillId="2" borderId="0" xfId="0" applyFont="1" applyFill="1"/>
    <xf numFmtId="0" fontId="35" fillId="3" borderId="0" xfId="0" applyFont="1" applyFill="1" applyAlignment="1">
      <alignment vertical="center"/>
    </xf>
    <xf numFmtId="0" fontId="12" fillId="2" borderId="0" xfId="0" applyFont="1" applyFill="1" applyAlignment="1">
      <alignment vertical="center"/>
    </xf>
    <xf numFmtId="179" fontId="13" fillId="0" borderId="0" xfId="0" applyNumberFormat="1" applyFont="1"/>
    <xf numFmtId="179" fontId="45" fillId="0" borderId="0" xfId="0" applyNumberFormat="1" applyFont="1"/>
    <xf numFmtId="179" fontId="45" fillId="0" borderId="0" xfId="0" applyNumberFormat="1" applyFont="1" applyAlignment="1">
      <alignment horizontal="right"/>
    </xf>
    <xf numFmtId="0" fontId="22" fillId="2" borderId="0" xfId="0" applyFont="1" applyFill="1" applyAlignment="1">
      <alignment vertical="center"/>
    </xf>
    <xf numFmtId="37" fontId="51" fillId="2" borderId="4" xfId="0" applyNumberFormat="1" applyFont="1" applyFill="1" applyBorder="1" applyAlignment="1">
      <alignment vertical="center"/>
    </xf>
    <xf numFmtId="37" fontId="15" fillId="2" borderId="4" xfId="0" applyNumberFormat="1" applyFont="1" applyFill="1" applyBorder="1" applyAlignment="1">
      <alignment vertical="center"/>
    </xf>
    <xf numFmtId="174" fontId="13" fillId="3" borderId="0" xfId="0" applyNumberFormat="1" applyFont="1" applyFill="1" applyProtection="1">
      <protection locked="0"/>
    </xf>
    <xf numFmtId="37" fontId="45" fillId="2" borderId="0" xfId="0" applyNumberFormat="1" applyFont="1" applyFill="1"/>
    <xf numFmtId="37" fontId="13" fillId="2" borderId="0" xfId="0" applyNumberFormat="1" applyFont="1" applyFill="1"/>
    <xf numFmtId="0" fontId="35" fillId="3" borderId="0" xfId="0" applyFont="1" applyFill="1"/>
    <xf numFmtId="0" fontId="13" fillId="2" borderId="1" xfId="0" applyFont="1" applyFill="1" applyBorder="1"/>
    <xf numFmtId="0" fontId="13" fillId="3" borderId="1" xfId="0" applyFont="1" applyFill="1" applyBorder="1" applyProtection="1">
      <protection locked="0"/>
    </xf>
    <xf numFmtId="37" fontId="45" fillId="3" borderId="1" xfId="0" applyNumberFormat="1" applyFont="1" applyFill="1" applyBorder="1" applyProtection="1">
      <protection locked="0"/>
    </xf>
    <xf numFmtId="37" fontId="13" fillId="3" borderId="1" xfId="0" applyNumberFormat="1" applyFont="1" applyFill="1" applyBorder="1" applyProtection="1">
      <protection locked="0"/>
    </xf>
    <xf numFmtId="0" fontId="22" fillId="2" borderId="0" xfId="0" applyFont="1" applyFill="1"/>
    <xf numFmtId="37" fontId="51" fillId="2" borderId="0" xfId="0" applyNumberFormat="1" applyFont="1" applyFill="1" applyAlignment="1">
      <alignment vertical="center"/>
    </xf>
    <xf numFmtId="37" fontId="15" fillId="2" borderId="0" xfId="0" applyNumberFormat="1" applyFont="1" applyFill="1" applyAlignment="1">
      <alignment vertical="center"/>
    </xf>
    <xf numFmtId="176" fontId="45" fillId="2" borderId="0" xfId="0" applyNumberFormat="1" applyFont="1" applyFill="1"/>
    <xf numFmtId="176" fontId="13" fillId="2" borderId="0" xfId="0" applyNumberFormat="1" applyFont="1" applyFill="1"/>
    <xf numFmtId="0" fontId="13" fillId="2" borderId="0" xfId="0" applyFont="1" applyFill="1" applyAlignment="1">
      <alignment vertical="center"/>
    </xf>
    <xf numFmtId="177" fontId="45" fillId="2" borderId="0" xfId="0" applyNumberFormat="1" applyFont="1" applyFill="1" applyAlignment="1">
      <alignment vertical="center"/>
    </xf>
    <xf numFmtId="177" fontId="13" fillId="2" borderId="0" xfId="0" applyNumberFormat="1" applyFont="1" applyFill="1" applyAlignment="1">
      <alignment vertical="center"/>
    </xf>
    <xf numFmtId="177" fontId="45" fillId="2" borderId="0" xfId="0" applyNumberFormat="1" applyFont="1" applyFill="1"/>
    <xf numFmtId="177" fontId="13" fillId="2" borderId="0" xfId="0" applyNumberFormat="1" applyFont="1" applyFill="1"/>
    <xf numFmtId="0" fontId="18" fillId="0" borderId="0" xfId="0" applyFont="1"/>
    <xf numFmtId="2" fontId="13" fillId="0" borderId="0" xfId="0" applyNumberFormat="1" applyFont="1"/>
    <xf numFmtId="43" fontId="13" fillId="3" borderId="0" xfId="1" applyFont="1" applyFill="1" applyProtection="1">
      <protection locked="0"/>
    </xf>
    <xf numFmtId="0" fontId="13" fillId="0" borderId="4" xfId="0" applyFont="1" applyBorder="1"/>
    <xf numFmtId="170" fontId="13" fillId="0" borderId="4" xfId="0" applyNumberFormat="1" applyFont="1" applyBorder="1"/>
    <xf numFmtId="43" fontId="13" fillId="0" borderId="0" xfId="1" applyFont="1" applyFill="1" applyAlignment="1">
      <alignment vertical="center"/>
    </xf>
    <xf numFmtId="170" fontId="13" fillId="0" borderId="4" xfId="1" applyNumberFormat="1" applyFont="1" applyFill="1" applyBorder="1"/>
    <xf numFmtId="43" fontId="13" fillId="0" borderId="0" xfId="1" applyFont="1" applyFill="1"/>
    <xf numFmtId="178" fontId="13" fillId="0" borderId="0" xfId="1" applyNumberFormat="1" applyFont="1"/>
    <xf numFmtId="0" fontId="53" fillId="3" borderId="0" xfId="0" applyFont="1" applyFill="1"/>
    <xf numFmtId="164" fontId="13" fillId="3" borderId="0" xfId="0" applyNumberFormat="1" applyFont="1" applyFill="1"/>
    <xf numFmtId="0" fontId="12" fillId="2" borderId="0" xfId="0" applyFont="1" applyFill="1" applyAlignment="1">
      <alignment horizontal="left" vertical="top"/>
    </xf>
    <xf numFmtId="0" fontId="15" fillId="2" borderId="0" xfId="0" applyFont="1" applyFill="1" applyAlignment="1">
      <alignment horizontal="left" vertical="top"/>
    </xf>
    <xf numFmtId="164" fontId="13" fillId="2" borderId="0" xfId="0" applyNumberFormat="1" applyFont="1" applyFill="1"/>
    <xf numFmtId="0" fontId="15" fillId="2" borderId="4" xfId="0" applyFont="1" applyFill="1" applyBorder="1" applyAlignment="1">
      <alignment horizontal="left"/>
    </xf>
    <xf numFmtId="0" fontId="54" fillId="2" borderId="0" xfId="0" applyFont="1" applyFill="1" applyAlignment="1">
      <alignment horizontal="left"/>
    </xf>
    <xf numFmtId="180" fontId="15" fillId="2" borderId="0" xfId="0" applyNumberFormat="1" applyFont="1" applyFill="1" applyAlignment="1">
      <alignment horizontal="left" vertical="center"/>
    </xf>
    <xf numFmtId="0" fontId="13" fillId="0" borderId="0" xfId="0" applyFont="1" applyAlignment="1">
      <alignment horizontal="left" vertical="center"/>
    </xf>
    <xf numFmtId="1" fontId="15" fillId="2" borderId="0" xfId="0" applyNumberFormat="1" applyFont="1" applyFill="1" applyAlignment="1">
      <alignment horizontal="left"/>
    </xf>
    <xf numFmtId="3" fontId="13" fillId="2" borderId="0" xfId="1" applyNumberFormat="1" applyFont="1" applyFill="1" applyBorder="1" applyAlignment="1" applyProtection="1">
      <alignment horizontal="left" vertical="top"/>
    </xf>
    <xf numFmtId="164" fontId="13" fillId="2" borderId="0" xfId="0" quotePrefix="1" applyNumberFormat="1" applyFont="1" applyFill="1"/>
    <xf numFmtId="0" fontId="16" fillId="2" borderId="0" xfId="0" applyFont="1" applyFill="1" applyAlignment="1">
      <alignment horizontal="left" vertical="top"/>
    </xf>
    <xf numFmtId="167" fontId="15" fillId="2" borderId="4" xfId="0" applyNumberFormat="1" applyFont="1" applyFill="1" applyBorder="1"/>
    <xf numFmtId="1" fontId="15" fillId="2" borderId="4" xfId="0" applyNumberFormat="1" applyFont="1" applyFill="1" applyBorder="1"/>
    <xf numFmtId="0" fontId="13" fillId="2" borderId="0" xfId="0" applyFont="1" applyFill="1" applyAlignment="1">
      <alignment vertical="top"/>
    </xf>
    <xf numFmtId="167" fontId="15" fillId="2" borderId="0" xfId="0" applyNumberFormat="1" applyFont="1" applyFill="1"/>
    <xf numFmtId="3" fontId="13" fillId="2" borderId="0" xfId="0" applyNumberFormat="1" applyFont="1" applyFill="1"/>
    <xf numFmtId="165" fontId="47" fillId="3" borderId="0" xfId="3" applyNumberFormat="1" applyFont="1" applyFill="1" applyProtection="1"/>
    <xf numFmtId="165" fontId="47" fillId="0" borderId="0" xfId="3" applyNumberFormat="1" applyFont="1" applyFill="1" applyBorder="1" applyAlignment="1" applyProtection="1">
      <alignment horizontal="left"/>
      <protection locked="0"/>
    </xf>
    <xf numFmtId="3" fontId="13" fillId="3" borderId="0" xfId="0" applyNumberFormat="1" applyFont="1" applyFill="1" applyAlignment="1" applyProtection="1">
      <alignment horizontal="left"/>
      <protection locked="0"/>
    </xf>
    <xf numFmtId="9" fontId="13" fillId="3" borderId="0" xfId="3" applyFont="1" applyFill="1" applyBorder="1" applyAlignment="1" applyProtection="1">
      <alignment horizontal="left"/>
      <protection locked="0"/>
    </xf>
    <xf numFmtId="38" fontId="13" fillId="2" borderId="0" xfId="0" applyNumberFormat="1" applyFont="1" applyFill="1" applyAlignment="1">
      <alignment horizontal="left"/>
    </xf>
    <xf numFmtId="181" fontId="13" fillId="2" borderId="0" xfId="3" applyNumberFormat="1" applyFont="1" applyFill="1" applyAlignment="1" applyProtection="1">
      <alignment horizontal="left"/>
    </xf>
    <xf numFmtId="182" fontId="13" fillId="2" borderId="0" xfId="0" applyNumberFormat="1" applyFont="1" applyFill="1" applyAlignment="1">
      <alignment horizontal="left"/>
    </xf>
    <xf numFmtId="183" fontId="13" fillId="2" borderId="0" xfId="0" applyNumberFormat="1" applyFont="1" applyFill="1" applyAlignment="1">
      <alignment horizontal="left"/>
    </xf>
    <xf numFmtId="167" fontId="13" fillId="2" borderId="0" xfId="0" applyNumberFormat="1" applyFont="1" applyFill="1"/>
    <xf numFmtId="0" fontId="18" fillId="2" borderId="0" xfId="0" applyFont="1" applyFill="1" applyAlignment="1">
      <alignment horizontal="left"/>
    </xf>
    <xf numFmtId="0" fontId="16" fillId="2" borderId="0" xfId="0" applyFont="1" applyFill="1"/>
    <xf numFmtId="0" fontId="15" fillId="2" borderId="0" xfId="0" applyFont="1" applyFill="1" applyAlignment="1">
      <alignment horizontal="right" vertical="top"/>
    </xf>
    <xf numFmtId="172" fontId="18" fillId="2" borderId="6" xfId="0" applyNumberFormat="1" applyFont="1" applyFill="1" applyBorder="1" applyAlignment="1">
      <alignment horizontal="right" vertical="top"/>
    </xf>
    <xf numFmtId="3" fontId="13" fillId="3" borderId="0" xfId="0" applyNumberFormat="1" applyFont="1" applyFill="1"/>
    <xf numFmtId="179" fontId="13" fillId="3" borderId="0" xfId="1" applyNumberFormat="1" applyFont="1" applyFill="1" applyBorder="1" applyProtection="1">
      <protection locked="0"/>
    </xf>
    <xf numFmtId="0" fontId="41" fillId="2" borderId="0" xfId="0" applyFont="1" applyFill="1" applyAlignment="1">
      <alignment horizontal="left"/>
    </xf>
    <xf numFmtId="165" fontId="41" fillId="2" borderId="0" xfId="0" applyNumberFormat="1" applyFont="1" applyFill="1" applyAlignment="1">
      <alignment horizontal="left" indent="2"/>
    </xf>
    <xf numFmtId="164" fontId="47" fillId="2" borderId="0" xfId="0" applyNumberFormat="1" applyFont="1" applyFill="1"/>
    <xf numFmtId="0" fontId="13" fillId="3" borderId="2" xfId="0" applyFont="1" applyFill="1" applyBorder="1"/>
    <xf numFmtId="164" fontId="13" fillId="3" borderId="2" xfId="0" applyNumberFormat="1" applyFont="1" applyFill="1" applyBorder="1"/>
    <xf numFmtId="3" fontId="13" fillId="3" borderId="2" xfId="0" applyNumberFormat="1" applyFont="1" applyFill="1" applyBorder="1"/>
    <xf numFmtId="179" fontId="13" fillId="3" borderId="2" xfId="0" applyNumberFormat="1" applyFont="1" applyFill="1" applyBorder="1" applyProtection="1">
      <protection locked="0"/>
    </xf>
    <xf numFmtId="179" fontId="13" fillId="2" borderId="0" xfId="0" applyNumberFormat="1" applyFont="1" applyFill="1"/>
    <xf numFmtId="0" fontId="13" fillId="3" borderId="7" xfId="0" applyFont="1" applyFill="1" applyBorder="1"/>
    <xf numFmtId="164" fontId="13" fillId="3" borderId="7" xfId="0" applyNumberFormat="1" applyFont="1" applyFill="1" applyBorder="1"/>
    <xf numFmtId="3" fontId="13" fillId="3" borderId="7" xfId="0" applyNumberFormat="1" applyFont="1" applyFill="1" applyBorder="1"/>
    <xf numFmtId="179" fontId="13" fillId="3" borderId="7" xfId="0" applyNumberFormat="1" applyFont="1" applyFill="1" applyBorder="1" applyProtection="1">
      <protection locked="0"/>
    </xf>
    <xf numFmtId="179" fontId="13" fillId="2" borderId="0" xfId="1" applyNumberFormat="1" applyFont="1" applyFill="1" applyBorder="1" applyProtection="1"/>
    <xf numFmtId="0" fontId="41" fillId="2" borderId="0" xfId="0" applyFont="1" applyFill="1" applyAlignment="1">
      <alignment horizontal="left" indent="2"/>
    </xf>
    <xf numFmtId="170" fontId="41" fillId="2" borderId="0" xfId="0" applyNumberFormat="1" applyFont="1" applyFill="1" applyAlignment="1">
      <alignment horizontal="left" indent="2"/>
    </xf>
    <xf numFmtId="168" fontId="41" fillId="2" borderId="0" xfId="0" applyNumberFormat="1" applyFont="1" applyFill="1" applyAlignment="1">
      <alignment horizontal="left" indent="2"/>
    </xf>
    <xf numFmtId="168" fontId="41" fillId="3" borderId="0" xfId="0" applyNumberFormat="1" applyFont="1" applyFill="1" applyAlignment="1">
      <alignment horizontal="left" indent="2"/>
    </xf>
    <xf numFmtId="165" fontId="13" fillId="2" borderId="0" xfId="0" applyNumberFormat="1" applyFont="1" applyFill="1" applyAlignment="1">
      <alignment horizontal="left" indent="2"/>
    </xf>
    <xf numFmtId="170" fontId="13" fillId="2" borderId="0" xfId="0" applyNumberFormat="1" applyFont="1" applyFill="1" applyAlignment="1">
      <alignment horizontal="left" indent="2"/>
    </xf>
    <xf numFmtId="43" fontId="13" fillId="2" borderId="0" xfId="0" applyNumberFormat="1" applyFont="1" applyFill="1" applyAlignment="1">
      <alignment horizontal="left" indent="2"/>
    </xf>
    <xf numFmtId="43" fontId="41" fillId="2" borderId="0" xfId="0" applyNumberFormat="1" applyFont="1" applyFill="1" applyAlignment="1">
      <alignment horizontal="left" indent="2"/>
    </xf>
    <xf numFmtId="9" fontId="41" fillId="2" borderId="0" xfId="3" applyFont="1" applyFill="1" applyProtection="1"/>
    <xf numFmtId="9" fontId="13" fillId="3" borderId="0" xfId="3" applyFont="1" applyFill="1" applyProtection="1">
      <protection locked="0"/>
    </xf>
    <xf numFmtId="178" fontId="41" fillId="2" borderId="0" xfId="0" applyNumberFormat="1" applyFont="1" applyFill="1" applyAlignment="1">
      <alignment horizontal="left" indent="2"/>
    </xf>
    <xf numFmtId="178" fontId="41" fillId="2" borderId="0" xfId="0" applyNumberFormat="1" applyFont="1" applyFill="1"/>
    <xf numFmtId="9" fontId="41" fillId="2" borderId="0" xfId="3" applyFont="1" applyFill="1" applyAlignment="1" applyProtection="1">
      <alignment horizontal="left" indent="2"/>
    </xf>
    <xf numFmtId="0" fontId="55" fillId="2" borderId="0" xfId="0" applyFont="1" applyFill="1"/>
    <xf numFmtId="9" fontId="13" fillId="2" borderId="0" xfId="3" applyFont="1" applyFill="1" applyProtection="1"/>
    <xf numFmtId="179" fontId="13" fillId="4" borderId="0" xfId="0" applyNumberFormat="1" applyFont="1" applyFill="1" applyProtection="1">
      <protection locked="0"/>
    </xf>
    <xf numFmtId="179" fontId="13" fillId="5" borderId="0" xfId="0" applyNumberFormat="1" applyFont="1" applyFill="1"/>
    <xf numFmtId="165" fontId="15" fillId="3" borderId="0" xfId="0" applyNumberFormat="1" applyFont="1" applyFill="1"/>
    <xf numFmtId="3" fontId="15" fillId="3" borderId="0" xfId="0" applyNumberFormat="1" applyFont="1" applyFill="1"/>
    <xf numFmtId="179" fontId="15" fillId="3" borderId="0" xfId="0" applyNumberFormat="1" applyFont="1" applyFill="1" applyProtection="1">
      <protection locked="0"/>
    </xf>
    <xf numFmtId="179" fontId="15" fillId="3" borderId="0" xfId="1" applyNumberFormat="1" applyFont="1" applyFill="1" applyBorder="1" applyProtection="1">
      <protection locked="0"/>
    </xf>
    <xf numFmtId="165" fontId="56" fillId="2" borderId="0" xfId="0" applyNumberFormat="1" applyFont="1" applyFill="1"/>
    <xf numFmtId="165" fontId="57" fillId="3" borderId="0" xfId="0" applyNumberFormat="1" applyFont="1" applyFill="1"/>
    <xf numFmtId="0" fontId="54" fillId="3" borderId="0" xfId="0" applyFont="1" applyFill="1"/>
    <xf numFmtId="165" fontId="56" fillId="3" borderId="0" xfId="0" applyNumberFormat="1" applyFont="1" applyFill="1"/>
    <xf numFmtId="165" fontId="58" fillId="3" borderId="0" xfId="0" applyNumberFormat="1" applyFont="1" applyFill="1"/>
    <xf numFmtId="0" fontId="47" fillId="3" borderId="0" xfId="0" applyFont="1" applyFill="1"/>
    <xf numFmtId="165" fontId="54" fillId="3" borderId="0" xfId="3" applyNumberFormat="1" applyFont="1" applyFill="1" applyProtection="1"/>
    <xf numFmtId="3" fontId="13" fillId="0" borderId="0" xfId="0" applyNumberFormat="1" applyFont="1"/>
    <xf numFmtId="3" fontId="15" fillId="2" borderId="4" xfId="0" applyNumberFormat="1" applyFont="1" applyFill="1" applyBorder="1"/>
    <xf numFmtId="179" fontId="15" fillId="2" borderId="4" xfId="0" applyNumberFormat="1" applyFont="1" applyFill="1" applyBorder="1"/>
    <xf numFmtId="164" fontId="47" fillId="3" borderId="0" xfId="0" applyNumberFormat="1" applyFont="1" applyFill="1"/>
    <xf numFmtId="164" fontId="15" fillId="3" borderId="0" xfId="0" applyNumberFormat="1" applyFont="1" applyFill="1"/>
    <xf numFmtId="165" fontId="13" fillId="4" borderId="0" xfId="0" applyNumberFormat="1" applyFont="1" applyFill="1"/>
    <xf numFmtId="3" fontId="13" fillId="4" borderId="0" xfId="0" applyNumberFormat="1" applyFont="1" applyFill="1" applyProtection="1">
      <protection locked="0"/>
    </xf>
    <xf numFmtId="164" fontId="13" fillId="4" borderId="0" xfId="0" applyNumberFormat="1" applyFont="1" applyFill="1"/>
    <xf numFmtId="0" fontId="13" fillId="4" borderId="0" xfId="0" applyFont="1" applyFill="1" applyProtection="1">
      <protection locked="0"/>
    </xf>
    <xf numFmtId="164" fontId="13" fillId="4" borderId="0" xfId="0" applyNumberFormat="1" applyFont="1" applyFill="1" applyProtection="1">
      <protection locked="0"/>
    </xf>
    <xf numFmtId="165" fontId="41" fillId="2" borderId="0" xfId="3" applyNumberFormat="1" applyFont="1" applyFill="1" applyProtection="1"/>
    <xf numFmtId="9" fontId="41" fillId="3" borderId="0" xfId="3" applyFont="1" applyFill="1" applyProtection="1">
      <protection locked="0"/>
    </xf>
    <xf numFmtId="184" fontId="41" fillId="2" borderId="0" xfId="3" applyNumberFormat="1" applyFont="1" applyFill="1" applyProtection="1"/>
    <xf numFmtId="184" fontId="13" fillId="2" borderId="0" xfId="0" applyNumberFormat="1" applyFont="1" applyFill="1"/>
    <xf numFmtId="170" fontId="41" fillId="2" borderId="0" xfId="3" applyNumberFormat="1" applyFont="1" applyFill="1" applyProtection="1"/>
    <xf numFmtId="170" fontId="41" fillId="2" borderId="0" xfId="1" applyNumberFormat="1" applyFont="1" applyFill="1" applyProtection="1"/>
    <xf numFmtId="3" fontId="13" fillId="4" borderId="0" xfId="0" applyNumberFormat="1" applyFont="1" applyFill="1"/>
    <xf numFmtId="44" fontId="13" fillId="4" borderId="0" xfId="2" applyFont="1" applyFill="1" applyProtection="1">
      <protection locked="0"/>
    </xf>
    <xf numFmtId="39" fontId="13" fillId="0" borderId="0" xfId="0" applyNumberFormat="1" applyFont="1"/>
    <xf numFmtId="169" fontId="13" fillId="0" borderId="0" xfId="0" applyNumberFormat="1" applyFont="1"/>
    <xf numFmtId="44" fontId="13" fillId="0" borderId="0" xfId="2" applyFont="1" applyProtection="1"/>
    <xf numFmtId="184" fontId="13" fillId="0" borderId="0" xfId="0" applyNumberFormat="1" applyFont="1"/>
    <xf numFmtId="178" fontId="13" fillId="0" borderId="0" xfId="0" applyNumberFormat="1" applyFont="1"/>
    <xf numFmtId="178" fontId="13" fillId="2" borderId="0" xfId="0" applyNumberFormat="1" applyFont="1" applyFill="1"/>
    <xf numFmtId="0" fontId="14" fillId="0" borderId="2" xfId="0" applyFont="1" applyBorder="1"/>
    <xf numFmtId="0" fontId="9" fillId="0" borderId="2" xfId="0" applyFont="1" applyBorder="1"/>
    <xf numFmtId="0" fontId="29" fillId="2" borderId="2" xfId="0" applyFont="1" applyFill="1" applyBorder="1" applyAlignment="1">
      <alignment horizontal="right" vertical="center"/>
    </xf>
    <xf numFmtId="2" fontId="14" fillId="2" borderId="2" xfId="0" applyNumberFormat="1" applyFont="1" applyFill="1" applyBorder="1"/>
    <xf numFmtId="2" fontId="13" fillId="2" borderId="2" xfId="0" applyNumberFormat="1" applyFont="1" applyFill="1" applyBorder="1"/>
    <xf numFmtId="0" fontId="13" fillId="0" borderId="0" xfId="0" applyFont="1" applyAlignment="1">
      <alignment horizontal="right"/>
    </xf>
    <xf numFmtId="0" fontId="15" fillId="0" borderId="0" xfId="0" applyFont="1" applyAlignment="1">
      <alignment horizontal="right"/>
    </xf>
    <xf numFmtId="0" fontId="13" fillId="0" borderId="0" xfId="0" applyFont="1" applyAlignment="1">
      <alignment horizontal="left" indent="3"/>
    </xf>
    <xf numFmtId="43" fontId="13" fillId="0" borderId="0" xfId="1" applyFont="1" applyProtection="1">
      <protection locked="0"/>
    </xf>
    <xf numFmtId="0" fontId="13" fillId="0" borderId="0" xfId="0" applyFont="1" applyAlignment="1">
      <alignment horizontal="left" indent="2"/>
    </xf>
    <xf numFmtId="43" fontId="13" fillId="0" borderId="0" xfId="1" applyFont="1"/>
    <xf numFmtId="43" fontId="13" fillId="3" borderId="0" xfId="1" applyFont="1" applyFill="1"/>
    <xf numFmtId="43" fontId="13" fillId="2" borderId="0" xfId="1" applyFont="1" applyFill="1" applyBorder="1" applyProtection="1"/>
    <xf numFmtId="0" fontId="15" fillId="0" borderId="4" xfId="0" applyFont="1" applyBorder="1" applyAlignment="1">
      <alignment horizontal="left" indent="1"/>
    </xf>
    <xf numFmtId="43" fontId="15" fillId="0" borderId="4" xfId="1" applyFont="1" applyBorder="1" applyProtection="1">
      <protection locked="0"/>
    </xf>
    <xf numFmtId="43" fontId="13" fillId="2" borderId="4" xfId="1" applyFont="1" applyFill="1" applyBorder="1" applyProtection="1"/>
    <xf numFmtId="0" fontId="13" fillId="0" borderId="0" xfId="0" applyFont="1" applyAlignment="1">
      <alignment horizontal="left" indent="4"/>
    </xf>
    <xf numFmtId="43" fontId="13" fillId="2" borderId="2" xfId="1" applyFont="1" applyFill="1" applyBorder="1" applyProtection="1"/>
    <xf numFmtId="0" fontId="13" fillId="0" borderId="0" xfId="0" applyFont="1" applyAlignment="1">
      <alignment horizontal="left" indent="5"/>
    </xf>
    <xf numFmtId="43" fontId="13" fillId="0" borderId="0" xfId="1" applyFont="1" applyBorder="1" applyProtection="1">
      <protection locked="0"/>
    </xf>
    <xf numFmtId="0" fontId="13" fillId="0" borderId="0" xfId="0" applyFont="1" applyAlignment="1">
      <alignment horizontal="left" indent="1"/>
    </xf>
    <xf numFmtId="43" fontId="13" fillId="0" borderId="4" xfId="1" applyFont="1" applyBorder="1" applyProtection="1">
      <protection locked="0"/>
    </xf>
    <xf numFmtId="0" fontId="15" fillId="0" borderId="0" xfId="0" applyFont="1" applyAlignment="1">
      <alignment horizontal="left" indent="1"/>
    </xf>
    <xf numFmtId="0" fontId="15" fillId="0" borderId="0" xfId="2" applyNumberFormat="1" applyFont="1" applyFill="1" applyBorder="1" applyAlignment="1">
      <alignment horizontal="left" indent="1"/>
    </xf>
    <xf numFmtId="43" fontId="13" fillId="3" borderId="0" xfId="1" applyFont="1" applyFill="1" applyBorder="1" applyProtection="1"/>
    <xf numFmtId="43" fontId="9" fillId="2" borderId="0" xfId="0" applyNumberFormat="1" applyFont="1" applyFill="1"/>
    <xf numFmtId="43" fontId="15" fillId="0" borderId="0" xfId="1" applyFont="1" applyBorder="1" applyProtection="1">
      <protection locked="0"/>
    </xf>
    <xf numFmtId="0" fontId="15" fillId="0" borderId="4" xfId="0" applyFont="1" applyBorder="1" applyAlignment="1">
      <alignment horizontal="left" indent="2"/>
    </xf>
    <xf numFmtId="43" fontId="12" fillId="2" borderId="4" xfId="0" applyNumberFormat="1" applyFont="1" applyFill="1" applyBorder="1"/>
    <xf numFmtId="0" fontId="13" fillId="0" borderId="0" xfId="0" applyFont="1" applyAlignment="1">
      <alignment horizontal="left" indent="6"/>
    </xf>
    <xf numFmtId="0" fontId="13" fillId="0" borderId="0" xfId="0" applyFont="1" applyAlignment="1">
      <alignment horizontal="left" indent="7"/>
    </xf>
    <xf numFmtId="43" fontId="15" fillId="3" borderId="0" xfId="1" applyFont="1" applyFill="1"/>
    <xf numFmtId="43" fontId="12" fillId="2" borderId="0" xfId="0" applyNumberFormat="1" applyFont="1" applyFill="1"/>
    <xf numFmtId="43" fontId="13" fillId="0" borderId="0" xfId="1" applyFont="1" applyBorder="1"/>
    <xf numFmtId="43" fontId="13" fillId="3" borderId="0" xfId="1" applyFont="1" applyFill="1" applyBorder="1"/>
    <xf numFmtId="43" fontId="13" fillId="2" borderId="0" xfId="1" applyFont="1" applyFill="1" applyBorder="1"/>
    <xf numFmtId="43" fontId="9" fillId="2" borderId="2" xfId="0" applyNumberFormat="1" applyFont="1" applyFill="1" applyBorder="1"/>
    <xf numFmtId="0" fontId="29" fillId="2" borderId="2" xfId="0" applyFont="1" applyFill="1" applyBorder="1" applyAlignment="1">
      <alignment horizontal="right"/>
    </xf>
    <xf numFmtId="0" fontId="13" fillId="2" borderId="0" xfId="0" applyFont="1" applyFill="1" applyAlignment="1">
      <alignment horizontal="left" indent="4"/>
    </xf>
    <xf numFmtId="0" fontId="13" fillId="2" borderId="0" xfId="0" applyFont="1" applyFill="1" applyAlignment="1">
      <alignment horizontal="left" indent="5"/>
    </xf>
    <xf numFmtId="0" fontId="15" fillId="0" borderId="0" xfId="0" applyFont="1" applyAlignment="1">
      <alignment horizontal="left" indent="4"/>
    </xf>
    <xf numFmtId="0" fontId="15" fillId="0" borderId="4" xfId="0" applyFont="1" applyBorder="1" applyAlignment="1">
      <alignment horizontal="left" indent="3"/>
    </xf>
    <xf numFmtId="164" fontId="19" fillId="0" borderId="0" xfId="0" applyNumberFormat="1" applyFont="1" applyAlignment="1">
      <alignment horizontal="center" vertical="center"/>
    </xf>
    <xf numFmtId="164" fontId="13" fillId="0" borderId="0" xfId="0" applyNumberFormat="1" applyFont="1" applyAlignment="1">
      <alignment vertical="center"/>
    </xf>
    <xf numFmtId="0" fontId="47" fillId="0" borderId="0" xfId="0" applyFont="1" applyAlignment="1">
      <alignment vertical="top"/>
    </xf>
    <xf numFmtId="0" fontId="15" fillId="0" borderId="0" xfId="0" applyFont="1"/>
    <xf numFmtId="0" fontId="13" fillId="0" borderId="16" xfId="0" applyFont="1" applyBorder="1"/>
    <xf numFmtId="0" fontId="13" fillId="0" borderId="17" xfId="0" applyFont="1" applyBorder="1"/>
    <xf numFmtId="0" fontId="13" fillId="0" borderId="18" xfId="0" applyFont="1" applyBorder="1"/>
    <xf numFmtId="164" fontId="15" fillId="2" borderId="0" xfId="0" applyNumberFormat="1" applyFont="1" applyFill="1"/>
    <xf numFmtId="0" fontId="59" fillId="2" borderId="0" xfId="4" applyNumberFormat="1" applyFont="1" applyFill="1" applyBorder="1"/>
    <xf numFmtId="0" fontId="59" fillId="2" borderId="0" xfId="4" applyFont="1" applyFill="1" applyBorder="1"/>
    <xf numFmtId="0" fontId="60" fillId="3" borderId="0" xfId="0" applyFont="1" applyFill="1" applyAlignment="1" applyProtection="1">
      <alignment horizontal="left"/>
      <protection locked="0"/>
    </xf>
    <xf numFmtId="165" fontId="61" fillId="3" borderId="0" xfId="0" applyNumberFormat="1" applyFont="1" applyFill="1" applyProtection="1">
      <protection locked="0"/>
    </xf>
    <xf numFmtId="0" fontId="62" fillId="0" borderId="0" xfId="0" applyFont="1"/>
    <xf numFmtId="164" fontId="19" fillId="2" borderId="0" xfId="0" applyNumberFormat="1" applyFont="1" applyFill="1"/>
    <xf numFmtId="185" fontId="56" fillId="3" borderId="0" xfId="0" applyNumberFormat="1" applyFont="1" applyFill="1" applyAlignment="1" applyProtection="1">
      <alignment horizontal="center" vertical="top"/>
      <protection locked="0"/>
    </xf>
    <xf numFmtId="185" fontId="41" fillId="0" borderId="0" xfId="0" applyNumberFormat="1" applyFont="1" applyAlignment="1">
      <alignment vertical="top"/>
    </xf>
    <xf numFmtId="0" fontId="62" fillId="2" borderId="0" xfId="0" applyFont="1" applyFill="1"/>
    <xf numFmtId="164" fontId="19" fillId="2" borderId="2" xfId="0" applyNumberFormat="1" applyFont="1" applyFill="1" applyBorder="1" applyAlignment="1">
      <alignment horizontal="left" vertical="center"/>
    </xf>
    <xf numFmtId="0" fontId="41" fillId="2" borderId="2" xfId="0" applyFont="1" applyFill="1" applyBorder="1" applyAlignment="1">
      <alignment horizontal="right"/>
    </xf>
    <xf numFmtId="185" fontId="41" fillId="0" borderId="2" xfId="0" applyNumberFormat="1" applyFont="1" applyBorder="1" applyAlignment="1">
      <alignment horizontal="right" vertical="top"/>
    </xf>
    <xf numFmtId="0" fontId="41" fillId="0" borderId="2" xfId="0" applyFont="1" applyBorder="1" applyAlignment="1">
      <alignment horizontal="right"/>
    </xf>
    <xf numFmtId="0" fontId="41" fillId="2" borderId="20" xfId="0" applyFont="1" applyFill="1" applyBorder="1" applyAlignment="1">
      <alignment horizontal="right"/>
    </xf>
    <xf numFmtId="0" fontId="15" fillId="0" borderId="19" xfId="0" applyFont="1" applyBorder="1" applyAlignment="1">
      <alignment horizontal="right"/>
    </xf>
    <xf numFmtId="0" fontId="41" fillId="2" borderId="0" xfId="0" applyFont="1" applyFill="1" applyAlignment="1">
      <alignment horizontal="right"/>
    </xf>
    <xf numFmtId="0" fontId="19" fillId="0" borderId="2" xfId="0" applyFont="1" applyBorder="1"/>
    <xf numFmtId="168" fontId="62" fillId="0" borderId="0" xfId="1" applyNumberFormat="1" applyFont="1"/>
    <xf numFmtId="43" fontId="13" fillId="2" borderId="0" xfId="1" applyFont="1" applyFill="1" applyProtection="1"/>
    <xf numFmtId="168" fontId="13" fillId="2" borderId="0" xfId="1" applyNumberFormat="1" applyFont="1" applyFill="1" applyProtection="1"/>
    <xf numFmtId="43" fontId="13" fillId="0" borderId="3" xfId="1" applyFont="1" applyBorder="1" applyProtection="1"/>
    <xf numFmtId="43" fontId="13" fillId="0" borderId="0" xfId="1" applyFont="1" applyBorder="1" applyProtection="1"/>
    <xf numFmtId="165" fontId="13" fillId="0" borderId="0" xfId="3" applyNumberFormat="1" applyFont="1" applyBorder="1" applyAlignment="1" applyProtection="1">
      <alignment horizontal="right"/>
    </xf>
    <xf numFmtId="165" fontId="13" fillId="0" borderId="4" xfId="3" applyNumberFormat="1" applyFont="1" applyBorder="1" applyAlignment="1" applyProtection="1">
      <alignment horizontal="right"/>
    </xf>
    <xf numFmtId="43" fontId="13" fillId="0" borderId="0" xfId="1" applyFont="1" applyProtection="1"/>
    <xf numFmtId="185" fontId="63" fillId="0" borderId="0" xfId="0" applyNumberFormat="1" applyFont="1" applyAlignment="1">
      <alignment vertical="top"/>
    </xf>
    <xf numFmtId="165" fontId="13" fillId="2" borderId="0" xfId="3" applyNumberFormat="1" applyFont="1" applyFill="1" applyBorder="1" applyAlignment="1">
      <alignment horizontal="left" indent="6"/>
    </xf>
    <xf numFmtId="0" fontId="15" fillId="2" borderId="0" xfId="0" applyFont="1" applyFill="1" applyAlignment="1">
      <alignment horizontal="center"/>
    </xf>
    <xf numFmtId="0" fontId="64" fillId="2" borderId="2" xfId="4" applyFont="1" applyFill="1" applyBorder="1" applyAlignment="1">
      <alignment vertical="top"/>
    </xf>
    <xf numFmtId="166" fontId="41" fillId="2" borderId="0" xfId="0" applyNumberFormat="1" applyFont="1" applyFill="1"/>
    <xf numFmtId="165" fontId="41" fillId="2" borderId="0" xfId="3" applyNumberFormat="1" applyFont="1" applyFill="1" applyBorder="1"/>
    <xf numFmtId="166" fontId="18" fillId="2" borderId="0" xfId="0" applyNumberFormat="1" applyFont="1" applyFill="1" applyAlignment="1">
      <alignment vertical="center"/>
    </xf>
    <xf numFmtId="165" fontId="18" fillId="2" borderId="0" xfId="3" applyNumberFormat="1" applyFont="1" applyFill="1" applyBorder="1" applyAlignment="1">
      <alignment vertical="center"/>
    </xf>
    <xf numFmtId="166" fontId="47" fillId="2" borderId="0" xfId="0" applyNumberFormat="1" applyFont="1" applyFill="1"/>
    <xf numFmtId="43" fontId="13" fillId="3" borderId="0" xfId="1" applyFont="1" applyFill="1" applyProtection="1"/>
    <xf numFmtId="43" fontId="9" fillId="3" borderId="0" xfId="1" applyFont="1" applyFill="1" applyProtection="1"/>
    <xf numFmtId="43" fontId="21" fillId="2" borderId="0" xfId="1" applyFont="1" applyFill="1" applyProtection="1"/>
    <xf numFmtId="43" fontId="65" fillId="2" borderId="0" xfId="1" applyFont="1" applyFill="1" applyAlignment="1" applyProtection="1">
      <alignment horizontal="left"/>
    </xf>
    <xf numFmtId="43" fontId="21" fillId="3" borderId="0" xfId="1" applyFont="1" applyFill="1" applyProtection="1"/>
    <xf numFmtId="0" fontId="65" fillId="2" borderId="0" xfId="0" applyFont="1" applyFill="1" applyAlignment="1">
      <alignment horizontal="center"/>
    </xf>
    <xf numFmtId="0" fontId="51" fillId="2" borderId="0" xfId="1" applyNumberFormat="1" applyFont="1" applyFill="1" applyAlignment="1" applyProtection="1">
      <alignment horizontal="right"/>
    </xf>
    <xf numFmtId="0" fontId="45" fillId="2" borderId="0" xfId="1" applyNumberFormat="1" applyFont="1" applyFill="1" applyAlignment="1" applyProtection="1">
      <alignment horizontal="right"/>
    </xf>
    <xf numFmtId="0" fontId="29" fillId="2" borderId="0" xfId="0" applyFont="1" applyFill="1" applyAlignment="1">
      <alignment horizontal="right"/>
    </xf>
    <xf numFmtId="0" fontId="51" fillId="3" borderId="0" xfId="1" applyNumberFormat="1" applyFont="1" applyFill="1" applyAlignment="1" applyProtection="1">
      <alignment horizontal="right"/>
    </xf>
    <xf numFmtId="0" fontId="51" fillId="2" borderId="0" xfId="0" applyFont="1" applyFill="1" applyAlignment="1">
      <alignment horizontal="center"/>
    </xf>
    <xf numFmtId="43" fontId="45" fillId="2" borderId="0" xfId="1" applyFont="1" applyFill="1" applyAlignment="1" applyProtection="1">
      <alignment horizontal="center"/>
    </xf>
    <xf numFmtId="43" fontId="45" fillId="2" borderId="0" xfId="1" applyFont="1" applyFill="1" applyProtection="1"/>
    <xf numFmtId="43" fontId="45" fillId="3" borderId="0" xfId="1" applyFont="1" applyFill="1" applyProtection="1"/>
    <xf numFmtId="0" fontId="45" fillId="2" borderId="0" xfId="0" applyFont="1" applyFill="1" applyAlignment="1">
      <alignment horizontal="center"/>
    </xf>
    <xf numFmtId="0" fontId="45" fillId="3" borderId="0" xfId="1" applyNumberFormat="1" applyFont="1" applyFill="1" applyAlignment="1" applyProtection="1">
      <alignment horizontal="right"/>
    </xf>
    <xf numFmtId="43" fontId="66" fillId="2" borderId="0" xfId="1" applyFont="1" applyFill="1" applyProtection="1"/>
    <xf numFmtId="43" fontId="66" fillId="3" borderId="0" xfId="1" applyFont="1" applyFill="1" applyProtection="1"/>
    <xf numFmtId="43" fontId="9" fillId="2" borderId="0" xfId="1" applyFont="1" applyFill="1" applyProtection="1"/>
    <xf numFmtId="0" fontId="13" fillId="0" borderId="2" xfId="1" applyNumberFormat="1" applyFont="1" applyFill="1" applyBorder="1" applyProtection="1"/>
    <xf numFmtId="172" fontId="56" fillId="0" borderId="2" xfId="1" applyNumberFormat="1" applyFont="1" applyFill="1" applyBorder="1" applyProtection="1"/>
    <xf numFmtId="43" fontId="9" fillId="2" borderId="2" xfId="1" applyFont="1" applyFill="1" applyBorder="1" applyProtection="1"/>
    <xf numFmtId="0" fontId="13" fillId="2" borderId="2" xfId="0" applyFont="1" applyFill="1" applyBorder="1" applyAlignment="1">
      <alignment horizontal="right"/>
    </xf>
    <xf numFmtId="172" fontId="56" fillId="2" borderId="2" xfId="0" applyNumberFormat="1" applyFont="1" applyFill="1" applyBorder="1" applyAlignment="1">
      <alignment horizontal="right"/>
    </xf>
    <xf numFmtId="43" fontId="9" fillId="2" borderId="0" xfId="1" applyFont="1" applyFill="1" applyBorder="1" applyProtection="1"/>
    <xf numFmtId="43" fontId="9" fillId="3" borderId="0" xfId="1" applyFont="1" applyFill="1" applyBorder="1" applyProtection="1"/>
    <xf numFmtId="43" fontId="13" fillId="2" borderId="0" xfId="1" applyFont="1" applyFill="1" applyBorder="1" applyAlignment="1" applyProtection="1">
      <alignment horizontal="left"/>
      <protection locked="0"/>
    </xf>
    <xf numFmtId="43" fontId="13" fillId="2" borderId="0" xfId="1" applyFont="1" applyFill="1" applyBorder="1" applyAlignment="1" applyProtection="1">
      <alignment horizontal="left" indent="1"/>
      <protection locked="0"/>
    </xf>
    <xf numFmtId="43" fontId="9" fillId="2" borderId="0" xfId="1" applyFont="1" applyFill="1" applyBorder="1" applyProtection="1">
      <protection locked="0"/>
    </xf>
    <xf numFmtId="43" fontId="9" fillId="3" borderId="0" xfId="1" applyFont="1" applyFill="1" applyBorder="1" applyProtection="1">
      <protection locked="0"/>
    </xf>
    <xf numFmtId="38" fontId="68" fillId="6" borderId="0" xfId="16" applyNumberFormat="1" applyFont="1" applyFill="1" applyProtection="1">
      <protection locked="0"/>
    </xf>
    <xf numFmtId="40" fontId="68" fillId="6" borderId="0" xfId="16" applyNumberFormat="1" applyFont="1" applyFill="1" applyProtection="1">
      <protection locked="0"/>
    </xf>
    <xf numFmtId="194" fontId="68" fillId="6" borderId="0" xfId="16" applyNumberFormat="1" applyFont="1" applyFill="1" applyProtection="1">
      <protection locked="0"/>
    </xf>
    <xf numFmtId="43" fontId="13" fillId="2" borderId="0" xfId="1" applyFont="1" applyFill="1" applyBorder="1" applyProtection="1">
      <protection locked="0"/>
    </xf>
    <xf numFmtId="41" fontId="68" fillId="6" borderId="0" xfId="16" applyNumberFormat="1" applyFont="1" applyFill="1" applyProtection="1">
      <protection locked="0"/>
    </xf>
    <xf numFmtId="195" fontId="68" fillId="6" borderId="0" xfId="16" applyNumberFormat="1" applyFont="1" applyFill="1" applyProtection="1">
      <protection locked="0"/>
    </xf>
    <xf numFmtId="43" fontId="15" fillId="2" borderId="0" xfId="1" applyFont="1" applyFill="1" applyBorder="1" applyProtection="1">
      <protection locked="0"/>
    </xf>
    <xf numFmtId="9" fontId="41" fillId="2" borderId="0" xfId="3" applyFont="1" applyFill="1" applyBorder="1" applyAlignment="1" applyProtection="1">
      <alignment horizontal="left" indent="1"/>
      <protection locked="0"/>
    </xf>
    <xf numFmtId="9" fontId="44" fillId="2" borderId="0" xfId="3" applyFont="1" applyFill="1" applyBorder="1" applyProtection="1">
      <protection locked="0"/>
    </xf>
    <xf numFmtId="2" fontId="68" fillId="6" borderId="0" xfId="6" applyNumberFormat="1" applyFont="1" applyFill="1" applyProtection="1">
      <protection locked="0"/>
    </xf>
    <xf numFmtId="9" fontId="44" fillId="3" borderId="0" xfId="3" applyFont="1" applyFill="1" applyBorder="1" applyProtection="1">
      <protection locked="0"/>
    </xf>
    <xf numFmtId="43" fontId="41" fillId="2" borderId="0" xfId="1" applyFont="1" applyFill="1" applyBorder="1" applyAlignment="1" applyProtection="1">
      <alignment horizontal="left" indent="1"/>
      <protection locked="0"/>
    </xf>
    <xf numFmtId="9" fontId="68" fillId="6" borderId="0" xfId="6" applyFont="1" applyFill="1" applyProtection="1">
      <protection locked="0"/>
    </xf>
    <xf numFmtId="165" fontId="68" fillId="6" borderId="0" xfId="6" applyNumberFormat="1" applyFont="1" applyFill="1" applyProtection="1">
      <protection locked="0"/>
    </xf>
    <xf numFmtId="165" fontId="68" fillId="7" borderId="0" xfId="6" applyNumberFormat="1" applyFont="1" applyFill="1" applyProtection="1">
      <protection locked="0"/>
    </xf>
    <xf numFmtId="10" fontId="68" fillId="8" borderId="0" xfId="6" applyNumberFormat="1" applyFont="1" applyFill="1" applyProtection="1">
      <protection locked="0"/>
    </xf>
    <xf numFmtId="10" fontId="68" fillId="9" borderId="0" xfId="6" applyNumberFormat="1" applyFont="1" applyFill="1" applyProtection="1">
      <protection locked="0"/>
    </xf>
    <xf numFmtId="10" fontId="68" fillId="6" borderId="0" xfId="6" applyNumberFormat="1" applyFont="1" applyFill="1" applyProtection="1">
      <protection locked="0"/>
    </xf>
    <xf numFmtId="10" fontId="68" fillId="7" borderId="0" xfId="6" applyNumberFormat="1" applyFont="1" applyFill="1" applyProtection="1">
      <protection locked="0"/>
    </xf>
    <xf numFmtId="0" fontId="70" fillId="0" borderId="0" xfId="0" applyFont="1"/>
    <xf numFmtId="201" fontId="68" fillId="6" borderId="0" xfId="16" applyNumberFormat="1" applyFont="1" applyFill="1" applyProtection="1">
      <protection locked="0"/>
    </xf>
    <xf numFmtId="9" fontId="41" fillId="0" borderId="0" xfId="3" applyFont="1" applyFill="1" applyBorder="1" applyAlignment="1" applyProtection="1">
      <alignment horizontal="left" indent="1"/>
      <protection locked="0"/>
    </xf>
    <xf numFmtId="9" fontId="44" fillId="0" borderId="0" xfId="3" applyFont="1" applyFill="1" applyBorder="1" applyProtection="1">
      <protection locked="0"/>
    </xf>
    <xf numFmtId="41" fontId="68" fillId="0" borderId="0" xfId="16" applyNumberFormat="1" applyFont="1" applyProtection="1">
      <protection locked="0"/>
    </xf>
    <xf numFmtId="196" fontId="68" fillId="6" borderId="0" xfId="16" applyNumberFormat="1" applyFont="1" applyFill="1" applyProtection="1">
      <protection locked="0"/>
    </xf>
    <xf numFmtId="0" fontId="9" fillId="0" borderId="0" xfId="15" applyFont="1" applyAlignment="1">
      <alignment horizontal="left"/>
    </xf>
    <xf numFmtId="9" fontId="68" fillId="6" borderId="0" xfId="16" applyNumberFormat="1" applyFont="1" applyFill="1" applyProtection="1">
      <protection locked="0"/>
    </xf>
    <xf numFmtId="43" fontId="35" fillId="2" borderId="0" xfId="1" applyFont="1" applyFill="1" applyBorder="1" applyProtection="1">
      <protection locked="0"/>
    </xf>
    <xf numFmtId="44" fontId="9" fillId="0" borderId="0" xfId="9" applyFont="1"/>
    <xf numFmtId="203" fontId="9" fillId="0" borderId="0" xfId="9" applyNumberFormat="1" applyFont="1"/>
    <xf numFmtId="9" fontId="73" fillId="2" borderId="0" xfId="3" applyFont="1" applyFill="1" applyBorder="1" applyAlignment="1" applyProtection="1">
      <alignment horizontal="left" indent="1"/>
      <protection locked="0"/>
    </xf>
    <xf numFmtId="197" fontId="68" fillId="6" borderId="0" xfId="16" applyNumberFormat="1" applyFont="1" applyFill="1" applyProtection="1">
      <protection locked="0"/>
    </xf>
    <xf numFmtId="1" fontId="68" fillId="6" borderId="0" xfId="16" applyNumberFormat="1" applyFont="1" applyFill="1" applyProtection="1">
      <protection locked="0"/>
    </xf>
    <xf numFmtId="198" fontId="68" fillId="6" borderId="0" xfId="16" applyNumberFormat="1" applyFont="1" applyFill="1" applyProtection="1">
      <protection locked="0"/>
    </xf>
    <xf numFmtId="44" fontId="68" fillId="6" borderId="0" xfId="2" applyFont="1" applyFill="1" applyProtection="1">
      <protection locked="0"/>
    </xf>
    <xf numFmtId="44" fontId="68" fillId="0" borderId="0" xfId="2" applyFont="1" applyFill="1" applyProtection="1">
      <protection locked="0"/>
    </xf>
    <xf numFmtId="2" fontId="68" fillId="0" borderId="0" xfId="6" applyNumberFormat="1" applyFont="1" applyFill="1" applyProtection="1">
      <protection locked="0"/>
    </xf>
    <xf numFmtId="192" fontId="68" fillId="6" borderId="0" xfId="6" applyNumberFormat="1" applyFont="1" applyFill="1" applyProtection="1">
      <protection locked="0"/>
    </xf>
    <xf numFmtId="44" fontId="68" fillId="6" borderId="0" xfId="6" applyNumberFormat="1" applyFont="1" applyFill="1" applyProtection="1">
      <protection locked="0"/>
    </xf>
    <xf numFmtId="201" fontId="68" fillId="6" borderId="0" xfId="6" applyNumberFormat="1" applyFont="1" applyFill="1" applyProtection="1">
      <protection locked="0"/>
    </xf>
    <xf numFmtId="10" fontId="68" fillId="6" borderId="0" xfId="3" applyNumberFormat="1" applyFont="1" applyFill="1" applyProtection="1">
      <protection locked="0"/>
    </xf>
    <xf numFmtId="200" fontId="68" fillId="6" borderId="0" xfId="3" applyNumberFormat="1" applyFont="1" applyFill="1" applyProtection="1">
      <protection locked="0"/>
    </xf>
    <xf numFmtId="10" fontId="68" fillId="0" borderId="0" xfId="6" applyNumberFormat="1" applyFont="1" applyFill="1" applyProtection="1">
      <protection locked="0"/>
    </xf>
    <xf numFmtId="3" fontId="68" fillId="6" borderId="0" xfId="6" applyNumberFormat="1" applyFont="1" applyFill="1" applyProtection="1">
      <protection locked="0"/>
    </xf>
    <xf numFmtId="0" fontId="69" fillId="2" borderId="26" xfId="16" applyFont="1" applyFill="1" applyBorder="1" applyAlignment="1" applyProtection="1">
      <alignment horizontal="right"/>
      <protection locked="0"/>
    </xf>
    <xf numFmtId="0" fontId="12" fillId="0" borderId="0" xfId="0" applyFont="1"/>
    <xf numFmtId="43" fontId="41" fillId="2" borderId="0" xfId="1" applyFont="1" applyFill="1" applyBorder="1" applyProtection="1">
      <protection locked="0"/>
    </xf>
    <xf numFmtId="43" fontId="53" fillId="2" borderId="0" xfId="1" applyFont="1" applyFill="1" applyBorder="1" applyAlignment="1" applyProtection="1">
      <alignment horizontal="left"/>
      <protection locked="0"/>
    </xf>
    <xf numFmtId="43" fontId="35" fillId="2" borderId="0" xfId="1" applyFont="1" applyFill="1" applyBorder="1" applyAlignment="1" applyProtection="1">
      <alignment horizontal="left"/>
      <protection locked="0"/>
    </xf>
    <xf numFmtId="43" fontId="22" fillId="2" borderId="0" xfId="1" applyFont="1" applyFill="1" applyBorder="1" applyAlignment="1" applyProtection="1">
      <alignment horizontal="left"/>
      <protection locked="0"/>
    </xf>
    <xf numFmtId="43" fontId="15" fillId="2" borderId="0" xfId="1" applyFont="1" applyFill="1" applyBorder="1" applyAlignment="1" applyProtection="1">
      <alignment horizontal="left"/>
      <protection locked="0"/>
    </xf>
    <xf numFmtId="0" fontId="9" fillId="3" borderId="0" xfId="1" applyNumberFormat="1" applyFont="1" applyFill="1" applyBorder="1" applyProtection="1">
      <protection locked="0"/>
    </xf>
    <xf numFmtId="43" fontId="41" fillId="2" borderId="0" xfId="1" applyFont="1" applyFill="1" applyBorder="1" applyAlignment="1" applyProtection="1">
      <alignment horizontal="left"/>
      <protection locked="0"/>
    </xf>
    <xf numFmtId="0" fontId="44" fillId="3" borderId="0" xfId="3" applyNumberFormat="1" applyFont="1" applyFill="1" applyBorder="1" applyProtection="1">
      <protection locked="0"/>
    </xf>
    <xf numFmtId="43" fontId="73" fillId="2" borderId="0" xfId="1" applyFont="1" applyFill="1" applyBorder="1" applyAlignment="1" applyProtection="1">
      <alignment horizontal="left" indent="1"/>
      <protection locked="0"/>
    </xf>
    <xf numFmtId="43" fontId="13" fillId="2" borderId="0" xfId="1" applyFont="1" applyFill="1" applyProtection="1">
      <protection locked="0"/>
    </xf>
    <xf numFmtId="43" fontId="9" fillId="2" borderId="0" xfId="1" applyFont="1" applyFill="1" applyProtection="1">
      <protection locked="0"/>
    </xf>
    <xf numFmtId="43" fontId="9" fillId="3" borderId="0" xfId="1" applyFont="1" applyFill="1" applyProtection="1">
      <protection locked="0"/>
    </xf>
    <xf numFmtId="43" fontId="53" fillId="2" borderId="0" xfId="1" applyFont="1" applyFill="1" applyAlignment="1" applyProtection="1">
      <alignment horizontal="left"/>
      <protection locked="0"/>
    </xf>
    <xf numFmtId="0" fontId="35" fillId="0" borderId="0" xfId="7" applyFont="1"/>
    <xf numFmtId="0" fontId="9" fillId="0" borderId="0" xfId="7" applyFont="1"/>
    <xf numFmtId="186" fontId="74" fillId="0" borderId="0" xfId="15" applyNumberFormat="1" applyFont="1" applyAlignment="1">
      <alignment horizontal="centerContinuous"/>
    </xf>
    <xf numFmtId="186" fontId="74" fillId="0" borderId="0" xfId="15" applyNumberFormat="1" applyFont="1" applyAlignment="1">
      <alignment horizontal="right"/>
    </xf>
    <xf numFmtId="186" fontId="74" fillId="0" borderId="0" xfId="0" applyNumberFormat="1" applyFont="1" applyAlignment="1">
      <alignment horizontal="right"/>
    </xf>
    <xf numFmtId="0" fontId="9" fillId="0" borderId="0" xfId="0" applyFont="1" applyAlignment="1">
      <alignment horizontal="left"/>
    </xf>
    <xf numFmtId="0" fontId="74" fillId="0" borderId="0" xfId="15" applyFont="1" applyAlignment="1">
      <alignment horizontal="left"/>
    </xf>
    <xf numFmtId="186" fontId="21" fillId="0" borderId="0" xfId="15" applyNumberFormat="1" applyFont="1" applyAlignment="1">
      <alignment horizontal="centerContinuous"/>
    </xf>
    <xf numFmtId="186" fontId="21" fillId="0" borderId="0" xfId="15" applyNumberFormat="1" applyFont="1" applyAlignment="1">
      <alignment horizontal="right"/>
    </xf>
    <xf numFmtId="186" fontId="21" fillId="0" borderId="0" xfId="0" applyNumberFormat="1" applyFont="1" applyAlignment="1">
      <alignment horizontal="right"/>
    </xf>
    <xf numFmtId="187" fontId="21" fillId="0" borderId="0" xfId="15" applyNumberFormat="1" applyFont="1"/>
    <xf numFmtId="187" fontId="21" fillId="0" borderId="0" xfId="7" applyNumberFormat="1" applyFont="1"/>
    <xf numFmtId="187" fontId="21" fillId="0" borderId="0" xfId="0" applyNumberFormat="1" applyFont="1"/>
    <xf numFmtId="188" fontId="21" fillId="0" borderId="0" xfId="15" applyNumberFormat="1" applyFont="1"/>
    <xf numFmtId="188" fontId="21" fillId="0" borderId="0" xfId="7" applyNumberFormat="1" applyFont="1"/>
    <xf numFmtId="188" fontId="21" fillId="0" borderId="0" xfId="0" applyNumberFormat="1" applyFont="1"/>
    <xf numFmtId="0" fontId="9" fillId="0" borderId="0" xfId="7" applyFont="1" applyAlignment="1">
      <alignment horizontal="left"/>
    </xf>
    <xf numFmtId="3" fontId="70" fillId="0" borderId="0" xfId="7" applyNumberFormat="1" applyFont="1"/>
    <xf numFmtId="186" fontId="21" fillId="0" borderId="0" xfId="7" applyNumberFormat="1" applyFont="1" applyAlignment="1">
      <alignment horizontal="right"/>
    </xf>
    <xf numFmtId="189" fontId="21" fillId="0" borderId="0" xfId="15" applyNumberFormat="1" applyFont="1"/>
    <xf numFmtId="189" fontId="21" fillId="0" borderId="0" xfId="7" applyNumberFormat="1" applyFont="1"/>
    <xf numFmtId="189" fontId="21" fillId="0" borderId="0" xfId="0" applyNumberFormat="1" applyFont="1"/>
    <xf numFmtId="0" fontId="35" fillId="0" borderId="0" xfId="15" applyFont="1" applyAlignment="1">
      <alignment horizontal="left"/>
    </xf>
    <xf numFmtId="186" fontId="74" fillId="0" borderId="0" xfId="0" applyNumberFormat="1" applyFont="1" applyAlignment="1">
      <alignment horizontal="centerContinuous"/>
    </xf>
    <xf numFmtId="0" fontId="74" fillId="0" borderId="0" xfId="0" applyFont="1" applyAlignment="1">
      <alignment horizontal="left"/>
    </xf>
    <xf numFmtId="199" fontId="9" fillId="0" borderId="0" xfId="0" applyNumberFormat="1" applyFont="1" applyAlignment="1">
      <alignment horizontal="right"/>
    </xf>
    <xf numFmtId="190" fontId="21" fillId="0" borderId="0" xfId="15" applyNumberFormat="1" applyFont="1"/>
    <xf numFmtId="3" fontId="9" fillId="0" borderId="0" xfId="7" applyNumberFormat="1" applyFont="1"/>
    <xf numFmtId="186" fontId="74" fillId="0" borderId="0" xfId="7" applyNumberFormat="1" applyFont="1" applyAlignment="1">
      <alignment horizontal="centerContinuous"/>
    </xf>
    <xf numFmtId="191" fontId="21" fillId="0" borderId="0" xfId="15" applyNumberFormat="1" applyFont="1"/>
    <xf numFmtId="191" fontId="9" fillId="0" borderId="0" xfId="7" applyNumberFormat="1" applyFont="1"/>
    <xf numFmtId="0" fontId="76" fillId="5" borderId="27" xfId="0" applyFont="1" applyFill="1" applyBorder="1" applyAlignment="1">
      <alignment horizontal="right" wrapText="1"/>
    </xf>
    <xf numFmtId="0" fontId="9" fillId="5" borderId="27" xfId="0" applyFont="1" applyFill="1" applyBorder="1" applyAlignment="1">
      <alignment horizontal="right" wrapText="1"/>
    </xf>
    <xf numFmtId="187" fontId="9" fillId="0" borderId="0" xfId="7" applyNumberFormat="1" applyFont="1"/>
    <xf numFmtId="43" fontId="9" fillId="0" borderId="0" xfId="7" applyNumberFormat="1" applyFont="1"/>
    <xf numFmtId="3" fontId="9" fillId="0" borderId="0" xfId="0" applyNumberFormat="1" applyFont="1"/>
    <xf numFmtId="10" fontId="9" fillId="0" borderId="0" xfId="6" applyNumberFormat="1" applyFont="1"/>
    <xf numFmtId="192" fontId="9" fillId="0" borderId="0" xfId="6" applyNumberFormat="1" applyFont="1"/>
    <xf numFmtId="10" fontId="74" fillId="0" borderId="0" xfId="3" applyNumberFormat="1" applyFont="1" applyAlignment="1">
      <alignment horizontal="right"/>
    </xf>
    <xf numFmtId="202" fontId="21" fillId="0" borderId="0" xfId="0" applyNumberFormat="1" applyFont="1"/>
    <xf numFmtId="9" fontId="9" fillId="0" borderId="0" xfId="7" applyNumberFormat="1" applyFont="1"/>
    <xf numFmtId="9" fontId="21" fillId="0" borderId="0" xfId="3" applyFont="1"/>
    <xf numFmtId="9" fontId="21" fillId="0" borderId="0" xfId="3" applyFont="1" applyAlignment="1">
      <alignment horizontal="right"/>
    </xf>
    <xf numFmtId="10" fontId="21" fillId="0" borderId="0" xfId="6" applyNumberFormat="1" applyFont="1" applyAlignment="1">
      <alignment horizontal="centerContinuous"/>
    </xf>
    <xf numFmtId="44" fontId="21" fillId="0" borderId="0" xfId="2" applyFont="1" applyAlignment="1">
      <alignment horizontal="right"/>
    </xf>
    <xf numFmtId="165" fontId="21" fillId="0" borderId="0" xfId="6" applyNumberFormat="1" applyFont="1" applyAlignment="1">
      <alignment horizontal="right"/>
    </xf>
    <xf numFmtId="41" fontId="9" fillId="0" borderId="0" xfId="7" applyNumberFormat="1" applyFont="1"/>
    <xf numFmtId="193" fontId="9" fillId="0" borderId="0" xfId="7" applyNumberFormat="1" applyFont="1"/>
    <xf numFmtId="15" fontId="12" fillId="0" borderId="0" xfId="7" applyNumberFormat="1" applyFont="1"/>
    <xf numFmtId="14" fontId="9" fillId="0" borderId="0" xfId="7" applyNumberFormat="1" applyFont="1"/>
    <xf numFmtId="190" fontId="21" fillId="0" borderId="0" xfId="0" applyNumberFormat="1" applyFont="1"/>
    <xf numFmtId="8" fontId="9" fillId="0" borderId="0" xfId="7" applyNumberFormat="1" applyFont="1"/>
    <xf numFmtId="186" fontId="74" fillId="0" borderId="0" xfId="15" applyNumberFormat="1" applyFont="1"/>
    <xf numFmtId="44" fontId="9" fillId="0" borderId="0" xfId="2" applyFont="1"/>
    <xf numFmtId="10" fontId="21" fillId="0" borderId="0" xfId="3" applyNumberFormat="1" applyFont="1" applyAlignment="1">
      <alignment horizontal="right"/>
    </xf>
    <xf numFmtId="10" fontId="9" fillId="0" borderId="0" xfId="7" applyNumberFormat="1" applyFont="1"/>
    <xf numFmtId="10" fontId="9" fillId="0" borderId="0" xfId="3" applyNumberFormat="1" applyFont="1"/>
    <xf numFmtId="165" fontId="21" fillId="0" borderId="0" xfId="3" applyNumberFormat="1" applyFont="1"/>
    <xf numFmtId="0" fontId="21" fillId="0" borderId="0" xfId="15" applyFont="1"/>
    <xf numFmtId="0" fontId="14" fillId="3" borderId="0" xfId="0" applyFont="1" applyFill="1" applyAlignment="1">
      <alignment vertical="center"/>
    </xf>
    <xf numFmtId="0" fontId="13" fillId="5" borderId="0" xfId="0" applyFont="1" applyFill="1" applyAlignment="1">
      <alignment horizontal="left" indent="2"/>
    </xf>
    <xf numFmtId="0" fontId="14" fillId="5" borderId="0" xfId="0" applyFont="1" applyFill="1" applyAlignment="1">
      <alignment vertical="center"/>
    </xf>
    <xf numFmtId="0" fontId="62" fillId="5" borderId="0" xfId="0" applyFont="1" applyFill="1"/>
    <xf numFmtId="0" fontId="56" fillId="5" borderId="0" xfId="0" applyFont="1" applyFill="1"/>
    <xf numFmtId="172" fontId="77" fillId="5" borderId="2" xfId="0" applyNumberFormat="1" applyFont="1" applyFill="1" applyBorder="1"/>
    <xf numFmtId="165" fontId="13" fillId="4" borderId="0" xfId="3" applyNumberFormat="1" applyFont="1" applyFill="1" applyBorder="1" applyProtection="1">
      <protection locked="0"/>
    </xf>
    <xf numFmtId="168" fontId="13" fillId="4" borderId="0" xfId="1" applyNumberFormat="1" applyFont="1" applyFill="1" applyBorder="1" applyProtection="1">
      <protection locked="0"/>
    </xf>
    <xf numFmtId="168" fontId="13" fillId="4" borderId="0" xfId="0" applyNumberFormat="1" applyFont="1" applyFill="1" applyProtection="1">
      <protection locked="0"/>
    </xf>
    <xf numFmtId="170" fontId="13" fillId="4" borderId="0" xfId="1" applyNumberFormat="1" applyFont="1" applyFill="1" applyBorder="1" applyProtection="1">
      <protection locked="0"/>
    </xf>
    <xf numFmtId="0" fontId="15" fillId="5" borderId="2" xfId="0" applyFont="1" applyFill="1" applyBorder="1" applyAlignment="1">
      <alignment horizontal="center"/>
    </xf>
    <xf numFmtId="0" fontId="15" fillId="5" borderId="2" xfId="0" applyFont="1" applyFill="1" applyBorder="1"/>
    <xf numFmtId="165" fontId="13" fillId="4" borderId="0" xfId="0" applyNumberFormat="1" applyFont="1" applyFill="1" applyAlignment="1" applyProtection="1">
      <alignment horizontal="center"/>
      <protection locked="0"/>
    </xf>
    <xf numFmtId="165" fontId="13" fillId="4" borderId="0" xfId="3" applyNumberFormat="1" applyFont="1" applyFill="1" applyBorder="1" applyAlignment="1" applyProtection="1">
      <alignment horizontal="center"/>
      <protection locked="0"/>
    </xf>
    <xf numFmtId="165" fontId="13" fillId="5" borderId="0" xfId="3" applyNumberFormat="1" applyFont="1" applyFill="1" applyBorder="1" applyAlignment="1">
      <alignment horizontal="center"/>
    </xf>
    <xf numFmtId="177" fontId="13" fillId="4" borderId="0" xfId="0" applyNumberFormat="1" applyFont="1" applyFill="1" applyAlignment="1" applyProtection="1">
      <alignment horizontal="center"/>
      <protection locked="0"/>
    </xf>
    <xf numFmtId="43" fontId="13" fillId="4" borderId="0" xfId="1" applyFont="1" applyFill="1" applyBorder="1" applyProtection="1">
      <protection locked="0"/>
    </xf>
    <xf numFmtId="165" fontId="13" fillId="4" borderId="0" xfId="3" applyNumberFormat="1" applyFont="1" applyFill="1" applyBorder="1" applyAlignment="1" applyProtection="1">
      <alignment horizontal="right"/>
      <protection locked="0"/>
    </xf>
    <xf numFmtId="0" fontId="35" fillId="5" borderId="0" xfId="0" applyFont="1" applyFill="1" applyAlignment="1">
      <alignment horizontal="left" indent="2"/>
    </xf>
    <xf numFmtId="0" fontId="15" fillId="5" borderId="0" xfId="0" applyFont="1" applyFill="1"/>
    <xf numFmtId="172" fontId="78" fillId="5" borderId="2" xfId="0" applyNumberFormat="1" applyFont="1" applyFill="1" applyBorder="1"/>
    <xf numFmtId="165" fontId="9" fillId="0" borderId="0" xfId="3" applyNumberFormat="1" applyFont="1"/>
    <xf numFmtId="165" fontId="9" fillId="0" borderId="0" xfId="0" applyNumberFormat="1" applyFont="1"/>
    <xf numFmtId="0" fontId="9" fillId="0" borderId="22" xfId="0" applyFont="1" applyBorder="1"/>
    <xf numFmtId="0" fontId="9" fillId="0" borderId="21" xfId="0" applyFont="1" applyBorder="1"/>
    <xf numFmtId="0" fontId="9" fillId="0" borderId="23" xfId="0" applyFont="1" applyBorder="1"/>
    <xf numFmtId="0" fontId="12" fillId="0" borderId="25" xfId="0" applyFont="1" applyBorder="1"/>
    <xf numFmtId="2" fontId="9" fillId="0" borderId="0" xfId="0" applyNumberFormat="1" applyFont="1"/>
    <xf numFmtId="1" fontId="12" fillId="0" borderId="0" xfId="0" applyNumberFormat="1" applyFont="1"/>
    <xf numFmtId="43" fontId="9" fillId="0" borderId="0" xfId="1" applyFont="1"/>
    <xf numFmtId="0" fontId="44" fillId="0" borderId="8" xfId="0" applyFont="1" applyBorder="1"/>
    <xf numFmtId="0" fontId="44" fillId="0" borderId="9" xfId="0" applyFont="1" applyBorder="1"/>
    <xf numFmtId="0" fontId="9" fillId="0" borderId="9" xfId="0" applyFont="1" applyBorder="1"/>
    <xf numFmtId="0" fontId="9" fillId="0" borderId="10" xfId="0" applyFont="1" applyBorder="1"/>
    <xf numFmtId="168" fontId="9" fillId="0" borderId="0" xfId="1" applyNumberFormat="1" applyFont="1" applyBorder="1"/>
    <xf numFmtId="0" fontId="9" fillId="0" borderId="12" xfId="0" applyFont="1" applyBorder="1"/>
    <xf numFmtId="43" fontId="9" fillId="0" borderId="0" xfId="1" applyFont="1" applyBorder="1"/>
    <xf numFmtId="0" fontId="9" fillId="0" borderId="13" xfId="0" applyFont="1" applyBorder="1"/>
    <xf numFmtId="0" fontId="9" fillId="0" borderId="14" xfId="0" applyFont="1" applyBorder="1"/>
    <xf numFmtId="0" fontId="9" fillId="0" borderId="15" xfId="0" applyFont="1" applyBorder="1"/>
    <xf numFmtId="0" fontId="9" fillId="0" borderId="11" xfId="0" applyFont="1" applyBorder="1"/>
    <xf numFmtId="165" fontId="9" fillId="0" borderId="0" xfId="3" applyNumberFormat="1" applyFont="1" applyBorder="1"/>
    <xf numFmtId="14" fontId="9" fillId="0" borderId="0" xfId="0" applyNumberFormat="1" applyFont="1"/>
    <xf numFmtId="9" fontId="9" fillId="0" borderId="0" xfId="0" applyNumberFormat="1" applyFont="1"/>
    <xf numFmtId="39" fontId="9" fillId="0" borderId="0" xfId="0" applyNumberFormat="1" applyFont="1"/>
    <xf numFmtId="43" fontId="9" fillId="0" borderId="0" xfId="0" applyNumberFormat="1" applyFont="1"/>
    <xf numFmtId="0" fontId="68" fillId="2" borderId="26" xfId="16" applyFont="1" applyFill="1" applyBorder="1" applyProtection="1">
      <protection locked="0"/>
    </xf>
    <xf numFmtId="0" fontId="67" fillId="2" borderId="26" xfId="16" applyFont="1" applyFill="1" applyBorder="1" applyAlignment="1" applyProtection="1">
      <alignment horizontal="left"/>
      <protection locked="0"/>
    </xf>
    <xf numFmtId="0" fontId="67" fillId="2" borderId="26" xfId="16" applyFont="1" applyFill="1" applyBorder="1" applyAlignment="1" applyProtection="1">
      <alignment horizontal="right"/>
      <protection locked="0"/>
    </xf>
    <xf numFmtId="0" fontId="68" fillId="2" borderId="26" xfId="16" applyFont="1" applyFill="1" applyBorder="1" applyAlignment="1" applyProtection="1">
      <alignment horizontal="right"/>
      <protection locked="0"/>
    </xf>
    <xf numFmtId="9" fontId="68" fillId="2" borderId="0" xfId="16" applyNumberFormat="1" applyFont="1" applyFill="1" applyProtection="1">
      <protection locked="0"/>
    </xf>
    <xf numFmtId="0" fontId="67" fillId="2" borderId="26" xfId="16" applyFont="1" applyFill="1" applyBorder="1" applyProtection="1">
      <protection locked="0"/>
    </xf>
    <xf numFmtId="0" fontId="71" fillId="2" borderId="26" xfId="16" applyFont="1" applyFill="1" applyBorder="1" applyProtection="1">
      <protection locked="0"/>
    </xf>
    <xf numFmtId="0" fontId="72" fillId="2" borderId="26" xfId="16" applyFont="1" applyFill="1" applyBorder="1" applyProtection="1">
      <protection locked="0"/>
    </xf>
    <xf numFmtId="0" fontId="71" fillId="2" borderId="26" xfId="16" applyFont="1" applyFill="1" applyBorder="1" applyAlignment="1" applyProtection="1">
      <alignment horizontal="right"/>
      <protection locked="0"/>
    </xf>
    <xf numFmtId="0" fontId="69" fillId="2" borderId="26" xfId="16" applyFont="1" applyFill="1" applyBorder="1" applyProtection="1">
      <protection locked="0"/>
    </xf>
    <xf numFmtId="43" fontId="13" fillId="2" borderId="26" xfId="1" applyFont="1" applyFill="1" applyBorder="1" applyAlignment="1" applyProtection="1">
      <alignment horizontal="left"/>
      <protection locked="0"/>
    </xf>
    <xf numFmtId="0" fontId="67" fillId="2" borderId="29" xfId="0" applyFont="1" applyFill="1" applyBorder="1" applyAlignment="1">
      <alignment horizontal="right"/>
    </xf>
    <xf numFmtId="0" fontId="12" fillId="2" borderId="26" xfId="15" applyFont="1" applyFill="1" applyBorder="1" applyAlignment="1">
      <alignment horizontal="left"/>
    </xf>
    <xf numFmtId="0" fontId="9" fillId="2" borderId="26" xfId="15" applyFont="1" applyFill="1" applyBorder="1" applyAlignment="1">
      <alignment horizontal="left"/>
    </xf>
    <xf numFmtId="0" fontId="9" fillId="2" borderId="26" xfId="0" applyFont="1" applyFill="1" applyBorder="1"/>
    <xf numFmtId="14" fontId="9" fillId="2" borderId="26" xfId="0" applyNumberFormat="1" applyFont="1" applyFill="1" applyBorder="1"/>
    <xf numFmtId="0" fontId="12" fillId="2" borderId="26" xfId="0" applyFont="1" applyFill="1" applyBorder="1"/>
    <xf numFmtId="2" fontId="68" fillId="6" borderId="0" xfId="16" applyNumberFormat="1" applyFont="1" applyFill="1" applyProtection="1">
      <protection locked="0"/>
    </xf>
    <xf numFmtId="2" fontId="68" fillId="2" borderId="0" xfId="16" applyNumberFormat="1" applyFont="1" applyFill="1" applyProtection="1">
      <protection locked="0"/>
    </xf>
    <xf numFmtId="165" fontId="68" fillId="6" borderId="0" xfId="16" applyNumberFormat="1" applyFont="1" applyFill="1" applyProtection="1">
      <protection locked="0"/>
    </xf>
    <xf numFmtId="204" fontId="68" fillId="6" borderId="0" xfId="16" applyNumberFormat="1" applyFont="1" applyFill="1" applyProtection="1">
      <protection locked="0"/>
    </xf>
    <xf numFmtId="10" fontId="68" fillId="6" borderId="0" xfId="16" applyNumberFormat="1" applyFont="1" applyFill="1" applyProtection="1">
      <protection locked="0"/>
    </xf>
    <xf numFmtId="10" fontId="68" fillId="2" borderId="0" xfId="16" applyNumberFormat="1" applyFont="1" applyFill="1" applyProtection="1">
      <protection locked="0"/>
    </xf>
    <xf numFmtId="192" fontId="68" fillId="2" borderId="0" xfId="16" applyNumberFormat="1" applyFont="1" applyFill="1" applyProtection="1">
      <protection locked="0"/>
    </xf>
    <xf numFmtId="9" fontId="13" fillId="2" borderId="0" xfId="1" applyNumberFormat="1" applyFont="1" applyFill="1"/>
    <xf numFmtId="0" fontId="79" fillId="2" borderId="0" xfId="0" applyFont="1" applyFill="1"/>
    <xf numFmtId="0" fontId="0" fillId="0" borderId="0" xfId="0" applyAlignment="1">
      <alignment horizontal="left"/>
    </xf>
    <xf numFmtId="186" fontId="80" fillId="0" borderId="0" xfId="0" applyNumberFormat="1" applyFont="1" applyAlignment="1">
      <alignment horizontal="right"/>
    </xf>
    <xf numFmtId="186" fontId="81" fillId="0" borderId="0" xfId="0" applyNumberFormat="1" applyFont="1" applyAlignment="1">
      <alignment horizontal="right"/>
    </xf>
    <xf numFmtId="187" fontId="81" fillId="0" borderId="0" xfId="0" applyNumberFormat="1" applyFont="1"/>
    <xf numFmtId="188" fontId="81" fillId="0" borderId="0" xfId="0" applyNumberFormat="1" applyFont="1"/>
    <xf numFmtId="189" fontId="81" fillId="0" borderId="0" xfId="0" applyNumberFormat="1" applyFont="1"/>
    <xf numFmtId="186" fontId="80" fillId="0" borderId="0" xfId="0" applyNumberFormat="1" applyFont="1" applyAlignment="1">
      <alignment horizontal="centerContinuous"/>
    </xf>
    <xf numFmtId="0" fontId="80" fillId="0" borderId="0" xfId="0" applyFont="1" applyAlignment="1">
      <alignment horizontal="left"/>
    </xf>
    <xf numFmtId="0" fontId="82" fillId="0" borderId="0" xfId="0" applyFont="1"/>
    <xf numFmtId="196" fontId="68" fillId="0" borderId="0" xfId="16" applyNumberFormat="1" applyFont="1" applyProtection="1">
      <protection locked="0"/>
    </xf>
    <xf numFmtId="0" fontId="11" fillId="2" borderId="1" xfId="0" applyFont="1" applyFill="1" applyBorder="1" applyAlignment="1">
      <alignment horizontal="center"/>
    </xf>
    <xf numFmtId="0" fontId="12" fillId="2" borderId="1" xfId="0" applyFont="1" applyFill="1" applyBorder="1" applyAlignment="1">
      <alignment horizontal="center"/>
    </xf>
    <xf numFmtId="0" fontId="13" fillId="2" borderId="0" xfId="0" applyFont="1" applyFill="1" applyAlignment="1">
      <alignment horizontal="left" vertical="top" wrapText="1"/>
    </xf>
    <xf numFmtId="164" fontId="13" fillId="3" borderId="0" xfId="0" applyNumberFormat="1" applyFont="1" applyFill="1" applyProtection="1">
      <protection locked="0"/>
    </xf>
    <xf numFmtId="168" fontId="13" fillId="3" borderId="0" xfId="1" applyNumberFormat="1" applyFont="1" applyFill="1" applyBorder="1" applyAlignment="1" applyProtection="1">
      <alignment horizontal="center" vertical="center"/>
      <protection locked="0"/>
    </xf>
    <xf numFmtId="0" fontId="13" fillId="0" borderId="0" xfId="0" applyFont="1" applyAlignment="1">
      <alignment horizontal="left" vertical="top" wrapText="1"/>
    </xf>
    <xf numFmtId="0" fontId="45" fillId="3" borderId="0" xfId="0" applyFont="1" applyFill="1" applyAlignment="1" applyProtection="1">
      <alignment horizontal="left" vertical="top" wrapText="1"/>
      <protection locked="0"/>
    </xf>
    <xf numFmtId="1" fontId="30" fillId="2" borderId="4" xfId="0" applyNumberFormat="1" applyFont="1" applyFill="1" applyBorder="1" applyAlignment="1">
      <alignment horizontal="left" indent="4"/>
    </xf>
    <xf numFmtId="0" fontId="31" fillId="2" borderId="0" xfId="0" applyFont="1" applyFill="1" applyAlignment="1" applyProtection="1">
      <alignment horizontal="left" vertical="top" indent="4"/>
      <protection locked="0"/>
    </xf>
    <xf numFmtId="1" fontId="30" fillId="2" borderId="4" xfId="0" applyNumberFormat="1" applyFont="1" applyFill="1" applyBorder="1" applyAlignment="1">
      <alignment horizontal="left" indent="3"/>
    </xf>
    <xf numFmtId="0" fontId="31" fillId="2" borderId="0" xfId="0" applyFont="1" applyFill="1" applyAlignment="1" applyProtection="1">
      <alignment horizontal="left" vertical="top" indent="6"/>
      <protection locked="0"/>
    </xf>
    <xf numFmtId="0" fontId="30" fillId="2" borderId="0" xfId="0" applyFont="1" applyFill="1" applyAlignment="1">
      <alignment horizontal="left" indent="3"/>
    </xf>
    <xf numFmtId="0" fontId="45" fillId="3" borderId="0" xfId="0" applyFont="1" applyFill="1" applyAlignment="1" applyProtection="1">
      <alignment horizontal="right"/>
      <protection locked="0"/>
    </xf>
    <xf numFmtId="0" fontId="15" fillId="2" borderId="4" xfId="0" applyFont="1" applyFill="1" applyBorder="1"/>
    <xf numFmtId="0" fontId="13" fillId="0" borderId="4" xfId="0" applyFont="1" applyBorder="1"/>
    <xf numFmtId="180" fontId="15" fillId="2" borderId="0" xfId="0" applyNumberFormat="1" applyFont="1" applyFill="1" applyAlignment="1">
      <alignment horizontal="left" vertical="center"/>
    </xf>
    <xf numFmtId="0" fontId="13" fillId="0" borderId="0" xfId="0" applyFont="1" applyAlignment="1">
      <alignment horizontal="left" vertical="center"/>
    </xf>
    <xf numFmtId="2" fontId="13" fillId="2" borderId="0" xfId="0" applyNumberFormat="1" applyFont="1" applyFill="1" applyAlignment="1">
      <alignment horizontal="left" vertical="top"/>
    </xf>
    <xf numFmtId="0" fontId="13" fillId="0" borderId="0" xfId="0" applyFont="1" applyAlignment="1">
      <alignment horizontal="left" vertical="top"/>
    </xf>
    <xf numFmtId="171" fontId="16" fillId="2" borderId="0" xfId="0" applyNumberFormat="1" applyFont="1" applyFill="1" applyAlignment="1">
      <alignment horizontal="left" vertical="top"/>
    </xf>
    <xf numFmtId="0" fontId="67" fillId="2" borderId="26" xfId="16" applyFont="1" applyFill="1" applyBorder="1" applyAlignment="1" applyProtection="1">
      <alignment horizontal="center" wrapText="1"/>
      <protection locked="0"/>
    </xf>
    <xf numFmtId="0" fontId="12" fillId="2" borderId="26" xfId="0" applyFont="1" applyFill="1" applyBorder="1" applyAlignment="1">
      <alignment horizontal="center" wrapText="1"/>
    </xf>
    <xf numFmtId="0" fontId="9" fillId="0" borderId="0" xfId="7" applyFont="1" applyAlignment="1">
      <alignment vertical="center" wrapText="1"/>
    </xf>
    <xf numFmtId="0" fontId="75" fillId="0" borderId="0" xfId="7" applyFont="1" applyAlignment="1">
      <alignment horizontal="right" wrapText="1"/>
    </xf>
  </cellXfs>
  <cellStyles count="17">
    <cellStyle name="Comma" xfId="1" builtinId="3"/>
    <cellStyle name="Comma 2" xfId="5" xr:uid="{B1F7E82A-9533-44AE-BAC0-AB9F8629E009}"/>
    <cellStyle name="Comma 2 23" xfId="12" xr:uid="{712DE416-C039-4AC4-9AAE-F669A30A5E77}"/>
    <cellStyle name="Currency" xfId="2" builtinId="4"/>
    <cellStyle name="Currency 2" xfId="8" xr:uid="{6DEA110F-3448-46C8-9B9B-054E64B3C6D6}"/>
    <cellStyle name="Currency 2 4" xfId="14" xr:uid="{FF2A4935-1B32-4201-946F-F18F9C8F61F7}"/>
    <cellStyle name="Currency 3" xfId="9" xr:uid="{F7D96310-44BB-45BE-813B-899949C9200C}"/>
    <cellStyle name="Hyperlink" xfId="4" builtinId="8"/>
    <cellStyle name="Normal" xfId="0" builtinId="0"/>
    <cellStyle name="Normal 2" xfId="7" xr:uid="{8E9AC673-C39F-4E9A-AA34-D725CDB341FD}"/>
    <cellStyle name="Normal 4" xfId="11" xr:uid="{14BF84F9-D21E-471D-AA74-A89ABBC5F85F}"/>
    <cellStyle name="Normal 4 2" xfId="15" xr:uid="{ED289351-6066-4073-848F-41579CDE491B}"/>
    <cellStyle name="Normal_New Buildup tab" xfId="16" xr:uid="{176038FA-BDB7-4947-8810-06235BC8BDBE}"/>
    <cellStyle name="Percent" xfId="3" builtinId="5"/>
    <cellStyle name="Percent 2" xfId="6" xr:uid="{579AEE65-9BEC-4553-9219-0B9772041EB3}"/>
    <cellStyle name="Percent 2 2" xfId="10" xr:uid="{586D014E-EAF0-43FB-A866-5B19BE819F23}"/>
    <cellStyle name="Percent 2 21" xfId="13" xr:uid="{39493626-1F71-4B8B-B76C-5CD50584833A}"/>
  </cellStyles>
  <dxfs count="16">
    <dxf>
      <font>
        <color rgb="FFFFFFFF"/>
      </font>
      <fill>
        <patternFill>
          <bgColor rgb="FFFFFFFF"/>
        </patternFill>
      </fill>
      <border>
        <left/>
        <right/>
        <top/>
        <bottom/>
      </border>
    </dxf>
    <dxf>
      <font>
        <color rgb="FFFFFFFF"/>
      </font>
      <fill>
        <patternFill>
          <bgColor rgb="FFFFFFFF"/>
        </patternFill>
      </fill>
      <border>
        <left/>
        <right/>
        <top/>
        <bottom/>
      </border>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ont>
        <color theme="1"/>
      </font>
      <fill>
        <patternFill>
          <fgColor theme="2"/>
          <bgColor theme="0" tint="-4.9989318521683403E-2"/>
        </patternFill>
      </fill>
      <border>
        <left style="thin">
          <color auto="1"/>
        </left>
        <right style="thin">
          <color auto="1"/>
        </right>
        <top style="thin">
          <color auto="1"/>
        </top>
        <bottom style="thin">
          <color auto="1"/>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style="hair">
          <color auto="1"/>
        </top>
        <bottom/>
        <vertical/>
        <horizontal/>
      </border>
    </dxf>
    <dxf>
      <font>
        <color theme="0"/>
      </font>
      <fill>
        <patternFill>
          <bgColor theme="0"/>
        </patternFill>
      </fill>
    </dxf>
    <dxf>
      <font>
        <b val="0"/>
        <i val="0"/>
        <color theme="1"/>
      </font>
    </dxf>
    <dxf>
      <border>
        <top/>
        <bottom style="hair">
          <color auto="1"/>
        </bottom>
        <vertical/>
        <horizontal/>
      </border>
    </dxf>
  </dxfs>
  <tableStyles count="0" defaultTableStyle="TableStyleMedium9" defaultPivotStyle="PivotStyleLight16"/>
  <colors>
    <mruColors>
      <color rgb="FF0070C0"/>
      <color rgb="FF1F55A5"/>
      <color rgb="FF00A8E1"/>
      <color rgb="FFF5C400"/>
      <color rgb="FFCCECFF"/>
      <color rgb="FFFFFFCC"/>
      <color rgb="FFFFFF99"/>
      <color rgb="FF5184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ORN Intrinsic" panose="020B0504010101010104" pitchFamily="34" charset="0"/>
                <a:ea typeface="+mn-ea"/>
                <a:cs typeface="+mn-cs"/>
              </a:defRPr>
            </a:pPr>
            <a:r>
              <a:rPr lang="en-US" sz="1050">
                <a:latin typeface="MORN Intrinsic" panose="020B0504010101010104" pitchFamily="34" charset="0"/>
                <a:cs typeface="Morningstar 1 U" panose="02000303000000000000" pitchFamily="2" charset="0"/>
              </a:rPr>
              <a:t>Economic Profit (m)</a:t>
            </a:r>
          </a:p>
        </c:rich>
      </c:tx>
      <c:layout>
        <c:manualLayout>
          <c:xMode val="edge"/>
          <c:yMode val="edge"/>
          <c:x val="2.4815372343162802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ORN Intrinsic" panose="020B0504010101010104" pitchFamily="34" charset="0"/>
              <a:ea typeface="+mn-ea"/>
              <a:cs typeface="+mn-cs"/>
            </a:defRPr>
          </a:pPr>
          <a:endParaRPr lang="en-US"/>
        </a:p>
      </c:txPr>
    </c:title>
    <c:autoTitleDeleted val="0"/>
    <c:plotArea>
      <c:layout>
        <c:manualLayout>
          <c:xMode val="edge"/>
          <c:yMode val="edge"/>
          <c:x val="1.3888888888888888E-2"/>
          <c:y val="7.6076076076076082E-2"/>
          <c:w val="0.98611111111111116"/>
          <c:h val="0.92392392392392397"/>
        </c:manualLayout>
      </c:layout>
      <c:lineChart>
        <c:grouping val="standard"/>
        <c:varyColors val="0"/>
        <c:ser>
          <c:idx val="0"/>
          <c:order val="0"/>
          <c:tx>
            <c:strRef>
              <c:f>ROIC!$B$318</c:f>
              <c:strCache>
                <c:ptCount val="1"/>
                <c:pt idx="0">
                  <c:v>Economic Profit (m)</c:v>
                </c:pt>
              </c:strCache>
            </c:strRef>
          </c:tx>
          <c:spPr>
            <a:ln w="25400" cap="rnd" cmpd="sng">
              <a:solidFill>
                <a:srgbClr val="FF0000"/>
              </a:solidFill>
              <a:prstDash val="solid"/>
              <a:round/>
            </a:ln>
            <a:effectLst/>
          </c:spPr>
          <c:marker>
            <c:symbol val="none"/>
          </c:marker>
          <c:dPt>
            <c:idx val="10"/>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1-2510-47F5-9676-A853B6AA7FF8}"/>
              </c:ext>
            </c:extLst>
          </c:dPt>
          <c:dPt>
            <c:idx val="11"/>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3-2510-47F5-9676-A853B6AA7FF8}"/>
              </c:ext>
            </c:extLst>
          </c:dPt>
          <c:dPt>
            <c:idx val="12"/>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5-2510-47F5-9676-A853B6AA7FF8}"/>
              </c:ext>
            </c:extLst>
          </c:dPt>
          <c:dPt>
            <c:idx val="13"/>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7-2510-47F5-9676-A853B6AA7FF8}"/>
              </c:ext>
            </c:extLst>
          </c:dPt>
          <c:dPt>
            <c:idx val="14"/>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9-2510-47F5-9676-A853B6AA7FF8}"/>
              </c:ext>
            </c:extLst>
          </c:dPt>
          <c:dPt>
            <c:idx val="15"/>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B-2510-47F5-9676-A853B6AA7FF8}"/>
              </c:ext>
            </c:extLst>
          </c:dPt>
          <c:dPt>
            <c:idx val="16"/>
            <c:marker>
              <c:symbol val="none"/>
            </c:marker>
            <c:bubble3D val="0"/>
            <c:spPr>
              <a:ln w="25400" cap="rnd" cmpd="sng">
                <a:solidFill>
                  <a:srgbClr val="FF0000"/>
                </a:solidFill>
                <a:prstDash val="dash"/>
                <a:round/>
              </a:ln>
              <a:effectLst/>
            </c:spPr>
            <c:extLst>
              <c:ext xmlns:c16="http://schemas.microsoft.com/office/drawing/2014/chart" uri="{C3380CC4-5D6E-409C-BE32-E72D297353CC}">
                <c16:uniqueId val="{0000000D-2510-47F5-9676-A853B6AA7FF8}"/>
              </c:ext>
            </c:extLst>
          </c:dPt>
          <c:dPt>
            <c:idx val="17"/>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F-2510-47F5-9676-A853B6AA7FF8}"/>
              </c:ext>
            </c:extLst>
          </c:dPt>
          <c:dPt>
            <c:idx val="18"/>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11-2510-47F5-9676-A853B6AA7FF8}"/>
              </c:ext>
            </c:extLst>
          </c:dPt>
          <c:dPt>
            <c:idx val="19"/>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13-2510-47F5-9676-A853B6AA7FF8}"/>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ROIC!EconProf</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14-2510-47F5-9676-A853B6AA7FF8}"/>
            </c:ext>
          </c:extLst>
        </c:ser>
        <c:dLbls>
          <c:showLegendKey val="0"/>
          <c:showVal val="0"/>
          <c:showCatName val="0"/>
          <c:showSerName val="0"/>
          <c:showPercent val="0"/>
          <c:showBubbleSize val="0"/>
        </c:dLbls>
        <c:smooth val="0"/>
        <c:axId val="764910719"/>
        <c:axId val="836649695"/>
      </c:lineChart>
      <c:catAx>
        <c:axId val="764910719"/>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836649695"/>
        <c:crosses val="autoZero"/>
        <c:auto val="1"/>
        <c:lblAlgn val="ctr"/>
        <c:lblOffset val="100"/>
        <c:tickLblSkip val="2"/>
        <c:noMultiLvlLbl val="0"/>
      </c:catAx>
      <c:valAx>
        <c:axId val="836649695"/>
        <c:scaling>
          <c:orientation val="minMax"/>
        </c:scaling>
        <c:delete val="0"/>
        <c:axPos val="l"/>
        <c:majorGridlines>
          <c:spPr>
            <a:ln w="3175" cap="flat" cmpd="sng" algn="ctr">
              <a:solidFill>
                <a:srgbClr val="D9D9D9"/>
              </a:solidFill>
              <a:prstDash val="lgDash"/>
              <a:round/>
            </a:ln>
            <a:effectLst/>
          </c:spPr>
        </c:majorGridlines>
        <c:numFmt formatCode="#,##0_);\(#,##0\)" sourceLinked="0"/>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764910719"/>
        <c:crossesAt val="1"/>
        <c:crossBetween val="between"/>
      </c:valAx>
      <c:spPr>
        <a:solidFill>
          <a:srgbClr val="FFFFFF"/>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888888888888888E-2"/>
          <c:y val="8.7962962962962965E-2"/>
          <c:w val="0.98611111111111116"/>
          <c:h val="0.91203703703703709"/>
        </c:manualLayout>
      </c:layout>
      <c:barChart>
        <c:barDir val="col"/>
        <c:grouping val="stacked"/>
        <c:varyColors val="0"/>
        <c:ser>
          <c:idx val="0"/>
          <c:order val="0"/>
          <c:tx>
            <c:strRef>
              <c:f>ROIC!$B$325</c:f>
              <c:strCache>
                <c:ptCount val="1"/>
                <c:pt idx="0">
                  <c:v>Castle Value</c:v>
                </c:pt>
              </c:strCache>
            </c:strRef>
          </c:tx>
          <c:spPr>
            <a:solidFill>
              <a:schemeClr val="bg2">
                <a:lumMod val="75000"/>
              </a:schemeClr>
            </a:solidFill>
            <a:ln w="25400">
              <a:solidFill>
                <a:schemeClr val="bg2">
                  <a:lumMod val="75000"/>
                </a:schemeClr>
              </a:solidFill>
            </a:ln>
            <a:effectLst/>
          </c:spPr>
          <c:invertIfNegative val="0"/>
          <c:dPt>
            <c:idx val="10"/>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1-9598-4252-904E-F0A345DF0E83}"/>
              </c:ext>
            </c:extLst>
          </c:dPt>
          <c:dPt>
            <c:idx val="11"/>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3-9598-4252-904E-F0A345DF0E83}"/>
              </c:ext>
            </c:extLst>
          </c:dPt>
          <c:dPt>
            <c:idx val="12"/>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5-9598-4252-904E-F0A345DF0E83}"/>
              </c:ext>
            </c:extLst>
          </c:dPt>
          <c:dPt>
            <c:idx val="13"/>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7-9598-4252-904E-F0A345DF0E83}"/>
              </c:ext>
            </c:extLst>
          </c:dPt>
          <c:dPt>
            <c:idx val="14"/>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9-9598-4252-904E-F0A345DF0E83}"/>
              </c:ext>
            </c:extLst>
          </c:dPt>
          <c:dPt>
            <c:idx val="15"/>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B-9598-4252-904E-F0A345DF0E83}"/>
              </c:ext>
            </c:extLst>
          </c:dPt>
          <c:dPt>
            <c:idx val="16"/>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D-9598-4252-904E-F0A345DF0E83}"/>
              </c:ext>
            </c:extLst>
          </c:dPt>
          <c:dPt>
            <c:idx val="17"/>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0F-9598-4252-904E-F0A345DF0E83}"/>
              </c:ext>
            </c:extLst>
          </c:dPt>
          <c:dPt>
            <c:idx val="18"/>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11-9598-4252-904E-F0A345DF0E83}"/>
              </c:ext>
            </c:extLst>
          </c:dPt>
          <c:dPt>
            <c:idx val="19"/>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13-9598-4252-904E-F0A345DF0E83}"/>
              </c:ext>
            </c:extLst>
          </c:dPt>
          <c:dPt>
            <c:idx val="20"/>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15-9598-4252-904E-F0A345DF0E83}"/>
              </c:ext>
            </c:extLst>
          </c:dPt>
          <c:dPt>
            <c:idx val="21"/>
            <c:invertIfNegative val="0"/>
            <c:bubble3D val="0"/>
            <c:spPr>
              <a:solidFill>
                <a:schemeClr val="bg2">
                  <a:lumMod val="75000"/>
                  <a:alpha val="50000"/>
                </a:schemeClr>
              </a:solidFill>
              <a:ln w="25400">
                <a:solidFill>
                  <a:schemeClr val="bg2">
                    <a:lumMod val="75000"/>
                  </a:schemeClr>
                </a:solidFill>
              </a:ln>
              <a:effectLst/>
            </c:spPr>
            <c:extLst>
              <c:ext xmlns:c16="http://schemas.microsoft.com/office/drawing/2014/chart" uri="{C3380CC4-5D6E-409C-BE32-E72D297353CC}">
                <c16:uniqueId val="{00000017-9598-4252-904E-F0A345DF0E83}"/>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ROIC!Castle</c:f>
              <c:numCache>
                <c:formatCode>_(* #,##0.0_);_(* \(#,##0.0\);_(*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18-9598-4252-904E-F0A345DF0E83}"/>
            </c:ext>
          </c:extLst>
        </c:ser>
        <c:ser>
          <c:idx val="1"/>
          <c:order val="1"/>
          <c:tx>
            <c:strRef>
              <c:f>ROIC!$B$326</c:f>
              <c:strCache>
                <c:ptCount val="1"/>
                <c:pt idx="0">
                  <c:v>Moat Value</c:v>
                </c:pt>
              </c:strCache>
            </c:strRef>
          </c:tx>
          <c:spPr>
            <a:solidFill>
              <a:srgbClr val="FF0000"/>
            </a:solidFill>
            <a:ln w="25400">
              <a:solidFill>
                <a:srgbClr val="FF0000"/>
              </a:solidFill>
            </a:ln>
            <a:effectLst/>
          </c:spPr>
          <c:invertIfNegative val="0"/>
          <c:dPt>
            <c:idx val="10"/>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A-9598-4252-904E-F0A345DF0E83}"/>
              </c:ext>
            </c:extLst>
          </c:dPt>
          <c:dPt>
            <c:idx val="11"/>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C-9598-4252-904E-F0A345DF0E83}"/>
              </c:ext>
            </c:extLst>
          </c:dPt>
          <c:dPt>
            <c:idx val="12"/>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E-9598-4252-904E-F0A345DF0E83}"/>
              </c:ext>
            </c:extLst>
          </c:dPt>
          <c:dPt>
            <c:idx val="13"/>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0-9598-4252-904E-F0A345DF0E83}"/>
              </c:ext>
            </c:extLst>
          </c:dPt>
          <c:dPt>
            <c:idx val="14"/>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2-9598-4252-904E-F0A345DF0E83}"/>
              </c:ext>
            </c:extLst>
          </c:dPt>
          <c:dPt>
            <c:idx val="15"/>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4-9598-4252-904E-F0A345DF0E83}"/>
              </c:ext>
            </c:extLst>
          </c:dPt>
          <c:dPt>
            <c:idx val="16"/>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6-9598-4252-904E-F0A345DF0E83}"/>
              </c:ext>
            </c:extLst>
          </c:dPt>
          <c:dPt>
            <c:idx val="17"/>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8-9598-4252-904E-F0A345DF0E83}"/>
              </c:ext>
            </c:extLst>
          </c:dPt>
          <c:dPt>
            <c:idx val="18"/>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A-9598-4252-904E-F0A345DF0E83}"/>
              </c:ext>
            </c:extLst>
          </c:dPt>
          <c:dPt>
            <c:idx val="19"/>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C-9598-4252-904E-F0A345DF0E83}"/>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ROIC!MoatRange</c:f>
              <c:numCache>
                <c:formatCode>_(* #,##0.0_);_(* \(#,##0.0\);_(*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D-9598-4252-904E-F0A345DF0E83}"/>
            </c:ext>
          </c:extLst>
        </c:ser>
        <c:ser>
          <c:idx val="2"/>
          <c:order val="2"/>
          <c:tx>
            <c:strRef>
              <c:f>ROIC!$B$327</c:f>
              <c:strCache>
                <c:ptCount val="1"/>
                <c:pt idx="0">
                  <c:v>Future Expectations</c:v>
                </c:pt>
              </c:strCache>
            </c:strRef>
          </c:tx>
          <c:spPr>
            <a:solidFill>
              <a:srgbClr val="518428"/>
            </a:solidFill>
            <a:ln w="25400">
              <a:solidFill>
                <a:srgbClr val="518428"/>
              </a:solidFill>
            </a:ln>
            <a:effectLst/>
          </c:spPr>
          <c:invertIfNegative val="0"/>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ROIC!Future</c:f>
              <c:numCache>
                <c:formatCode>_(* #,##0.0_);_(* \(#,##0.0\);_(*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E-9598-4252-904E-F0A345DF0E83}"/>
            </c:ext>
          </c:extLst>
        </c:ser>
        <c:dLbls>
          <c:showLegendKey val="0"/>
          <c:showVal val="0"/>
          <c:showCatName val="0"/>
          <c:showSerName val="0"/>
          <c:showPercent val="0"/>
          <c:showBubbleSize val="0"/>
        </c:dLbls>
        <c:gapWidth val="150"/>
        <c:overlap val="100"/>
        <c:axId val="886451183"/>
        <c:axId val="564223967"/>
      </c:barChart>
      <c:catAx>
        <c:axId val="886451183"/>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564223967"/>
        <c:crosses val="autoZero"/>
        <c:auto val="1"/>
        <c:lblAlgn val="ctr"/>
        <c:lblOffset val="100"/>
        <c:noMultiLvlLbl val="0"/>
      </c:catAx>
      <c:valAx>
        <c:axId val="564223967"/>
        <c:scaling>
          <c:orientation val="minMax"/>
        </c:scaling>
        <c:delete val="0"/>
        <c:axPos val="l"/>
        <c:majorGridlines>
          <c:spPr>
            <a:ln w="3175" cap="flat" cmpd="sng" algn="ctr">
              <a:solidFill>
                <a:srgbClr val="D9D9D9"/>
              </a:solidFill>
              <a:prstDash val="lgDash"/>
              <a:round/>
            </a:ln>
            <a:effectLst/>
          </c:spPr>
        </c:majorGridlines>
        <c:numFmt formatCode="#,##0.0_);\(#,##0.0\)" sourceLinked="0"/>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886451183"/>
        <c:crosses val="autoZero"/>
        <c:crossBetween val="between"/>
      </c:valAx>
      <c:spPr>
        <a:solidFill>
          <a:srgbClr val="FFFFFF"/>
        </a:solidFill>
        <a:ln w="25400">
          <a:noFill/>
        </a:ln>
        <a:effectLst/>
      </c:spPr>
    </c:plotArea>
    <c:legend>
      <c:legendPos val="t"/>
      <c:layout>
        <c:manualLayout>
          <c:xMode val="edge"/>
          <c:yMode val="edge"/>
          <c:x val="1.3888888888888888E-2"/>
          <c:y val="2.3148148148148147E-2"/>
          <c:w val="0.74742991481892984"/>
          <c:h val="5.7424797236044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ORN Intrinsic" panose="020B0504010101010104" pitchFamily="34" charset="0"/>
              <a:ea typeface="UniversNext for MORNPC Cn"/>
              <a:cs typeface="UniversNext for MORNPC Cn"/>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772627420565123E-2"/>
          <c:y val="0.11063903470399533"/>
          <c:w val="0.97244765834640856"/>
          <c:h val="0.80803951589384659"/>
        </c:manualLayout>
      </c:layout>
      <c:barChart>
        <c:barDir val="col"/>
        <c:grouping val="clustered"/>
        <c:varyColors val="0"/>
        <c:ser>
          <c:idx val="2"/>
          <c:order val="0"/>
          <c:tx>
            <c:strRef>
              <c:f>ROIC!$B$314</c:f>
              <c:strCache>
                <c:ptCount val="1"/>
                <c:pt idx="0">
                  <c:v>Adj. Return on Invested Capital</c:v>
                </c:pt>
              </c:strCache>
            </c:strRef>
          </c:tx>
          <c:spPr>
            <a:solidFill>
              <a:srgbClr val="FF0000"/>
            </a:solidFill>
            <a:ln w="25400" cmpd="sng">
              <a:solidFill>
                <a:srgbClr val="FF0000"/>
              </a:solidFill>
              <a:prstDash val="solid"/>
            </a:ln>
            <a:effectLst/>
          </c:spPr>
          <c:invertIfNegative val="0"/>
          <c:dPt>
            <c:idx val="0"/>
            <c:invertIfNegative val="0"/>
            <c:bubble3D val="0"/>
            <c:extLst>
              <c:ext xmlns:c16="http://schemas.microsoft.com/office/drawing/2014/chart" uri="{C3380CC4-5D6E-409C-BE32-E72D297353CC}">
                <c16:uniqueId val="{00000000-4D14-4682-AF76-14CB8D12CD8A}"/>
              </c:ext>
            </c:extLst>
          </c:dPt>
          <c:dPt>
            <c:idx val="10"/>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2-4D14-4682-AF76-14CB8D12CD8A}"/>
              </c:ext>
            </c:extLst>
          </c:dPt>
          <c:dPt>
            <c:idx val="11"/>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4-4D14-4682-AF76-14CB8D12CD8A}"/>
              </c:ext>
            </c:extLst>
          </c:dPt>
          <c:dPt>
            <c:idx val="12"/>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6-4D14-4682-AF76-14CB8D12CD8A}"/>
              </c:ext>
            </c:extLst>
          </c:dPt>
          <c:dPt>
            <c:idx val="13"/>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8-4D14-4682-AF76-14CB8D12CD8A}"/>
              </c:ext>
            </c:extLst>
          </c:dPt>
          <c:dPt>
            <c:idx val="14"/>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A-4D14-4682-AF76-14CB8D12CD8A}"/>
              </c:ext>
            </c:extLst>
          </c:dPt>
          <c:dPt>
            <c:idx val="15"/>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C-4D14-4682-AF76-14CB8D12CD8A}"/>
              </c:ext>
            </c:extLst>
          </c:dPt>
          <c:dPt>
            <c:idx val="16"/>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0E-4D14-4682-AF76-14CB8D12CD8A}"/>
              </c:ext>
            </c:extLst>
          </c:dPt>
          <c:dPt>
            <c:idx val="17"/>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10-4D14-4682-AF76-14CB8D12CD8A}"/>
              </c:ext>
            </c:extLst>
          </c:dPt>
          <c:dPt>
            <c:idx val="18"/>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12-4D14-4682-AF76-14CB8D12CD8A}"/>
              </c:ext>
            </c:extLst>
          </c:dPt>
          <c:dPt>
            <c:idx val="19"/>
            <c:invertIfNegative val="0"/>
            <c:bubble3D val="0"/>
            <c:spPr>
              <a:solidFill>
                <a:srgbClr val="FF0000">
                  <a:alpha val="50000"/>
                </a:srgbClr>
              </a:solidFill>
              <a:ln w="25400" cmpd="sng">
                <a:solidFill>
                  <a:srgbClr val="FF0000"/>
                </a:solidFill>
                <a:prstDash val="solid"/>
              </a:ln>
              <a:effectLst/>
            </c:spPr>
            <c:extLst>
              <c:ext xmlns:c16="http://schemas.microsoft.com/office/drawing/2014/chart" uri="{C3380CC4-5D6E-409C-BE32-E72D297353CC}">
                <c16:uniqueId val="{00000014-4D14-4682-AF76-14CB8D12CD8A}"/>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ROIC!$J$314:$AC$314</c:f>
              <c:numCache>
                <c:formatCode>0.0%</c:formatCode>
                <c:ptCount val="20"/>
                <c:pt idx="0">
                  <c:v>0</c:v>
                </c:pt>
                <c:pt idx="1">
                  <c:v>0</c:v>
                </c:pt>
                <c:pt idx="2">
                  <c:v>0</c:v>
                </c:pt>
                <c:pt idx="3">
                  <c:v>0</c:v>
                </c:pt>
                <c:pt idx="4">
                  <c:v>-2.6483966799877039</c:v>
                </c:pt>
                <c:pt idx="5">
                  <c:v>0.70889252418735338</c:v>
                </c:pt>
                <c:pt idx="6">
                  <c:v>-0.51032930826710443</c:v>
                </c:pt>
                <c:pt idx="7">
                  <c:v>-9.8702641391352847E-2</c:v>
                </c:pt>
                <c:pt idx="8">
                  <c:v>0.96333664335496882</c:v>
                </c:pt>
                <c:pt idx="9">
                  <c:v>0.38569835831493221</c:v>
                </c:pt>
                <c:pt idx="10">
                  <c:v>0.21819142868643865</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15-4D14-4682-AF76-14CB8D12CD8A}"/>
            </c:ext>
          </c:extLst>
        </c:ser>
        <c:ser>
          <c:idx val="3"/>
          <c:order val="1"/>
          <c:tx>
            <c:strRef>
              <c:f>ROIC!$B$315</c:f>
              <c:strCache>
                <c:ptCount val="1"/>
                <c:pt idx="0">
                  <c:v>ROIC, Excl. Goodwill</c:v>
                </c:pt>
              </c:strCache>
            </c:strRef>
          </c:tx>
          <c:spPr>
            <a:solidFill>
              <a:schemeClr val="bg1">
                <a:lumMod val="75000"/>
              </a:schemeClr>
            </a:solidFill>
            <a:ln w="25400" cmpd="sng">
              <a:solidFill>
                <a:schemeClr val="bg1">
                  <a:lumMod val="75000"/>
                </a:schemeClr>
              </a:solidFill>
              <a:prstDash val="solid"/>
            </a:ln>
            <a:effectLst/>
          </c:spPr>
          <c:invertIfNegative val="0"/>
          <c:dPt>
            <c:idx val="10"/>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17-4D14-4682-AF76-14CB8D12CD8A}"/>
              </c:ext>
            </c:extLst>
          </c:dPt>
          <c:dPt>
            <c:idx val="11"/>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19-4D14-4682-AF76-14CB8D12CD8A}"/>
              </c:ext>
            </c:extLst>
          </c:dPt>
          <c:dPt>
            <c:idx val="12"/>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1B-4D14-4682-AF76-14CB8D12CD8A}"/>
              </c:ext>
            </c:extLst>
          </c:dPt>
          <c:dPt>
            <c:idx val="13"/>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1D-4D14-4682-AF76-14CB8D12CD8A}"/>
              </c:ext>
            </c:extLst>
          </c:dPt>
          <c:dPt>
            <c:idx val="14"/>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1F-4D14-4682-AF76-14CB8D12CD8A}"/>
              </c:ext>
            </c:extLst>
          </c:dPt>
          <c:dPt>
            <c:idx val="15"/>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21-4D14-4682-AF76-14CB8D12CD8A}"/>
              </c:ext>
            </c:extLst>
          </c:dPt>
          <c:dPt>
            <c:idx val="16"/>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23-4D14-4682-AF76-14CB8D12CD8A}"/>
              </c:ext>
            </c:extLst>
          </c:dPt>
          <c:dPt>
            <c:idx val="17"/>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25-4D14-4682-AF76-14CB8D12CD8A}"/>
              </c:ext>
            </c:extLst>
          </c:dPt>
          <c:dPt>
            <c:idx val="18"/>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27-4D14-4682-AF76-14CB8D12CD8A}"/>
              </c:ext>
            </c:extLst>
          </c:dPt>
          <c:dPt>
            <c:idx val="19"/>
            <c:invertIfNegative val="0"/>
            <c:bubble3D val="0"/>
            <c:spPr>
              <a:solidFill>
                <a:schemeClr val="bg1">
                  <a:lumMod val="75000"/>
                  <a:alpha val="50000"/>
                </a:schemeClr>
              </a:solidFill>
              <a:ln w="25400" cmpd="sng">
                <a:solidFill>
                  <a:schemeClr val="bg1">
                    <a:lumMod val="75000"/>
                  </a:schemeClr>
                </a:solidFill>
                <a:prstDash val="solid"/>
              </a:ln>
              <a:effectLst/>
            </c:spPr>
            <c:extLst>
              <c:ext xmlns:c16="http://schemas.microsoft.com/office/drawing/2014/chart" uri="{C3380CC4-5D6E-409C-BE32-E72D297353CC}">
                <c16:uniqueId val="{00000029-4D14-4682-AF76-14CB8D12CD8A}"/>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ROIC!AdjROICRange2</c:f>
              <c:numCache>
                <c:formatCode>0.0%</c:formatCode>
                <c:ptCount val="20"/>
                <c:pt idx="0">
                  <c:v>0</c:v>
                </c:pt>
                <c:pt idx="1">
                  <c:v>0</c:v>
                </c:pt>
                <c:pt idx="2">
                  <c:v>0</c:v>
                </c:pt>
                <c:pt idx="3">
                  <c:v>0</c:v>
                </c:pt>
                <c:pt idx="4">
                  <c:v>-2.6483966799877039</c:v>
                </c:pt>
                <c:pt idx="5">
                  <c:v>0.70889252418735338</c:v>
                </c:pt>
                <c:pt idx="6">
                  <c:v>-0.51033263512704863</c:v>
                </c:pt>
                <c:pt idx="7">
                  <c:v>-9.8707682477216396E-2</c:v>
                </c:pt>
                <c:pt idx="8">
                  <c:v>0.96351549021057181</c:v>
                </c:pt>
                <c:pt idx="9">
                  <c:v>0.38580968022252821</c:v>
                </c:pt>
                <c:pt idx="10">
                  <c:v>0.21822876040507683</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A-4D14-4682-AF76-14CB8D12CD8A}"/>
            </c:ext>
          </c:extLst>
        </c:ser>
        <c:dLbls>
          <c:showLegendKey val="0"/>
          <c:showVal val="0"/>
          <c:showCatName val="0"/>
          <c:showSerName val="0"/>
          <c:showPercent val="0"/>
          <c:showBubbleSize val="0"/>
        </c:dLbls>
        <c:gapWidth val="150"/>
        <c:axId val="1677598879"/>
        <c:axId val="1878690560"/>
      </c:barChart>
      <c:lineChart>
        <c:grouping val="standard"/>
        <c:varyColors val="0"/>
        <c:ser>
          <c:idx val="0"/>
          <c:order val="2"/>
          <c:tx>
            <c:strRef>
              <c:f>ROIC!$B$312</c:f>
              <c:strCache>
                <c:ptCount val="1"/>
                <c:pt idx="0">
                  <c:v>WACC</c:v>
                </c:pt>
              </c:strCache>
            </c:strRef>
          </c:tx>
          <c:spPr>
            <a:ln w="25400" cap="rnd" cmpd="sng">
              <a:solidFill>
                <a:schemeClr val="tx1">
                  <a:lumMod val="50000"/>
                  <a:lumOff val="50000"/>
                </a:schemeClr>
              </a:solidFill>
              <a:prstDash val="sysDot"/>
              <a:round/>
            </a:ln>
            <a:effectLst/>
          </c:spPr>
          <c:marker>
            <c:symbol val="none"/>
          </c:marker>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ROIC!WACCRange</c:f>
              <c:numCache>
                <c:formatCode>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2B-4D14-4682-AF76-14CB8D12CD8A}"/>
            </c:ext>
          </c:extLst>
        </c:ser>
        <c:dLbls>
          <c:showLegendKey val="0"/>
          <c:showVal val="0"/>
          <c:showCatName val="0"/>
          <c:showSerName val="0"/>
          <c:showPercent val="0"/>
          <c:showBubbleSize val="0"/>
        </c:dLbls>
        <c:marker val="1"/>
        <c:smooth val="0"/>
        <c:axId val="1677598879"/>
        <c:axId val="1878690560"/>
      </c:lineChart>
      <c:catAx>
        <c:axId val="1677598879"/>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878690560"/>
        <c:crosses val="autoZero"/>
        <c:auto val="1"/>
        <c:lblAlgn val="ctr"/>
        <c:lblOffset val="100"/>
        <c:noMultiLvlLbl val="0"/>
      </c:catAx>
      <c:valAx>
        <c:axId val="1878690560"/>
        <c:scaling>
          <c:orientation val="minMax"/>
        </c:scaling>
        <c:delete val="0"/>
        <c:axPos val="l"/>
        <c:majorGridlines>
          <c:spPr>
            <a:ln w="3175" cap="flat" cmpd="sng" algn="ctr">
              <a:solidFill>
                <a:srgbClr val="D9D9D9"/>
              </a:solidFill>
              <a:prstDash val="lgDash"/>
              <a:round/>
            </a:ln>
            <a:effectLst/>
          </c:spPr>
        </c:majorGridlines>
        <c:numFmt formatCode="0.0%" sourceLinked="1"/>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677598879"/>
        <c:crosses val="autoZero"/>
        <c:crossBetween val="between"/>
      </c:valAx>
      <c:spPr>
        <a:solidFill>
          <a:srgbClr val="FFFFFF"/>
        </a:solidFill>
        <a:ln w="25400">
          <a:noFill/>
        </a:ln>
        <a:effectLst/>
      </c:spPr>
    </c:plotArea>
    <c:legend>
      <c:legendPos val="t"/>
      <c:layout>
        <c:manualLayout>
          <c:xMode val="edge"/>
          <c:yMode val="edge"/>
          <c:x val="0"/>
          <c:y val="1.1958125581297771E-4"/>
          <c:w val="0.97917369703787027"/>
          <c:h val="7.8035228255427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ORN Intrinsic" panose="020B05040101010101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715929739551786E-2"/>
          <c:y val="0.16042527569807075"/>
          <c:w val="0.90827106378909117"/>
          <c:h val="0.74523419552073511"/>
        </c:manualLayout>
      </c:layout>
      <c:lineChart>
        <c:grouping val="standard"/>
        <c:varyColors val="0"/>
        <c:ser>
          <c:idx val="0"/>
          <c:order val="0"/>
          <c:tx>
            <c:strRef>
              <c:f>ROIC!$B$300</c:f>
              <c:strCache>
                <c:ptCount val="1"/>
                <c:pt idx="0">
                  <c:v>Economic EBIT Margin %</c:v>
                </c:pt>
              </c:strCache>
            </c:strRef>
          </c:tx>
          <c:spPr>
            <a:ln w="25400" cap="rnd" cmpd="sng">
              <a:solidFill>
                <a:srgbClr val="FF0000"/>
              </a:solidFill>
              <a:prstDash val="solid"/>
              <a:round/>
            </a:ln>
            <a:effectLst/>
          </c:spPr>
          <c:marker>
            <c:symbol val="none"/>
          </c:marker>
          <c:dPt>
            <c:idx val="10"/>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1-0954-4F32-A688-38953E7FFF38}"/>
              </c:ext>
            </c:extLst>
          </c:dPt>
          <c:dPt>
            <c:idx val="11"/>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3-0954-4F32-A688-38953E7FFF38}"/>
              </c:ext>
            </c:extLst>
          </c:dPt>
          <c:dPt>
            <c:idx val="12"/>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5-0954-4F32-A688-38953E7FFF38}"/>
              </c:ext>
            </c:extLst>
          </c:dPt>
          <c:dPt>
            <c:idx val="13"/>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7-0954-4F32-A688-38953E7FFF38}"/>
              </c:ext>
            </c:extLst>
          </c:dPt>
          <c:dPt>
            <c:idx val="14"/>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9-0954-4F32-A688-38953E7FFF38}"/>
              </c:ext>
            </c:extLst>
          </c:dPt>
          <c:dPt>
            <c:idx val="15"/>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B-0954-4F32-A688-38953E7FFF38}"/>
              </c:ext>
            </c:extLst>
          </c:dPt>
          <c:dPt>
            <c:idx val="16"/>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D-0954-4F32-A688-38953E7FFF38}"/>
              </c:ext>
            </c:extLst>
          </c:dPt>
          <c:dPt>
            <c:idx val="17"/>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0F-0954-4F32-A688-38953E7FFF38}"/>
              </c:ext>
            </c:extLst>
          </c:dPt>
          <c:dPt>
            <c:idx val="18"/>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11-0954-4F32-A688-38953E7FFF38}"/>
              </c:ext>
            </c:extLst>
          </c:dPt>
          <c:dPt>
            <c:idx val="19"/>
            <c:marker>
              <c:symbol val="none"/>
            </c:marker>
            <c:bubble3D val="0"/>
            <c:spPr>
              <a:ln w="25400" cap="rnd" cmpd="sng">
                <a:solidFill>
                  <a:srgbClr val="FF0000"/>
                </a:solidFill>
                <a:prstDash val="sysDash"/>
                <a:round/>
              </a:ln>
              <a:effectLst/>
            </c:spPr>
            <c:extLst>
              <c:ext xmlns:c16="http://schemas.microsoft.com/office/drawing/2014/chart" uri="{C3380CC4-5D6E-409C-BE32-E72D297353CC}">
                <c16:uniqueId val="{00000013-0954-4F32-A688-38953E7FFF38}"/>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ROIC!EconEBIT</c:f>
              <c:numCache>
                <c:formatCode>0.0%</c:formatCode>
                <c:ptCount val="20"/>
                <c:pt idx="0">
                  <c:v>0</c:v>
                </c:pt>
                <c:pt idx="1">
                  <c:v>0</c:v>
                </c:pt>
                <c:pt idx="2">
                  <c:v>0</c:v>
                </c:pt>
                <c:pt idx="3">
                  <c:v>0</c:v>
                </c:pt>
                <c:pt idx="4">
                  <c:v>0.32012296073287977</c:v>
                </c:pt>
                <c:pt idx="5">
                  <c:v>0.3924474745913103</c:v>
                </c:pt>
                <c:pt idx="6">
                  <c:v>-0.84840773860374785</c:v>
                </c:pt>
                <c:pt idx="7">
                  <c:v>-5.1908103176152999E-2</c:v>
                </c:pt>
                <c:pt idx="8">
                  <c:v>0.35177482195764553</c:v>
                </c:pt>
                <c:pt idx="9">
                  <c:v>0.20023577728413627</c:v>
                </c:pt>
                <c:pt idx="10">
                  <c:v>0.12742786444870186</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14-0954-4F32-A688-38953E7FFF38}"/>
            </c:ext>
          </c:extLst>
        </c:ser>
        <c:ser>
          <c:idx val="2"/>
          <c:order val="2"/>
          <c:tx>
            <c:strRef>
              <c:f>ROIC!$B$301</c:f>
              <c:strCache>
                <c:ptCount val="1"/>
                <c:pt idx="0">
                  <c:v>10-Year Historical Average</c:v>
                </c:pt>
              </c:strCache>
            </c:strRef>
          </c:tx>
          <c:spPr>
            <a:ln w="19050" cap="rnd" cmpd="sng">
              <a:solidFill>
                <a:srgbClr val="FF0000">
                  <a:alpha val="69000"/>
                </a:srgbClr>
              </a:solidFill>
              <a:prstDash val="sysDot"/>
              <a:round/>
            </a:ln>
            <a:effectLst/>
          </c:spPr>
          <c:marker>
            <c:symbol val="none"/>
          </c:marker>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ROIC!$J$301:$X$301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15-0954-4F32-A688-38953E7FFF38}"/>
            </c:ext>
          </c:extLst>
        </c:ser>
        <c:dLbls>
          <c:showLegendKey val="0"/>
          <c:showVal val="0"/>
          <c:showCatName val="0"/>
          <c:showSerName val="0"/>
          <c:showPercent val="0"/>
          <c:showBubbleSize val="0"/>
        </c:dLbls>
        <c:marker val="1"/>
        <c:smooth val="0"/>
        <c:axId val="605384863"/>
        <c:axId val="2095985663"/>
      </c:lineChart>
      <c:lineChart>
        <c:grouping val="standard"/>
        <c:varyColors val="0"/>
        <c:ser>
          <c:idx val="1"/>
          <c:order val="1"/>
          <c:tx>
            <c:strRef>
              <c:f>ROIC!$B$302</c:f>
              <c:strCache>
                <c:ptCount val="1"/>
                <c:pt idx="0">
                  <c:v>Invested Capital Turns</c:v>
                </c:pt>
              </c:strCache>
            </c:strRef>
          </c:tx>
          <c:spPr>
            <a:ln w="25400" cap="rnd" cmpd="sng">
              <a:solidFill>
                <a:schemeClr val="bg2">
                  <a:lumMod val="75000"/>
                </a:schemeClr>
              </a:solidFill>
              <a:prstDash val="solid"/>
              <a:round/>
            </a:ln>
            <a:effectLst/>
          </c:spPr>
          <c:marker>
            <c:symbol val="none"/>
          </c:marker>
          <c:dPt>
            <c:idx val="10"/>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17-0954-4F32-A688-38953E7FFF38}"/>
              </c:ext>
            </c:extLst>
          </c:dPt>
          <c:dPt>
            <c:idx val="11"/>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19-0954-4F32-A688-38953E7FFF38}"/>
              </c:ext>
            </c:extLst>
          </c:dPt>
          <c:dPt>
            <c:idx val="12"/>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1B-0954-4F32-A688-38953E7FFF38}"/>
              </c:ext>
            </c:extLst>
          </c:dPt>
          <c:dPt>
            <c:idx val="13"/>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1D-0954-4F32-A688-38953E7FFF38}"/>
              </c:ext>
            </c:extLst>
          </c:dPt>
          <c:dPt>
            <c:idx val="14"/>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1F-0954-4F32-A688-38953E7FFF38}"/>
              </c:ext>
            </c:extLst>
          </c:dPt>
          <c:dPt>
            <c:idx val="15"/>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21-0954-4F32-A688-38953E7FFF38}"/>
              </c:ext>
            </c:extLst>
          </c:dPt>
          <c:dPt>
            <c:idx val="16"/>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23-0954-4F32-A688-38953E7FFF38}"/>
              </c:ext>
            </c:extLst>
          </c:dPt>
          <c:dPt>
            <c:idx val="17"/>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25-0954-4F32-A688-38953E7FFF38}"/>
              </c:ext>
            </c:extLst>
          </c:dPt>
          <c:dPt>
            <c:idx val="18"/>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27-0954-4F32-A688-38953E7FFF38}"/>
              </c:ext>
            </c:extLst>
          </c:dPt>
          <c:dPt>
            <c:idx val="19"/>
            <c:marker>
              <c:symbol val="none"/>
            </c:marker>
            <c:bubble3D val="0"/>
            <c:spPr>
              <a:ln w="25400" cap="rnd" cmpd="sng">
                <a:solidFill>
                  <a:schemeClr val="bg2">
                    <a:lumMod val="75000"/>
                  </a:schemeClr>
                </a:solidFill>
                <a:prstDash val="sysDash"/>
                <a:round/>
              </a:ln>
              <a:effectLst/>
            </c:spPr>
            <c:extLst>
              <c:ext xmlns:c16="http://schemas.microsoft.com/office/drawing/2014/chart" uri="{C3380CC4-5D6E-409C-BE32-E72D297353CC}">
                <c16:uniqueId val="{00000029-0954-4F32-A688-38953E7FFF38}"/>
              </c:ext>
            </c:extLst>
          </c:dPt>
          <c:cat>
            <c:numRef>
              <c:f>ROIC!$J$108:$AC$108</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ROIC!ICT</c:f>
              <c:numCache>
                <c:formatCode>_(* #,##0.0_);_(* \(#,##0.0\);_(* "—"_);_(@_)</c:formatCode>
                <c:ptCount val="20"/>
                <c:pt idx="0">
                  <c:v>0</c:v>
                </c:pt>
                <c:pt idx="1">
                  <c:v>0</c:v>
                </c:pt>
                <c:pt idx="2">
                  <c:v>0</c:v>
                </c:pt>
                <c:pt idx="3">
                  <c:v>0</c:v>
                </c:pt>
                <c:pt idx="4">
                  <c:v>-10.472228711958193</c:v>
                </c:pt>
                <c:pt idx="5">
                  <c:v>1.123268714532675</c:v>
                </c:pt>
                <c:pt idx="6">
                  <c:v>2.2636215630510823</c:v>
                </c:pt>
                <c:pt idx="7">
                  <c:v>2.6527974100187928</c:v>
                </c:pt>
                <c:pt idx="8">
                  <c:v>2.5097349104894566</c:v>
                </c:pt>
                <c:pt idx="9">
                  <c:v>2.1926911585233788</c:v>
                </c:pt>
                <c:pt idx="10">
                  <c:v>2.2658041484096723</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2A-0954-4F32-A688-38953E7FFF38}"/>
            </c:ext>
          </c:extLst>
        </c:ser>
        <c:ser>
          <c:idx val="3"/>
          <c:order val="3"/>
          <c:tx>
            <c:strRef>
              <c:f>ROIC!$B$303</c:f>
              <c:strCache>
                <c:ptCount val="1"/>
                <c:pt idx="0">
                  <c:v>10-Year Historical Average</c:v>
                </c:pt>
              </c:strCache>
            </c:strRef>
          </c:tx>
          <c:spPr>
            <a:ln w="25400" cap="rnd" cmpd="sng">
              <a:solidFill>
                <a:schemeClr val="bg2">
                  <a:lumMod val="75000"/>
                </a:schemeClr>
              </a:solidFill>
              <a:prstDash val="sysDot"/>
              <a:round/>
            </a:ln>
            <a:effectLst/>
          </c:spPr>
          <c:marker>
            <c:symbol val="none"/>
          </c:marker>
          <c:val>
            <c:numRef>
              <c:f>ROIC!ICTAve</c:f>
              <c:numCache>
                <c:formatCode>_(* #,##0.0_);_(* \(#,##0.0\);_(*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2B-0954-4F32-A688-38953E7FFF38}"/>
            </c:ext>
          </c:extLst>
        </c:ser>
        <c:dLbls>
          <c:showLegendKey val="0"/>
          <c:showVal val="0"/>
          <c:showCatName val="0"/>
          <c:showSerName val="0"/>
          <c:showPercent val="0"/>
          <c:showBubbleSize val="0"/>
        </c:dLbls>
        <c:marker val="1"/>
        <c:smooth val="0"/>
        <c:axId val="426345599"/>
        <c:axId val="571427263"/>
      </c:lineChart>
      <c:catAx>
        <c:axId val="605384863"/>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2095985663"/>
        <c:crosses val="autoZero"/>
        <c:auto val="1"/>
        <c:lblAlgn val="ctr"/>
        <c:lblOffset val="100"/>
        <c:noMultiLvlLbl val="0"/>
      </c:catAx>
      <c:valAx>
        <c:axId val="2095985663"/>
        <c:scaling>
          <c:orientation val="minMax"/>
        </c:scaling>
        <c:delete val="0"/>
        <c:axPos val="l"/>
        <c:majorGridlines>
          <c:spPr>
            <a:ln w="3175" cap="flat" cmpd="sng" algn="ctr">
              <a:solidFill>
                <a:srgbClr val="D9D9D9"/>
              </a:solidFill>
              <a:prstDash val="lgDash"/>
              <a:round/>
            </a:ln>
            <a:effectLst/>
          </c:spPr>
        </c:majorGridlines>
        <c:numFmt formatCode="0%" sourceLinked="0"/>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605384863"/>
        <c:crosses val="autoZero"/>
        <c:crossBetween val="between"/>
      </c:valAx>
      <c:valAx>
        <c:axId val="571427263"/>
        <c:scaling>
          <c:orientation val="minMax"/>
        </c:scaling>
        <c:delete val="0"/>
        <c:axPos val="r"/>
        <c:numFmt formatCode="_(* #,##0.0_);_(* \(#,##0.0\);_(* &quot;—&quot;_);_(@_)" sourceLinked="1"/>
        <c:majorTickMark val="out"/>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UniversNext for MORNPC Cn"/>
                <a:ea typeface="UniversNext for MORNPC Cn"/>
                <a:cs typeface="UniversNext for MORNPC Cn"/>
              </a:defRPr>
            </a:pPr>
            <a:endParaRPr lang="en-US"/>
          </a:p>
        </c:txPr>
        <c:crossAx val="426345599"/>
        <c:crosses val="max"/>
        <c:crossBetween val="between"/>
      </c:valAx>
      <c:catAx>
        <c:axId val="426345599"/>
        <c:scaling>
          <c:orientation val="minMax"/>
        </c:scaling>
        <c:delete val="1"/>
        <c:axPos val="b"/>
        <c:numFmt formatCode="General" sourceLinked="1"/>
        <c:majorTickMark val="out"/>
        <c:minorTickMark val="none"/>
        <c:tickLblPos val="nextTo"/>
        <c:crossAx val="571427263"/>
        <c:crosses val="autoZero"/>
        <c:auto val="1"/>
        <c:lblAlgn val="ctr"/>
        <c:lblOffset val="100"/>
        <c:noMultiLvlLbl val="0"/>
      </c:catAx>
      <c:spPr>
        <a:solidFill>
          <a:srgbClr val="FFFFFF"/>
        </a:solidFill>
        <a:ln w="25400">
          <a:noFill/>
        </a:ln>
        <a:effectLst/>
      </c:spPr>
    </c:plotArea>
    <c:legend>
      <c:legendPos val="t"/>
      <c:layout>
        <c:manualLayout>
          <c:xMode val="edge"/>
          <c:yMode val="edge"/>
          <c:x val="0"/>
          <c:y val="2.3148148148148147E-2"/>
          <c:w val="1"/>
          <c:h val="9.542357673434231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ORN Intrinsic" panose="020B0504010101010104" pitchFamily="34" charset="0"/>
              <a:ea typeface="UniversNext for MORNPC Cn"/>
              <a:cs typeface="UniversNext for MORNPC Cn"/>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950524403073101E-2"/>
          <c:y val="0.17470005425501156"/>
          <c:w val="0.93204947559692686"/>
          <c:h val="0.74935159305059362"/>
        </c:manualLayout>
      </c:layout>
      <c:barChart>
        <c:barDir val="col"/>
        <c:grouping val="stacked"/>
        <c:varyColors val="0"/>
        <c:ser>
          <c:idx val="0"/>
          <c:order val="0"/>
          <c:tx>
            <c:strRef>
              <c:f>ROIC!$B$335</c:f>
              <c:strCache>
                <c:ptCount val="1"/>
                <c:pt idx="0">
                  <c:v>Net Invested Capital (Adjusted Book Value)/Share</c:v>
                </c:pt>
              </c:strCache>
            </c:strRef>
          </c:tx>
          <c:spPr>
            <a:solidFill>
              <a:schemeClr val="tx1">
                <a:lumMod val="50000"/>
                <a:lumOff val="50000"/>
              </a:schemeClr>
            </a:solidFill>
            <a:ln w="25400">
              <a:solidFill>
                <a:schemeClr val="tx1">
                  <a:lumMod val="50000"/>
                  <a:lumOff val="50000"/>
                </a:schemeClr>
              </a:solidFill>
              <a:prstDash val="solid"/>
            </a:ln>
            <a:effectLst/>
          </c:spPr>
          <c:invertIfNegative val="0"/>
          <c:dPt>
            <c:idx val="10"/>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1-C7E9-40A4-9A20-C5F95D1D222E}"/>
              </c:ext>
            </c:extLst>
          </c:dPt>
          <c:dPt>
            <c:idx val="11"/>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3-C7E9-40A4-9A20-C5F95D1D222E}"/>
              </c:ext>
            </c:extLst>
          </c:dPt>
          <c:dPt>
            <c:idx val="12"/>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5-C7E9-40A4-9A20-C5F95D1D222E}"/>
              </c:ext>
            </c:extLst>
          </c:dPt>
          <c:dPt>
            <c:idx val="13"/>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7-C7E9-40A4-9A20-C5F95D1D222E}"/>
              </c:ext>
            </c:extLst>
          </c:dPt>
          <c:dPt>
            <c:idx val="14"/>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9-C7E9-40A4-9A20-C5F95D1D222E}"/>
              </c:ext>
            </c:extLst>
          </c:dPt>
          <c:dPt>
            <c:idx val="15"/>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B-C7E9-40A4-9A20-C5F95D1D222E}"/>
              </c:ext>
            </c:extLst>
          </c:dPt>
          <c:dPt>
            <c:idx val="16"/>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D-C7E9-40A4-9A20-C5F95D1D222E}"/>
              </c:ext>
            </c:extLst>
          </c:dPt>
          <c:dPt>
            <c:idx val="17"/>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0F-C7E9-40A4-9A20-C5F95D1D222E}"/>
              </c:ext>
            </c:extLst>
          </c:dPt>
          <c:dPt>
            <c:idx val="18"/>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11-C7E9-40A4-9A20-C5F95D1D222E}"/>
              </c:ext>
            </c:extLst>
          </c:dPt>
          <c:dPt>
            <c:idx val="19"/>
            <c:invertIfNegative val="0"/>
            <c:bubble3D val="0"/>
            <c:spPr>
              <a:solidFill>
                <a:schemeClr val="tx1">
                  <a:lumMod val="50000"/>
                  <a:lumOff val="50000"/>
                  <a:alpha val="50000"/>
                </a:schemeClr>
              </a:solidFill>
              <a:ln w="25400">
                <a:solidFill>
                  <a:schemeClr val="tx1">
                    <a:lumMod val="50000"/>
                    <a:lumOff val="50000"/>
                  </a:schemeClr>
                </a:solidFill>
                <a:prstDash val="solid"/>
              </a:ln>
              <a:effectLst/>
            </c:spPr>
            <c:extLst>
              <c:ext xmlns:c16="http://schemas.microsoft.com/office/drawing/2014/chart" uri="{C3380CC4-5D6E-409C-BE32-E72D297353CC}">
                <c16:uniqueId val="{00000013-C7E9-40A4-9A20-C5F95D1D222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ROIC!ROICChart5Series1</c:f>
              <c:numCache>
                <c:formatCode>_(* #,##0.00_);_(* \(#,##0.00\);_(* "—"_);_(@_)</c:formatCode>
                <c:ptCount val="20"/>
                <c:pt idx="0">
                  <c:v>0</c:v>
                </c:pt>
                <c:pt idx="1">
                  <c:v>0</c:v>
                </c:pt>
                <c:pt idx="2">
                  <c:v>0</c:v>
                </c:pt>
                <c:pt idx="3">
                  <c:v>0</c:v>
                </c:pt>
                <c:pt idx="4">
                  <c:v>0</c:v>
                </c:pt>
                <c:pt idx="5">
                  <c:v>0</c:v>
                </c:pt>
                <c:pt idx="6">
                  <c:v>31860.694511753081</c:v>
                </c:pt>
                <c:pt idx="7">
                  <c:v>32522.229063653038</c:v>
                </c:pt>
                <c:pt idx="8">
                  <c:v>50491.260576555498</c:v>
                </c:pt>
                <c:pt idx="9">
                  <c:v>58092.854243154041</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14-C7E9-40A4-9A20-C5F95D1D222E}"/>
            </c:ext>
          </c:extLst>
        </c:ser>
        <c:ser>
          <c:idx val="1"/>
          <c:order val="1"/>
          <c:tx>
            <c:strRef>
              <c:f>ROIC!$B$336</c:f>
              <c:strCache>
                <c:ptCount val="1"/>
                <c:pt idx="0">
                  <c:v>Net Invested Capital ROIC-Implied Fair Value/Share</c:v>
                </c:pt>
              </c:strCache>
            </c:strRef>
          </c:tx>
          <c:spPr>
            <a:solidFill>
              <a:srgbClr val="FF0000"/>
            </a:solidFill>
            <a:ln w="25400">
              <a:solidFill>
                <a:srgbClr val="FF0000"/>
              </a:solidFill>
              <a:prstDash val="solid"/>
            </a:ln>
            <a:effectLst/>
          </c:spPr>
          <c:invertIfNegative val="0"/>
          <c:dPt>
            <c:idx val="10"/>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16-C7E9-40A4-9A20-C5F95D1D222E}"/>
              </c:ext>
            </c:extLst>
          </c:dPt>
          <c:dPt>
            <c:idx val="11"/>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18-C7E9-40A4-9A20-C5F95D1D222E}"/>
              </c:ext>
            </c:extLst>
          </c:dPt>
          <c:dPt>
            <c:idx val="12"/>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1A-C7E9-40A4-9A20-C5F95D1D222E}"/>
              </c:ext>
            </c:extLst>
          </c:dPt>
          <c:dPt>
            <c:idx val="13"/>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1C-C7E9-40A4-9A20-C5F95D1D222E}"/>
              </c:ext>
            </c:extLst>
          </c:dPt>
          <c:dPt>
            <c:idx val="14"/>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1E-C7E9-40A4-9A20-C5F95D1D222E}"/>
              </c:ext>
            </c:extLst>
          </c:dPt>
          <c:dPt>
            <c:idx val="15"/>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20-C7E9-40A4-9A20-C5F95D1D222E}"/>
              </c:ext>
            </c:extLst>
          </c:dPt>
          <c:dPt>
            <c:idx val="16"/>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22-C7E9-40A4-9A20-C5F95D1D222E}"/>
              </c:ext>
            </c:extLst>
          </c:dPt>
          <c:dPt>
            <c:idx val="17"/>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24-C7E9-40A4-9A20-C5F95D1D222E}"/>
              </c:ext>
            </c:extLst>
          </c:dPt>
          <c:dPt>
            <c:idx val="18"/>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26-C7E9-40A4-9A20-C5F95D1D222E}"/>
              </c:ext>
            </c:extLst>
          </c:dPt>
          <c:dPt>
            <c:idx val="19"/>
            <c:invertIfNegative val="0"/>
            <c:bubble3D val="0"/>
            <c:spPr>
              <a:solidFill>
                <a:srgbClr val="FF0000">
                  <a:alpha val="50000"/>
                </a:srgbClr>
              </a:solidFill>
              <a:ln w="25400">
                <a:solidFill>
                  <a:srgbClr val="FF0000"/>
                </a:solidFill>
                <a:prstDash val="solid"/>
              </a:ln>
              <a:effectLst/>
            </c:spPr>
            <c:extLst>
              <c:ext xmlns:c16="http://schemas.microsoft.com/office/drawing/2014/chart" uri="{C3380CC4-5D6E-409C-BE32-E72D297353CC}">
                <c16:uniqueId val="{00000028-C7E9-40A4-9A20-C5F95D1D222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ROIC!ROICChart5Series2</c:f>
              <c:numCache>
                <c:formatCode>_(* #,##0.00_);_(* \(#,##0.00\);_(*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9-C7E9-40A4-9A20-C5F95D1D222E}"/>
            </c:ext>
          </c:extLst>
        </c:ser>
        <c:dLbls>
          <c:showLegendKey val="0"/>
          <c:showVal val="0"/>
          <c:showCatName val="0"/>
          <c:showSerName val="0"/>
          <c:showPercent val="0"/>
          <c:showBubbleSize val="0"/>
        </c:dLbls>
        <c:gapWidth val="150"/>
        <c:overlap val="100"/>
        <c:axId val="1242142079"/>
        <c:axId val="1682666271"/>
      </c:barChart>
      <c:lineChart>
        <c:grouping val="standard"/>
        <c:varyColors val="0"/>
        <c:ser>
          <c:idx val="2"/>
          <c:order val="2"/>
          <c:tx>
            <c:strRef>
              <c:f>ROIC!$B$320</c:f>
              <c:strCache>
                <c:ptCount val="1"/>
                <c:pt idx="0">
                  <c:v>Share Price (+90 Days; Trailing 30 Day VWAP)</c:v>
                </c:pt>
              </c:strCache>
            </c:strRef>
          </c:tx>
          <c:spPr>
            <a:ln w="25400" cap="rnd">
              <a:solidFill>
                <a:schemeClr val="tx1"/>
              </a:solidFill>
              <a:prstDash val="solid"/>
              <a:round/>
            </a:ln>
            <a:effectLst/>
          </c:spPr>
          <c:marker>
            <c:symbol val="none"/>
          </c:marker>
          <c:dPt>
            <c:idx val="10"/>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2B-C7E9-40A4-9A20-C5F95D1D222E}"/>
              </c:ext>
            </c:extLst>
          </c:dPt>
          <c:dPt>
            <c:idx val="11"/>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2D-C7E9-40A4-9A20-C5F95D1D222E}"/>
              </c:ext>
            </c:extLst>
          </c:dPt>
          <c:dPt>
            <c:idx val="12"/>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2F-C7E9-40A4-9A20-C5F95D1D222E}"/>
              </c:ext>
            </c:extLst>
          </c:dPt>
          <c:dPt>
            <c:idx val="13"/>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1-C7E9-40A4-9A20-C5F95D1D222E}"/>
              </c:ext>
            </c:extLst>
          </c:dPt>
          <c:dPt>
            <c:idx val="14"/>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3-C7E9-40A4-9A20-C5F95D1D222E}"/>
              </c:ext>
            </c:extLst>
          </c:dPt>
          <c:dPt>
            <c:idx val="15"/>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5-C7E9-40A4-9A20-C5F95D1D222E}"/>
              </c:ext>
            </c:extLst>
          </c:dPt>
          <c:dPt>
            <c:idx val="16"/>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7-C7E9-40A4-9A20-C5F95D1D222E}"/>
              </c:ext>
            </c:extLst>
          </c:dPt>
          <c:dPt>
            <c:idx val="17"/>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9-C7E9-40A4-9A20-C5F95D1D222E}"/>
              </c:ext>
            </c:extLst>
          </c:dPt>
          <c:dPt>
            <c:idx val="18"/>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B-C7E9-40A4-9A20-C5F95D1D222E}"/>
              </c:ext>
            </c:extLst>
          </c:dPt>
          <c:dPt>
            <c:idx val="19"/>
            <c:marker>
              <c:symbol val="none"/>
            </c:marker>
            <c:bubble3D val="0"/>
            <c:spPr>
              <a:ln w="25400" cap="rnd">
                <a:solidFill>
                  <a:schemeClr val="tx1"/>
                </a:solidFill>
                <a:prstDash val="sysDot"/>
                <a:round/>
              </a:ln>
              <a:effectLst/>
            </c:spPr>
            <c:extLst>
              <c:ext xmlns:c16="http://schemas.microsoft.com/office/drawing/2014/chart" uri="{C3380CC4-5D6E-409C-BE32-E72D297353CC}">
                <c16:uniqueId val="{0000003D-C7E9-40A4-9A20-C5F95D1D222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ROIC!ROICChart5Series3</c:f>
              <c:numCache>
                <c:formatCode>_("$"* #,##0.00_);_("$"* \(#,##0.00\);_("$"* "-"??_);_(@_)</c:formatCode>
                <c:ptCount val="20"/>
                <c:pt idx="0">
                  <c:v>0</c:v>
                </c:pt>
                <c:pt idx="1">
                  <c:v>0</c:v>
                </c:pt>
                <c:pt idx="2">
                  <c:v>0</c:v>
                </c:pt>
                <c:pt idx="3">
                  <c:v>0</c:v>
                </c:pt>
                <c:pt idx="4">
                  <c:v>0</c:v>
                </c:pt>
                <c:pt idx="5">
                  <c:v>0</c:v>
                </c:pt>
                <c:pt idx="6">
                  <c:v>0</c:v>
                </c:pt>
                <c:pt idx="7">
                  <c:v>0</c:v>
                </c:pt>
                <c:pt idx="8">
                  <c:v>0</c:v>
                </c:pt>
                <c:pt idx="9">
                  <c:v>0</c:v>
                </c:pt>
                <c:pt idx="10" formatCode="#,##0.00_);\(#,##0.00\)">
                  <c:v>0</c:v>
                </c:pt>
                <c:pt idx="11" formatCode="#,##0.00_);\(#,##0.00\)">
                  <c:v>0</c:v>
                </c:pt>
                <c:pt idx="12" formatCode="#,##0.00_);\(#,##0.00\)">
                  <c:v>0</c:v>
                </c:pt>
                <c:pt idx="13" formatCode="#,##0.00_);\(#,##0.00\)">
                  <c:v>0</c:v>
                </c:pt>
                <c:pt idx="14" formatCode="#,##0.00_);\(#,##0.00\)">
                  <c:v>0</c:v>
                </c:pt>
                <c:pt idx="15" formatCode="#,##0.00_);\(#,##0.00\)">
                  <c:v>0</c:v>
                </c:pt>
                <c:pt idx="16" formatCode="#,##0.00_);\(#,##0.00\)">
                  <c:v>0</c:v>
                </c:pt>
                <c:pt idx="17" formatCode="#,##0.00_);\(#,##0.00\)">
                  <c:v>0</c:v>
                </c:pt>
                <c:pt idx="18" formatCode="#,##0.00_);\(#,##0.00\)">
                  <c:v>0</c:v>
                </c:pt>
                <c:pt idx="19" formatCode="#,##0.00_);\(#,##0.00\)">
                  <c:v>0</c:v>
                </c:pt>
              </c:numCache>
            </c:numRef>
          </c:val>
          <c:smooth val="0"/>
          <c:extLst>
            <c:ext xmlns:c16="http://schemas.microsoft.com/office/drawing/2014/chart" uri="{C3380CC4-5D6E-409C-BE32-E72D297353CC}">
              <c16:uniqueId val="{0000003E-C7E9-40A4-9A20-C5F95D1D222E}"/>
            </c:ext>
          </c:extLst>
        </c:ser>
        <c:ser>
          <c:idx val="3"/>
          <c:order val="3"/>
          <c:tx>
            <c:strRef>
              <c:f>ROIC!$B$324</c:f>
              <c:strCache>
                <c:ptCount val="1"/>
                <c:pt idx="0">
                  <c:v>Current Share Price</c:v>
                </c:pt>
              </c:strCache>
            </c:strRef>
          </c:tx>
          <c:spPr>
            <a:ln w="28575" cap="rnd">
              <a:noFill/>
              <a:round/>
            </a:ln>
            <a:effectLst/>
          </c:spPr>
          <c:marker>
            <c:symbol val="circle"/>
            <c:size val="6"/>
            <c:spPr>
              <a:solidFill>
                <a:schemeClr val="accent4"/>
              </a:solidFill>
              <a:ln w="9525">
                <a:solidFill>
                  <a:schemeClr val="accent4"/>
                </a:solidFill>
              </a:ln>
              <a:effectLst/>
            </c:spPr>
          </c:marker>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numRef>
          </c:cat>
          <c:val>
            <c:numRef>
              <c:f>ROIC!$J$324:$X$324</c:f>
              <c:numCache>
                <c:formatCode>General</c:formatCode>
                <c:ptCount val="15"/>
              </c:numCache>
            </c:numRef>
          </c:val>
          <c:smooth val="0"/>
          <c:extLst>
            <c:ext xmlns:c16="http://schemas.microsoft.com/office/drawing/2014/chart" uri="{C3380CC4-5D6E-409C-BE32-E72D297353CC}">
              <c16:uniqueId val="{0000003F-C7E9-40A4-9A20-C5F95D1D222E}"/>
            </c:ext>
          </c:extLst>
        </c:ser>
        <c:dLbls>
          <c:showLegendKey val="0"/>
          <c:showVal val="0"/>
          <c:showCatName val="0"/>
          <c:showSerName val="0"/>
          <c:showPercent val="0"/>
          <c:showBubbleSize val="0"/>
        </c:dLbls>
        <c:marker val="1"/>
        <c:smooth val="0"/>
        <c:axId val="1242142079"/>
        <c:axId val="1682666271"/>
      </c:lineChart>
      <c:catAx>
        <c:axId val="1242142079"/>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682666271"/>
        <c:crosses val="autoZero"/>
        <c:auto val="1"/>
        <c:lblAlgn val="ctr"/>
        <c:lblOffset val="100"/>
        <c:noMultiLvlLbl val="0"/>
      </c:catAx>
      <c:valAx>
        <c:axId val="1682666271"/>
        <c:scaling>
          <c:orientation val="minMax"/>
        </c:scaling>
        <c:delete val="0"/>
        <c:axPos val="l"/>
        <c:majorGridlines>
          <c:spPr>
            <a:ln w="3175" cap="flat" cmpd="sng" algn="ctr">
              <a:solidFill>
                <a:srgbClr val="D9D9D9"/>
              </a:solidFill>
              <a:prstDash val="lgDash"/>
              <a:round/>
            </a:ln>
            <a:effectLst/>
          </c:spPr>
        </c:majorGridlines>
        <c:numFmt formatCode="_(* #,##0.00_);_(* \(#,##0.00\);_(* &quot;—&quot;_);_(@_)" sourceLinked="1"/>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242142079"/>
        <c:crosses val="autoZero"/>
        <c:crossBetween val="between"/>
      </c:valAx>
      <c:spPr>
        <a:solidFill>
          <a:srgbClr val="FFFFFF"/>
        </a:solidFill>
        <a:ln w="25400">
          <a:noFill/>
        </a:ln>
        <a:effectLst/>
      </c:spPr>
    </c:plotArea>
    <c:legend>
      <c:legendPos val="t"/>
      <c:layout>
        <c:manualLayout>
          <c:xMode val="edge"/>
          <c:yMode val="edge"/>
          <c:x val="5.7272195709631123E-3"/>
          <c:y val="7.4683204921965419E-4"/>
          <c:w val="0.73276162595060235"/>
          <c:h val="0.136984418888428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ORN Intrinsic" panose="020B0504010101010104" pitchFamily="34" charset="0"/>
              <a:ea typeface="UniversNext for MORNPC Cn"/>
              <a:cs typeface="UniversNext for MORNPC Cn"/>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180259815450522E-2"/>
          <c:y val="0.13824052336693918"/>
          <c:w val="0.97360690957308504"/>
          <c:h val="0.78363771608194488"/>
        </c:manualLayout>
      </c:layout>
      <c:barChart>
        <c:barDir val="col"/>
        <c:grouping val="stacked"/>
        <c:varyColors val="0"/>
        <c:ser>
          <c:idx val="0"/>
          <c:order val="0"/>
          <c:tx>
            <c:strRef>
              <c:f>ROIC!$B$279</c:f>
              <c:strCache>
                <c:ptCount val="1"/>
                <c:pt idx="0">
                  <c:v>Operating Cash</c:v>
                </c:pt>
              </c:strCache>
            </c:strRef>
          </c:tx>
          <c:spPr>
            <a:solidFill>
              <a:srgbClr val="728FB2"/>
            </a:solidFill>
            <a:ln w="25400">
              <a:noFill/>
            </a:ln>
            <a:effectLst/>
          </c:spPr>
          <c:invertIfNegative val="0"/>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ROIC!OCash</c:f>
              <c:numCache>
                <c:formatCode>_(* #,##0_);_(* \(#,##0\);_(* "—"_);_(@_)</c:formatCode>
                <c:ptCount val="20"/>
                <c:pt idx="0">
                  <c:v>0</c:v>
                </c:pt>
                <c:pt idx="1">
                  <c:v>0</c:v>
                </c:pt>
                <c:pt idx="2">
                  <c:v>0</c:v>
                </c:pt>
                <c:pt idx="3">
                  <c:v>0</c:v>
                </c:pt>
                <c:pt idx="4">
                  <c:v>171236.25</c:v>
                </c:pt>
                <c:pt idx="5">
                  <c:v>1088178.75</c:v>
                </c:pt>
                <c:pt idx="6">
                  <c:v>796806.45</c:v>
                </c:pt>
                <c:pt idx="7">
                  <c:v>860755.65</c:v>
                </c:pt>
                <c:pt idx="8">
                  <c:v>1473634.5</c:v>
                </c:pt>
                <c:pt idx="9">
                  <c:v>1789430.25</c:v>
                </c:pt>
                <c:pt idx="10">
                  <c:v>1695222.3042604418</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317C-437B-83A0-E02A55A1F0EE}"/>
            </c:ext>
          </c:extLst>
        </c:ser>
        <c:ser>
          <c:idx val="1"/>
          <c:order val="1"/>
          <c:tx>
            <c:strRef>
              <c:f>ROIC!$B$280</c:f>
              <c:strCache>
                <c:ptCount val="1"/>
                <c:pt idx="0">
                  <c:v>Working Capital, Ex. Cash</c:v>
                </c:pt>
              </c:strCache>
            </c:strRef>
          </c:tx>
          <c:spPr>
            <a:solidFill>
              <a:srgbClr val="002060"/>
            </a:solidFill>
            <a:ln w="25400">
              <a:solidFill>
                <a:srgbClr val="002060"/>
              </a:solidFill>
            </a:ln>
            <a:effectLst/>
          </c:spPr>
          <c:invertIfNegative val="0"/>
          <c:dPt>
            <c:idx val="10"/>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2-317C-437B-83A0-E02A55A1F0EE}"/>
              </c:ext>
            </c:extLst>
          </c:dPt>
          <c:dPt>
            <c:idx val="11"/>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4-317C-437B-83A0-E02A55A1F0EE}"/>
              </c:ext>
            </c:extLst>
          </c:dPt>
          <c:dPt>
            <c:idx val="12"/>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6-317C-437B-83A0-E02A55A1F0EE}"/>
              </c:ext>
            </c:extLst>
          </c:dPt>
          <c:dPt>
            <c:idx val="13"/>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8-317C-437B-83A0-E02A55A1F0EE}"/>
              </c:ext>
            </c:extLst>
          </c:dPt>
          <c:dPt>
            <c:idx val="14"/>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A-317C-437B-83A0-E02A55A1F0EE}"/>
              </c:ext>
            </c:extLst>
          </c:dPt>
          <c:dPt>
            <c:idx val="15"/>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C-317C-437B-83A0-E02A55A1F0EE}"/>
              </c:ext>
            </c:extLst>
          </c:dPt>
          <c:dPt>
            <c:idx val="16"/>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0E-317C-437B-83A0-E02A55A1F0EE}"/>
              </c:ext>
            </c:extLst>
          </c:dPt>
          <c:dPt>
            <c:idx val="17"/>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10-317C-437B-83A0-E02A55A1F0EE}"/>
              </c:ext>
            </c:extLst>
          </c:dPt>
          <c:dPt>
            <c:idx val="18"/>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12-317C-437B-83A0-E02A55A1F0EE}"/>
              </c:ext>
            </c:extLst>
          </c:dPt>
          <c:dPt>
            <c:idx val="19"/>
            <c:invertIfNegative val="0"/>
            <c:bubble3D val="0"/>
            <c:spPr>
              <a:solidFill>
                <a:srgbClr val="002060">
                  <a:alpha val="50000"/>
                </a:srgbClr>
              </a:solidFill>
              <a:ln w="25400">
                <a:solidFill>
                  <a:srgbClr val="002060"/>
                </a:solidFill>
              </a:ln>
              <a:effectLst/>
            </c:spPr>
            <c:extLst>
              <c:ext xmlns:c16="http://schemas.microsoft.com/office/drawing/2014/chart" uri="{C3380CC4-5D6E-409C-BE32-E72D297353CC}">
                <c16:uniqueId val="{00000014-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ROIC!WC</c:f>
              <c:numCache>
                <c:formatCode>_(* #,##0_);_(* \(#,##0\);_(* "—"_);_(@_)</c:formatCode>
                <c:ptCount val="20"/>
                <c:pt idx="0">
                  <c:v>0</c:v>
                </c:pt>
                <c:pt idx="1">
                  <c:v>0</c:v>
                </c:pt>
                <c:pt idx="2">
                  <c:v>0</c:v>
                </c:pt>
                <c:pt idx="3">
                  <c:v>0</c:v>
                </c:pt>
                <c:pt idx="4">
                  <c:v>-293223.75</c:v>
                </c:pt>
                <c:pt idx="5">
                  <c:v>5890956.25</c:v>
                </c:pt>
                <c:pt idx="6">
                  <c:v>613794.14999999967</c:v>
                </c:pt>
                <c:pt idx="7">
                  <c:v>309863.55000000016</c:v>
                </c:pt>
                <c:pt idx="8">
                  <c:v>1138424.5</c:v>
                </c:pt>
                <c:pt idx="9">
                  <c:v>1479318</c:v>
                </c:pt>
                <c:pt idx="10">
                  <c:v>1412994.1985890728</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15-317C-437B-83A0-E02A55A1F0EE}"/>
            </c:ext>
          </c:extLst>
        </c:ser>
        <c:ser>
          <c:idx val="2"/>
          <c:order val="2"/>
          <c:tx>
            <c:strRef>
              <c:f>ROIC!$B$281</c:f>
              <c:strCache>
                <c:ptCount val="1"/>
                <c:pt idx="0">
                  <c:v>PP&amp;E, Net; Including Leases</c:v>
                </c:pt>
              </c:strCache>
            </c:strRef>
          </c:tx>
          <c:spPr>
            <a:solidFill>
              <a:srgbClr val="FF0000"/>
            </a:solidFill>
            <a:ln w="25400">
              <a:solidFill>
                <a:srgbClr val="FF0000"/>
              </a:solidFill>
            </a:ln>
            <a:effectLst/>
          </c:spPr>
          <c:invertIfNegative val="0"/>
          <c:dPt>
            <c:idx val="10"/>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7-317C-437B-83A0-E02A55A1F0EE}"/>
              </c:ext>
            </c:extLst>
          </c:dPt>
          <c:dPt>
            <c:idx val="11"/>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9-317C-437B-83A0-E02A55A1F0EE}"/>
              </c:ext>
            </c:extLst>
          </c:dPt>
          <c:dPt>
            <c:idx val="12"/>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B-317C-437B-83A0-E02A55A1F0EE}"/>
              </c:ext>
            </c:extLst>
          </c:dPt>
          <c:dPt>
            <c:idx val="13"/>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D-317C-437B-83A0-E02A55A1F0EE}"/>
              </c:ext>
            </c:extLst>
          </c:dPt>
          <c:dPt>
            <c:idx val="14"/>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F-317C-437B-83A0-E02A55A1F0EE}"/>
              </c:ext>
            </c:extLst>
          </c:dPt>
          <c:dPt>
            <c:idx val="15"/>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1-317C-437B-83A0-E02A55A1F0EE}"/>
              </c:ext>
            </c:extLst>
          </c:dPt>
          <c:dPt>
            <c:idx val="16"/>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3-317C-437B-83A0-E02A55A1F0EE}"/>
              </c:ext>
            </c:extLst>
          </c:dPt>
          <c:dPt>
            <c:idx val="17"/>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5-317C-437B-83A0-E02A55A1F0EE}"/>
              </c:ext>
            </c:extLst>
          </c:dPt>
          <c:dPt>
            <c:idx val="18"/>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7-317C-437B-83A0-E02A55A1F0EE}"/>
              </c:ext>
            </c:extLst>
          </c:dPt>
          <c:dPt>
            <c:idx val="19"/>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29-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ROIC!PPE</c:f>
              <c:numCache>
                <c:formatCode>_(* #,##0_);_(* \(#,##0\);_(* "—"_);_(@_)</c:formatCode>
                <c:ptCount val="20"/>
                <c:pt idx="0">
                  <c:v>0</c:v>
                </c:pt>
                <c:pt idx="1">
                  <c:v>0</c:v>
                </c:pt>
                <c:pt idx="2">
                  <c:v>0</c:v>
                </c:pt>
                <c:pt idx="3">
                  <c:v>0</c:v>
                </c:pt>
                <c:pt idx="4">
                  <c:v>0</c:v>
                </c:pt>
                <c:pt idx="5">
                  <c:v>0</c:v>
                </c:pt>
                <c:pt idx="6">
                  <c:v>170.50299999999999</c:v>
                </c:pt>
                <c:pt idx="7">
                  <c:v>150.095</c:v>
                </c:pt>
                <c:pt idx="8">
                  <c:v>157.61500000000001</c:v>
                </c:pt>
                <c:pt idx="9">
                  <c:v>241.21</c:v>
                </c:pt>
                <c:pt idx="10">
                  <c:v>28193.644941571689</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A-317C-437B-83A0-E02A55A1F0EE}"/>
            </c:ext>
          </c:extLst>
        </c:ser>
        <c:ser>
          <c:idx val="3"/>
          <c:order val="3"/>
          <c:tx>
            <c:strRef>
              <c:f>ROIC!$B$282</c:f>
              <c:strCache>
                <c:ptCount val="1"/>
                <c:pt idx="0">
                  <c:v>GAAP Intangible Assets</c:v>
                </c:pt>
              </c:strCache>
            </c:strRef>
          </c:tx>
          <c:spPr>
            <a:solidFill>
              <a:schemeClr val="bg1">
                <a:lumMod val="50000"/>
              </a:schemeClr>
            </a:solidFill>
            <a:ln w="25400">
              <a:solidFill>
                <a:schemeClr val="bg1">
                  <a:lumMod val="50000"/>
                </a:schemeClr>
              </a:solidFill>
            </a:ln>
            <a:effectLst/>
          </c:spPr>
          <c:invertIfNegative val="0"/>
          <c:dPt>
            <c:idx val="10"/>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2C-317C-437B-83A0-E02A55A1F0EE}"/>
              </c:ext>
            </c:extLst>
          </c:dPt>
          <c:dPt>
            <c:idx val="11"/>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2E-317C-437B-83A0-E02A55A1F0EE}"/>
              </c:ext>
            </c:extLst>
          </c:dPt>
          <c:dPt>
            <c:idx val="12"/>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0-317C-437B-83A0-E02A55A1F0EE}"/>
              </c:ext>
            </c:extLst>
          </c:dPt>
          <c:dPt>
            <c:idx val="13"/>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2-317C-437B-83A0-E02A55A1F0EE}"/>
              </c:ext>
            </c:extLst>
          </c:dPt>
          <c:dPt>
            <c:idx val="14"/>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4-317C-437B-83A0-E02A55A1F0EE}"/>
              </c:ext>
            </c:extLst>
          </c:dPt>
          <c:dPt>
            <c:idx val="15"/>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6-317C-437B-83A0-E02A55A1F0EE}"/>
              </c:ext>
            </c:extLst>
          </c:dPt>
          <c:dPt>
            <c:idx val="16"/>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8-317C-437B-83A0-E02A55A1F0EE}"/>
              </c:ext>
            </c:extLst>
          </c:dPt>
          <c:dPt>
            <c:idx val="17"/>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A-317C-437B-83A0-E02A55A1F0EE}"/>
              </c:ext>
            </c:extLst>
          </c:dPt>
          <c:dPt>
            <c:idx val="18"/>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C-317C-437B-83A0-E02A55A1F0EE}"/>
              </c:ext>
            </c:extLst>
          </c:dPt>
          <c:dPt>
            <c:idx val="19"/>
            <c:invertIfNegative val="0"/>
            <c:bubble3D val="0"/>
            <c:spPr>
              <a:solidFill>
                <a:schemeClr val="bg1">
                  <a:lumMod val="50000"/>
                  <a:alpha val="50000"/>
                </a:schemeClr>
              </a:solidFill>
              <a:ln w="25400">
                <a:solidFill>
                  <a:schemeClr val="bg1">
                    <a:lumMod val="50000"/>
                  </a:schemeClr>
                </a:solidFill>
              </a:ln>
              <a:effectLst/>
            </c:spPr>
            <c:extLst>
              <c:ext xmlns:c16="http://schemas.microsoft.com/office/drawing/2014/chart" uri="{C3380CC4-5D6E-409C-BE32-E72D297353CC}">
                <c16:uniqueId val="{0000003E-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ROIC!GAAPIA</c:f>
              <c:numCache>
                <c:formatCode>_(* #,##0_);_(* \(#,##0\);_(* "—"_);_(@_)</c:formatCode>
                <c:ptCount val="20"/>
                <c:pt idx="0">
                  <c:v>0</c:v>
                </c:pt>
                <c:pt idx="1">
                  <c:v>0</c:v>
                </c:pt>
                <c:pt idx="2">
                  <c:v>0</c:v>
                </c:pt>
                <c:pt idx="3">
                  <c:v>0</c:v>
                </c:pt>
                <c:pt idx="4">
                  <c:v>0</c:v>
                </c:pt>
                <c:pt idx="5">
                  <c:v>0</c:v>
                </c:pt>
                <c:pt idx="6">
                  <c:v>70.137</c:v>
                </c:pt>
                <c:pt idx="7">
                  <c:v>376.91899999999998</c:v>
                </c:pt>
                <c:pt idx="8">
                  <c:v>176.68900000000002</c:v>
                </c:pt>
                <c:pt idx="9">
                  <c:v>135.429</c:v>
                </c:pt>
                <c:pt idx="10">
                  <c:v>-138095.571</c:v>
                </c:pt>
                <c:pt idx="11">
                  <c:v>-268436.571</c:v>
                </c:pt>
                <c:pt idx="12">
                  <c:v>-395917.571</c:v>
                </c:pt>
                <c:pt idx="13">
                  <c:v>-519960.571</c:v>
                </c:pt>
                <c:pt idx="14">
                  <c:v>-643484.571</c:v>
                </c:pt>
                <c:pt idx="15">
                  <c:v>-760832.37100000004</c:v>
                </c:pt>
                <c:pt idx="16">
                  <c:v>-872312.78100000008</c:v>
                </c:pt>
                <c:pt idx="17">
                  <c:v>-978219.17050000001</c:v>
                </c:pt>
                <c:pt idx="18">
                  <c:v>-1078830.240525</c:v>
                </c:pt>
                <c:pt idx="19">
                  <c:v>-1174410.7570487501</c:v>
                </c:pt>
              </c:numCache>
            </c:numRef>
          </c:val>
          <c:extLst>
            <c:ext xmlns:c16="http://schemas.microsoft.com/office/drawing/2014/chart" uri="{C3380CC4-5D6E-409C-BE32-E72D297353CC}">
              <c16:uniqueId val="{0000003F-317C-437B-83A0-E02A55A1F0EE}"/>
            </c:ext>
          </c:extLst>
        </c:ser>
        <c:ser>
          <c:idx val="4"/>
          <c:order val="4"/>
          <c:tx>
            <c:strRef>
              <c:f>ROIC!$B$283</c:f>
              <c:strCache>
                <c:ptCount val="1"/>
                <c:pt idx="0">
                  <c:v>Goodwill</c:v>
                </c:pt>
              </c:strCache>
            </c:strRef>
          </c:tx>
          <c:spPr>
            <a:solidFill>
              <a:schemeClr val="bg1">
                <a:lumMod val="65000"/>
              </a:schemeClr>
            </a:solidFill>
            <a:ln w="25400">
              <a:solidFill>
                <a:schemeClr val="bg1">
                  <a:lumMod val="65000"/>
                </a:schemeClr>
              </a:solidFill>
            </a:ln>
            <a:effectLst/>
          </c:spPr>
          <c:invertIfNegative val="0"/>
          <c:dPt>
            <c:idx val="10"/>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1-317C-437B-83A0-E02A55A1F0EE}"/>
              </c:ext>
            </c:extLst>
          </c:dPt>
          <c:dPt>
            <c:idx val="11"/>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3-317C-437B-83A0-E02A55A1F0EE}"/>
              </c:ext>
            </c:extLst>
          </c:dPt>
          <c:dPt>
            <c:idx val="12"/>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5-317C-437B-83A0-E02A55A1F0EE}"/>
              </c:ext>
            </c:extLst>
          </c:dPt>
          <c:dPt>
            <c:idx val="13"/>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7-317C-437B-83A0-E02A55A1F0EE}"/>
              </c:ext>
            </c:extLst>
          </c:dPt>
          <c:dPt>
            <c:idx val="14"/>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9-317C-437B-83A0-E02A55A1F0EE}"/>
              </c:ext>
            </c:extLst>
          </c:dPt>
          <c:dPt>
            <c:idx val="15"/>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B-317C-437B-83A0-E02A55A1F0EE}"/>
              </c:ext>
            </c:extLst>
          </c:dPt>
          <c:dPt>
            <c:idx val="16"/>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D-317C-437B-83A0-E02A55A1F0EE}"/>
              </c:ext>
            </c:extLst>
          </c:dPt>
          <c:dPt>
            <c:idx val="17"/>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4F-317C-437B-83A0-E02A55A1F0EE}"/>
              </c:ext>
            </c:extLst>
          </c:dPt>
          <c:dPt>
            <c:idx val="18"/>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51-317C-437B-83A0-E02A55A1F0EE}"/>
              </c:ext>
            </c:extLst>
          </c:dPt>
          <c:dPt>
            <c:idx val="19"/>
            <c:invertIfNegative val="0"/>
            <c:bubble3D val="0"/>
            <c:spPr>
              <a:solidFill>
                <a:schemeClr val="bg1">
                  <a:lumMod val="65000"/>
                  <a:alpha val="50000"/>
                </a:schemeClr>
              </a:solidFill>
              <a:ln w="25400">
                <a:solidFill>
                  <a:schemeClr val="bg1">
                    <a:lumMod val="65000"/>
                  </a:schemeClr>
                </a:solidFill>
              </a:ln>
              <a:effectLst/>
            </c:spPr>
            <c:extLst>
              <c:ext xmlns:c16="http://schemas.microsoft.com/office/drawing/2014/chart" uri="{C3380CC4-5D6E-409C-BE32-E72D297353CC}">
                <c16:uniqueId val="{00000053-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ROIC!Goodwill</c:f>
              <c:numCache>
                <c:formatCode>_(* #,##0_);_(* \(#,##0\);_(* "—"_);_(@_)</c:formatCode>
                <c:ptCount val="20"/>
                <c:pt idx="0">
                  <c:v>0</c:v>
                </c:pt>
                <c:pt idx="1">
                  <c:v>0</c:v>
                </c:pt>
                <c:pt idx="2">
                  <c:v>0</c:v>
                </c:pt>
                <c:pt idx="3">
                  <c:v>0</c:v>
                </c:pt>
                <c:pt idx="4">
                  <c:v>0</c:v>
                </c:pt>
                <c:pt idx="5">
                  <c:v>0</c:v>
                </c:pt>
                <c:pt idx="6">
                  <c:v>54.695999999999998</c:v>
                </c:pt>
                <c:pt idx="7">
                  <c:v>77.212000000000003</c:v>
                </c:pt>
                <c:pt idx="8">
                  <c:v>625.75800000000004</c:v>
                </c:pt>
                <c:pt idx="9">
                  <c:v>1073.9059999999999</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54-317C-437B-83A0-E02A55A1F0EE}"/>
            </c:ext>
          </c:extLst>
        </c:ser>
        <c:ser>
          <c:idx val="5"/>
          <c:order val="5"/>
          <c:tx>
            <c:strRef>
              <c:f>ROIC!$B$284</c:f>
              <c:strCache>
                <c:ptCount val="1"/>
                <c:pt idx="0">
                  <c:v>Capitalized R&amp;D</c:v>
                </c:pt>
              </c:strCache>
            </c:strRef>
          </c:tx>
          <c:spPr>
            <a:solidFill>
              <a:schemeClr val="accent4">
                <a:lumMod val="60000"/>
                <a:lumOff val="40000"/>
              </a:schemeClr>
            </a:solidFill>
            <a:ln w="25400">
              <a:solidFill>
                <a:schemeClr val="accent4">
                  <a:lumMod val="60000"/>
                  <a:lumOff val="40000"/>
                </a:schemeClr>
              </a:solidFill>
            </a:ln>
            <a:effectLst/>
          </c:spPr>
          <c:invertIfNegative val="0"/>
          <c:dPt>
            <c:idx val="10"/>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56-317C-437B-83A0-E02A55A1F0EE}"/>
              </c:ext>
            </c:extLst>
          </c:dPt>
          <c:dPt>
            <c:idx val="11"/>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58-317C-437B-83A0-E02A55A1F0EE}"/>
              </c:ext>
            </c:extLst>
          </c:dPt>
          <c:dPt>
            <c:idx val="12"/>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5A-317C-437B-83A0-E02A55A1F0EE}"/>
              </c:ext>
            </c:extLst>
          </c:dPt>
          <c:dPt>
            <c:idx val="13"/>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5C-317C-437B-83A0-E02A55A1F0EE}"/>
              </c:ext>
            </c:extLst>
          </c:dPt>
          <c:dPt>
            <c:idx val="14"/>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5E-317C-437B-83A0-E02A55A1F0EE}"/>
              </c:ext>
            </c:extLst>
          </c:dPt>
          <c:dPt>
            <c:idx val="15"/>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60-317C-437B-83A0-E02A55A1F0EE}"/>
              </c:ext>
            </c:extLst>
          </c:dPt>
          <c:dPt>
            <c:idx val="16"/>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62-317C-437B-83A0-E02A55A1F0EE}"/>
              </c:ext>
            </c:extLst>
          </c:dPt>
          <c:dPt>
            <c:idx val="17"/>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64-317C-437B-83A0-E02A55A1F0EE}"/>
              </c:ext>
            </c:extLst>
          </c:dPt>
          <c:dPt>
            <c:idx val="18"/>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66-317C-437B-83A0-E02A55A1F0EE}"/>
              </c:ext>
            </c:extLst>
          </c:dPt>
          <c:dPt>
            <c:idx val="19"/>
            <c:invertIfNegative val="0"/>
            <c:bubble3D val="0"/>
            <c:spPr>
              <a:solidFill>
                <a:schemeClr val="accent4">
                  <a:lumMod val="60000"/>
                  <a:lumOff val="40000"/>
                  <a:alpha val="50000"/>
                </a:schemeClr>
              </a:solidFill>
              <a:ln w="25400">
                <a:solidFill>
                  <a:schemeClr val="accent4">
                    <a:lumMod val="60000"/>
                    <a:lumOff val="40000"/>
                  </a:schemeClr>
                </a:solidFill>
              </a:ln>
              <a:effectLst/>
            </c:spPr>
            <c:extLst>
              <c:ext xmlns:c16="http://schemas.microsoft.com/office/drawing/2014/chart" uri="{C3380CC4-5D6E-409C-BE32-E72D297353CC}">
                <c16:uniqueId val="{00000068-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ROIC!CapRD</c:f>
              <c:numCache>
                <c:formatCode>_(* #,##0_);_(* \(#,##0\);_(* "—"_);_(@_)</c:formatCode>
                <c:ptCount val="20"/>
                <c:pt idx="0">
                  <c:v>0</c:v>
                </c:pt>
                <c:pt idx="1">
                  <c:v>0</c:v>
                </c:pt>
                <c:pt idx="2">
                  <c:v>0</c:v>
                </c:pt>
                <c:pt idx="3">
                  <c:v>0</c:v>
                </c:pt>
                <c:pt idx="4">
                  <c:v>0</c:v>
                </c:pt>
                <c:pt idx="5">
                  <c:v>0</c:v>
                </c:pt>
                <c:pt idx="6">
                  <c:v>185.04400000000001</c:v>
                </c:pt>
                <c:pt idx="7">
                  <c:v>438.27160000000003</c:v>
                </c:pt>
                <c:pt idx="8">
                  <c:v>1684.155</c:v>
                </c:pt>
                <c:pt idx="9">
                  <c:v>3835.6752999999999</c:v>
                </c:pt>
                <c:pt idx="10">
                  <c:v>3428.2061999999996</c:v>
                </c:pt>
                <c:pt idx="11">
                  <c:v>3020.7371000000003</c:v>
                </c:pt>
                <c:pt idx="12">
                  <c:v>2613.268</c:v>
                </c:pt>
                <c:pt idx="13">
                  <c:v>2205.7989000000002</c:v>
                </c:pt>
                <c:pt idx="14">
                  <c:v>1798.3298000000004</c:v>
                </c:pt>
                <c:pt idx="15">
                  <c:v>1390.8607000000004</c:v>
                </c:pt>
                <c:pt idx="16">
                  <c:v>983.39160000000049</c:v>
                </c:pt>
                <c:pt idx="17">
                  <c:v>594.42690000000061</c:v>
                </c:pt>
                <c:pt idx="18">
                  <c:v>232.6354000000006</c:v>
                </c:pt>
                <c:pt idx="19">
                  <c:v>1.7053025658242404E-13</c:v>
                </c:pt>
              </c:numCache>
            </c:numRef>
          </c:val>
          <c:extLst>
            <c:ext xmlns:c16="http://schemas.microsoft.com/office/drawing/2014/chart" uri="{C3380CC4-5D6E-409C-BE32-E72D297353CC}">
              <c16:uniqueId val="{00000069-317C-437B-83A0-E02A55A1F0EE}"/>
            </c:ext>
          </c:extLst>
        </c:ser>
        <c:ser>
          <c:idx val="6"/>
          <c:order val="6"/>
          <c:tx>
            <c:strRef>
              <c:f>ROIC!$B$285</c:f>
              <c:strCache>
                <c:ptCount val="1"/>
                <c:pt idx="0">
                  <c:v>Capitalized S&amp;M</c:v>
                </c:pt>
              </c:strCache>
            </c:strRef>
          </c:tx>
          <c:spPr>
            <a:solidFill>
              <a:schemeClr val="accent4">
                <a:lumMod val="40000"/>
                <a:lumOff val="60000"/>
              </a:schemeClr>
            </a:solidFill>
            <a:ln w="25400">
              <a:solidFill>
                <a:schemeClr val="accent4">
                  <a:lumMod val="40000"/>
                  <a:lumOff val="60000"/>
                </a:schemeClr>
              </a:solidFill>
            </a:ln>
            <a:effectLst/>
          </c:spPr>
          <c:invertIfNegative val="0"/>
          <c:dPt>
            <c:idx val="10"/>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6B-317C-437B-83A0-E02A55A1F0EE}"/>
              </c:ext>
            </c:extLst>
          </c:dPt>
          <c:dPt>
            <c:idx val="11"/>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6D-317C-437B-83A0-E02A55A1F0EE}"/>
              </c:ext>
            </c:extLst>
          </c:dPt>
          <c:dPt>
            <c:idx val="12"/>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6F-317C-437B-83A0-E02A55A1F0EE}"/>
              </c:ext>
            </c:extLst>
          </c:dPt>
          <c:dPt>
            <c:idx val="13"/>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1-317C-437B-83A0-E02A55A1F0EE}"/>
              </c:ext>
            </c:extLst>
          </c:dPt>
          <c:dPt>
            <c:idx val="14"/>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3-317C-437B-83A0-E02A55A1F0EE}"/>
              </c:ext>
            </c:extLst>
          </c:dPt>
          <c:dPt>
            <c:idx val="15"/>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5-317C-437B-83A0-E02A55A1F0EE}"/>
              </c:ext>
            </c:extLst>
          </c:dPt>
          <c:dPt>
            <c:idx val="16"/>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7-317C-437B-83A0-E02A55A1F0EE}"/>
              </c:ext>
            </c:extLst>
          </c:dPt>
          <c:dPt>
            <c:idx val="17"/>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9-317C-437B-83A0-E02A55A1F0EE}"/>
              </c:ext>
            </c:extLst>
          </c:dPt>
          <c:dPt>
            <c:idx val="18"/>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B-317C-437B-83A0-E02A55A1F0EE}"/>
              </c:ext>
            </c:extLst>
          </c:dPt>
          <c:dPt>
            <c:idx val="19"/>
            <c:invertIfNegative val="0"/>
            <c:bubble3D val="0"/>
            <c:spPr>
              <a:solidFill>
                <a:schemeClr val="accent4">
                  <a:lumMod val="40000"/>
                  <a:lumOff val="60000"/>
                  <a:alpha val="50000"/>
                </a:schemeClr>
              </a:solidFill>
              <a:ln w="25400">
                <a:solidFill>
                  <a:schemeClr val="accent4">
                    <a:lumMod val="40000"/>
                    <a:lumOff val="60000"/>
                  </a:schemeClr>
                </a:solidFill>
              </a:ln>
              <a:effectLst/>
            </c:spPr>
            <c:extLst>
              <c:ext xmlns:c16="http://schemas.microsoft.com/office/drawing/2014/chart" uri="{C3380CC4-5D6E-409C-BE32-E72D297353CC}">
                <c16:uniqueId val="{0000007D-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ROIC!CapSM</c:f>
              <c:numCache>
                <c:formatCode>_(* #,##0_);_(* \(#,##0\);_(* "—"_);_(@_)</c:formatCode>
                <c:ptCount val="20"/>
                <c:pt idx="0">
                  <c:v>0</c:v>
                </c:pt>
                <c:pt idx="1">
                  <c:v>0</c:v>
                </c:pt>
                <c:pt idx="2">
                  <c:v>0</c:v>
                </c:pt>
                <c:pt idx="3">
                  <c:v>0</c:v>
                </c:pt>
                <c:pt idx="4">
                  <c:v>0</c:v>
                </c:pt>
                <c:pt idx="5">
                  <c:v>0</c:v>
                </c:pt>
                <c:pt idx="6">
                  <c:v>24.15</c:v>
                </c:pt>
                <c:pt idx="7">
                  <c:v>76.102000000000004</c:v>
                </c:pt>
                <c:pt idx="8">
                  <c:v>723.6046</c:v>
                </c:pt>
                <c:pt idx="9">
                  <c:v>1084.7693999999999</c:v>
                </c:pt>
                <c:pt idx="10">
                  <c:v>833.8273999999999</c:v>
                </c:pt>
                <c:pt idx="11">
                  <c:v>582.8854</c:v>
                </c:pt>
                <c:pt idx="12">
                  <c:v>336.77340000000004</c:v>
                </c:pt>
                <c:pt idx="13">
                  <c:v>102.01780000000002</c:v>
                </c:pt>
                <c:pt idx="14">
                  <c:v>2.8421709430404007E-14</c:v>
                </c:pt>
                <c:pt idx="15">
                  <c:v>0</c:v>
                </c:pt>
                <c:pt idx="16">
                  <c:v>0</c:v>
                </c:pt>
                <c:pt idx="17">
                  <c:v>0</c:v>
                </c:pt>
                <c:pt idx="18">
                  <c:v>0</c:v>
                </c:pt>
                <c:pt idx="19">
                  <c:v>0</c:v>
                </c:pt>
              </c:numCache>
            </c:numRef>
          </c:val>
          <c:extLst>
            <c:ext xmlns:c16="http://schemas.microsoft.com/office/drawing/2014/chart" uri="{C3380CC4-5D6E-409C-BE32-E72D297353CC}">
              <c16:uniqueId val="{0000007E-317C-437B-83A0-E02A55A1F0EE}"/>
            </c:ext>
          </c:extLst>
        </c:ser>
        <c:ser>
          <c:idx val="7"/>
          <c:order val="7"/>
          <c:tx>
            <c:strRef>
              <c:f>ROIC!$B$286</c:f>
              <c:strCache>
                <c:ptCount val="1"/>
                <c:pt idx="0">
                  <c:v>Capitalized Branding</c:v>
                </c:pt>
              </c:strCache>
            </c:strRef>
          </c:tx>
          <c:spPr>
            <a:solidFill>
              <a:schemeClr val="accent4">
                <a:lumMod val="20000"/>
                <a:lumOff val="80000"/>
              </a:schemeClr>
            </a:solidFill>
            <a:ln w="25400">
              <a:solidFill>
                <a:schemeClr val="accent4">
                  <a:lumMod val="20000"/>
                  <a:lumOff val="80000"/>
                </a:schemeClr>
              </a:solidFill>
            </a:ln>
            <a:effectLst/>
          </c:spPr>
          <c:invertIfNegative val="0"/>
          <c:dPt>
            <c:idx val="10"/>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0-317C-437B-83A0-E02A55A1F0EE}"/>
              </c:ext>
            </c:extLst>
          </c:dPt>
          <c:dPt>
            <c:idx val="11"/>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2-317C-437B-83A0-E02A55A1F0EE}"/>
              </c:ext>
            </c:extLst>
          </c:dPt>
          <c:dPt>
            <c:idx val="12"/>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4-317C-437B-83A0-E02A55A1F0EE}"/>
              </c:ext>
            </c:extLst>
          </c:dPt>
          <c:dPt>
            <c:idx val="13"/>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6-317C-437B-83A0-E02A55A1F0EE}"/>
              </c:ext>
            </c:extLst>
          </c:dPt>
          <c:dPt>
            <c:idx val="14"/>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8-317C-437B-83A0-E02A55A1F0EE}"/>
              </c:ext>
            </c:extLst>
          </c:dPt>
          <c:dPt>
            <c:idx val="15"/>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A-317C-437B-83A0-E02A55A1F0EE}"/>
              </c:ext>
            </c:extLst>
          </c:dPt>
          <c:dPt>
            <c:idx val="16"/>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C-317C-437B-83A0-E02A55A1F0EE}"/>
              </c:ext>
            </c:extLst>
          </c:dPt>
          <c:dPt>
            <c:idx val="17"/>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8E-317C-437B-83A0-E02A55A1F0EE}"/>
              </c:ext>
            </c:extLst>
          </c:dPt>
          <c:dPt>
            <c:idx val="18"/>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90-317C-437B-83A0-E02A55A1F0EE}"/>
              </c:ext>
            </c:extLst>
          </c:dPt>
          <c:dPt>
            <c:idx val="19"/>
            <c:invertIfNegative val="0"/>
            <c:bubble3D val="0"/>
            <c:spPr>
              <a:solidFill>
                <a:schemeClr val="accent4">
                  <a:lumMod val="20000"/>
                  <a:lumOff val="80000"/>
                  <a:alpha val="50000"/>
                </a:schemeClr>
              </a:solidFill>
              <a:ln w="25400">
                <a:solidFill>
                  <a:schemeClr val="accent4">
                    <a:lumMod val="20000"/>
                    <a:lumOff val="80000"/>
                  </a:schemeClr>
                </a:solidFill>
              </a:ln>
              <a:effectLst/>
            </c:spPr>
            <c:extLst>
              <c:ext xmlns:c16="http://schemas.microsoft.com/office/drawing/2014/chart" uri="{C3380CC4-5D6E-409C-BE32-E72D297353CC}">
                <c16:uniqueId val="{00000092-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ROIC!CapBrand</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93-317C-437B-83A0-E02A55A1F0EE}"/>
            </c:ext>
          </c:extLst>
        </c:ser>
        <c:ser>
          <c:idx val="8"/>
          <c:order val="8"/>
          <c:tx>
            <c:strRef>
              <c:f>ROIC!$B$287</c:f>
              <c:strCache>
                <c:ptCount val="1"/>
                <c:pt idx="0">
                  <c:v>Capitalized Other Expenses</c:v>
                </c:pt>
              </c:strCache>
            </c:strRef>
          </c:tx>
          <c:spPr>
            <a:solidFill>
              <a:srgbClr val="4F6228"/>
            </a:solidFill>
            <a:ln w="25400">
              <a:solidFill>
                <a:schemeClr val="accent4">
                  <a:lumMod val="75000"/>
                </a:schemeClr>
              </a:solidFill>
            </a:ln>
            <a:effectLst/>
          </c:spPr>
          <c:invertIfNegative val="0"/>
          <c:dPt>
            <c:idx val="10"/>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5-317C-437B-83A0-E02A55A1F0EE}"/>
              </c:ext>
            </c:extLst>
          </c:dPt>
          <c:dPt>
            <c:idx val="11"/>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7-317C-437B-83A0-E02A55A1F0EE}"/>
              </c:ext>
            </c:extLst>
          </c:dPt>
          <c:dPt>
            <c:idx val="12"/>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9-317C-437B-83A0-E02A55A1F0EE}"/>
              </c:ext>
            </c:extLst>
          </c:dPt>
          <c:dPt>
            <c:idx val="13"/>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B-317C-437B-83A0-E02A55A1F0EE}"/>
              </c:ext>
            </c:extLst>
          </c:dPt>
          <c:dPt>
            <c:idx val="14"/>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D-317C-437B-83A0-E02A55A1F0EE}"/>
              </c:ext>
            </c:extLst>
          </c:dPt>
          <c:dPt>
            <c:idx val="15"/>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9F-317C-437B-83A0-E02A55A1F0EE}"/>
              </c:ext>
            </c:extLst>
          </c:dPt>
          <c:dPt>
            <c:idx val="16"/>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A1-317C-437B-83A0-E02A55A1F0EE}"/>
              </c:ext>
            </c:extLst>
          </c:dPt>
          <c:dPt>
            <c:idx val="17"/>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A3-317C-437B-83A0-E02A55A1F0EE}"/>
              </c:ext>
            </c:extLst>
          </c:dPt>
          <c:dPt>
            <c:idx val="18"/>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A5-317C-437B-83A0-E02A55A1F0EE}"/>
              </c:ext>
            </c:extLst>
          </c:dPt>
          <c:dPt>
            <c:idx val="19"/>
            <c:invertIfNegative val="0"/>
            <c:bubble3D val="0"/>
            <c:spPr>
              <a:solidFill>
                <a:srgbClr val="4F6228">
                  <a:alpha val="50000"/>
                </a:srgbClr>
              </a:solidFill>
              <a:ln w="25400">
                <a:solidFill>
                  <a:schemeClr val="accent4">
                    <a:lumMod val="75000"/>
                  </a:schemeClr>
                </a:solidFill>
              </a:ln>
              <a:effectLst/>
            </c:spPr>
            <c:extLst>
              <c:ext xmlns:c16="http://schemas.microsoft.com/office/drawing/2014/chart" uri="{C3380CC4-5D6E-409C-BE32-E72D297353CC}">
                <c16:uniqueId val="{000000A7-317C-437B-83A0-E02A55A1F0EE}"/>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ROIC!CapOther</c:f>
              <c:numCache>
                <c:formatCode>_(* #,##0_);_(* \(#,##0\);_(* "—"_);_(@_)</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A8-317C-437B-83A0-E02A55A1F0EE}"/>
            </c:ext>
          </c:extLst>
        </c:ser>
        <c:dLbls>
          <c:showLegendKey val="0"/>
          <c:showVal val="0"/>
          <c:showCatName val="0"/>
          <c:showSerName val="0"/>
          <c:showPercent val="0"/>
          <c:showBubbleSize val="0"/>
        </c:dLbls>
        <c:gapWidth val="150"/>
        <c:overlap val="100"/>
        <c:axId val="1097007295"/>
        <c:axId val="1246608591"/>
      </c:barChart>
      <c:catAx>
        <c:axId val="1097007295"/>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246608591"/>
        <c:crosses val="autoZero"/>
        <c:auto val="1"/>
        <c:lblAlgn val="ctr"/>
        <c:lblOffset val="100"/>
        <c:noMultiLvlLbl val="0"/>
      </c:catAx>
      <c:valAx>
        <c:axId val="1246608591"/>
        <c:scaling>
          <c:orientation val="minMax"/>
        </c:scaling>
        <c:delete val="0"/>
        <c:axPos val="l"/>
        <c:majorGridlines>
          <c:spPr>
            <a:ln w="3175" cap="flat" cmpd="sng" algn="ctr">
              <a:solidFill>
                <a:srgbClr val="D9D9D9"/>
              </a:solidFill>
              <a:prstDash val="lgDash"/>
              <a:round/>
            </a:ln>
            <a:effectLst/>
          </c:spPr>
        </c:majorGridlines>
        <c:numFmt formatCode="_(* #,##0_);_(* \(#,##0\);_(* &quot;—&quot;_);_(@_)" sourceLinked="1"/>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1097007295"/>
        <c:crosses val="autoZero"/>
        <c:crossBetween val="between"/>
      </c:valAx>
      <c:spPr>
        <a:solidFill>
          <a:srgbClr val="FFFFFF"/>
        </a:solidFill>
        <a:ln w="25400">
          <a:noFill/>
        </a:ln>
        <a:effectLst/>
      </c:spPr>
    </c:plotArea>
    <c:legend>
      <c:legendPos val="t"/>
      <c:layout>
        <c:manualLayout>
          <c:xMode val="edge"/>
          <c:yMode val="edge"/>
          <c:x val="4.7314554430696161E-2"/>
          <c:y val="7.9114102672649782E-3"/>
          <c:w val="0.95144716285464315"/>
          <c:h val="0.1132916349166031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ORN Intrinsic" panose="020B0504010101010104" pitchFamily="34" charset="0"/>
              <a:ea typeface="UniversNext for MORNPC Cn"/>
              <a:cs typeface="UniversNext for MORNPC Cn"/>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888888888888888E-2"/>
          <c:y val="8.7962962962962965E-2"/>
          <c:w val="0.98611111111111116"/>
          <c:h val="0.91203703703703709"/>
        </c:manualLayout>
      </c:layout>
      <c:barChart>
        <c:barDir val="col"/>
        <c:grouping val="percentStacked"/>
        <c:varyColors val="0"/>
        <c:ser>
          <c:idx val="0"/>
          <c:order val="0"/>
          <c:tx>
            <c:strRef>
              <c:f>ROIC!$B$309</c:f>
              <c:strCache>
                <c:ptCount val="1"/>
                <c:pt idx="0">
                  <c:v>Capitalized Op. Costs</c:v>
                </c:pt>
              </c:strCache>
            </c:strRef>
          </c:tx>
          <c:spPr>
            <a:solidFill>
              <a:srgbClr val="FF0000"/>
            </a:solidFill>
            <a:ln w="25400">
              <a:solidFill>
                <a:srgbClr val="FF0000"/>
              </a:solidFill>
            </a:ln>
            <a:effectLst/>
          </c:spPr>
          <c:invertIfNegative val="0"/>
          <c:dPt>
            <c:idx val="10"/>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1-E458-41F1-BCD5-4539284C98AC}"/>
              </c:ext>
            </c:extLst>
          </c:dPt>
          <c:dPt>
            <c:idx val="11"/>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3-E458-41F1-BCD5-4539284C98AC}"/>
              </c:ext>
            </c:extLst>
          </c:dPt>
          <c:dPt>
            <c:idx val="12"/>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5-E458-41F1-BCD5-4539284C98AC}"/>
              </c:ext>
            </c:extLst>
          </c:dPt>
          <c:dPt>
            <c:idx val="13"/>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7-E458-41F1-BCD5-4539284C98AC}"/>
              </c:ext>
            </c:extLst>
          </c:dPt>
          <c:dPt>
            <c:idx val="14"/>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9-E458-41F1-BCD5-4539284C98AC}"/>
              </c:ext>
            </c:extLst>
          </c:dPt>
          <c:dPt>
            <c:idx val="15"/>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B-E458-41F1-BCD5-4539284C98AC}"/>
              </c:ext>
            </c:extLst>
          </c:dPt>
          <c:dPt>
            <c:idx val="16"/>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D-E458-41F1-BCD5-4539284C98AC}"/>
              </c:ext>
            </c:extLst>
          </c:dPt>
          <c:dPt>
            <c:idx val="17"/>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0F-E458-41F1-BCD5-4539284C98AC}"/>
              </c:ext>
            </c:extLst>
          </c:dPt>
          <c:dPt>
            <c:idx val="18"/>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1-E458-41F1-BCD5-4539284C98AC}"/>
              </c:ext>
            </c:extLst>
          </c:dPt>
          <c:dPt>
            <c:idx val="19"/>
            <c:invertIfNegative val="0"/>
            <c:bubble3D val="0"/>
            <c:spPr>
              <a:solidFill>
                <a:srgbClr val="FF0000">
                  <a:alpha val="50000"/>
                </a:srgbClr>
              </a:solidFill>
              <a:ln w="25400">
                <a:solidFill>
                  <a:srgbClr val="FF0000"/>
                </a:solidFill>
              </a:ln>
              <a:effectLst/>
            </c:spPr>
            <c:extLst>
              <c:ext xmlns:c16="http://schemas.microsoft.com/office/drawing/2014/chart" uri="{C3380CC4-5D6E-409C-BE32-E72D297353CC}">
                <c16:uniqueId val="{00000013-E458-41F1-BCD5-4539284C98AC}"/>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ROIC!CapOpCost</c:f>
              <c:numCache>
                <c:formatCode>_(* #,##0_);_(* \(#,##0\);_(* "—"_);_(@_)</c:formatCode>
                <c:ptCount val="20"/>
                <c:pt idx="0">
                  <c:v>0</c:v>
                </c:pt>
                <c:pt idx="1">
                  <c:v>0</c:v>
                </c:pt>
                <c:pt idx="2">
                  <c:v>0</c:v>
                </c:pt>
                <c:pt idx="3">
                  <c:v>0</c:v>
                </c:pt>
                <c:pt idx="4">
                  <c:v>0</c:v>
                </c:pt>
                <c:pt idx="5">
                  <c:v>0</c:v>
                </c:pt>
                <c:pt idx="6">
                  <c:v>209.19400000000002</c:v>
                </c:pt>
                <c:pt idx="7">
                  <c:v>328.51400000000001</c:v>
                </c:pt>
                <c:pt idx="8">
                  <c:v>1955.25</c:v>
                </c:pt>
                <c:pt idx="9">
                  <c:v>2836.4429999999998</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14-E458-41F1-BCD5-4539284C98AC}"/>
            </c:ext>
          </c:extLst>
        </c:ser>
        <c:ser>
          <c:idx val="1"/>
          <c:order val="1"/>
          <c:tx>
            <c:strRef>
              <c:f>ROIC!$B$310</c:f>
              <c:strCache>
                <c:ptCount val="1"/>
                <c:pt idx="0">
                  <c:v>Expensed Op. Costs</c:v>
                </c:pt>
              </c:strCache>
            </c:strRef>
          </c:tx>
          <c:spPr>
            <a:solidFill>
              <a:schemeClr val="tx1">
                <a:lumMod val="50000"/>
                <a:lumOff val="50000"/>
              </a:schemeClr>
            </a:solidFill>
            <a:ln w="25400">
              <a:solidFill>
                <a:schemeClr val="tx1">
                  <a:lumMod val="50000"/>
                  <a:lumOff val="50000"/>
                </a:schemeClr>
              </a:solidFill>
            </a:ln>
            <a:effectLst/>
          </c:spPr>
          <c:invertIfNegative val="0"/>
          <c:dPt>
            <c:idx val="10"/>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16-E458-41F1-BCD5-4539284C98AC}"/>
              </c:ext>
            </c:extLst>
          </c:dPt>
          <c:dPt>
            <c:idx val="11"/>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18-E458-41F1-BCD5-4539284C98AC}"/>
              </c:ext>
            </c:extLst>
          </c:dPt>
          <c:dPt>
            <c:idx val="12"/>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1A-E458-41F1-BCD5-4539284C98AC}"/>
              </c:ext>
            </c:extLst>
          </c:dPt>
          <c:dPt>
            <c:idx val="13"/>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1C-E458-41F1-BCD5-4539284C98AC}"/>
              </c:ext>
            </c:extLst>
          </c:dPt>
          <c:dPt>
            <c:idx val="14"/>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1E-E458-41F1-BCD5-4539284C98AC}"/>
              </c:ext>
            </c:extLst>
          </c:dPt>
          <c:dPt>
            <c:idx val="15"/>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20-E458-41F1-BCD5-4539284C98AC}"/>
              </c:ext>
            </c:extLst>
          </c:dPt>
          <c:dPt>
            <c:idx val="16"/>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22-E458-41F1-BCD5-4539284C98AC}"/>
              </c:ext>
            </c:extLst>
          </c:dPt>
          <c:dPt>
            <c:idx val="17"/>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24-E458-41F1-BCD5-4539284C98AC}"/>
              </c:ext>
            </c:extLst>
          </c:dPt>
          <c:dPt>
            <c:idx val="18"/>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26-E458-41F1-BCD5-4539284C98AC}"/>
              </c:ext>
            </c:extLst>
          </c:dPt>
          <c:dPt>
            <c:idx val="19"/>
            <c:invertIfNegative val="0"/>
            <c:bubble3D val="0"/>
            <c:spPr>
              <a:solidFill>
                <a:schemeClr val="tx1">
                  <a:lumMod val="50000"/>
                  <a:lumOff val="50000"/>
                  <a:alpha val="50000"/>
                </a:schemeClr>
              </a:solidFill>
              <a:ln w="25400">
                <a:solidFill>
                  <a:schemeClr val="tx1">
                    <a:lumMod val="50000"/>
                    <a:lumOff val="50000"/>
                  </a:schemeClr>
                </a:solidFill>
              </a:ln>
              <a:effectLst/>
            </c:spPr>
            <c:extLst>
              <c:ext xmlns:c16="http://schemas.microsoft.com/office/drawing/2014/chart" uri="{C3380CC4-5D6E-409C-BE32-E72D297353CC}">
                <c16:uniqueId val="{00000028-E458-41F1-BCD5-4539284C98AC}"/>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ROIC!ExOpCost</c:f>
              <c:numCache>
                <c:formatCode>_(* #,##0_);_(* \(#,##0\);_(* "—"_);_(@_)</c:formatCode>
                <c:ptCount val="20"/>
                <c:pt idx="0">
                  <c:v>0</c:v>
                </c:pt>
                <c:pt idx="1">
                  <c:v>0</c:v>
                </c:pt>
                <c:pt idx="2">
                  <c:v>0</c:v>
                </c:pt>
                <c:pt idx="3">
                  <c:v>0</c:v>
                </c:pt>
                <c:pt idx="4">
                  <c:v>868530</c:v>
                </c:pt>
                <c:pt idx="5">
                  <c:v>4762874</c:v>
                </c:pt>
                <c:pt idx="6">
                  <c:v>5904206.8059999999</c:v>
                </c:pt>
                <c:pt idx="7">
                  <c:v>3269716.486</c:v>
                </c:pt>
                <c:pt idx="8">
                  <c:v>4254912.75</c:v>
                </c:pt>
                <c:pt idx="9">
                  <c:v>5743047.557</c:v>
                </c:pt>
                <c:pt idx="10">
                  <c:v>5935672.9492581766</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9-E458-41F1-BCD5-4539284C98AC}"/>
            </c:ext>
          </c:extLst>
        </c:ser>
        <c:ser>
          <c:idx val="2"/>
          <c:order val="2"/>
          <c:tx>
            <c:strRef>
              <c:f>ROIC!$B$311</c:f>
              <c:strCache>
                <c:ptCount val="1"/>
                <c:pt idx="0">
                  <c:v>Capital Spending</c:v>
                </c:pt>
              </c:strCache>
            </c:strRef>
          </c:tx>
          <c:spPr>
            <a:solidFill>
              <a:schemeClr val="bg2">
                <a:lumMod val="90000"/>
              </a:schemeClr>
            </a:solidFill>
            <a:ln w="25400">
              <a:solidFill>
                <a:schemeClr val="bg2">
                  <a:lumMod val="90000"/>
                </a:schemeClr>
              </a:solidFill>
            </a:ln>
            <a:effectLst/>
          </c:spPr>
          <c:invertIfNegative val="0"/>
          <c:dPt>
            <c:idx val="10"/>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2B-E458-41F1-BCD5-4539284C98AC}"/>
              </c:ext>
            </c:extLst>
          </c:dPt>
          <c:dPt>
            <c:idx val="11"/>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2D-E458-41F1-BCD5-4539284C98AC}"/>
              </c:ext>
            </c:extLst>
          </c:dPt>
          <c:dPt>
            <c:idx val="12"/>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2F-E458-41F1-BCD5-4539284C98AC}"/>
              </c:ext>
            </c:extLst>
          </c:dPt>
          <c:dPt>
            <c:idx val="13"/>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1-E458-41F1-BCD5-4539284C98AC}"/>
              </c:ext>
            </c:extLst>
          </c:dPt>
          <c:dPt>
            <c:idx val="14"/>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3-E458-41F1-BCD5-4539284C98AC}"/>
              </c:ext>
            </c:extLst>
          </c:dPt>
          <c:dPt>
            <c:idx val="15"/>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5-E458-41F1-BCD5-4539284C98AC}"/>
              </c:ext>
            </c:extLst>
          </c:dPt>
          <c:dPt>
            <c:idx val="16"/>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7-E458-41F1-BCD5-4539284C98AC}"/>
              </c:ext>
            </c:extLst>
          </c:dPt>
          <c:dPt>
            <c:idx val="17"/>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9-E458-41F1-BCD5-4539284C98AC}"/>
              </c:ext>
            </c:extLst>
          </c:dPt>
          <c:dPt>
            <c:idx val="18"/>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B-E458-41F1-BCD5-4539284C98AC}"/>
              </c:ext>
            </c:extLst>
          </c:dPt>
          <c:dPt>
            <c:idx val="19"/>
            <c:invertIfNegative val="0"/>
            <c:bubble3D val="0"/>
            <c:spPr>
              <a:solidFill>
                <a:schemeClr val="bg2">
                  <a:lumMod val="90000"/>
                  <a:alpha val="50000"/>
                </a:schemeClr>
              </a:solidFill>
              <a:ln w="25400">
                <a:solidFill>
                  <a:schemeClr val="bg2">
                    <a:lumMod val="90000"/>
                  </a:schemeClr>
                </a:solidFill>
              </a:ln>
              <a:effectLst/>
            </c:spPr>
            <c:extLst>
              <c:ext xmlns:c16="http://schemas.microsoft.com/office/drawing/2014/chart" uri="{C3380CC4-5D6E-409C-BE32-E72D297353CC}">
                <c16:uniqueId val="{0000003D-E458-41F1-BCD5-4539284C98AC}"/>
              </c:ext>
            </c:extLst>
          </c:dPt>
          <c:cat>
            <c:numRef>
              <c:f>ROIC!AxisRange</c:f>
              <c:numCache>
                <c:formatCode>General</c:formatCode>
                <c:ptCount val="20"/>
                <c:pt idx="0">
                  <c:v>2016</c:v>
                </c:pt>
                <c:pt idx="1">
                  <c:v>2017</c:v>
                </c:pt>
                <c:pt idx="2">
                  <c:v>2018</c:v>
                </c:pt>
                <c:pt idx="3">
                  <c:v>2019</c:v>
                </c:pt>
                <c:pt idx="4">
                  <c:v>2020</c:v>
                </c:pt>
                <c:pt idx="5">
                  <c:v>2021</c:v>
                </c:pt>
                <c:pt idx="6">
                  <c:v>2022</c:v>
                </c:pt>
                <c:pt idx="7">
                  <c:v>2023</c:v>
                </c:pt>
                <c:pt idx="8">
                  <c:v>2024</c:v>
                </c:pt>
                <c:pt idx="9">
                  <c:v>2025</c:v>
                </c:pt>
                <c:pt idx="10" formatCode="0000&quot;E&quot;">
                  <c:v>2026</c:v>
                </c:pt>
                <c:pt idx="11" formatCode="0000&quot;E&quot;">
                  <c:v>2027</c:v>
                </c:pt>
                <c:pt idx="12" formatCode="0000&quot;E&quot;">
                  <c:v>2028</c:v>
                </c:pt>
                <c:pt idx="13" formatCode="0000&quot;E&quot;">
                  <c:v>2029</c:v>
                </c:pt>
                <c:pt idx="14" formatCode="0000&quot;E&quot;">
                  <c:v>2030</c:v>
                </c:pt>
                <c:pt idx="15" formatCode="0000&quot;E&quot;">
                  <c:v>2031</c:v>
                </c:pt>
                <c:pt idx="16" formatCode="0000&quot;E&quot;">
                  <c:v>2032</c:v>
                </c:pt>
                <c:pt idx="17" formatCode="0000&quot;E&quot;">
                  <c:v>2033</c:v>
                </c:pt>
                <c:pt idx="18" formatCode="0000&quot;E&quot;">
                  <c:v>2034</c:v>
                </c:pt>
                <c:pt idx="19" formatCode="0000&quot;E&quot;">
                  <c:v>2035</c:v>
                </c:pt>
              </c:numCache>
              <c:extLst xmlns:c15="http://schemas.microsoft.com/office/drawing/2012/chart"/>
            </c:numRef>
          </c:cat>
          <c:val>
            <c:numRef>
              <c:f>ROIC!CapEx</c:f>
              <c:numCache>
                <c:formatCode>_(* #,##0_);_(* \(#,##0\);_(* "—"_);_(@_)</c:formatCode>
                <c:ptCount val="20"/>
                <c:pt idx="0">
                  <c:v>0</c:v>
                </c:pt>
                <c:pt idx="1">
                  <c:v>0</c:v>
                </c:pt>
                <c:pt idx="2">
                  <c:v>0</c:v>
                </c:pt>
                <c:pt idx="3">
                  <c:v>0</c:v>
                </c:pt>
                <c:pt idx="4">
                  <c:v>0</c:v>
                </c:pt>
                <c:pt idx="5">
                  <c:v>18802</c:v>
                </c:pt>
                <c:pt idx="6">
                  <c:v>24952</c:v>
                </c:pt>
                <c:pt idx="7">
                  <c:v>70000</c:v>
                </c:pt>
                <c:pt idx="8">
                  <c:v>110500</c:v>
                </c:pt>
                <c:pt idx="9">
                  <c:v>138300</c:v>
                </c:pt>
                <c:pt idx="10">
                  <c:v>142868.26133458148</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3E-E458-41F1-BCD5-4539284C98AC}"/>
            </c:ext>
          </c:extLst>
        </c:ser>
        <c:dLbls>
          <c:showLegendKey val="0"/>
          <c:showVal val="0"/>
          <c:showCatName val="0"/>
          <c:showSerName val="0"/>
          <c:showPercent val="0"/>
          <c:showBubbleSize val="0"/>
        </c:dLbls>
        <c:gapWidth val="150"/>
        <c:overlap val="100"/>
        <c:axId val="2100985167"/>
        <c:axId val="883588367"/>
      </c:barChart>
      <c:catAx>
        <c:axId val="2100985167"/>
        <c:scaling>
          <c:orientation val="minMax"/>
        </c:scaling>
        <c:delete val="0"/>
        <c:axPos val="b"/>
        <c:numFmt formatCode="General" sourceLinked="1"/>
        <c:majorTickMark val="none"/>
        <c:minorTickMark val="none"/>
        <c:tickLblPos val="low"/>
        <c:spPr>
          <a:noFill/>
          <a:ln w="3175" cap="flat" cmpd="sng" algn="ctr">
            <a:solidFill>
              <a:srgbClr val="000000"/>
            </a:solidFill>
            <a:prstDash val="solid"/>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883588367"/>
        <c:crosses val="autoZero"/>
        <c:auto val="1"/>
        <c:lblAlgn val="ctr"/>
        <c:lblOffset val="100"/>
        <c:tickMarkSkip val="1"/>
        <c:noMultiLvlLbl val="0"/>
      </c:catAx>
      <c:valAx>
        <c:axId val="883588367"/>
        <c:scaling>
          <c:orientation val="minMax"/>
        </c:scaling>
        <c:delete val="0"/>
        <c:axPos val="l"/>
        <c:majorGridlines>
          <c:spPr>
            <a:ln w="3175" cap="flat" cmpd="sng" algn="ctr">
              <a:solidFill>
                <a:srgbClr val="D9D9D9"/>
              </a:solidFill>
              <a:prstDash val="lgDash"/>
              <a:round/>
            </a:ln>
            <a:effectLst/>
          </c:spPr>
        </c:majorGridlines>
        <c:numFmt formatCode="0%" sourceLinked="1"/>
        <c:majorTickMark val="none"/>
        <c:minorTickMark val="none"/>
        <c:tickLblPos val="nextTo"/>
        <c:spPr>
          <a:noFill/>
          <a:ln w="25400">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RN Intrinsic"/>
                <a:ea typeface="MORN Intrinsic"/>
                <a:cs typeface="MORN Intrinsic"/>
              </a:defRPr>
            </a:pPr>
            <a:endParaRPr lang="en-US"/>
          </a:p>
        </c:txPr>
        <c:crossAx val="2100985167"/>
        <c:crosses val="autoZero"/>
        <c:crossBetween val="between"/>
      </c:valAx>
      <c:spPr>
        <a:solidFill>
          <a:srgbClr val="FFFFFF"/>
        </a:solidFill>
        <a:ln w="25400">
          <a:noFill/>
        </a:ln>
        <a:effectLst/>
      </c:spPr>
    </c:plotArea>
    <c:legend>
      <c:legendPos val="t"/>
      <c:layout>
        <c:manualLayout>
          <c:xMode val="edge"/>
          <c:yMode val="edge"/>
          <c:x val="1.3888888888888888E-2"/>
          <c:y val="2.3148148148148147E-2"/>
          <c:w val="0.55941582374724574"/>
          <c:h val="7.4175181718637365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ORN Intrinsic" panose="020B0504010101010104" pitchFamily="34" charset="0"/>
              <a:ea typeface="UniversNext for MORNPC Cn"/>
              <a:cs typeface="UniversNext for MORNPC Cn"/>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G23" noThreeD="1"/>
</file>

<file path=xl/ctrlProps/ctrlProp12.xml><?xml version="1.0" encoding="utf-8"?>
<formControlPr xmlns="http://schemas.microsoft.com/office/spreadsheetml/2009/9/main" objectType="CheckBox" fmlaLink="G27" noThreeD="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5.emf"/><Relationship Id="rId4" Type="http://schemas.openxmlformats.org/officeDocument/2006/relationships/image" Target="../media/image7.emf"/></Relationships>
</file>

<file path=xl/drawings/_rels/drawing4.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svg"/><Relationship Id="rId2" Type="http://schemas.openxmlformats.org/officeDocument/2006/relationships/image" Target="../media/image13.svg"/><Relationship Id="rId16" Type="http://schemas.openxmlformats.org/officeDocument/2006/relationships/image" Target="../media/image27.sv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sv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25.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6</xdr:row>
          <xdr:rowOff>12700</xdr:rowOff>
        </xdr:from>
        <xdr:to>
          <xdr:col>13</xdr:col>
          <xdr:colOff>596900</xdr:colOff>
          <xdr:row>8</xdr:row>
          <xdr:rowOff>88900</xdr:rowOff>
        </xdr:to>
        <xdr:sp macro="" textlink="">
          <xdr:nvSpPr>
            <xdr:cNvPr id="164866" name="Button 2" hidden="1">
              <a:extLst>
                <a:ext uri="{63B3BB69-23CF-44E3-9099-C40C66FF867C}">
                  <a14:compatExt spid="_x0000_s164866"/>
                </a:ext>
                <a:ext uri="{FF2B5EF4-FFF2-40B4-BE49-F238E27FC236}">
                  <a16:creationId xmlns:a16="http://schemas.microsoft.com/office/drawing/2014/main" id="{00000000-0008-0000-0000-000002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Enable PB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12700</xdr:rowOff>
        </xdr:from>
        <xdr:to>
          <xdr:col>13</xdr:col>
          <xdr:colOff>596900</xdr:colOff>
          <xdr:row>11</xdr:row>
          <xdr:rowOff>88900</xdr:rowOff>
        </xdr:to>
        <xdr:sp macro="" textlink="">
          <xdr:nvSpPr>
            <xdr:cNvPr id="164867" name="Button 3" hidden="1">
              <a:extLst>
                <a:ext uri="{63B3BB69-23CF-44E3-9099-C40C66FF867C}">
                  <a14:compatExt spid="_x0000_s164867"/>
                </a:ext>
                <a:ext uri="{FF2B5EF4-FFF2-40B4-BE49-F238E27FC236}">
                  <a16:creationId xmlns:a16="http://schemas.microsoft.com/office/drawing/2014/main" id="{00000000-0008-0000-0000-000003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Disable PB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12</xdr:row>
          <xdr:rowOff>12700</xdr:rowOff>
        </xdr:from>
        <xdr:to>
          <xdr:col>13</xdr:col>
          <xdr:colOff>596900</xdr:colOff>
          <xdr:row>14</xdr:row>
          <xdr:rowOff>88900</xdr:rowOff>
        </xdr:to>
        <xdr:sp macro="" textlink="">
          <xdr:nvSpPr>
            <xdr:cNvPr id="164868" name="Button 4" hidden="1">
              <a:extLst>
                <a:ext uri="{63B3BB69-23CF-44E3-9099-C40C66FF867C}">
                  <a14:compatExt spid="_x0000_s164868"/>
                </a:ext>
                <a:ext uri="{FF2B5EF4-FFF2-40B4-BE49-F238E27FC236}">
                  <a16:creationId xmlns:a16="http://schemas.microsoft.com/office/drawing/2014/main" id="{00000000-0008-0000-0000-000004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 Refresh ALL PB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xdr:row>
          <xdr:rowOff>25400</xdr:rowOff>
        </xdr:from>
        <xdr:to>
          <xdr:col>10</xdr:col>
          <xdr:colOff>0</xdr:colOff>
          <xdr:row>8</xdr:row>
          <xdr:rowOff>101600</xdr:rowOff>
        </xdr:to>
        <xdr:sp macro="" textlink="">
          <xdr:nvSpPr>
            <xdr:cNvPr id="164870" name="Button 6" hidden="1">
              <a:extLst>
                <a:ext uri="{63B3BB69-23CF-44E3-9099-C40C66FF867C}">
                  <a14:compatExt spid="_x0000_s164870"/>
                </a:ext>
                <a:ext uri="{FF2B5EF4-FFF2-40B4-BE49-F238E27FC236}">
                  <a16:creationId xmlns:a16="http://schemas.microsoft.com/office/drawing/2014/main" id="{00000000-0008-0000-0000-000006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Comparables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12700</xdr:rowOff>
        </xdr:from>
        <xdr:to>
          <xdr:col>6</xdr:col>
          <xdr:colOff>0</xdr:colOff>
          <xdr:row>8</xdr:row>
          <xdr:rowOff>88900</xdr:rowOff>
        </xdr:to>
        <xdr:sp macro="" textlink="">
          <xdr:nvSpPr>
            <xdr:cNvPr id="164871" name="Button 7" hidden="1">
              <a:extLst>
                <a:ext uri="{63B3BB69-23CF-44E3-9099-C40C66FF867C}">
                  <a14:compatExt spid="_x0000_s164871"/>
                </a:ext>
                <a:ext uri="{FF2B5EF4-FFF2-40B4-BE49-F238E27FC236}">
                  <a16:creationId xmlns:a16="http://schemas.microsoft.com/office/drawing/2014/main" id="{00000000-0008-0000-0000-000007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Update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9</xdr:row>
          <xdr:rowOff>12700</xdr:rowOff>
        </xdr:from>
        <xdr:to>
          <xdr:col>10</xdr:col>
          <xdr:colOff>0</xdr:colOff>
          <xdr:row>11</xdr:row>
          <xdr:rowOff>88900</xdr:rowOff>
        </xdr:to>
        <xdr:sp macro="" textlink="">
          <xdr:nvSpPr>
            <xdr:cNvPr id="164872" name="Button 8" hidden="1">
              <a:extLst>
                <a:ext uri="{63B3BB69-23CF-44E3-9099-C40C66FF867C}">
                  <a14:compatExt spid="_x0000_s164872"/>
                </a:ext>
                <a:ext uri="{FF2B5EF4-FFF2-40B4-BE49-F238E27FC236}">
                  <a16:creationId xmlns:a16="http://schemas.microsoft.com/office/drawing/2014/main" id="{00000000-0008-0000-0000-000008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Default Comparables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12700</xdr:rowOff>
        </xdr:from>
        <xdr:to>
          <xdr:col>6</xdr:col>
          <xdr:colOff>0</xdr:colOff>
          <xdr:row>11</xdr:row>
          <xdr:rowOff>88900</xdr:rowOff>
        </xdr:to>
        <xdr:sp macro="" textlink="">
          <xdr:nvSpPr>
            <xdr:cNvPr id="164873" name="Button 9" hidden="1">
              <a:extLst>
                <a:ext uri="{63B3BB69-23CF-44E3-9099-C40C66FF867C}">
                  <a14:compatExt spid="_x0000_s164873"/>
                </a:ext>
                <a:ext uri="{FF2B5EF4-FFF2-40B4-BE49-F238E27FC236}">
                  <a16:creationId xmlns:a16="http://schemas.microsoft.com/office/drawing/2014/main" id="{00000000-0008-0000-0000-000009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Roll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15</xdr:row>
          <xdr:rowOff>12700</xdr:rowOff>
        </xdr:from>
        <xdr:to>
          <xdr:col>13</xdr:col>
          <xdr:colOff>596900</xdr:colOff>
          <xdr:row>17</xdr:row>
          <xdr:rowOff>88900</xdr:rowOff>
        </xdr:to>
        <xdr:sp macro="" textlink="">
          <xdr:nvSpPr>
            <xdr:cNvPr id="164874" name="Button 10" hidden="1">
              <a:extLst>
                <a:ext uri="{63B3BB69-23CF-44E3-9099-C40C66FF867C}">
                  <a14:compatExt spid="_x0000_s164874"/>
                </a:ext>
                <a:ext uri="{FF2B5EF4-FFF2-40B4-BE49-F238E27FC236}">
                  <a16:creationId xmlns:a16="http://schemas.microsoft.com/office/drawing/2014/main" id="{00000000-0008-0000-0000-00000A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Last 3 Years of PB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12700</xdr:rowOff>
        </xdr:from>
        <xdr:to>
          <xdr:col>6</xdr:col>
          <xdr:colOff>0</xdr:colOff>
          <xdr:row>14</xdr:row>
          <xdr:rowOff>88900</xdr:rowOff>
        </xdr:to>
        <xdr:sp macro="" textlink="">
          <xdr:nvSpPr>
            <xdr:cNvPr id="164875" name="Button 11" hidden="1">
              <a:extLst>
                <a:ext uri="{63B3BB69-23CF-44E3-9099-C40C66FF867C}">
                  <a14:compatExt spid="_x0000_s164875"/>
                </a:ext>
                <a:ext uri="{FF2B5EF4-FFF2-40B4-BE49-F238E27FC236}">
                  <a16:creationId xmlns:a16="http://schemas.microsoft.com/office/drawing/2014/main" id="{00000000-0008-0000-0000-00000B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Buildup Sync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12700</xdr:colOff>
          <xdr:row>6</xdr:row>
          <xdr:rowOff>12700</xdr:rowOff>
        </xdr:from>
        <xdr:to>
          <xdr:col>21</xdr:col>
          <xdr:colOff>596900</xdr:colOff>
          <xdr:row>8</xdr:row>
          <xdr:rowOff>88900</xdr:rowOff>
        </xdr:to>
        <xdr:sp macro="" textlink="">
          <xdr:nvSpPr>
            <xdr:cNvPr id="164876" name="Button 12" hidden="1">
              <a:extLst>
                <a:ext uri="{63B3BB69-23CF-44E3-9099-C40C66FF867C}">
                  <a14:compatExt spid="_x0000_s164876"/>
                </a:ext>
                <a:ext uri="{FF2B5EF4-FFF2-40B4-BE49-F238E27FC236}">
                  <a16:creationId xmlns:a16="http://schemas.microsoft.com/office/drawing/2014/main" id="{00000000-0008-0000-0000-00000C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Unlock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127000</xdr:colOff>
          <xdr:row>24</xdr:row>
          <xdr:rowOff>0</xdr:rowOff>
        </xdr:to>
        <xdr:sp macro="" textlink="">
          <xdr:nvSpPr>
            <xdr:cNvPr id="164877" name="Check Box 13" hidden="1">
              <a:extLst>
                <a:ext uri="{63B3BB69-23CF-44E3-9099-C40C66FF867C}">
                  <a14:compatExt spid="_x0000_s164877"/>
                </a:ext>
                <a:ext uri="{FF2B5EF4-FFF2-40B4-BE49-F238E27FC236}">
                  <a16:creationId xmlns:a16="http://schemas.microsoft.com/office/drawing/2014/main" id="{00000000-0008-0000-0000-00000D8402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Enable Comparables Company Names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127000</xdr:colOff>
          <xdr:row>28</xdr:row>
          <xdr:rowOff>0</xdr:rowOff>
        </xdr:to>
        <xdr:sp macro="" textlink="">
          <xdr:nvSpPr>
            <xdr:cNvPr id="164878" name="Check Box 14" hidden="1">
              <a:extLst>
                <a:ext uri="{63B3BB69-23CF-44E3-9099-C40C66FF867C}">
                  <a14:compatExt spid="_x0000_s164878"/>
                </a:ext>
                <a:ext uri="{FF2B5EF4-FFF2-40B4-BE49-F238E27FC236}">
                  <a16:creationId xmlns:a16="http://schemas.microsoft.com/office/drawing/2014/main" id="{00000000-0008-0000-0000-00000E8402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Year End -1</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73660</xdr:colOff>
          <xdr:row>5</xdr:row>
          <xdr:rowOff>0</xdr:rowOff>
        </xdr:from>
        <xdr:to>
          <xdr:col>12</xdr:col>
          <xdr:colOff>311785</xdr:colOff>
          <xdr:row>7</xdr:row>
          <xdr:rowOff>48202</xdr:rowOff>
        </xdr:to>
        <xdr:pic>
          <xdr:nvPicPr>
            <xdr:cNvPr id="2" name="Picture 1">
              <a:extLst>
                <a:ext uri="{FF2B5EF4-FFF2-40B4-BE49-F238E27FC236}">
                  <a16:creationId xmlns:a16="http://schemas.microsoft.com/office/drawing/2014/main" id="{00000000-0008-0000-0100-000002000000}"/>
                </a:ext>
              </a:extLst>
            </xdr:cNvPr>
            <xdr:cNvPicPr>
              <a:picLocks noChangeAspect="1"/>
              <a:extLst>
                <a:ext uri="{84589F7E-364E-4C9E-8A38-B11213B215E9}">
                  <a14:cameraTool cellRange="EconomicMoat" spid="_x0000_s346265"/>
                </a:ext>
              </a:extLst>
            </xdr:cNvPicPr>
          </xdr:nvPicPr>
          <xdr:blipFill>
            <a:blip xmlns:r="http://schemas.openxmlformats.org/officeDocument/2006/relationships" r:embed="rId1"/>
            <a:stretch>
              <a:fillRect/>
            </a:stretch>
          </xdr:blipFill>
          <xdr:spPr>
            <a:xfrm>
              <a:off x="7973060" y="965200"/>
              <a:ext cx="238125" cy="327602"/>
            </a:xfrm>
            <a:prstGeom prst="rect">
              <a:avLst/>
            </a:prstGeom>
          </xdr:spPr>
        </xdr:pic>
        <xdr:clientData/>
      </xdr:twoCellAnchor>
    </mc:Choice>
    <mc:Fallback/>
  </mc:AlternateContent>
  <xdr:twoCellAnchor editAs="oneCell">
    <xdr:from>
      <xdr:col>16</xdr:col>
      <xdr:colOff>368300</xdr:colOff>
      <xdr:row>2</xdr:row>
      <xdr:rowOff>0</xdr:rowOff>
    </xdr:from>
    <xdr:to>
      <xdr:col>18</xdr:col>
      <xdr:colOff>44450</xdr:colOff>
      <xdr:row>3</xdr:row>
      <xdr:rowOff>17145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214100" y="444500"/>
          <a:ext cx="1149350" cy="245745"/>
        </a:xfrm>
        <a:prstGeom prst="rect">
          <a:avLst/>
        </a:prstGeom>
      </xdr:spPr>
    </xdr:pic>
    <xdr:clientData/>
  </xdr:twoCellAnchor>
  <xdr:twoCellAnchor editAs="oneCell">
    <xdr:from>
      <xdr:col>2</xdr:col>
      <xdr:colOff>0</xdr:colOff>
      <xdr:row>5</xdr:row>
      <xdr:rowOff>0</xdr:rowOff>
    </xdr:from>
    <xdr:to>
      <xdr:col>2</xdr:col>
      <xdr:colOff>711200</xdr:colOff>
      <xdr:row>6</xdr:row>
      <xdr:rowOff>25400</xdr:rowOff>
    </xdr:to>
    <xdr:pic>
      <xdr:nvPicPr>
        <xdr:cNvPr id="5" name="Picture 4">
          <a:extLst>
            <a:ext uri="{FF2B5EF4-FFF2-40B4-BE49-F238E27FC236}">
              <a16:creationId xmlns:a16="http://schemas.microsoft.com/office/drawing/2014/main" id="{BD489329-F1F8-4A14-D04D-7B979BD89B69}"/>
            </a:ext>
          </a:extLst>
        </xdr:cNvPr>
        <xdr:cNvPicPr>
          <a:picLocks noChangeAspect="1"/>
        </xdr:cNvPicPr>
      </xdr:nvPicPr>
      <xdr:blipFill>
        <a:blip xmlns:r="http://schemas.openxmlformats.org/officeDocument/2006/relationships" r:embed="rId3"/>
        <a:stretch>
          <a:fillRect/>
        </a:stretch>
      </xdr:blipFill>
      <xdr:spPr>
        <a:xfrm>
          <a:off x="533400" y="965200"/>
          <a:ext cx="711200" cy="190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355600</xdr:colOff>
          <xdr:row>4</xdr:row>
          <xdr:rowOff>0</xdr:rowOff>
        </xdr:from>
        <xdr:to>
          <xdr:col>17</xdr:col>
          <xdr:colOff>603250</xdr:colOff>
          <xdr:row>5</xdr:row>
          <xdr:rowOff>140970</xdr:rowOff>
        </xdr:to>
        <xdr:pic>
          <xdr:nvPicPr>
            <xdr:cNvPr id="11" name="Picture 10">
              <a:extLst>
                <a:ext uri="{FF2B5EF4-FFF2-40B4-BE49-F238E27FC236}">
                  <a16:creationId xmlns:a16="http://schemas.microsoft.com/office/drawing/2014/main" id="{00000000-0008-0000-0200-00000B000000}"/>
                </a:ext>
              </a:extLst>
            </xdr:cNvPr>
            <xdr:cNvPicPr>
              <a:picLocks noChangeAspect="1"/>
              <a:extLst>
                <a:ext uri="{84589F7E-364E-4C9E-8A38-B11213B215E9}">
                  <a14:cameraTool cellRange="EconomicMoat" spid="_x0000_s345087"/>
                </a:ext>
              </a:extLst>
            </xdr:cNvPicPr>
          </xdr:nvPicPr>
          <xdr:blipFill>
            <a:blip xmlns:r="http://schemas.openxmlformats.org/officeDocument/2006/relationships" r:embed="rId1"/>
            <a:stretch>
              <a:fillRect/>
            </a:stretch>
          </xdr:blipFill>
          <xdr:spPr>
            <a:xfrm>
              <a:off x="15798800" y="1181100"/>
              <a:ext cx="247650" cy="420370"/>
            </a:xfrm>
            <a:prstGeom prst="rect">
              <a:avLst/>
            </a:prstGeom>
          </xdr:spPr>
        </xdr:pic>
        <xdr:clientData/>
      </xdr:twoCellAnchor>
    </mc:Choice>
    <mc:Fallback/>
  </mc:AlternateContent>
  <xdr:twoCellAnchor editAs="oneCell">
    <xdr:from>
      <xdr:col>26</xdr:col>
      <xdr:colOff>478789</xdr:colOff>
      <xdr:row>1</xdr:row>
      <xdr:rowOff>223520</xdr:rowOff>
    </xdr:from>
    <xdr:to>
      <xdr:col>27</xdr:col>
      <xdr:colOff>831214</xdr:colOff>
      <xdr:row>3</xdr:row>
      <xdr:rowOff>91123</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22989" y="502920"/>
          <a:ext cx="1241425" cy="48990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276226</xdr:colOff>
          <xdr:row>3</xdr:row>
          <xdr:rowOff>180974</xdr:rowOff>
        </xdr:from>
        <xdr:to>
          <xdr:col>17</xdr:col>
          <xdr:colOff>514351</xdr:colOff>
          <xdr:row>5</xdr:row>
          <xdr:rowOff>47624</xdr:rowOff>
        </xdr:to>
        <xdr:pic>
          <xdr:nvPicPr>
            <xdr:cNvPr id="207860" name="Picture 10">
              <a:extLst>
                <a:ext uri="{FF2B5EF4-FFF2-40B4-BE49-F238E27FC236}">
                  <a16:creationId xmlns:a16="http://schemas.microsoft.com/office/drawing/2014/main" id="{00000000-0008-0000-0200-0000F42B0300}"/>
                </a:ext>
              </a:extLst>
            </xdr:cNvPr>
            <xdr:cNvPicPr>
              <a:picLocks noChangeAspect="1" noChangeArrowheads="1"/>
              <a:extLst>
                <a:ext uri="{84589F7E-364E-4C9E-8A38-B11213B215E9}">
                  <a14:cameraTool cellRange="EconomicMoat" spid="_x0000_s363520"/>
                </a:ext>
              </a:extLst>
            </xdr:cNvPicPr>
          </xdr:nvPicPr>
          <xdr:blipFill>
            <a:blip xmlns:r="http://schemas.openxmlformats.org/officeDocument/2006/relationships" r:embed="rId3"/>
            <a:srcRect/>
            <a:stretch>
              <a:fillRect/>
            </a:stretch>
          </xdr:blipFill>
          <xdr:spPr bwMode="auto">
            <a:xfrm>
              <a:off x="6800851" y="790574"/>
              <a:ext cx="238125" cy="2476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2</xdr:col>
      <xdr:colOff>0</xdr:colOff>
      <xdr:row>4</xdr:row>
      <xdr:rowOff>0</xdr:rowOff>
    </xdr:from>
    <xdr:to>
      <xdr:col>2</xdr:col>
      <xdr:colOff>711200</xdr:colOff>
      <xdr:row>4</xdr:row>
      <xdr:rowOff>190500</xdr:rowOff>
    </xdr:to>
    <xdr:pic>
      <xdr:nvPicPr>
        <xdr:cNvPr id="3" name="Picture 2">
          <a:extLst>
            <a:ext uri="{FF2B5EF4-FFF2-40B4-BE49-F238E27FC236}">
              <a16:creationId xmlns:a16="http://schemas.microsoft.com/office/drawing/2014/main" id="{9A645AD9-8D30-E538-AD70-52CAC01B151C}"/>
            </a:ext>
          </a:extLst>
        </xdr:cNvPr>
        <xdr:cNvPicPr>
          <a:picLocks noChangeAspect="1"/>
        </xdr:cNvPicPr>
      </xdr:nvPicPr>
      <xdr:blipFill>
        <a:blip xmlns:r="http://schemas.openxmlformats.org/officeDocument/2006/relationships" r:embed="rId4"/>
        <a:stretch>
          <a:fillRect/>
        </a:stretch>
      </xdr:blipFill>
      <xdr:spPr>
        <a:xfrm>
          <a:off x="508000" y="1181100"/>
          <a:ext cx="711200" cy="190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xdr:colOff>
      <xdr:row>45</xdr:row>
      <xdr:rowOff>71436</xdr:rowOff>
    </xdr:from>
    <xdr:to>
      <xdr:col>3</xdr:col>
      <xdr:colOff>380047</xdr:colOff>
      <xdr:row>70</xdr:row>
      <xdr:rowOff>50100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28576</xdr:colOff>
      <xdr:row>75</xdr:row>
      <xdr:rowOff>52387</xdr:rowOff>
    </xdr:from>
    <xdr:to>
      <xdr:col>3</xdr:col>
      <xdr:colOff>361951</xdr:colOff>
      <xdr:row>100</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503237</xdr:colOff>
      <xdr:row>2</xdr:row>
      <xdr:rowOff>86519</xdr:rowOff>
    </xdr:from>
    <xdr:to>
      <xdr:col>16</xdr:col>
      <xdr:colOff>608012</xdr:colOff>
      <xdr:row>19</xdr:row>
      <xdr:rowOff>111283</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503237</xdr:colOff>
      <xdr:row>22</xdr:row>
      <xdr:rowOff>45236</xdr:rowOff>
    </xdr:from>
    <xdr:to>
      <xdr:col>16</xdr:col>
      <xdr:colOff>608012</xdr:colOff>
      <xdr:row>39</xdr:row>
      <xdr:rowOff>63651</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503237</xdr:colOff>
      <xdr:row>42</xdr:row>
      <xdr:rowOff>7127</xdr:rowOff>
    </xdr:from>
    <xdr:to>
      <xdr:col>16</xdr:col>
      <xdr:colOff>608012</xdr:colOff>
      <xdr:row>59</xdr:row>
      <xdr:rowOff>84978</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506412</xdr:colOff>
      <xdr:row>62</xdr:row>
      <xdr:rowOff>102395</xdr:rowOff>
    </xdr:from>
    <xdr:to>
      <xdr:col>16</xdr:col>
      <xdr:colOff>604837</xdr:colOff>
      <xdr:row>79</xdr:row>
      <xdr:rowOff>135798</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503237</xdr:colOff>
      <xdr:row>82</xdr:row>
      <xdr:rowOff>86519</xdr:rowOff>
    </xdr:from>
    <xdr:to>
      <xdr:col>16</xdr:col>
      <xdr:colOff>623486</xdr:colOff>
      <xdr:row>99</xdr:row>
      <xdr:rowOff>106615</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1247775</xdr:colOff>
          <xdr:row>4</xdr:row>
          <xdr:rowOff>38100</xdr:rowOff>
        </xdr:to>
        <xdr:pic>
          <xdr:nvPicPr>
            <xdr:cNvPr id="9" name="Graphic 9">
              <a:extLst>
                <a:ext uri="{FF2B5EF4-FFF2-40B4-BE49-F238E27FC236}">
                  <a16:creationId xmlns:a16="http://schemas.microsoft.com/office/drawing/2014/main" id="{00000000-0008-0000-0300-000009000000}"/>
                </a:ext>
              </a:extLst>
            </xdr:cNvPr>
            <xdr:cNvPicPr>
              <a:picLocks noChangeAspect="1"/>
              <a:extLst>
                <a:ext uri="{84589F7E-364E-4C9E-8A38-B11213B215E9}">
                  <a14:cameraTool cellRange="StarRating" spid="_x0000_s345338"/>
                </a:ext>
              </a:extLst>
            </xdr:cNvPicPr>
          </xdr:nvPicPr>
          <xdr:blipFill>
            <a:blip xmlns:r="http://schemas.openxmlformats.org/officeDocument/2006/relationships" r:embed="rId8"/>
            <a:stretch>
              <a:fillRect/>
            </a:stretch>
          </xdr:blipFill>
          <xdr:spPr>
            <a:xfrm>
              <a:off x="238125" y="552450"/>
              <a:ext cx="1219200" cy="190500"/>
            </a:xfrm>
            <a:prstGeom prst="rect">
              <a:avLst/>
            </a:prstGeom>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73</xdr:col>
      <xdr:colOff>0</xdr:colOff>
      <xdr:row>2</xdr:row>
      <xdr:rowOff>47624</xdr:rowOff>
    </xdr:from>
    <xdr:to>
      <xdr:col>78</xdr:col>
      <xdr:colOff>83820</xdr:colOff>
      <xdr:row>3</xdr:row>
      <xdr:rowOff>7302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335750" y="476249"/>
          <a:ext cx="1133475" cy="28670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73</xdr:col>
      <xdr:colOff>0</xdr:colOff>
      <xdr:row>2</xdr:row>
      <xdr:rowOff>47624</xdr:rowOff>
    </xdr:from>
    <xdr:to>
      <xdr:col>78</xdr:col>
      <xdr:colOff>85725</xdr:colOff>
      <xdr:row>3</xdr:row>
      <xdr:rowOff>7302</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335750" y="476249"/>
          <a:ext cx="1133475" cy="28670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73</xdr:col>
      <xdr:colOff>0</xdr:colOff>
      <xdr:row>2</xdr:row>
      <xdr:rowOff>47624</xdr:rowOff>
    </xdr:from>
    <xdr:to>
      <xdr:col>78</xdr:col>
      <xdr:colOff>85725</xdr:colOff>
      <xdr:row>3</xdr:row>
      <xdr:rowOff>7302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335750" y="476249"/>
          <a:ext cx="1133475" cy="28670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17</xdr:col>
      <xdr:colOff>0</xdr:colOff>
      <xdr:row>1</xdr:row>
      <xdr:rowOff>227512</xdr:rowOff>
    </xdr:from>
    <xdr:to>
      <xdr:col>17</xdr:col>
      <xdr:colOff>214313</xdr:colOff>
      <xdr:row>2</xdr:row>
      <xdr:rowOff>213225</xdr:rowOff>
    </xdr:to>
    <xdr:pic>
      <xdr:nvPicPr>
        <xdr:cNvPr id="10" name="Graphic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96110" y="410392"/>
          <a:ext cx="214313" cy="214313"/>
        </a:xfrm>
        <a:prstGeom prst="rect">
          <a:avLst/>
        </a:prstGeom>
      </xdr:spPr>
    </xdr:pic>
    <xdr:clientData/>
  </xdr:twoCellAnchor>
  <xdr:twoCellAnchor editAs="oneCell">
    <xdr:from>
      <xdr:col>17</xdr:col>
      <xdr:colOff>0</xdr:colOff>
      <xdr:row>3</xdr:row>
      <xdr:rowOff>0</xdr:rowOff>
    </xdr:from>
    <xdr:to>
      <xdr:col>17</xdr:col>
      <xdr:colOff>214313</xdr:colOff>
      <xdr:row>3</xdr:row>
      <xdr:rowOff>214313</xdr:rowOff>
    </xdr:to>
    <xdr:pic>
      <xdr:nvPicPr>
        <xdr:cNvPr id="12" name="Graphic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3545911" y="653143"/>
          <a:ext cx="214313" cy="214313"/>
        </a:xfrm>
        <a:prstGeom prst="rect">
          <a:avLst/>
        </a:prstGeom>
      </xdr:spPr>
    </xdr:pic>
    <xdr:clientData/>
  </xdr:twoCellAnchor>
  <xdr:twoCellAnchor editAs="oneCell">
    <xdr:from>
      <xdr:col>16</xdr:col>
      <xdr:colOff>825967</xdr:colOff>
      <xdr:row>1</xdr:row>
      <xdr:rowOff>400</xdr:rowOff>
    </xdr:from>
    <xdr:to>
      <xdr:col>17</xdr:col>
      <xdr:colOff>214112</xdr:colOff>
      <xdr:row>1</xdr:row>
      <xdr:rowOff>214312</xdr:rowOff>
    </xdr:to>
    <xdr:pic>
      <xdr:nvPicPr>
        <xdr:cNvPr id="14" name="Graphic 13">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4592099" y="182879"/>
          <a:ext cx="214313" cy="213912"/>
        </a:xfrm>
        <a:prstGeom prst="rect">
          <a:avLst/>
        </a:prstGeom>
      </xdr:spPr>
    </xdr:pic>
    <xdr:clientData/>
  </xdr:twoCellAnchor>
  <xdr:twoCellAnchor editAs="absolute">
    <xdr:from>
      <xdr:col>21</xdr:col>
      <xdr:colOff>482600</xdr:colOff>
      <xdr:row>20</xdr:row>
      <xdr:rowOff>0</xdr:rowOff>
    </xdr:from>
    <xdr:to>
      <xdr:col>22</xdr:col>
      <xdr:colOff>593090</xdr:colOff>
      <xdr:row>20</xdr:row>
      <xdr:rowOff>146685</xdr:rowOff>
    </xdr:to>
    <xdr:pic>
      <xdr:nvPicPr>
        <xdr:cNvPr id="5" name="Graphic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573500" y="3924300"/>
          <a:ext cx="720090" cy="146685"/>
        </a:xfrm>
        <a:prstGeom prst="rect">
          <a:avLst/>
        </a:prstGeom>
      </xdr:spPr>
    </xdr:pic>
    <xdr:clientData/>
  </xdr:twoCellAnchor>
  <xdr:twoCellAnchor editAs="absolute">
    <xdr:from>
      <xdr:col>21</xdr:col>
      <xdr:colOff>482600</xdr:colOff>
      <xdr:row>21</xdr:row>
      <xdr:rowOff>0</xdr:rowOff>
    </xdr:from>
    <xdr:to>
      <xdr:col>22</xdr:col>
      <xdr:colOff>593090</xdr:colOff>
      <xdr:row>21</xdr:row>
      <xdr:rowOff>146685</xdr:rowOff>
    </xdr:to>
    <xdr:pic>
      <xdr:nvPicPr>
        <xdr:cNvPr id="7" name="Graphic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6573500" y="4114800"/>
          <a:ext cx="720090" cy="146685"/>
        </a:xfrm>
        <a:prstGeom prst="rect">
          <a:avLst/>
        </a:prstGeom>
      </xdr:spPr>
    </xdr:pic>
    <xdr:clientData/>
  </xdr:twoCellAnchor>
  <xdr:twoCellAnchor editAs="absolute">
    <xdr:from>
      <xdr:col>21</xdr:col>
      <xdr:colOff>482600</xdr:colOff>
      <xdr:row>22</xdr:row>
      <xdr:rowOff>0</xdr:rowOff>
    </xdr:from>
    <xdr:to>
      <xdr:col>22</xdr:col>
      <xdr:colOff>593090</xdr:colOff>
      <xdr:row>22</xdr:row>
      <xdr:rowOff>146685</xdr:rowOff>
    </xdr:to>
    <xdr:pic>
      <xdr:nvPicPr>
        <xdr:cNvPr id="9" name="Graphic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573500" y="4305300"/>
          <a:ext cx="720090" cy="146685"/>
        </a:xfrm>
        <a:prstGeom prst="rect">
          <a:avLst/>
        </a:prstGeom>
      </xdr:spPr>
    </xdr:pic>
    <xdr:clientData/>
  </xdr:twoCellAnchor>
  <xdr:twoCellAnchor editAs="absolute">
    <xdr:from>
      <xdr:col>21</xdr:col>
      <xdr:colOff>482600</xdr:colOff>
      <xdr:row>23</xdr:row>
      <xdr:rowOff>0</xdr:rowOff>
    </xdr:from>
    <xdr:to>
      <xdr:col>22</xdr:col>
      <xdr:colOff>593090</xdr:colOff>
      <xdr:row>23</xdr:row>
      <xdr:rowOff>146685</xdr:rowOff>
    </xdr:to>
    <xdr:pic>
      <xdr:nvPicPr>
        <xdr:cNvPr id="13" name="Graphic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573500" y="4495800"/>
          <a:ext cx="720090" cy="146685"/>
        </a:xfrm>
        <a:prstGeom prst="rect">
          <a:avLst/>
        </a:prstGeom>
      </xdr:spPr>
    </xdr:pic>
    <xdr:clientData/>
  </xdr:twoCellAnchor>
  <xdr:twoCellAnchor editAs="absolute">
    <xdr:from>
      <xdr:col>21</xdr:col>
      <xdr:colOff>482600</xdr:colOff>
      <xdr:row>19</xdr:row>
      <xdr:rowOff>0</xdr:rowOff>
    </xdr:from>
    <xdr:to>
      <xdr:col>22</xdr:col>
      <xdr:colOff>593090</xdr:colOff>
      <xdr:row>19</xdr:row>
      <xdr:rowOff>146685</xdr:rowOff>
    </xdr:to>
    <xdr:pic>
      <xdr:nvPicPr>
        <xdr:cNvPr id="16" name="Graphic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6573500" y="3733800"/>
          <a:ext cx="720090" cy="1466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orningstaronline-my.sharepoint.com/J:/Platform%20Optimization/Assets/Equipment/Grpwas99.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miller/Downloads/e57c0b65-fffa-43d9-9671-089acbda0f91.xls" TargetMode="External"/><Relationship Id="rId1" Type="http://schemas.openxmlformats.org/officeDocument/2006/relationships/externalLinkPath" Target="file:///C:/Users/mmiller/Downloads/e57c0b65-fffa-43d9-9671-089acbda0f9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PWAS9"/>
      <sheetName val="WASTEDIFF"/>
      <sheetName val="WASTEDIFF (2)"/>
      <sheetName val="RUN"/>
      <sheetName val="MR"/>
      <sheetName val="VC"/>
      <sheetName val="TOTIMP"/>
      <sheetName val="DCF"/>
      <sheetName val="WASTEDIFF_(2)"/>
      <sheetName val="Dry Gas SUMMARY"/>
      <sheetName val="Marc-Utica Dry Gas Sensitivity"/>
      <sheetName val="Global Auto Sales by Powertrain"/>
      <sheetName val="Sustainalytics Company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reakPoints"/>
      <sheetName val="DTDOverride"/>
      <sheetName val="Summary"/>
      <sheetName val="Inputs"/>
      <sheetName val="Debt"/>
      <sheetName val="ROIC"/>
      <sheetName val="Audit"/>
      <sheetName val="Buildup"/>
      <sheetName val="Financial Statements"/>
      <sheetName val="Metrics"/>
      <sheetName val="Quarterly"/>
      <sheetName val="Figures"/>
      <sheetName val="PwPrivate"/>
      <sheetName val="_FreeForm"/>
    </sheetNames>
    <sheetDataSet>
      <sheetData sheetId="0" refreshError="1"/>
      <sheetData sheetId="1" refreshError="1"/>
      <sheetData sheetId="2" refreshError="1"/>
      <sheetData sheetId="3">
        <row r="9">
          <cell r="S9">
            <v>1</v>
          </cell>
        </row>
        <row r="10">
          <cell r="S10">
            <v>0.06</v>
          </cell>
        </row>
        <row r="15">
          <cell r="I15" t="str">
            <v>Bull Case</v>
          </cell>
        </row>
        <row r="16">
          <cell r="I16" t="str">
            <v>Base Case</v>
          </cell>
        </row>
        <row r="17">
          <cell r="I17" t="str">
            <v>Bear Case</v>
          </cell>
        </row>
      </sheetData>
      <sheetData sheetId="4" refreshError="1"/>
      <sheetData sheetId="5" refreshError="1"/>
      <sheetData sheetId="6" refreshError="1"/>
      <sheetData sheetId="7" refreshError="1"/>
      <sheetData sheetId="8">
        <row r="17">
          <cell r="E17">
            <v>-2710208</v>
          </cell>
        </row>
      </sheetData>
      <sheetData sheetId="9">
        <row r="32">
          <cell r="E32">
            <v>2236900</v>
          </cell>
        </row>
      </sheetData>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Morningstar Color Palette">
      <a:dk1>
        <a:sysClr val="windowText" lastClr="000000"/>
      </a:dk1>
      <a:lt1>
        <a:sysClr val="window" lastClr="FFFFFF"/>
      </a:lt1>
      <a:dk2>
        <a:srgbClr val="44546A"/>
      </a:dk2>
      <a:lt2>
        <a:srgbClr val="E7E6E6"/>
      </a:lt2>
      <a:accent1>
        <a:srgbClr val="1F55A5"/>
      </a:accent1>
      <a:accent2>
        <a:srgbClr val="A50032"/>
      </a:accent2>
      <a:accent3>
        <a:srgbClr val="F5C400"/>
      </a:accent3>
      <a:accent4>
        <a:srgbClr val="518428"/>
      </a:accent4>
      <a:accent5>
        <a:srgbClr val="00A8E1"/>
      </a:accent5>
      <a:accent6>
        <a:srgbClr val="6A4C9E"/>
      </a:accent6>
      <a:hlink>
        <a:srgbClr val="1F55A5"/>
      </a:hlink>
      <a:folHlink>
        <a:srgbClr val="6A4C9E"/>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F8ABFA6-BCA8-4ED9-B283-A46221F4565B}">
  <we:reference id="wa200002663" version="1.6.0.0" store="en-US" storeType="OMEX"/>
  <we:alternateReferences>
    <we:reference id="wa200002663" version="1.6.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PBF</we:customFunctionIds>
        <we:customFunctionIds>PBM</we:customFunctionIds>
        <we:customFunctionIds>PBD</we:customFunctionIds>
        <we:customFunctionIds>PBA</we:customFunctionIds>
        <we:customFunctionIds>PBS</we:customFunctionIds>
        <we:customFunctionIds>PBEQR</we:customFunctionIds>
        <we:customFunctionIds>PBIMAGE</we:customFunctionIds>
        <we:customFunctionIds>PBFS</we:customFunctionIds>
        <we:customFunctionIds>PBMATCHPBID</we:customFunctionIds>
        <we:customFunctionIds>PBMATCHSYMBOL</we:customFunctionIds>
        <we:customFunctionIds>PBR</we:customFunctionIds>
        <we:customFunctionIds>PBCHARTMARKET</we:customFunctionIds>
      </we:customFunctionIdList>
    </a:ext>
    <a:ext xmlns:a="http://schemas.openxmlformats.org/drawingml/2006/main" uri="{0858819E-0033-43BF-8937-05EC82904868}">
      <we:backgroundApp state="1" runtimeId="SharedAddin.Url"/>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openxmlformats.org/officeDocument/2006/relationships/hyperlink" Target="https://www.bamsec.com/filing/167978826000015/1?table=34&amp;utm_source=table-download&amp;utm_medium=excel&amp;utm_campaign=tables" TargetMode="Externa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22D9-6BF1-4082-885C-3D8982CF288A}">
  <sheetPr codeName="Sheet6"/>
  <dimension ref="A1:AB32"/>
  <sheetViews>
    <sheetView showOutlineSymbols="0" workbookViewId="0"/>
  </sheetViews>
  <sheetFormatPr baseColWidth="10" defaultColWidth="9.1640625" defaultRowHeight="14"/>
  <cols>
    <col min="1" max="3" width="9.1640625" style="2"/>
    <col min="4" max="4" width="25.6640625" style="2" customWidth="1"/>
    <col min="5" max="16384" width="9.1640625" style="2"/>
  </cols>
  <sheetData>
    <row r="1" spans="4:28">
      <c r="D1" s="1" t="s">
        <v>3331</v>
      </c>
      <c r="F1" s="2" t="s">
        <v>3332</v>
      </c>
      <c r="T1" s="711" t="str">
        <f ca="1">Valuation!$C$5</f>
        <v/>
      </c>
    </row>
    <row r="2" spans="4:28">
      <c r="D2" s="3">
        <v>46064</v>
      </c>
      <c r="F2" s="2" t="s">
        <v>3701</v>
      </c>
      <c r="T2" s="2" t="s">
        <v>3700</v>
      </c>
    </row>
    <row r="4" spans="4:28">
      <c r="AB4" s="4" t="s">
        <v>3335</v>
      </c>
    </row>
    <row r="5" spans="4:28">
      <c r="E5" s="5" t="s">
        <v>3212</v>
      </c>
      <c r="I5" s="5" t="s">
        <v>3213</v>
      </c>
      <c r="M5" s="5" t="s">
        <v>3214</v>
      </c>
      <c r="AB5" s="4" t="s">
        <v>3336</v>
      </c>
    </row>
    <row r="22" spans="1:15" ht="15">
      <c r="D22" s="2" t="s">
        <v>3330</v>
      </c>
      <c r="L22" s="722" t="s">
        <v>3337</v>
      </c>
      <c r="M22" s="723"/>
      <c r="N22" s="723"/>
      <c r="O22" s="723"/>
    </row>
    <row r="23" spans="1:15">
      <c r="G23" s="6" t="b">
        <v>1</v>
      </c>
    </row>
    <row r="24" spans="1:15" ht="15">
      <c r="G24" s="4"/>
      <c r="L24" s="7" t="s">
        <v>3338</v>
      </c>
      <c r="O24" s="8" t="s">
        <v>3336</v>
      </c>
    </row>
    <row r="25" spans="1:15" ht="15">
      <c r="G25" s="4"/>
      <c r="L25" s="7"/>
    </row>
    <row r="26" spans="1:15" ht="15">
      <c r="D26" s="2" t="s">
        <v>3329</v>
      </c>
      <c r="G26" s="4"/>
      <c r="L26" s="7" t="s">
        <v>3339</v>
      </c>
      <c r="O26" s="8" t="s">
        <v>3335</v>
      </c>
    </row>
    <row r="27" spans="1:15" ht="15">
      <c r="A27" s="4">
        <f>IF(G27=FALSE, 0, -1)</f>
        <v>0</v>
      </c>
      <c r="G27" s="6" t="b">
        <v>0</v>
      </c>
      <c r="L27" s="7"/>
    </row>
    <row r="28" spans="1:15" ht="15">
      <c r="L28" s="7" t="s">
        <v>3340</v>
      </c>
      <c r="O28" s="8" t="s">
        <v>3335</v>
      </c>
    </row>
    <row r="29" spans="1:15" ht="15">
      <c r="L29" s="7"/>
    </row>
    <row r="30" spans="1:15" ht="15">
      <c r="L30" s="7" t="s">
        <v>3341</v>
      </c>
      <c r="O30" s="8" t="s">
        <v>3335</v>
      </c>
    </row>
    <row r="31" spans="1:15" ht="15">
      <c r="L31" s="7"/>
    </row>
    <row r="32" spans="1:15" ht="15">
      <c r="L32" s="7" t="s">
        <v>3342</v>
      </c>
      <c r="O32" s="8" t="s">
        <v>3335</v>
      </c>
    </row>
  </sheetData>
  <sheetProtection algorithmName="SHA-512" hashValue="xkb4L52UDhaS72aADHezRKnvnh8Kx/f6nsNDSMAKUALpPAVRm3jFToQJTCO2bnT7MU31ThJqS+lhu/BVl/pF8A==" saltValue="X0BcCKWx/0ROuifsSLT0Uw==" spinCount="100000" sheet="1" objects="1" scenarios="1"/>
  <mergeCells count="1">
    <mergeCell ref="L22:O22"/>
  </mergeCells>
  <dataValidations count="1">
    <dataValidation type="list" allowBlank="1" showInputMessage="1" showErrorMessage="1" sqref="O24 O26 O28 O30 O32" xr:uid="{C48CB9C7-071B-4AD7-ADFD-71A35655F13C}">
      <formula1>$AB$4:$AB$5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6" r:id="rId4" name="Button 2">
              <controlPr defaultSize="0" print="0" autoFill="0" autoPict="0" macro="[0]!EnablePBHistoricals">
                <anchor moveWithCells="1" sizeWithCells="1">
                  <from>
                    <xdr:col>11</xdr:col>
                    <xdr:colOff>12700</xdr:colOff>
                    <xdr:row>6</xdr:row>
                    <xdr:rowOff>12700</xdr:rowOff>
                  </from>
                  <to>
                    <xdr:col>13</xdr:col>
                    <xdr:colOff>596900</xdr:colOff>
                    <xdr:row>8</xdr:row>
                    <xdr:rowOff>88900</xdr:rowOff>
                  </to>
                </anchor>
              </controlPr>
            </control>
          </mc:Choice>
        </mc:AlternateContent>
        <mc:AlternateContent xmlns:mc="http://schemas.openxmlformats.org/markup-compatibility/2006">
          <mc:Choice Requires="x14">
            <control shapeId="164867" r:id="rId5" name="Button 3">
              <controlPr defaultSize="0" print="0" autoFill="0" autoPict="0" macro="[0]!DisablePBHistoricals">
                <anchor moveWithCells="1" sizeWithCells="1">
                  <from>
                    <xdr:col>11</xdr:col>
                    <xdr:colOff>12700</xdr:colOff>
                    <xdr:row>9</xdr:row>
                    <xdr:rowOff>12700</xdr:rowOff>
                  </from>
                  <to>
                    <xdr:col>13</xdr:col>
                    <xdr:colOff>596900</xdr:colOff>
                    <xdr:row>11</xdr:row>
                    <xdr:rowOff>88900</xdr:rowOff>
                  </to>
                </anchor>
              </controlPr>
            </control>
          </mc:Choice>
        </mc:AlternateContent>
        <mc:AlternateContent xmlns:mc="http://schemas.openxmlformats.org/markup-compatibility/2006">
          <mc:Choice Requires="x14">
            <control shapeId="164868" r:id="rId6" name="Button 4">
              <controlPr defaultSize="0" print="0" autoFill="0" autoPict="0" macro="[0]!RefreshPBData">
                <anchor moveWithCells="1" sizeWithCells="1">
                  <from>
                    <xdr:col>11</xdr:col>
                    <xdr:colOff>12700</xdr:colOff>
                    <xdr:row>12</xdr:row>
                    <xdr:rowOff>12700</xdr:rowOff>
                  </from>
                  <to>
                    <xdr:col>13</xdr:col>
                    <xdr:colOff>596900</xdr:colOff>
                    <xdr:row>14</xdr:row>
                    <xdr:rowOff>88900</xdr:rowOff>
                  </to>
                </anchor>
              </controlPr>
            </control>
          </mc:Choice>
        </mc:AlternateContent>
        <mc:AlternateContent xmlns:mc="http://schemas.openxmlformats.org/markup-compatibility/2006">
          <mc:Choice Requires="x14">
            <control shapeId="164870" r:id="rId7" name="Button 6">
              <controlPr defaultSize="0" print="0" autoFill="0" autoPict="0" macro="[0]!RefreshComparables">
                <anchor moveWithCells="1" sizeWithCells="1">
                  <from>
                    <xdr:col>7</xdr:col>
                    <xdr:colOff>0</xdr:colOff>
                    <xdr:row>6</xdr:row>
                    <xdr:rowOff>25400</xdr:rowOff>
                  </from>
                  <to>
                    <xdr:col>10</xdr:col>
                    <xdr:colOff>0</xdr:colOff>
                    <xdr:row>8</xdr:row>
                    <xdr:rowOff>101600</xdr:rowOff>
                  </to>
                </anchor>
              </controlPr>
            </control>
          </mc:Choice>
        </mc:AlternateContent>
        <mc:AlternateContent xmlns:mc="http://schemas.openxmlformats.org/markup-compatibility/2006">
          <mc:Choice Requires="x14">
            <control shapeId="164871" r:id="rId8" name="Button 7">
              <controlPr defaultSize="0" print="0" autoFill="0" autoPict="0" macro="[0]!UpdateSymbol">
                <anchor moveWithCells="1" sizeWithCells="1">
                  <from>
                    <xdr:col>3</xdr:col>
                    <xdr:colOff>0</xdr:colOff>
                    <xdr:row>6</xdr:row>
                    <xdr:rowOff>12700</xdr:rowOff>
                  </from>
                  <to>
                    <xdr:col>6</xdr:col>
                    <xdr:colOff>0</xdr:colOff>
                    <xdr:row>8</xdr:row>
                    <xdr:rowOff>88900</xdr:rowOff>
                  </to>
                </anchor>
              </controlPr>
            </control>
          </mc:Choice>
        </mc:AlternateContent>
        <mc:AlternateContent xmlns:mc="http://schemas.openxmlformats.org/markup-compatibility/2006">
          <mc:Choice Requires="x14">
            <control shapeId="164872" r:id="rId9" name="Button 8">
              <controlPr defaultSize="0" print="0" autoFill="0" autoPict="0" macro="[0]!RestoreDefaultComparables">
                <anchor moveWithCells="1" sizeWithCells="1">
                  <from>
                    <xdr:col>7</xdr:col>
                    <xdr:colOff>0</xdr:colOff>
                    <xdr:row>9</xdr:row>
                    <xdr:rowOff>12700</xdr:rowOff>
                  </from>
                  <to>
                    <xdr:col>10</xdr:col>
                    <xdr:colOff>0</xdr:colOff>
                    <xdr:row>11</xdr:row>
                    <xdr:rowOff>88900</xdr:rowOff>
                  </to>
                </anchor>
              </controlPr>
            </control>
          </mc:Choice>
        </mc:AlternateContent>
        <mc:AlternateContent xmlns:mc="http://schemas.openxmlformats.org/markup-compatibility/2006">
          <mc:Choice Requires="x14">
            <control shapeId="164873" r:id="rId10" name="Button 9">
              <controlPr defaultSize="0" print="0" autoFill="0" autoPict="0" macro="[0]!RollDates">
                <anchor moveWithCells="1" sizeWithCells="1">
                  <from>
                    <xdr:col>3</xdr:col>
                    <xdr:colOff>0</xdr:colOff>
                    <xdr:row>9</xdr:row>
                    <xdr:rowOff>12700</xdr:rowOff>
                  </from>
                  <to>
                    <xdr:col>6</xdr:col>
                    <xdr:colOff>0</xdr:colOff>
                    <xdr:row>11</xdr:row>
                    <xdr:rowOff>88900</xdr:rowOff>
                  </to>
                </anchor>
              </controlPr>
            </control>
          </mc:Choice>
        </mc:AlternateContent>
        <mc:AlternateContent xmlns:mc="http://schemas.openxmlformats.org/markup-compatibility/2006">
          <mc:Choice Requires="x14">
            <control shapeId="164874" r:id="rId11" name="Button 10">
              <controlPr defaultSize="0" print="0" autoFill="0" autoPict="0" macro="[0]!RefreshPBData_3Yr">
                <anchor moveWithCells="1" sizeWithCells="1">
                  <from>
                    <xdr:col>11</xdr:col>
                    <xdr:colOff>12700</xdr:colOff>
                    <xdr:row>15</xdr:row>
                    <xdr:rowOff>12700</xdr:rowOff>
                  </from>
                  <to>
                    <xdr:col>13</xdr:col>
                    <xdr:colOff>596900</xdr:colOff>
                    <xdr:row>17</xdr:row>
                    <xdr:rowOff>88900</xdr:rowOff>
                  </to>
                </anchor>
              </controlPr>
            </control>
          </mc:Choice>
        </mc:AlternateContent>
        <mc:AlternateContent xmlns:mc="http://schemas.openxmlformats.org/markup-compatibility/2006">
          <mc:Choice Requires="x14">
            <control shapeId="164875" r:id="rId12" name="Button 11">
              <controlPr defaultSize="0" print="0" autoFill="0" autoPict="0" macro="[0]!SyncBuildupValues">
                <anchor moveWithCells="1" sizeWithCells="1">
                  <from>
                    <xdr:col>3</xdr:col>
                    <xdr:colOff>0</xdr:colOff>
                    <xdr:row>12</xdr:row>
                    <xdr:rowOff>12700</xdr:rowOff>
                  </from>
                  <to>
                    <xdr:col>6</xdr:col>
                    <xdr:colOff>0</xdr:colOff>
                    <xdr:row>14</xdr:row>
                    <xdr:rowOff>88900</xdr:rowOff>
                  </to>
                </anchor>
              </controlPr>
            </control>
          </mc:Choice>
        </mc:AlternateContent>
        <mc:AlternateContent xmlns:mc="http://schemas.openxmlformats.org/markup-compatibility/2006">
          <mc:Choice Requires="x14">
            <control shapeId="164876" r:id="rId13" name="Button 12">
              <controlPr defaultSize="0" print="0" autoFill="0" autoPict="0" macro="[0]!UserModelUnlock">
                <anchor moveWithCells="1" sizeWithCells="1">
                  <from>
                    <xdr:col>19</xdr:col>
                    <xdr:colOff>12700</xdr:colOff>
                    <xdr:row>6</xdr:row>
                    <xdr:rowOff>12700</xdr:rowOff>
                  </from>
                  <to>
                    <xdr:col>21</xdr:col>
                    <xdr:colOff>596900</xdr:colOff>
                    <xdr:row>8</xdr:row>
                    <xdr:rowOff>88900</xdr:rowOff>
                  </to>
                </anchor>
              </controlPr>
            </control>
          </mc:Choice>
        </mc:AlternateContent>
        <mc:AlternateContent xmlns:mc="http://schemas.openxmlformats.org/markup-compatibility/2006">
          <mc:Choice Requires="x14">
            <control shapeId="164877" r:id="rId14" name="Check Box 13">
              <controlPr defaultSize="0" autoFill="0" autoLine="0" autoPict="0">
                <anchor moveWithCells="1">
                  <from>
                    <xdr:col>3</xdr:col>
                    <xdr:colOff>0</xdr:colOff>
                    <xdr:row>22</xdr:row>
                    <xdr:rowOff>0</xdr:rowOff>
                  </from>
                  <to>
                    <xdr:col>4</xdr:col>
                    <xdr:colOff>127000</xdr:colOff>
                    <xdr:row>24</xdr:row>
                    <xdr:rowOff>0</xdr:rowOff>
                  </to>
                </anchor>
              </controlPr>
            </control>
          </mc:Choice>
        </mc:AlternateContent>
        <mc:AlternateContent xmlns:mc="http://schemas.openxmlformats.org/markup-compatibility/2006">
          <mc:Choice Requires="x14">
            <control shapeId="164878" r:id="rId15" name="Check Box 14">
              <controlPr defaultSize="0" autoFill="0" autoLine="0" autoPict="0">
                <anchor moveWithCells="1">
                  <from>
                    <xdr:col>3</xdr:col>
                    <xdr:colOff>0</xdr:colOff>
                    <xdr:row>26</xdr:row>
                    <xdr:rowOff>0</xdr:rowOff>
                  </from>
                  <to>
                    <xdr:col>4</xdr:col>
                    <xdr:colOff>127000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32FC-52B8-4FCA-B537-FAC951BDC2D1}">
  <sheetPr codeName="Sheet8"/>
  <dimension ref="B2:T126"/>
  <sheetViews>
    <sheetView tabSelected="1" showOutlineSymbols="0" workbookViewId="0">
      <selection activeCell="Q51" sqref="Q51"/>
    </sheetView>
  </sheetViews>
  <sheetFormatPr baseColWidth="10" defaultColWidth="9.1640625" defaultRowHeight="13"/>
  <cols>
    <col min="1" max="2" width="3.5" style="10" customWidth="1"/>
    <col min="3" max="18" width="9.6640625" style="10" customWidth="1"/>
    <col min="19" max="19" width="3.5" style="10" customWidth="1"/>
    <col min="20" max="16384" width="9.1640625" style="10"/>
  </cols>
  <sheetData>
    <row r="2" spans="2:19" ht="22.5" customHeight="1">
      <c r="B2" s="9"/>
      <c r="C2" s="9"/>
      <c r="D2" s="9"/>
      <c r="E2" s="9"/>
      <c r="F2" s="9"/>
      <c r="G2" s="9"/>
      <c r="H2" s="9"/>
      <c r="I2" s="9"/>
      <c r="J2" s="9"/>
      <c r="K2" s="9"/>
      <c r="L2" s="9"/>
      <c r="M2" s="9"/>
      <c r="N2" s="9"/>
      <c r="O2" s="9"/>
      <c r="P2" s="9"/>
      <c r="Q2" s="9"/>
      <c r="R2" s="9"/>
      <c r="S2" s="9"/>
    </row>
    <row r="3" spans="2:19" ht="18">
      <c r="B3" s="9"/>
      <c r="C3" s="11" t="e">
        <f>Valuation!C3</f>
        <v>#NAME?</v>
      </c>
      <c r="D3" s="9"/>
      <c r="E3" s="9"/>
      <c r="F3" s="9"/>
      <c r="G3" s="9"/>
      <c r="H3" s="9"/>
      <c r="I3" s="9"/>
      <c r="J3" s="9"/>
      <c r="K3" s="9"/>
      <c r="L3" s="9"/>
      <c r="M3" s="9"/>
      <c r="N3" s="9"/>
      <c r="O3" s="9"/>
      <c r="P3" s="9"/>
      <c r="Q3" s="9"/>
      <c r="R3" s="9"/>
      <c r="S3" s="9"/>
    </row>
    <row r="4" spans="2:19" ht="4.5" customHeight="1">
      <c r="B4" s="9"/>
      <c r="C4" s="12"/>
      <c r="D4" s="12"/>
      <c r="E4" s="12"/>
      <c r="F4" s="12"/>
      <c r="G4" s="12"/>
      <c r="H4" s="12"/>
      <c r="I4" s="12"/>
      <c r="J4" s="12"/>
      <c r="K4" s="12"/>
      <c r="L4" s="12"/>
      <c r="M4" s="12"/>
      <c r="N4" s="12"/>
      <c r="O4" s="12"/>
      <c r="P4" s="12"/>
      <c r="Q4" s="12"/>
      <c r="R4" s="12"/>
      <c r="S4" s="9"/>
    </row>
    <row r="5" spans="2:19" ht="19.25" customHeight="1">
      <c r="B5" s="9"/>
      <c r="C5" s="13" t="s">
        <v>69</v>
      </c>
      <c r="D5" s="9"/>
      <c r="E5" s="13" t="s">
        <v>70</v>
      </c>
      <c r="F5" s="9"/>
      <c r="G5" s="13" t="s">
        <v>794</v>
      </c>
      <c r="H5" s="9"/>
      <c r="I5" s="13" t="s">
        <v>807</v>
      </c>
      <c r="J5" s="9"/>
      <c r="K5" s="13" t="s">
        <v>806</v>
      </c>
      <c r="L5" s="9"/>
      <c r="M5" s="14" t="s">
        <v>797</v>
      </c>
      <c r="N5" s="9"/>
      <c r="O5" s="13" t="s">
        <v>3312</v>
      </c>
      <c r="P5" s="9"/>
      <c r="Q5" s="15"/>
      <c r="R5" s="9"/>
      <c r="S5" s="9"/>
    </row>
    <row r="6" spans="2:19">
      <c r="B6" s="9"/>
      <c r="C6" s="9"/>
      <c r="D6" s="9"/>
      <c r="E6" s="16" t="e">
        <f ca="1">Valuation!N3</f>
        <v>#NAME?</v>
      </c>
      <c r="F6" s="9"/>
      <c r="G6" s="16" t="e">
        <f>Valuation!P5</f>
        <v>#NAME?</v>
      </c>
      <c r="H6" s="9"/>
      <c r="I6" s="9" t="str">
        <f>Valuation!U5</f>
        <v>Very High</v>
      </c>
      <c r="J6" s="9"/>
      <c r="K6" s="9" t="str">
        <f>Valuation!T5</f>
        <v>Standard</v>
      </c>
      <c r="L6" s="9"/>
      <c r="M6" s="17" t="str">
        <f>Valuation!R5</f>
        <v>None</v>
      </c>
      <c r="N6" s="9"/>
      <c r="O6" s="18" t="str">
        <f>_ExportData!K2</f>
        <v>March 09 2026</v>
      </c>
      <c r="P6" s="9"/>
      <c r="Q6" s="15"/>
      <c r="R6" s="9"/>
      <c r="S6" s="9"/>
    </row>
    <row r="7" spans="2:19" ht="9" customHeight="1">
      <c r="B7" s="9"/>
      <c r="C7" s="19"/>
      <c r="D7" s="19"/>
      <c r="E7" s="19"/>
      <c r="F7" s="19"/>
      <c r="G7" s="19"/>
      <c r="H7" s="19"/>
      <c r="I7" s="19"/>
      <c r="J7" s="19"/>
      <c r="K7" s="19"/>
      <c r="L7" s="19"/>
      <c r="M7" s="19"/>
      <c r="N7" s="19"/>
      <c r="O7" s="19"/>
      <c r="P7" s="19"/>
      <c r="Q7" s="19"/>
      <c r="R7" s="19"/>
      <c r="S7" s="9"/>
    </row>
    <row r="8" spans="2:19" ht="4.5" customHeight="1">
      <c r="B8" s="9"/>
      <c r="C8" s="9"/>
      <c r="D8" s="9"/>
      <c r="E8" s="9"/>
      <c r="F8" s="9"/>
      <c r="G8" s="9"/>
      <c r="H8" s="9"/>
      <c r="I8" s="9"/>
      <c r="J8" s="9"/>
      <c r="K8" s="9"/>
      <c r="L8" s="9"/>
      <c r="M8" s="9"/>
      <c r="N8" s="9"/>
      <c r="O8" s="9"/>
      <c r="P8" s="9"/>
      <c r="Q8" s="9"/>
      <c r="R8" s="9"/>
      <c r="S8" s="9"/>
    </row>
    <row r="9" spans="2:19">
      <c r="B9" s="9"/>
      <c r="C9" s="20" t="str">
        <f>Valuation!P119</f>
        <v>Michael Miller</v>
      </c>
      <c r="D9" s="9"/>
      <c r="E9" s="9"/>
      <c r="F9" s="9"/>
      <c r="G9" s="9" t="s">
        <v>3266</v>
      </c>
      <c r="H9" s="9"/>
      <c r="I9" s="21">
        <f ca="1">'Hidden Formulas'!W14</f>
        <v>0</v>
      </c>
      <c r="J9" s="9"/>
      <c r="K9" s="9" t="s">
        <v>3267</v>
      </c>
      <c r="L9" s="9"/>
      <c r="M9" s="22">
        <f>COE</f>
        <v>0.09</v>
      </c>
      <c r="N9" s="9"/>
      <c r="O9" s="9" t="s">
        <v>3268</v>
      </c>
      <c r="P9" s="9"/>
      <c r="Q9" s="23" t="e">
        <f>(Valuation!V125*FX/ADR)/Valuation!S42</f>
        <v>#NAME?</v>
      </c>
      <c r="R9" s="23" t="e">
        <f ca="1">(I10*FX/ADR)/Valuation!S42</f>
        <v>#NAME?</v>
      </c>
      <c r="S9" s="9"/>
    </row>
    <row r="10" spans="2:19">
      <c r="B10" s="9"/>
      <c r="C10" s="20" t="str">
        <f>Valuation!P120</f>
        <v>000-000-0000</v>
      </c>
      <c r="D10" s="9"/>
      <c r="E10" s="9"/>
      <c r="F10" s="9"/>
      <c r="G10" s="9" t="s">
        <v>3269</v>
      </c>
      <c r="H10" s="9"/>
      <c r="I10" s="21">
        <f ca="1">Valuation!C7</f>
        <v>0</v>
      </c>
      <c r="J10" s="9"/>
      <c r="K10" s="9" t="s">
        <v>3270</v>
      </c>
      <c r="L10" s="9"/>
      <c r="M10" s="22">
        <f>COD</f>
        <v>6.5000000000000002E-2</v>
      </c>
      <c r="N10" s="9"/>
      <c r="O10" s="9" t="s">
        <v>3271</v>
      </c>
      <c r="P10" s="9"/>
      <c r="Q10" s="23" t="e">
        <f ca="1">(((Valuation!V125*FX/ADR)*Valuation!S40)+Valuation!R89-Valuation!R76)/Valuation!S55</f>
        <v>#NAME?</v>
      </c>
      <c r="R10" s="23" t="e">
        <f ca="1">Valuation!Q115/Valuation!S55</f>
        <v>#NAME?</v>
      </c>
      <c r="S10" s="9"/>
    </row>
    <row r="11" spans="2:19">
      <c r="B11" s="9"/>
      <c r="C11" s="20" t="str">
        <f>Valuation!P121</f>
        <v>Michael.Miller@morningstar.com</v>
      </c>
      <c r="D11" s="9"/>
      <c r="E11" s="9"/>
      <c r="F11" s="9"/>
      <c r="G11" s="9" t="s">
        <v>3272</v>
      </c>
      <c r="H11" s="9"/>
      <c r="I11" s="21">
        <f ca="1">'Hidden Formulas'!W18</f>
        <v>0</v>
      </c>
      <c r="J11" s="9"/>
      <c r="K11" s="9" t="s">
        <v>3273</v>
      </c>
      <c r="L11" s="9"/>
      <c r="M11" s="22" t="e">
        <f ca="1">WACC</f>
        <v>#NAME?</v>
      </c>
      <c r="N11" s="9"/>
      <c r="O11" s="9" t="s">
        <v>3274</v>
      </c>
      <c r="P11" s="9"/>
      <c r="Q11" s="23" t="e">
        <f ca="1">(((Valuation!V125*FX/ADR)*Valuation!S40)+Valuation!R89-Valuation!R76)/Valuation!S11</f>
        <v>#NAME?</v>
      </c>
      <c r="R11" s="23" t="e">
        <f ca="1">Valuation!Q115/Valuation!S11</f>
        <v>#NAME?</v>
      </c>
      <c r="S11" s="9"/>
    </row>
    <row r="12" spans="2:19">
      <c r="B12" s="9"/>
      <c r="C12" s="24" t="e">
        <v>#NAME?</v>
      </c>
      <c r="D12" s="9"/>
      <c r="E12" s="9"/>
      <c r="F12" s="9"/>
      <c r="G12" s="9" t="s">
        <v>3275</v>
      </c>
      <c r="H12" s="9"/>
      <c r="I12" s="21" t="e">
        <f>Valuation!V125</f>
        <v>#NAME?</v>
      </c>
      <c r="J12" s="9"/>
      <c r="K12" s="9" t="s">
        <v>3276</v>
      </c>
      <c r="L12" s="9"/>
      <c r="M12" s="22" t="e">
        <f ca="1">AVERAGE(ROIC!T315:X315)</f>
        <v>#NAME?</v>
      </c>
      <c r="N12" s="9"/>
      <c r="O12" s="9" t="s">
        <v>61</v>
      </c>
      <c r="P12" s="9"/>
      <c r="Q12" s="23" t="e">
        <f ca="1">(Valuation!V125*Valuation!S40*FX/ADR)/Valuation!S95</f>
        <v>#NAME?</v>
      </c>
      <c r="R12" s="23" t="e">
        <f ca="1">(I10*Valuation!S40*FX/ADR)/Valuation!S95</f>
        <v>#NAME?</v>
      </c>
      <c r="S12" s="9"/>
    </row>
    <row r="13" spans="2:19">
      <c r="B13" s="9"/>
      <c r="C13" s="24" t="e">
        <v>#NAME?</v>
      </c>
      <c r="D13" s="9"/>
      <c r="E13" s="9"/>
      <c r="F13" s="9"/>
      <c r="G13" s="9" t="s">
        <v>3277</v>
      </c>
      <c r="H13" s="9"/>
      <c r="I13" s="21" t="e">
        <f ca="1">I12/I10</f>
        <v>#NAME?</v>
      </c>
      <c r="J13" s="9"/>
      <c r="K13" s="9" t="s">
        <v>3278</v>
      </c>
      <c r="L13" s="9"/>
      <c r="M13" s="22" t="e">
        <f ca="1">AVERAGE(ROIC!T314:X314)</f>
        <v>#NAME?</v>
      </c>
      <c r="N13" s="9"/>
      <c r="O13" s="9" t="s">
        <v>3279</v>
      </c>
      <c r="P13" s="9"/>
      <c r="Q13" s="22" t="e">
        <f ca="1">+Valuation!S73/(Valuation!V125*Valuation!S40*FX/ADR)</f>
        <v>#NAME?</v>
      </c>
      <c r="R13" s="22" t="e">
        <f ca="1">Ratios!Q60</f>
        <v>#NAME?</v>
      </c>
      <c r="S13" s="9"/>
    </row>
    <row r="14" spans="2:19">
      <c r="B14" s="9"/>
      <c r="C14" s="9"/>
      <c r="D14" s="9"/>
      <c r="E14" s="9"/>
      <c r="F14" s="9"/>
      <c r="G14" s="12"/>
      <c r="H14" s="12"/>
      <c r="I14" s="12"/>
      <c r="J14" s="9"/>
      <c r="K14" s="25" t="s">
        <v>3280</v>
      </c>
      <c r="L14" s="12"/>
      <c r="M14" s="12"/>
      <c r="N14" s="9"/>
      <c r="O14" s="9" t="s">
        <v>988</v>
      </c>
      <c r="P14" s="9"/>
      <c r="Q14" s="22" t="e">
        <f>Valuation!S49/(Valuation!V125*FX/ADR)</f>
        <v>#NAME?</v>
      </c>
      <c r="R14" s="22" t="e">
        <f ca="1">Ratios!Q57</f>
        <v>#NAME?</v>
      </c>
      <c r="S14" s="9"/>
    </row>
    <row r="15" spans="2:19">
      <c r="B15" s="9"/>
      <c r="C15" s="9"/>
      <c r="D15" s="9"/>
      <c r="E15" s="9"/>
      <c r="F15" s="9"/>
      <c r="G15" s="9"/>
      <c r="H15" s="9"/>
      <c r="I15" s="9"/>
      <c r="J15" s="9"/>
      <c r="K15" s="9"/>
      <c r="L15" s="9"/>
      <c r="M15" s="9"/>
      <c r="N15" s="9"/>
      <c r="O15" s="26" t="str">
        <f>"("&amp;I18&amp;" Estimates)"</f>
        <v>(2026 Estimates)</v>
      </c>
      <c r="P15" s="27"/>
      <c r="Q15" s="27" t="s">
        <v>3281</v>
      </c>
      <c r="R15" s="27" t="s">
        <v>3282</v>
      </c>
      <c r="S15" s="9"/>
    </row>
    <row r="16" spans="2:19">
      <c r="B16" s="9"/>
      <c r="C16" s="9"/>
      <c r="D16" s="9"/>
      <c r="E16" s="9"/>
      <c r="F16" s="9"/>
      <c r="G16" s="9"/>
      <c r="H16" s="9"/>
      <c r="I16" s="9"/>
      <c r="J16" s="9"/>
      <c r="K16" s="9"/>
      <c r="L16" s="9"/>
      <c r="M16" s="9"/>
      <c r="N16" s="9"/>
      <c r="O16" s="9"/>
      <c r="P16" s="9"/>
      <c r="Q16" s="9"/>
      <c r="R16" s="9"/>
      <c r="S16" s="9"/>
    </row>
    <row r="17" spans="2:20">
      <c r="B17" s="9"/>
      <c r="C17" s="19"/>
      <c r="D17" s="19"/>
      <c r="E17" s="19"/>
      <c r="F17" s="19"/>
      <c r="G17" s="19"/>
      <c r="H17" s="19"/>
      <c r="I17" s="28" t="s">
        <v>793</v>
      </c>
      <c r="J17" s="19"/>
      <c r="K17" s="29"/>
      <c r="L17" s="29"/>
      <c r="M17" s="29"/>
      <c r="N17" s="29"/>
      <c r="O17" s="30"/>
      <c r="P17" s="31" t="s">
        <v>3300</v>
      </c>
      <c r="Q17" s="19"/>
      <c r="R17" s="28" t="s">
        <v>3284</v>
      </c>
      <c r="S17" s="9"/>
    </row>
    <row r="18" spans="2:20" ht="19.25" customHeight="1">
      <c r="B18" s="9"/>
      <c r="C18" s="32" t="s">
        <v>455</v>
      </c>
      <c r="D18" s="9"/>
      <c r="E18" s="9"/>
      <c r="F18" s="13">
        <f>Valuation!P9</f>
        <v>2023</v>
      </c>
      <c r="G18" s="13">
        <f>Valuation!Q9</f>
        <v>2024</v>
      </c>
      <c r="H18" s="13">
        <f>Valuation!R9</f>
        <v>2025</v>
      </c>
      <c r="I18" s="33">
        <f>Valuation!S9</f>
        <v>2026</v>
      </c>
      <c r="J18" s="33">
        <f>Valuation!T9</f>
        <v>2027</v>
      </c>
      <c r="K18" s="33">
        <f>Valuation!U9</f>
        <v>2028</v>
      </c>
      <c r="L18" s="33">
        <f>Valuation!V9</f>
        <v>2029</v>
      </c>
      <c r="M18" s="33">
        <f>Valuation!W9</f>
        <v>2030</v>
      </c>
      <c r="N18" s="33"/>
      <c r="O18" s="34" t="s">
        <v>3302</v>
      </c>
      <c r="P18" s="35" t="s">
        <v>3303</v>
      </c>
      <c r="Q18" s="36" t="s">
        <v>3302</v>
      </c>
      <c r="R18" s="36" t="s">
        <v>3303</v>
      </c>
      <c r="S18" s="9"/>
    </row>
    <row r="19" spans="2:20" ht="7.75" customHeight="1">
      <c r="B19" s="9"/>
      <c r="C19" s="9"/>
      <c r="D19" s="9"/>
      <c r="E19" s="9"/>
      <c r="F19" s="9"/>
      <c r="G19" s="9"/>
      <c r="H19" s="9"/>
      <c r="I19" s="9"/>
      <c r="J19" s="9"/>
      <c r="K19" s="9"/>
      <c r="L19" s="9"/>
      <c r="M19" s="9"/>
      <c r="N19" s="9"/>
      <c r="O19" s="9"/>
      <c r="P19" s="9"/>
      <c r="Q19" s="9"/>
      <c r="R19" s="9"/>
      <c r="S19" s="9"/>
    </row>
    <row r="20" spans="2:20">
      <c r="B20" s="9"/>
      <c r="C20" s="9" t="s">
        <v>5</v>
      </c>
      <c r="D20" s="9"/>
      <c r="E20" s="9"/>
      <c r="F20" s="37">
        <f>Valuation!P11</f>
        <v>3108383</v>
      </c>
      <c r="G20" s="37">
        <f>Valuation!Q11</f>
        <v>6564028</v>
      </c>
      <c r="H20" s="37">
        <f>Valuation!R11</f>
        <v>7181325</v>
      </c>
      <c r="I20" s="37">
        <f ca="1">Valuation!S11</f>
        <v>6803250.5397419743</v>
      </c>
      <c r="J20" s="37" t="e">
        <f ca="1">Valuation!T11</f>
        <v>#NAME?</v>
      </c>
      <c r="K20" s="37" t="e">
        <f ca="1">Valuation!U11</f>
        <v>#NAME?</v>
      </c>
      <c r="L20" s="37" t="e">
        <f ca="1">Valuation!V11</f>
        <v>#NAME?</v>
      </c>
      <c r="M20" s="37" t="e">
        <f ca="1">Valuation!W11</f>
        <v>#NAME?</v>
      </c>
      <c r="N20" s="21"/>
      <c r="O20" s="22"/>
      <c r="P20" s="22"/>
      <c r="Q20" s="22"/>
      <c r="R20" s="22"/>
      <c r="S20" s="9"/>
    </row>
    <row r="21" spans="2:20">
      <c r="B21" s="9"/>
      <c r="C21" s="9" t="s">
        <v>6</v>
      </c>
      <c r="D21" s="9"/>
      <c r="E21" s="9"/>
      <c r="F21" s="37">
        <f>Valuation!P14</f>
        <v>3108383</v>
      </c>
      <c r="G21" s="37">
        <f>Valuation!Q14</f>
        <v>6564028</v>
      </c>
      <c r="H21" s="37">
        <f>Valuation!R14</f>
        <v>7181325</v>
      </c>
      <c r="I21" s="37">
        <f ca="1">Valuation!S14</f>
        <v>6803250.5397419743</v>
      </c>
      <c r="J21" s="37" t="e">
        <f ca="1">Valuation!T14</f>
        <v>#NAME?</v>
      </c>
      <c r="K21" s="37" t="e">
        <f ca="1">Valuation!U14</f>
        <v>#NAME?</v>
      </c>
      <c r="L21" s="37" t="e">
        <f ca="1">Valuation!V14</f>
        <v>#NAME?</v>
      </c>
      <c r="M21" s="37" t="e">
        <f ca="1">Valuation!W14</f>
        <v>#NAME?</v>
      </c>
      <c r="N21" s="21"/>
      <c r="O21" s="22"/>
      <c r="P21" s="22"/>
      <c r="Q21" s="22"/>
      <c r="R21" s="22"/>
      <c r="S21" s="9"/>
    </row>
    <row r="22" spans="2:20">
      <c r="B22" s="9"/>
      <c r="C22" s="9" t="s">
        <v>17</v>
      </c>
      <c r="D22" s="9"/>
      <c r="E22" s="9"/>
      <c r="F22" s="37">
        <f>Valuation!P28</f>
        <v>5921</v>
      </c>
      <c r="G22" s="37">
        <f>Valuation!Q28</f>
        <v>3023289</v>
      </c>
      <c r="H22" s="37">
        <f>Valuation!R28</f>
        <v>1607478</v>
      </c>
      <c r="I22" s="37">
        <f ca="1">Valuation!S28</f>
        <v>867577.59048379795</v>
      </c>
      <c r="J22" s="37" t="e">
        <f ca="1">Valuation!T28</f>
        <v>#NAME?</v>
      </c>
      <c r="K22" s="37" t="e">
        <f ca="1">Valuation!U28</f>
        <v>#NAME?</v>
      </c>
      <c r="L22" s="37" t="e">
        <f ca="1">Valuation!V28</f>
        <v>#NAME?</v>
      </c>
      <c r="M22" s="37" t="e">
        <f ca="1">Valuation!W28</f>
        <v>#NAME?</v>
      </c>
      <c r="N22" s="21"/>
      <c r="O22" s="22"/>
      <c r="P22" s="22"/>
      <c r="Q22" s="22"/>
      <c r="R22" s="22"/>
      <c r="S22" s="9"/>
    </row>
    <row r="23" spans="2:20">
      <c r="B23" s="9"/>
      <c r="C23" s="9" t="s">
        <v>1024</v>
      </c>
      <c r="D23" s="9"/>
      <c r="E23" s="9"/>
      <c r="F23" s="37">
        <f>Valuation!P34</f>
        <v>94871</v>
      </c>
      <c r="G23" s="37">
        <f>Valuation!Q34</f>
        <v>2579066</v>
      </c>
      <c r="H23" s="37">
        <f>Valuation!R34</f>
        <v>1260327</v>
      </c>
      <c r="I23" s="37">
        <f ca="1">Valuation!S34</f>
        <v>568207.81928220042</v>
      </c>
      <c r="J23" s="37" t="e">
        <f ca="1">Valuation!T34</f>
        <v>#NAME?</v>
      </c>
      <c r="K23" s="37" t="e">
        <f ca="1">Valuation!U34</f>
        <v>#NAME?</v>
      </c>
      <c r="L23" s="37" t="e">
        <f ca="1">Valuation!V34</f>
        <v>#NAME?</v>
      </c>
      <c r="M23" s="37" t="e">
        <f ca="1">Valuation!W34</f>
        <v>#NAME?</v>
      </c>
      <c r="N23" s="21"/>
      <c r="O23" s="22"/>
      <c r="P23" s="22"/>
      <c r="Q23" s="22"/>
      <c r="R23" s="22"/>
      <c r="S23" s="9"/>
    </row>
    <row r="24" spans="2:20">
      <c r="B24" s="9"/>
      <c r="C24" s="9" t="s">
        <v>3285</v>
      </c>
      <c r="D24" s="9"/>
      <c r="E24" s="9"/>
      <c r="F24" s="37">
        <f>Valuation!P36</f>
        <v>94871</v>
      </c>
      <c r="G24" s="37">
        <f>Valuation!Q36</f>
        <v>2579066</v>
      </c>
      <c r="H24" s="37">
        <f>Valuation!R36</f>
        <v>1260327</v>
      </c>
      <c r="I24" s="37">
        <f ca="1">Valuation!S36</f>
        <v>568207.81928220042</v>
      </c>
      <c r="J24" s="37" t="e">
        <f ca="1">Valuation!T36</f>
        <v>#NAME?</v>
      </c>
      <c r="K24" s="37" t="e">
        <f ca="1">Valuation!U36</f>
        <v>#NAME?</v>
      </c>
      <c r="L24" s="37" t="e">
        <f ca="1">Valuation!V36</f>
        <v>#NAME?</v>
      </c>
      <c r="M24" s="37" t="e">
        <f ca="1">Valuation!W36</f>
        <v>#NAME?</v>
      </c>
      <c r="N24" s="21"/>
      <c r="O24" s="22"/>
      <c r="P24" s="22"/>
      <c r="Q24" s="22"/>
      <c r="R24" s="22"/>
      <c r="S24" s="9"/>
    </row>
    <row r="25" spans="2:20">
      <c r="B25" s="9"/>
      <c r="C25" s="9" t="s">
        <v>3286</v>
      </c>
      <c r="D25" s="9"/>
      <c r="E25" s="9"/>
      <c r="F25" s="21">
        <f>Valuation!P42</f>
        <v>0.37293379089669054</v>
      </c>
      <c r="G25" s="21">
        <f>Valuation!Q42</f>
        <v>9.4341001620472831</v>
      </c>
      <c r="H25" s="21">
        <f>Valuation!R42</f>
        <v>4.3881876960680204</v>
      </c>
      <c r="I25" s="21" t="e">
        <f>Valuation!S42</f>
        <v>#NAME?</v>
      </c>
      <c r="J25" s="21" t="e">
        <f ca="1">Valuation!T42</f>
        <v>#NAME?</v>
      </c>
      <c r="K25" s="21" t="e">
        <f ca="1">Valuation!U42</f>
        <v>#NAME?</v>
      </c>
      <c r="L25" s="21" t="e">
        <f ca="1">Valuation!V42</f>
        <v>#NAME?</v>
      </c>
      <c r="M25" s="21" t="e">
        <f ca="1">Valuation!W42</f>
        <v>#NAME?</v>
      </c>
      <c r="N25" s="21"/>
      <c r="O25" s="22"/>
      <c r="P25" s="22"/>
      <c r="Q25" s="22"/>
      <c r="R25" s="22"/>
      <c r="S25" s="9"/>
    </row>
    <row r="26" spans="2:20">
      <c r="B26" s="9"/>
      <c r="C26" s="9" t="s">
        <v>1065</v>
      </c>
      <c r="D26" s="9"/>
      <c r="E26" s="9"/>
      <c r="F26" s="37">
        <f>Valuation!P55</f>
        <v>145563</v>
      </c>
      <c r="G26" s="37">
        <f>Valuation!Q55</f>
        <v>3150807</v>
      </c>
      <c r="H26" s="37">
        <f>Valuation!R55</f>
        <v>1795906</v>
      </c>
      <c r="I26" s="37">
        <f ca="1">Valuation!S55</f>
        <v>1120724.4168768078</v>
      </c>
      <c r="J26" s="37" t="e">
        <f ca="1">Valuation!T55</f>
        <v>#NAME?</v>
      </c>
      <c r="K26" s="37" t="e">
        <f ca="1">Valuation!U55</f>
        <v>#NAME?</v>
      </c>
      <c r="L26" s="37" t="e">
        <f ca="1">Valuation!V55</f>
        <v>#NAME?</v>
      </c>
      <c r="M26" s="37" t="e">
        <f ca="1">Valuation!W55</f>
        <v>#NAME?</v>
      </c>
      <c r="N26" s="21"/>
      <c r="O26" s="22"/>
      <c r="P26" s="22"/>
      <c r="Q26" s="22"/>
      <c r="R26" s="22"/>
      <c r="S26" s="9"/>
    </row>
    <row r="27" spans="2:20" ht="7.75" customHeight="1">
      <c r="B27" s="9"/>
      <c r="C27" s="9"/>
      <c r="D27" s="9"/>
      <c r="E27" s="9"/>
      <c r="F27" s="9"/>
      <c r="G27" s="9"/>
      <c r="H27" s="9"/>
      <c r="I27" s="9"/>
      <c r="J27" s="9"/>
      <c r="K27" s="9"/>
      <c r="L27" s="9"/>
      <c r="M27" s="9"/>
      <c r="N27" s="9"/>
      <c r="O27" s="22"/>
      <c r="P27" s="22"/>
      <c r="Q27" s="22"/>
      <c r="R27" s="22"/>
      <c r="S27" s="9"/>
    </row>
    <row r="28" spans="2:20">
      <c r="B28" s="9"/>
      <c r="C28" s="38" t="s">
        <v>3287</v>
      </c>
      <c r="D28" s="12"/>
      <c r="E28" s="12"/>
      <c r="F28" s="12"/>
      <c r="G28" s="12"/>
      <c r="H28" s="12"/>
      <c r="I28" s="12"/>
      <c r="J28" s="12"/>
      <c r="K28" s="12"/>
      <c r="L28" s="12"/>
      <c r="M28" s="12"/>
      <c r="N28" s="12"/>
      <c r="O28" s="12"/>
      <c r="P28" s="12"/>
      <c r="Q28" s="12"/>
      <c r="R28" s="12"/>
      <c r="S28" s="9"/>
    </row>
    <row r="29" spans="2:20">
      <c r="B29" s="9"/>
      <c r="C29" s="9" t="s">
        <v>5</v>
      </c>
      <c r="D29" s="9"/>
      <c r="E29" s="9"/>
      <c r="F29" s="22">
        <f>Valuation!P12</f>
        <v>-2.686894529097672E-2</v>
      </c>
      <c r="G29" s="22">
        <f>Valuation!Q12</f>
        <v>1.1117178931939855</v>
      </c>
      <c r="H29" s="22">
        <f>Valuation!R12</f>
        <v>9.404240810672948E-2</v>
      </c>
      <c r="I29" s="22">
        <f ca="1">Valuation!S12</f>
        <v>-5.2646894585334225E-2</v>
      </c>
      <c r="J29" s="22" t="str">
        <f ca="1">Valuation!T12</f>
        <v/>
      </c>
      <c r="K29" s="22" t="str">
        <f ca="1">Valuation!U12</f>
        <v/>
      </c>
      <c r="L29" s="22" t="str">
        <f ca="1">Valuation!V12</f>
        <v/>
      </c>
      <c r="M29" s="22" t="str">
        <f ca="1">Valuation!W12</f>
        <v/>
      </c>
      <c r="N29" s="21"/>
      <c r="O29" s="22">
        <f>(((1+Summary!F29)*(1+Summary!G29)*(1+Summary!H29))^0.333)-1</f>
        <v>0.30967392930662752</v>
      </c>
      <c r="P29" s="21"/>
      <c r="Q29" s="22" t="e">
        <f ca="1">(((1+Summary!I29)*(1+Summary!J29)*(1+Summary!K29))^0.333)-1</f>
        <v>#VALUE!</v>
      </c>
      <c r="R29" s="22" t="e">
        <f ca="1" xml:space="preserve"> (((1 + Summary!I29) * (1 + Summary!J29) * (1 + Summary!K29) * (1 + Summary!L29) * (1 + Summary!M29)) ^ 0.2) - 1</f>
        <v>#VALUE!</v>
      </c>
      <c r="S29" s="9"/>
      <c r="T29" s="39"/>
    </row>
    <row r="30" spans="2:20">
      <c r="B30" s="9"/>
      <c r="C30" s="9" t="s">
        <v>6</v>
      </c>
      <c r="D30" s="9"/>
      <c r="E30" s="9"/>
      <c r="F30" s="22">
        <f>IFERROR(Valuation!P14/Valuation!O14-1, 0)</f>
        <v>-2.686894529097672E-2</v>
      </c>
      <c r="G30" s="22">
        <f>IFERROR(Valuation!Q14/Valuation!P14-1, 0)</f>
        <v>1.1117178931939855</v>
      </c>
      <c r="H30" s="22">
        <f>IFERROR(Valuation!R14/Valuation!Q14-1, 0)</f>
        <v>9.404240810672948E-2</v>
      </c>
      <c r="I30" s="22">
        <f ca="1">IFERROR(Valuation!S14/Valuation!R14-1, 0)</f>
        <v>-5.2646894585334225E-2</v>
      </c>
      <c r="J30" s="22">
        <f ca="1">IFERROR(Valuation!T14/Valuation!S14-1, 0)</f>
        <v>0</v>
      </c>
      <c r="K30" s="22">
        <f ca="1">IFERROR(Valuation!U14/Valuation!T14-1, 0)</f>
        <v>0</v>
      </c>
      <c r="L30" s="22">
        <f ca="1">IFERROR(Valuation!V14/Valuation!U14-1, 0)</f>
        <v>0</v>
      </c>
      <c r="M30" s="22">
        <f ca="1">IFERROR(Valuation!W14/Valuation!V14-1, 0)</f>
        <v>0</v>
      </c>
      <c r="N30" s="22"/>
      <c r="O30" s="22">
        <f>(((1+Summary!F30)*(1+Summary!G30)*(1+Summary!H30))^0.333)-1</f>
        <v>0.30967392930662752</v>
      </c>
      <c r="P30" s="22"/>
      <c r="Q30" s="22">
        <f ca="1">(((1+Summary!I30)*(1+Summary!J30)*(1+Summary!K30))^0.333)-1</f>
        <v>-1.7848561513978178E-2</v>
      </c>
      <c r="R30" s="22">
        <f ca="1" xml:space="preserve"> (((1 + Summary!I30) * (1 + Summary!J30) * (1 + Summary!K30) * (1 + Summary!L30) * (1 + Summary!M30)) ^ 0.2) - 1</f>
        <v>-1.0758387681578885E-2</v>
      </c>
      <c r="S30" s="9"/>
      <c r="T30" s="39"/>
    </row>
    <row r="31" spans="2:20">
      <c r="B31" s="9"/>
      <c r="C31" s="9" t="s">
        <v>17</v>
      </c>
      <c r="D31" s="9"/>
      <c r="E31" s="9"/>
      <c r="F31" s="22">
        <f>Valuation!P28/Valuation!O28-1</f>
        <v>-1.0019897966213449</v>
      </c>
      <c r="G31" s="22">
        <f>Valuation!Q28/Valuation!P28-1</f>
        <v>509.60445870629962</v>
      </c>
      <c r="H31" s="22">
        <f>Valuation!R28/Valuation!Q28-1</f>
        <v>-0.46830157487425117</v>
      </c>
      <c r="I31" s="22">
        <f ca="1">Valuation!S28/Valuation!R28-1</f>
        <v>-0.46028649195584759</v>
      </c>
      <c r="J31" s="22" t="e">
        <f ca="1">Valuation!T28/Valuation!S28-1</f>
        <v>#NAME?</v>
      </c>
      <c r="K31" s="22" t="e">
        <f ca="1">Valuation!U28/Valuation!T28-1</f>
        <v>#NAME?</v>
      </c>
      <c r="L31" s="22" t="e">
        <f ca="1">Valuation!V28/Valuation!U28-1</f>
        <v>#NAME?</v>
      </c>
      <c r="M31" s="22" t="e">
        <f ca="1">Valuation!W28/Valuation!V28-1</f>
        <v>#NAME?</v>
      </c>
      <c r="N31" s="22"/>
      <c r="O31" s="22" t="e">
        <f>(((1+Summary!F31)*(1+Summary!G31)*(1+Summary!H31))^0.333)-1</f>
        <v>#NUM!</v>
      </c>
      <c r="P31" s="22"/>
      <c r="Q31" s="22" t="e">
        <f ca="1">(((1+Summary!I31)*(1+Summary!J31)*(1+Summary!K31))^0.333)-1</f>
        <v>#NAME?</v>
      </c>
      <c r="R31" s="22" t="e">
        <f ca="1" xml:space="preserve"> (((1 + Summary!I31) * (1 + Summary!J31) * (1 + Summary!K31) * (1 + Summary!L31) * (1 + Summary!M31)) ^ 0.2) - 1</f>
        <v>#NAME?</v>
      </c>
      <c r="S31" s="9"/>
      <c r="T31" s="39"/>
    </row>
    <row r="32" spans="2:20">
      <c r="B32" s="9"/>
      <c r="C32" s="9" t="s">
        <v>1024</v>
      </c>
      <c r="D32" s="9"/>
      <c r="E32" s="9"/>
      <c r="F32" s="22">
        <f>Valuation!P34/Valuation!O34-1</f>
        <v>-1.0361420355214521</v>
      </c>
      <c r="G32" s="22">
        <f>Valuation!Q34/Valuation!P34-1</f>
        <v>26.184977495757398</v>
      </c>
      <c r="H32" s="22">
        <f>Valuation!R34/Valuation!Q34-1</f>
        <v>-0.51132425459449271</v>
      </c>
      <c r="I32" s="22">
        <f ca="1">Valuation!S34/Valuation!R34-1</f>
        <v>-0.54915841739310478</v>
      </c>
      <c r="J32" s="22" t="e">
        <f ca="1">Valuation!T34/Valuation!S34-1</f>
        <v>#NAME?</v>
      </c>
      <c r="K32" s="22" t="e">
        <f ca="1">Valuation!U34/Valuation!T34-1</f>
        <v>#NAME?</v>
      </c>
      <c r="L32" s="22" t="e">
        <f ca="1">Valuation!V34/Valuation!U34-1</f>
        <v>#NAME?</v>
      </c>
      <c r="M32" s="22" t="e">
        <f ca="1">Valuation!W34/Valuation!V34-1</f>
        <v>#NAME?</v>
      </c>
      <c r="N32" s="22"/>
      <c r="O32" s="22" t="e">
        <f>(((1+Summary!F32)*(1+Summary!G32)*(1+Summary!H32))^0.333)-1</f>
        <v>#NUM!</v>
      </c>
      <c r="P32" s="22"/>
      <c r="Q32" s="22" t="e">
        <f ca="1">(((1+Summary!I32)*(1+Summary!J32)*(1+Summary!K32))^0.333)-1</f>
        <v>#NAME?</v>
      </c>
      <c r="R32" s="22" t="e">
        <f ca="1" xml:space="preserve"> (((1 + Summary!I32) * (1 + Summary!J32) * (1 + Summary!K32) * (1 + Summary!L32) * (1 + Summary!M32)) ^ 0.2) - 1</f>
        <v>#NAME?</v>
      </c>
      <c r="S32" s="9"/>
      <c r="T32" s="39"/>
    </row>
    <row r="33" spans="2:20">
      <c r="B33" s="9"/>
      <c r="C33" s="9" t="s">
        <v>3286</v>
      </c>
      <c r="D33" s="9"/>
      <c r="E33" s="9"/>
      <c r="F33" s="22">
        <f>Valuation!P42/Valuation!O42-1</f>
        <v>-1.0315881768371074</v>
      </c>
      <c r="G33" s="22">
        <f>Valuation!Q42/Valuation!P42-1</f>
        <v>24.296984055437072</v>
      </c>
      <c r="H33" s="22">
        <f>Valuation!R42/Valuation!Q42-1</f>
        <v>-0.53485890326653629</v>
      </c>
      <c r="I33" s="22" t="e">
        <f>Valuation!S42/Valuation!R42-1</f>
        <v>#NAME?</v>
      </c>
      <c r="J33" s="22" t="e">
        <f ca="1">Valuation!T42/Valuation!S42-1</f>
        <v>#NAME?</v>
      </c>
      <c r="K33" s="22" t="e">
        <f ca="1">Valuation!U42/Valuation!T42-1</f>
        <v>#NAME?</v>
      </c>
      <c r="L33" s="22" t="e">
        <f ca="1">Valuation!V42/Valuation!U42-1</f>
        <v>#NAME?</v>
      </c>
      <c r="M33" s="22" t="e">
        <f ca="1">Valuation!W42/Valuation!V42-1</f>
        <v>#NAME?</v>
      </c>
      <c r="N33" s="22"/>
      <c r="O33" s="22" t="e">
        <f>(((1+Summary!F33)*(1+Summary!G33)*(1+Summary!H33))^0.333)-1</f>
        <v>#NUM!</v>
      </c>
      <c r="P33" s="22"/>
      <c r="Q33" s="22" t="e">
        <f ca="1">(((1+Summary!I33)*(1+Summary!J33)*(1+Summary!K33))^0.333)-1</f>
        <v>#NAME?</v>
      </c>
      <c r="R33" s="22" t="e">
        <f ca="1" xml:space="preserve"> (((1 + Summary!I33) * (1 + Summary!J33) * (1 + Summary!K33) * (1 + Summary!L33) * (1 + Summary!M33)) ^ 0.2) - 1</f>
        <v>#NAME?</v>
      </c>
      <c r="S33" s="9"/>
      <c r="T33" s="39"/>
    </row>
    <row r="34" spans="2:20">
      <c r="B34" s="9"/>
      <c r="C34" s="9" t="s">
        <v>1065</v>
      </c>
      <c r="D34" s="9"/>
      <c r="E34" s="9"/>
      <c r="F34" s="22">
        <f>Valuation!P55/Valuation!O55-1</f>
        <v>-1.0515885954553639</v>
      </c>
      <c r="G34" s="22">
        <f>Valuation!Q55/Valuation!P55-1</f>
        <v>20.645658580820676</v>
      </c>
      <c r="H34" s="22">
        <f>Valuation!R55/Valuation!Q55-1</f>
        <v>-0.43001713529264085</v>
      </c>
      <c r="I34" s="22">
        <f ca="1">Valuation!S55/Valuation!R55-1</f>
        <v>-0.37595597048130147</v>
      </c>
      <c r="J34" s="22" t="e">
        <f ca="1">Valuation!T55/Valuation!S55-1</f>
        <v>#NAME?</v>
      </c>
      <c r="K34" s="22" t="e">
        <f ca="1">Valuation!U55/Valuation!T55-1</f>
        <v>#NAME?</v>
      </c>
      <c r="L34" s="22" t="e">
        <f ca="1">Valuation!V55/Valuation!U55-1</f>
        <v>#NAME?</v>
      </c>
      <c r="M34" s="22" t="e">
        <f ca="1">Valuation!W55/Valuation!V55-1</f>
        <v>#NAME?</v>
      </c>
      <c r="N34" s="22"/>
      <c r="O34" s="41" t="e">
        <f>(((1+Summary!F34)*(1+Summary!G34)*(1+Summary!H34))^0.333)-1</f>
        <v>#NUM!</v>
      </c>
      <c r="P34" s="22"/>
      <c r="Q34" s="41" t="e">
        <f ca="1">(((1+Summary!I34)*(1+Summary!J34)*(1+Summary!K34))^0.333)-1</f>
        <v>#NAME?</v>
      </c>
      <c r="R34" s="22" t="e">
        <f ca="1" xml:space="preserve"> (((1 + Summary!I34) * (1 + Summary!J34) * (1 + Summary!K34) * (1 + Summary!L34) * (1 + Summary!M34)) ^ 0.2) - 1</f>
        <v>#NAME?</v>
      </c>
      <c r="S34" s="9"/>
      <c r="T34" s="39"/>
    </row>
    <row r="35" spans="2:20" ht="7.75" customHeight="1">
      <c r="B35" s="9"/>
      <c r="C35" s="9"/>
      <c r="D35" s="9"/>
      <c r="E35" s="9"/>
      <c r="F35" s="9"/>
      <c r="G35" s="9"/>
      <c r="H35" s="9"/>
      <c r="I35" s="9"/>
      <c r="J35" s="9"/>
      <c r="K35" s="9"/>
      <c r="L35" s="9"/>
      <c r="M35" s="9"/>
      <c r="N35" s="9"/>
      <c r="O35" s="9"/>
      <c r="P35" s="9"/>
      <c r="Q35" s="9"/>
      <c r="R35" s="9"/>
      <c r="S35" s="9"/>
    </row>
    <row r="36" spans="2:20">
      <c r="B36" s="9"/>
      <c r="C36" s="38" t="s">
        <v>3288</v>
      </c>
      <c r="D36" s="12"/>
      <c r="E36" s="12"/>
      <c r="F36" s="12"/>
      <c r="G36" s="12"/>
      <c r="H36" s="12"/>
      <c r="I36" s="12"/>
      <c r="J36" s="12"/>
      <c r="K36" s="12"/>
      <c r="L36" s="12"/>
      <c r="M36" s="12"/>
      <c r="N36" s="12"/>
      <c r="O36" s="12"/>
      <c r="P36" s="12"/>
      <c r="Q36" s="12"/>
      <c r="R36" s="12"/>
      <c r="S36" s="9"/>
    </row>
    <row r="37" spans="2:20">
      <c r="B37" s="9"/>
      <c r="C37" s="9" t="s">
        <v>1090</v>
      </c>
      <c r="D37" s="9"/>
      <c r="E37" s="9"/>
      <c r="F37" s="22">
        <f>Valuation!P15</f>
        <v>1</v>
      </c>
      <c r="G37" s="22">
        <f>Valuation!Q15</f>
        <v>1</v>
      </c>
      <c r="H37" s="22">
        <f>Valuation!R15</f>
        <v>1</v>
      </c>
      <c r="I37" s="22">
        <f ca="1">Valuation!S15</f>
        <v>1</v>
      </c>
      <c r="J37" s="22" t="str">
        <f ca="1">Valuation!T15</f>
        <v/>
      </c>
      <c r="K37" s="22" t="str">
        <f ca="1">Valuation!U15</f>
        <v/>
      </c>
      <c r="L37" s="22" t="str">
        <f ca="1">Valuation!V15</f>
        <v/>
      </c>
      <c r="M37" s="22" t="str">
        <f ca="1">Valuation!W15</f>
        <v/>
      </c>
      <c r="N37" s="22"/>
      <c r="O37" s="22">
        <f t="shared" ref="O37:O42" si="0">AVERAGE(F37:H37)</f>
        <v>1</v>
      </c>
      <c r="P37" s="22"/>
      <c r="Q37" s="22">
        <f t="shared" ref="Q37:Q42" ca="1" si="1">AVERAGE(I37:K37)</f>
        <v>1</v>
      </c>
      <c r="R37" s="22">
        <f t="shared" ref="R37:R42" ca="1" si="2">AVERAGE(I37:M37)</f>
        <v>1</v>
      </c>
      <c r="S37" s="9"/>
      <c r="T37" s="39"/>
    </row>
    <row r="38" spans="2:20">
      <c r="B38" s="9"/>
      <c r="C38" s="9" t="s">
        <v>3289</v>
      </c>
      <c r="D38" s="9"/>
      <c r="E38" s="9"/>
      <c r="F38" s="22">
        <f>Valuation!P28/Valuation!P11</f>
        <v>1.9048489198403157E-3</v>
      </c>
      <c r="G38" s="22">
        <f>Valuation!Q28/Valuation!Q11</f>
        <v>0.4605844155448453</v>
      </c>
      <c r="H38" s="22">
        <f>Valuation!R28/Valuation!R11</f>
        <v>0.22384142202170212</v>
      </c>
      <c r="I38" s="22">
        <f ca="1">Valuation!S28/Valuation!S11</f>
        <v>0.12752398069360274</v>
      </c>
      <c r="J38" s="22" t="e">
        <f ca="1">Valuation!T28/Valuation!T11</f>
        <v>#NAME?</v>
      </c>
      <c r="K38" s="22" t="e">
        <f ca="1">Valuation!U28/Valuation!U11</f>
        <v>#NAME?</v>
      </c>
      <c r="L38" s="22" t="e">
        <f ca="1">Valuation!V28/Valuation!V11</f>
        <v>#NAME?</v>
      </c>
      <c r="M38" s="22" t="e">
        <f ca="1">Valuation!W28/Valuation!W11</f>
        <v>#NAME?</v>
      </c>
      <c r="N38" s="22"/>
      <c r="O38" s="22">
        <f t="shared" si="0"/>
        <v>0.22877689549546257</v>
      </c>
      <c r="P38" s="22"/>
      <c r="Q38" s="22" t="e">
        <f t="shared" ca="1" si="1"/>
        <v>#NAME?</v>
      </c>
      <c r="R38" s="22" t="e">
        <f t="shared" ca="1" si="2"/>
        <v>#NAME?</v>
      </c>
      <c r="S38" s="9"/>
      <c r="T38" s="39"/>
    </row>
    <row r="39" spans="2:20">
      <c r="B39" s="9"/>
      <c r="C39" s="9" t="s">
        <v>1216</v>
      </c>
      <c r="D39" s="9"/>
      <c r="E39" s="9"/>
      <c r="F39" s="22">
        <f>Valuation!P34/Valuation!P11</f>
        <v>3.0521013658870222E-2</v>
      </c>
      <c r="G39" s="22">
        <f>Valuation!Q34/Valuation!Q11</f>
        <v>0.39290904913873004</v>
      </c>
      <c r="H39" s="22">
        <f>Valuation!R34/Valuation!R11</f>
        <v>0.17550062140343181</v>
      </c>
      <c r="I39" s="22">
        <f ca="1">Valuation!S34/Valuation!S11</f>
        <v>8.3520049124010468E-2</v>
      </c>
      <c r="J39" s="22" t="e">
        <f ca="1">Valuation!T34/Valuation!T11</f>
        <v>#NAME?</v>
      </c>
      <c r="K39" s="22" t="e">
        <f ca="1">Valuation!U34/Valuation!U11</f>
        <v>#NAME?</v>
      </c>
      <c r="L39" s="22" t="e">
        <f ca="1">Valuation!V34/Valuation!V11</f>
        <v>#NAME?</v>
      </c>
      <c r="M39" s="22" t="e">
        <f ca="1">Valuation!W34/Valuation!W11</f>
        <v>#NAME?</v>
      </c>
      <c r="N39" s="22"/>
      <c r="O39" s="22">
        <f t="shared" si="0"/>
        <v>0.19964356140034401</v>
      </c>
      <c r="P39" s="22"/>
      <c r="Q39" s="22" t="e">
        <f t="shared" ca="1" si="1"/>
        <v>#NAME?</v>
      </c>
      <c r="R39" s="22" t="e">
        <f t="shared" ca="1" si="2"/>
        <v>#NAME?</v>
      </c>
      <c r="S39" s="9"/>
      <c r="T39" s="39"/>
    </row>
    <row r="40" spans="2:20">
      <c r="B40" s="9"/>
      <c r="C40" s="9" t="s">
        <v>1078</v>
      </c>
      <c r="D40" s="9"/>
      <c r="E40" s="9"/>
      <c r="F40" s="22">
        <f>Valuation!P56</f>
        <v>4.6829171308683644E-2</v>
      </c>
      <c r="G40" s="22">
        <f>Valuation!Q56</f>
        <v>0.48001120653354923</v>
      </c>
      <c r="H40" s="22">
        <f>Valuation!R56</f>
        <v>0.25008003397701678</v>
      </c>
      <c r="I40" s="22">
        <f ca="1">Valuation!S56</f>
        <v>0.16473366816788043</v>
      </c>
      <c r="J40" s="22" t="str">
        <f ca="1">Valuation!T56</f>
        <v/>
      </c>
      <c r="K40" s="22" t="str">
        <f ca="1">Valuation!U56</f>
        <v/>
      </c>
      <c r="L40" s="22" t="str">
        <f ca="1">Valuation!V56</f>
        <v/>
      </c>
      <c r="M40" s="22" t="str">
        <f ca="1">Valuation!W56</f>
        <v/>
      </c>
      <c r="N40" s="22"/>
      <c r="O40" s="22">
        <f t="shared" si="0"/>
        <v>0.25897347060641657</v>
      </c>
      <c r="P40" s="22"/>
      <c r="Q40" s="22">
        <f t="shared" ca="1" si="1"/>
        <v>0.16473366816788043</v>
      </c>
      <c r="R40" s="22">
        <f t="shared" ca="1" si="2"/>
        <v>0.16473366816788043</v>
      </c>
      <c r="S40" s="9"/>
      <c r="T40" s="39"/>
    </row>
    <row r="41" spans="2:20">
      <c r="B41" s="9"/>
      <c r="C41" s="9" t="s">
        <v>1104</v>
      </c>
      <c r="D41" s="9"/>
      <c r="E41" s="9"/>
      <c r="F41" s="22">
        <f>Valuation!P34/AVERAGE(Valuation!O95:P95)</f>
        <v>1.6167234965030437E-2</v>
      </c>
      <c r="G41" s="22">
        <f>Valuation!Q34/AVERAGE(Valuation!P95:Q95)</f>
        <v>0.31150978673117014</v>
      </c>
      <c r="H41" s="22">
        <f>Valuation!R34/AVERAGE(Valuation!Q95:R95)</f>
        <v>0.10054503607912277</v>
      </c>
      <c r="I41" s="22" t="e">
        <f ca="1">Valuation!S34/AVERAGE(Valuation!R95:S95)</f>
        <v>#NAME?</v>
      </c>
      <c r="J41" s="22" t="e">
        <f ca="1">Valuation!T34/AVERAGE(Valuation!S95:T95)</f>
        <v>#NAME?</v>
      </c>
      <c r="K41" s="22" t="e">
        <f ca="1">Valuation!U34/AVERAGE(Valuation!T95:U95)</f>
        <v>#NAME?</v>
      </c>
      <c r="L41" s="22" t="e">
        <f ca="1">Valuation!V34/AVERAGE(Valuation!U95:V95)</f>
        <v>#NAME?</v>
      </c>
      <c r="M41" s="22" t="e">
        <f ca="1">Valuation!W34/AVERAGE(Valuation!V95:W95)</f>
        <v>#NAME?</v>
      </c>
      <c r="N41" s="22"/>
      <c r="O41" s="22">
        <f t="shared" si="0"/>
        <v>0.14274068592510777</v>
      </c>
      <c r="P41" s="22"/>
      <c r="Q41" s="22" t="e">
        <f t="shared" ca="1" si="1"/>
        <v>#NAME?</v>
      </c>
      <c r="R41" s="22" t="e">
        <f t="shared" ca="1" si="2"/>
        <v>#NAME?</v>
      </c>
      <c r="S41" s="9"/>
      <c r="T41" s="39"/>
    </row>
    <row r="42" spans="2:20">
      <c r="B42" s="9"/>
      <c r="C42" s="9" t="s">
        <v>1114</v>
      </c>
      <c r="D42" s="9"/>
      <c r="E42" s="9"/>
      <c r="F42" s="22">
        <f>ROIC!Q314</f>
        <v>-9.8702641391352847E-2</v>
      </c>
      <c r="G42" s="22">
        <f>ROIC!R314</f>
        <v>0.96333664335496882</v>
      </c>
      <c r="H42" s="22">
        <f>ROIC!S314</f>
        <v>0.38569835831493221</v>
      </c>
      <c r="I42" s="22">
        <f ca="1">ROIC!T314</f>
        <v>0.21819142868643865</v>
      </c>
      <c r="J42" s="22" t="e">
        <f ca="1">ROIC!U314</f>
        <v>#NAME?</v>
      </c>
      <c r="K42" s="22" t="e">
        <f ca="1">ROIC!V314</f>
        <v>#VALUE!</v>
      </c>
      <c r="L42" s="22" t="e">
        <f ca="1">ROIC!W314</f>
        <v>#VALUE!</v>
      </c>
      <c r="M42" s="22" t="e">
        <f ca="1">ROIC!X314</f>
        <v>#VALUE!</v>
      </c>
      <c r="N42" s="22"/>
      <c r="O42" s="22">
        <f t="shared" si="0"/>
        <v>0.41677745342618272</v>
      </c>
      <c r="P42" s="22"/>
      <c r="Q42" s="22" t="e">
        <f t="shared" ca="1" si="1"/>
        <v>#NAME?</v>
      </c>
      <c r="R42" s="22" t="e">
        <f t="shared" ca="1" si="2"/>
        <v>#NAME?</v>
      </c>
      <c r="S42" s="9"/>
      <c r="T42" s="39"/>
    </row>
    <row r="43" spans="2:20" ht="7.75" customHeight="1">
      <c r="B43" s="9"/>
      <c r="C43" s="9"/>
      <c r="D43" s="9"/>
      <c r="E43" s="9"/>
      <c r="F43" s="9"/>
      <c r="G43" s="9"/>
      <c r="H43" s="9"/>
      <c r="I43" s="9"/>
      <c r="J43" s="9"/>
      <c r="K43" s="9"/>
      <c r="L43" s="9"/>
      <c r="M43" s="9"/>
      <c r="N43" s="9"/>
      <c r="O43" s="9"/>
      <c r="P43" s="9"/>
      <c r="Q43" s="9"/>
      <c r="R43" s="9"/>
      <c r="S43" s="9"/>
    </row>
    <row r="44" spans="2:20">
      <c r="B44" s="9"/>
      <c r="C44" s="38" t="s">
        <v>3290</v>
      </c>
      <c r="D44" s="12"/>
      <c r="E44" s="12"/>
      <c r="F44" s="12"/>
      <c r="G44" s="12"/>
      <c r="H44" s="12"/>
      <c r="I44" s="12"/>
      <c r="J44" s="12"/>
      <c r="K44" s="12"/>
      <c r="L44" s="12"/>
      <c r="M44" s="12"/>
      <c r="N44" s="12"/>
      <c r="O44" s="12"/>
      <c r="P44" s="12"/>
      <c r="Q44" s="12"/>
      <c r="R44" s="12"/>
      <c r="S44" s="9"/>
    </row>
    <row r="45" spans="2:20">
      <c r="B45" s="9"/>
      <c r="C45" s="9" t="s">
        <v>3291</v>
      </c>
      <c r="D45" s="9"/>
      <c r="E45" s="9"/>
      <c r="F45" s="40">
        <f>Valuation!P89/(Valuation!P89+Valuation!P93)</f>
        <v>0.32175380814083432</v>
      </c>
      <c r="G45" s="40">
        <f>Valuation!Q89/(Valuation!Q89+Valuation!Q93)</f>
        <v>0.30613604061242722</v>
      </c>
      <c r="H45" s="40">
        <f>Valuation!R89/(Valuation!R89+Valuation!R93)</f>
        <v>0.3411187584130293</v>
      </c>
      <c r="I45" s="40" t="e">
        <f ca="1">Valuation!S89/(Valuation!S89+Valuation!S93)</f>
        <v>#NAME?</v>
      </c>
      <c r="J45" s="40" t="e">
        <f ca="1">Valuation!T89/(Valuation!T89+Valuation!T93)</f>
        <v>#NAME?</v>
      </c>
      <c r="K45" s="40" t="e">
        <f ca="1">Valuation!U89/(Valuation!U89+Valuation!U93)</f>
        <v>#NAME?</v>
      </c>
      <c r="L45" s="40" t="e">
        <f ca="1">Valuation!V89/(Valuation!V89+Valuation!V93)</f>
        <v>#NAME?</v>
      </c>
      <c r="M45" s="40" t="e">
        <f ca="1">Valuation!W89/(Valuation!W89+Valuation!W93)</f>
        <v>#NAME?</v>
      </c>
      <c r="N45" s="22"/>
      <c r="O45" s="9"/>
      <c r="P45" s="22"/>
      <c r="Q45" s="9"/>
      <c r="R45" s="22"/>
      <c r="S45" s="9"/>
      <c r="T45" s="39"/>
    </row>
    <row r="46" spans="2:20">
      <c r="B46" s="9"/>
      <c r="C46" s="9" t="s">
        <v>3292</v>
      </c>
      <c r="D46" s="9"/>
      <c r="E46" s="9"/>
      <c r="F46" s="40">
        <f>Valuation!P89/Valuation!P52</f>
        <v>20.471939984748872</v>
      </c>
      <c r="G46" s="40">
        <f>Valuation!Q89/Valuation!Q52</f>
        <v>1.4390570415769675</v>
      </c>
      <c r="H46" s="40">
        <f>Valuation!R89/Valuation!R52</f>
        <v>4.2645461399427367</v>
      </c>
      <c r="I46" s="40">
        <f ca="1">Valuation!S89/Valuation!S52</f>
        <v>6.9704008963861979</v>
      </c>
      <c r="J46" s="40" t="e">
        <f ca="1">Valuation!T89/Valuation!T52</f>
        <v>#NAME?</v>
      </c>
      <c r="K46" s="40" t="e">
        <f ca="1">Valuation!U89/Valuation!U52</f>
        <v>#NAME?</v>
      </c>
      <c r="L46" s="40" t="e">
        <f ca="1">Valuation!V89/Valuation!V52</f>
        <v>#NAME?</v>
      </c>
      <c r="M46" s="40" t="e">
        <f ca="1">Valuation!W89/Valuation!W52</f>
        <v>#NAME?</v>
      </c>
      <c r="N46" s="22"/>
      <c r="O46" s="9"/>
      <c r="P46" s="22"/>
      <c r="Q46" s="9"/>
      <c r="R46" s="22"/>
      <c r="S46" s="9"/>
      <c r="T46" s="39"/>
    </row>
    <row r="47" spans="2:20">
      <c r="B47" s="9"/>
      <c r="C47" s="9" t="s">
        <v>3293</v>
      </c>
      <c r="D47" s="9"/>
      <c r="E47" s="9"/>
      <c r="F47" s="40">
        <f>Valuation!P52/Valuation!P29</f>
        <v>1.758729429959162</v>
      </c>
      <c r="G47" s="40">
        <f>Valuation!Q52/Valuation!Q29</f>
        <v>39.070084940169878</v>
      </c>
      <c r="H47" s="40">
        <f>Valuation!R52/Valuation!R29</f>
        <v>21.026143561284581</v>
      </c>
      <c r="I47" s="40">
        <f ca="1">Valuation!S52/Valuation!S29</f>
        <v>9.5642514193451884</v>
      </c>
      <c r="J47" s="40" t="e">
        <f ca="1">Valuation!T52/Valuation!T29</f>
        <v>#NAME?</v>
      </c>
      <c r="K47" s="40" t="e">
        <f ca="1">Valuation!U52/Valuation!U29</f>
        <v>#NAME?</v>
      </c>
      <c r="L47" s="40" t="e">
        <f ca="1">Valuation!V52/Valuation!V29</f>
        <v>#NAME?</v>
      </c>
      <c r="M47" s="40" t="e">
        <f ca="1">Valuation!W52/Valuation!W29</f>
        <v>#NAME?</v>
      </c>
      <c r="N47" s="22"/>
      <c r="O47" s="9"/>
      <c r="P47" s="22"/>
      <c r="Q47" s="9"/>
      <c r="R47" s="22"/>
      <c r="S47" s="9"/>
      <c r="T47" s="39"/>
    </row>
    <row r="48" spans="2:20" ht="7.75" customHeight="1">
      <c r="B48" s="9"/>
      <c r="C48" s="9"/>
      <c r="D48" s="9"/>
      <c r="E48" s="9"/>
      <c r="F48" s="9"/>
      <c r="G48" s="9"/>
      <c r="H48" s="9"/>
      <c r="I48" s="9"/>
      <c r="J48" s="9"/>
      <c r="K48" s="9"/>
      <c r="L48" s="9"/>
      <c r="M48" s="9"/>
      <c r="N48" s="9"/>
      <c r="O48" s="9"/>
      <c r="P48" s="9"/>
      <c r="Q48" s="9"/>
      <c r="R48" s="9"/>
      <c r="S48" s="9"/>
    </row>
    <row r="49" spans="2:19">
      <c r="B49" s="9"/>
      <c r="C49" s="38" t="s">
        <v>3294</v>
      </c>
      <c r="D49" s="12"/>
      <c r="E49" s="12"/>
      <c r="F49" s="12"/>
      <c r="G49" s="12"/>
      <c r="H49" s="12"/>
      <c r="I49" s="12"/>
      <c r="J49" s="12"/>
      <c r="K49" s="12"/>
      <c r="L49" s="12"/>
      <c r="M49" s="12"/>
      <c r="N49" s="12"/>
      <c r="O49" s="12"/>
      <c r="P49" s="12"/>
      <c r="Q49" s="12"/>
      <c r="R49" s="12"/>
      <c r="S49" s="9"/>
    </row>
    <row r="50" spans="2:19">
      <c r="B50" s="9"/>
      <c r="C50" s="9" t="s">
        <v>3295</v>
      </c>
      <c r="D50" s="9"/>
      <c r="E50" s="9"/>
      <c r="F50" s="21">
        <f>Valuation!P46</f>
        <v>0</v>
      </c>
      <c r="G50" s="21">
        <f>Valuation!Q46</f>
        <v>0</v>
      </c>
      <c r="H50" s="21">
        <f>Valuation!R46</f>
        <v>0</v>
      </c>
      <c r="I50" s="21">
        <f>Valuation!S46</f>
        <v>0</v>
      </c>
      <c r="J50" s="21">
        <f>Valuation!T46</f>
        <v>0</v>
      </c>
      <c r="K50" s="21">
        <f>Valuation!U46</f>
        <v>0</v>
      </c>
      <c r="L50" s="21">
        <f>Valuation!V46</f>
        <v>0</v>
      </c>
      <c r="M50" s="21">
        <f>Valuation!W46</f>
        <v>0</v>
      </c>
      <c r="N50" s="21"/>
      <c r="O50" s="9"/>
      <c r="P50" s="21"/>
      <c r="Q50" s="9"/>
      <c r="R50" s="9"/>
      <c r="S50" s="9"/>
    </row>
    <row r="51" spans="2:19">
      <c r="B51" s="9"/>
      <c r="C51" s="9" t="s">
        <v>25</v>
      </c>
      <c r="D51" s="9"/>
      <c r="E51" s="9"/>
      <c r="F51" s="37">
        <f>Valuation!P73</f>
        <v>874199.47494306671</v>
      </c>
      <c r="G51" s="37">
        <f>Valuation!Q73</f>
        <v>1410021.1174232427</v>
      </c>
      <c r="H51" s="37">
        <f>Valuation!R73</f>
        <v>649855.9227429512</v>
      </c>
      <c r="I51" s="37">
        <f ca="1">Valuation!S73</f>
        <v>927746.55056567141</v>
      </c>
      <c r="J51" s="37" t="e">
        <f ca="1">Valuation!T73</f>
        <v>#NAME?</v>
      </c>
      <c r="K51" s="37" t="e">
        <f ca="1">Valuation!U73</f>
        <v>#NAME?</v>
      </c>
      <c r="L51" s="37" t="e">
        <f ca="1">Valuation!V73</f>
        <v>#NAME?</v>
      </c>
      <c r="M51" s="37" t="e">
        <f ca="1">Valuation!W73</f>
        <v>#NAME?</v>
      </c>
      <c r="N51" s="21"/>
      <c r="O51" s="9"/>
      <c r="P51" s="21"/>
      <c r="Q51" s="9"/>
      <c r="R51" s="9"/>
      <c r="S51" s="9"/>
    </row>
    <row r="52" spans="2:19">
      <c r="B52" s="9"/>
      <c r="C52" s="9" t="s">
        <v>3296</v>
      </c>
      <c r="D52" s="9"/>
      <c r="E52" s="9"/>
      <c r="F52" s="710">
        <f>Valuation!P48</f>
        <v>0</v>
      </c>
      <c r="G52" s="710">
        <f>Valuation!Q48</f>
        <v>0</v>
      </c>
      <c r="H52" s="710">
        <f>Valuation!R48</f>
        <v>0</v>
      </c>
      <c r="I52" s="710">
        <f>Valuation!S48</f>
        <v>0</v>
      </c>
      <c r="J52" s="710">
        <f>Valuation!T48</f>
        <v>0</v>
      </c>
      <c r="K52" s="710">
        <f>Valuation!U48</f>
        <v>0</v>
      </c>
      <c r="L52" s="710">
        <f>Valuation!V48</f>
        <v>0</v>
      </c>
      <c r="M52" s="710">
        <f>Valuation!W48</f>
        <v>0</v>
      </c>
      <c r="N52" s="21"/>
      <c r="O52" s="9"/>
      <c r="P52" s="21"/>
      <c r="Q52" s="9"/>
      <c r="R52" s="9"/>
      <c r="S52" s="9"/>
    </row>
    <row r="53" spans="2:19">
      <c r="B53" s="9"/>
      <c r="C53" s="9" t="s">
        <v>1806</v>
      </c>
      <c r="D53" s="9"/>
      <c r="E53" s="9"/>
      <c r="F53" s="41">
        <f>Valuation!P50</f>
        <v>0</v>
      </c>
      <c r="G53" s="41">
        <f>Valuation!Q50</f>
        <v>0</v>
      </c>
      <c r="H53" s="41">
        <f>Valuation!R50</f>
        <v>0</v>
      </c>
      <c r="I53" s="41" t="str">
        <f>Valuation!S50</f>
        <v/>
      </c>
      <c r="J53" s="41" t="str">
        <f ca="1">Valuation!T50</f>
        <v/>
      </c>
      <c r="K53" s="41" t="str">
        <f ca="1">Valuation!U50</f>
        <v/>
      </c>
      <c r="L53" s="41" t="str">
        <f ca="1">Valuation!V50</f>
        <v/>
      </c>
      <c r="M53" s="41" t="str">
        <f ca="1">Valuation!W50</f>
        <v/>
      </c>
      <c r="N53" s="21"/>
      <c r="O53" s="9"/>
      <c r="P53" s="21"/>
      <c r="Q53" s="9"/>
      <c r="R53" s="9"/>
      <c r="S53" s="9"/>
    </row>
    <row r="54" spans="2:19" ht="7.75" customHeight="1">
      <c r="B54" s="9"/>
      <c r="C54" s="9"/>
      <c r="D54" s="9"/>
      <c r="E54" s="9"/>
      <c r="F54" s="9"/>
      <c r="G54" s="9"/>
      <c r="H54" s="9"/>
      <c r="I54" s="9"/>
      <c r="J54" s="9"/>
      <c r="K54" s="9"/>
      <c r="L54" s="9"/>
      <c r="M54" s="9"/>
      <c r="N54" s="9"/>
      <c r="O54" s="9"/>
      <c r="P54" s="9"/>
      <c r="Q54" s="9"/>
      <c r="R54" s="9"/>
      <c r="S54" s="9"/>
    </row>
    <row r="55" spans="2:19">
      <c r="B55" s="9"/>
      <c r="C55" s="9"/>
      <c r="D55" s="9"/>
      <c r="E55" s="9"/>
      <c r="F55" s="9"/>
      <c r="G55" s="9"/>
      <c r="H55" s="9"/>
      <c r="I55" s="9"/>
      <c r="J55" s="9"/>
      <c r="K55" s="9"/>
      <c r="L55" s="9"/>
      <c r="M55" s="9"/>
      <c r="N55" s="9"/>
      <c r="O55" s="9"/>
      <c r="P55" s="9"/>
      <c r="Q55" s="9"/>
      <c r="R55" s="9"/>
      <c r="S55" s="9"/>
    </row>
    <row r="56" spans="2:19">
      <c r="B56" s="9"/>
      <c r="C56" s="9"/>
      <c r="D56" s="9"/>
      <c r="E56" s="9"/>
      <c r="F56" s="9"/>
      <c r="G56" s="9"/>
      <c r="H56" s="9"/>
      <c r="I56" s="9"/>
      <c r="J56" s="9"/>
      <c r="K56" s="9"/>
      <c r="L56" s="9"/>
      <c r="M56" s="9"/>
      <c r="N56" s="9"/>
      <c r="O56" s="9"/>
      <c r="P56" s="9"/>
      <c r="Q56" s="9"/>
      <c r="R56" s="9" t="s">
        <v>3283</v>
      </c>
      <c r="S56" s="9"/>
    </row>
    <row r="57" spans="2:19">
      <c r="B57" s="9"/>
      <c r="C57" s="9"/>
      <c r="D57" s="9"/>
      <c r="E57" s="9"/>
      <c r="F57" s="9"/>
      <c r="G57" s="9"/>
      <c r="H57" s="9"/>
      <c r="I57" s="28" t="s">
        <v>793</v>
      </c>
      <c r="J57" s="9"/>
      <c r="K57" s="9"/>
      <c r="L57" s="9"/>
      <c r="M57" s="9"/>
      <c r="N57" s="9"/>
      <c r="O57" s="9"/>
      <c r="P57" s="9"/>
      <c r="Q57" s="9"/>
      <c r="R57" s="9" t="s">
        <v>3283</v>
      </c>
      <c r="S57" s="9"/>
    </row>
    <row r="58" spans="2:19">
      <c r="B58" s="9"/>
      <c r="C58" s="38" t="s">
        <v>3297</v>
      </c>
      <c r="D58" s="12"/>
      <c r="E58" s="12"/>
      <c r="F58" s="42">
        <f>Valuation!P9</f>
        <v>2023</v>
      </c>
      <c r="G58" s="42">
        <f>Valuation!Q9</f>
        <v>2024</v>
      </c>
      <c r="H58" s="42">
        <f>Valuation!R9</f>
        <v>2025</v>
      </c>
      <c r="I58" s="43">
        <f>Valuation!S9</f>
        <v>2026</v>
      </c>
      <c r="J58" s="43">
        <f>Valuation!T9</f>
        <v>2027</v>
      </c>
      <c r="K58" s="43">
        <f>Valuation!U9</f>
        <v>2028</v>
      </c>
      <c r="L58" s="43">
        <f>Valuation!V9</f>
        <v>2029</v>
      </c>
      <c r="M58" s="43">
        <f>Valuation!W9</f>
        <v>2030</v>
      </c>
      <c r="N58" s="12"/>
      <c r="O58" s="12"/>
      <c r="P58" s="12"/>
      <c r="Q58" s="12"/>
      <c r="R58" s="12" t="s">
        <v>3283</v>
      </c>
      <c r="S58" s="9"/>
    </row>
    <row r="59" spans="2:19" ht="7.75" customHeight="1">
      <c r="B59" s="9"/>
      <c r="C59" s="9"/>
      <c r="D59" s="9"/>
      <c r="E59" s="9"/>
      <c r="F59" s="9"/>
      <c r="G59" s="9"/>
      <c r="H59" s="9"/>
      <c r="I59" s="9"/>
      <c r="J59" s="9"/>
      <c r="K59" s="9"/>
      <c r="L59" s="9"/>
      <c r="M59" s="9"/>
      <c r="N59" s="9"/>
      <c r="O59" s="9"/>
      <c r="P59" s="9"/>
      <c r="Q59" s="9"/>
      <c r="R59" s="9"/>
      <c r="S59" s="9"/>
    </row>
    <row r="60" spans="2:19">
      <c r="B60" s="9"/>
      <c r="C60" s="9" t="s">
        <v>5</v>
      </c>
      <c r="D60" s="9"/>
      <c r="E60" s="9"/>
      <c r="F60" s="37">
        <f>Valuation!P11</f>
        <v>3108383</v>
      </c>
      <c r="G60" s="37">
        <f>Valuation!Q11</f>
        <v>6564028</v>
      </c>
      <c r="H60" s="37">
        <f>Valuation!R11</f>
        <v>7181325</v>
      </c>
      <c r="I60" s="37">
        <f ca="1">Valuation!S11</f>
        <v>6803250.5397419743</v>
      </c>
      <c r="J60" s="37" t="e">
        <f ca="1">Valuation!T11</f>
        <v>#NAME?</v>
      </c>
      <c r="K60" s="37" t="e">
        <f ca="1">Valuation!U11</f>
        <v>#NAME?</v>
      </c>
      <c r="L60" s="37" t="e">
        <f ca="1">Valuation!V11</f>
        <v>#NAME?</v>
      </c>
      <c r="M60" s="37" t="e">
        <f ca="1">Valuation!W11</f>
        <v>#NAME?</v>
      </c>
      <c r="N60" s="9"/>
      <c r="O60" s="9"/>
      <c r="P60" s="9"/>
      <c r="Q60" s="9"/>
      <c r="R60" s="9" t="s">
        <v>3283</v>
      </c>
      <c r="S60" s="9"/>
    </row>
    <row r="61" spans="2:19">
      <c r="B61" s="9"/>
      <c r="C61" s="9" t="s">
        <v>1046</v>
      </c>
      <c r="D61" s="9"/>
      <c r="E61" s="9"/>
      <c r="F61" s="37">
        <f>Valuation!P13</f>
        <v>0</v>
      </c>
      <c r="G61" s="37">
        <f>Valuation!Q13</f>
        <v>0</v>
      </c>
      <c r="H61" s="37">
        <f>Valuation!R13</f>
        <v>0</v>
      </c>
      <c r="I61" s="37">
        <f>Valuation!S13</f>
        <v>0</v>
      </c>
      <c r="J61" s="37">
        <f>Valuation!T13</f>
        <v>0</v>
      </c>
      <c r="K61" s="37">
        <f>Valuation!U13</f>
        <v>0</v>
      </c>
      <c r="L61" s="37">
        <f>Valuation!V13</f>
        <v>0</v>
      </c>
      <c r="M61" s="37">
        <f>Valuation!W13</f>
        <v>0</v>
      </c>
      <c r="N61" s="9"/>
      <c r="O61" s="9"/>
      <c r="P61" s="9"/>
      <c r="Q61" s="9"/>
      <c r="R61" s="9" t="s">
        <v>3283</v>
      </c>
      <c r="S61" s="9"/>
    </row>
    <row r="62" spans="2:19">
      <c r="B62" s="9"/>
      <c r="C62" s="13" t="s">
        <v>6</v>
      </c>
      <c r="D62" s="13"/>
      <c r="E62" s="13"/>
      <c r="F62" s="44">
        <f>Valuation!P14</f>
        <v>3108383</v>
      </c>
      <c r="G62" s="44">
        <f>Valuation!Q14</f>
        <v>6564028</v>
      </c>
      <c r="H62" s="44">
        <f>Valuation!R14</f>
        <v>7181325</v>
      </c>
      <c r="I62" s="44">
        <f ca="1">Valuation!S14</f>
        <v>6803250.5397419743</v>
      </c>
      <c r="J62" s="44" t="e">
        <f ca="1">Valuation!T14</f>
        <v>#NAME?</v>
      </c>
      <c r="K62" s="44" t="e">
        <f ca="1">Valuation!U14</f>
        <v>#NAME?</v>
      </c>
      <c r="L62" s="44" t="e">
        <f ca="1">Valuation!V14</f>
        <v>#NAME?</v>
      </c>
      <c r="M62" s="44" t="e">
        <f ca="1">Valuation!W14</f>
        <v>#NAME?</v>
      </c>
      <c r="N62" s="9"/>
      <c r="O62" s="9"/>
      <c r="P62" s="9"/>
      <c r="Q62" s="9"/>
      <c r="R62" s="9"/>
      <c r="S62" s="9"/>
    </row>
    <row r="63" spans="2:19">
      <c r="B63" s="9"/>
      <c r="C63" s="9"/>
      <c r="D63" s="9"/>
      <c r="E63" s="9"/>
      <c r="F63" s="37"/>
      <c r="G63" s="37"/>
      <c r="H63" s="37"/>
      <c r="I63" s="37"/>
      <c r="J63" s="37"/>
      <c r="K63" s="37"/>
      <c r="L63" s="37"/>
      <c r="M63" s="37"/>
      <c r="N63" s="9"/>
      <c r="O63" s="9"/>
      <c r="P63" s="9"/>
      <c r="Q63" s="9"/>
      <c r="R63" s="9" t="s">
        <v>3283</v>
      </c>
      <c r="S63" s="9"/>
    </row>
    <row r="64" spans="2:19">
      <c r="B64" s="9"/>
      <c r="C64" s="12" t="s">
        <v>3298</v>
      </c>
      <c r="D64" s="12"/>
      <c r="E64" s="12"/>
      <c r="F64" s="45">
        <f>Valuation!P16</f>
        <v>3130403</v>
      </c>
      <c r="G64" s="45">
        <f>Valuation!Q16</f>
        <v>4129350</v>
      </c>
      <c r="H64" s="45">
        <f>Valuation!R16</f>
        <v>5557456</v>
      </c>
      <c r="I64" s="45">
        <f ca="1">Valuation!S16</f>
        <v>5682526.1228651665</v>
      </c>
      <c r="J64" s="45" t="e">
        <f ca="1">Valuation!T16</f>
        <v>#NAME?</v>
      </c>
      <c r="K64" s="45" t="e">
        <f ca="1">Valuation!U16</f>
        <v>#NAME?</v>
      </c>
      <c r="L64" s="45" t="e">
        <f ca="1">Valuation!V16</f>
        <v>#NAME?</v>
      </c>
      <c r="M64" s="45" t="e">
        <f ca="1">Valuation!W16</f>
        <v>#NAME?</v>
      </c>
      <c r="N64" s="12"/>
      <c r="O64" s="12"/>
      <c r="P64" s="12"/>
      <c r="Q64" s="12"/>
      <c r="R64" s="12" t="s">
        <v>3283</v>
      </c>
      <c r="S64" s="9"/>
    </row>
    <row r="65" spans="2:19">
      <c r="B65" s="9"/>
      <c r="C65" s="9" t="s">
        <v>1069</v>
      </c>
      <c r="D65" s="9"/>
      <c r="E65" s="9"/>
      <c r="F65" s="37">
        <f>Valuation!P18</f>
        <v>0</v>
      </c>
      <c r="G65" s="37">
        <f>Valuation!Q18</f>
        <v>0</v>
      </c>
      <c r="H65" s="37">
        <f>Valuation!R18</f>
        <v>0</v>
      </c>
      <c r="I65" s="37">
        <f>Valuation!S18</f>
        <v>0</v>
      </c>
      <c r="J65" s="37">
        <f>Valuation!T18</f>
        <v>0</v>
      </c>
      <c r="K65" s="37">
        <f>Valuation!U18</f>
        <v>0</v>
      </c>
      <c r="L65" s="37">
        <f>Valuation!V18</f>
        <v>0</v>
      </c>
      <c r="M65" s="37">
        <f>Valuation!W18</f>
        <v>0</v>
      </c>
      <c r="N65" s="9"/>
      <c r="O65" s="9"/>
      <c r="P65" s="9"/>
      <c r="Q65" s="9"/>
      <c r="R65" s="9" t="s">
        <v>3283</v>
      </c>
      <c r="S65" s="9"/>
    </row>
    <row r="66" spans="2:19">
      <c r="B66" s="9"/>
      <c r="C66" s="9" t="s">
        <v>1070</v>
      </c>
      <c r="D66" s="9"/>
      <c r="E66" s="9"/>
      <c r="F66" s="37">
        <f>Valuation!P20</f>
        <v>0</v>
      </c>
      <c r="G66" s="37">
        <f>Valuation!Q20</f>
        <v>0</v>
      </c>
      <c r="H66" s="37">
        <f>Valuation!R20</f>
        <v>0</v>
      </c>
      <c r="I66" s="37">
        <f>Valuation!S20</f>
        <v>0</v>
      </c>
      <c r="J66" s="37">
        <f>Valuation!T20</f>
        <v>0</v>
      </c>
      <c r="K66" s="37">
        <f>Valuation!U20</f>
        <v>0</v>
      </c>
      <c r="L66" s="37">
        <f>Valuation!V20</f>
        <v>0</v>
      </c>
      <c r="M66" s="37">
        <f>Valuation!W20</f>
        <v>0</v>
      </c>
      <c r="N66" s="9"/>
      <c r="O66" s="9"/>
      <c r="P66" s="9"/>
      <c r="Q66" s="9"/>
      <c r="R66" s="9" t="s">
        <v>3283</v>
      </c>
      <c r="S66" s="9"/>
    </row>
    <row r="67" spans="2:19">
      <c r="B67" s="9"/>
      <c r="C67" s="9" t="s">
        <v>1068</v>
      </c>
      <c r="D67" s="9"/>
      <c r="E67" s="9"/>
      <c r="F67" s="37">
        <f>Valuation!P22</f>
        <v>139642</v>
      </c>
      <c r="G67" s="37">
        <f>Valuation!Q22</f>
        <v>127518</v>
      </c>
      <c r="H67" s="37">
        <f>Valuation!R22</f>
        <v>188428</v>
      </c>
      <c r="I67" s="37">
        <f ca="1">Valuation!S22</f>
        <v>253146.8263930098</v>
      </c>
      <c r="J67" s="37" t="e">
        <f ca="1">Valuation!T22</f>
        <v>#NAME?</v>
      </c>
      <c r="K67" s="37" t="e">
        <f ca="1">Valuation!U22</f>
        <v>#NAME?</v>
      </c>
      <c r="L67" s="37" t="e">
        <f ca="1">Valuation!V22</f>
        <v>#NAME?</v>
      </c>
      <c r="M67" s="37" t="e">
        <f ca="1">Valuation!W22</f>
        <v>#NAME?</v>
      </c>
      <c r="N67" s="9"/>
      <c r="O67" s="9"/>
      <c r="P67" s="9"/>
      <c r="Q67" s="9"/>
      <c r="R67" s="9" t="s">
        <v>3283</v>
      </c>
      <c r="S67" s="9"/>
    </row>
    <row r="68" spans="2:19">
      <c r="B68" s="9"/>
      <c r="C68" s="13" t="s">
        <v>16</v>
      </c>
      <c r="D68" s="13"/>
      <c r="E68" s="13"/>
      <c r="F68" s="44">
        <f>Valuation!P24</f>
        <v>-161662</v>
      </c>
      <c r="G68" s="44">
        <f>Valuation!Q24</f>
        <v>2307160</v>
      </c>
      <c r="H68" s="44">
        <f>Valuation!R24</f>
        <v>1435441</v>
      </c>
      <c r="I68" s="44">
        <f ca="1">Valuation!S24</f>
        <v>867577.59048379795</v>
      </c>
      <c r="J68" s="44" t="e">
        <f ca="1">Valuation!T24</f>
        <v>#NAME?</v>
      </c>
      <c r="K68" s="44" t="e">
        <f ca="1">Valuation!U24</f>
        <v>#NAME?</v>
      </c>
      <c r="L68" s="44" t="e">
        <f ca="1">Valuation!V24</f>
        <v>#NAME?</v>
      </c>
      <c r="M68" s="44" t="e">
        <f ca="1">Valuation!W24</f>
        <v>#NAME?</v>
      </c>
      <c r="N68" s="9"/>
      <c r="O68" s="9"/>
      <c r="P68" s="9"/>
      <c r="Q68" s="9"/>
      <c r="R68" s="9"/>
      <c r="S68" s="9"/>
    </row>
    <row r="69" spans="2:19">
      <c r="B69" s="9"/>
      <c r="C69" s="9"/>
      <c r="D69" s="9"/>
      <c r="E69" s="9"/>
      <c r="F69" s="37"/>
      <c r="G69" s="37"/>
      <c r="H69" s="37"/>
      <c r="I69" s="37"/>
      <c r="J69" s="37"/>
      <c r="K69" s="37"/>
      <c r="L69" s="37"/>
      <c r="M69" s="37"/>
      <c r="N69" s="9"/>
      <c r="O69" s="9"/>
      <c r="P69" s="9"/>
      <c r="Q69" s="9"/>
      <c r="R69" s="9"/>
      <c r="S69" s="9"/>
    </row>
    <row r="70" spans="2:19">
      <c r="B70" s="9"/>
      <c r="C70" s="12" t="s">
        <v>1061</v>
      </c>
      <c r="D70" s="12"/>
      <c r="E70" s="12"/>
      <c r="F70" s="45">
        <f>Valuation!P26</f>
        <v>-167583</v>
      </c>
      <c r="G70" s="45">
        <f>Valuation!Q26</f>
        <v>-716129</v>
      </c>
      <c r="H70" s="45">
        <f>Valuation!R26</f>
        <v>-172037</v>
      </c>
      <c r="I70" s="45">
        <f>Valuation!S26</f>
        <v>0</v>
      </c>
      <c r="J70" s="45">
        <f>Valuation!T26</f>
        <v>0</v>
      </c>
      <c r="K70" s="45">
        <f>Valuation!U26</f>
        <v>0</v>
      </c>
      <c r="L70" s="45">
        <f>Valuation!V26</f>
        <v>0</v>
      </c>
      <c r="M70" s="45">
        <f>Valuation!W26</f>
        <v>0</v>
      </c>
      <c r="N70" s="12"/>
      <c r="O70" s="12"/>
      <c r="P70" s="12"/>
      <c r="Q70" s="12"/>
      <c r="R70" s="12"/>
      <c r="S70" s="9"/>
    </row>
    <row r="71" spans="2:19">
      <c r="B71" s="9"/>
      <c r="C71" s="9" t="s">
        <v>1062</v>
      </c>
      <c r="D71" s="9"/>
      <c r="E71" s="9"/>
      <c r="F71" s="37">
        <f>Valuation!P27</f>
        <v>0</v>
      </c>
      <c r="G71" s="37">
        <f>Valuation!Q27</f>
        <v>0</v>
      </c>
      <c r="H71" s="37">
        <f>Valuation!R27</f>
        <v>0</v>
      </c>
      <c r="I71" s="37">
        <f>Valuation!S27</f>
        <v>0</v>
      </c>
      <c r="J71" s="37">
        <f>Valuation!T27</f>
        <v>0</v>
      </c>
      <c r="K71" s="37">
        <f>Valuation!U27</f>
        <v>0</v>
      </c>
      <c r="L71" s="37">
        <f>Valuation!V27</f>
        <v>0</v>
      </c>
      <c r="M71" s="37">
        <f>Valuation!W27</f>
        <v>0</v>
      </c>
      <c r="N71" s="9"/>
      <c r="O71" s="9"/>
      <c r="P71" s="9"/>
      <c r="Q71" s="9"/>
      <c r="R71" s="9"/>
      <c r="S71" s="9"/>
    </row>
    <row r="72" spans="2:19">
      <c r="B72" s="9"/>
      <c r="C72" s="13" t="s">
        <v>17</v>
      </c>
      <c r="D72" s="13"/>
      <c r="E72" s="13"/>
      <c r="F72" s="44">
        <f>Valuation!P28</f>
        <v>5921</v>
      </c>
      <c r="G72" s="44">
        <f>Valuation!Q28</f>
        <v>3023289</v>
      </c>
      <c r="H72" s="44">
        <f>Valuation!R28</f>
        <v>1607478</v>
      </c>
      <c r="I72" s="44">
        <f ca="1">Valuation!S28</f>
        <v>867577.59048379795</v>
      </c>
      <c r="J72" s="44" t="e">
        <f ca="1">Valuation!T28</f>
        <v>#NAME?</v>
      </c>
      <c r="K72" s="44" t="e">
        <f ca="1">Valuation!U28</f>
        <v>#NAME?</v>
      </c>
      <c r="L72" s="44" t="e">
        <f ca="1">Valuation!V28</f>
        <v>#NAME?</v>
      </c>
      <c r="M72" s="44" t="e">
        <f ca="1">Valuation!W28</f>
        <v>#NAME?</v>
      </c>
      <c r="N72" s="9"/>
      <c r="O72" s="9"/>
      <c r="P72" s="9"/>
      <c r="Q72" s="9"/>
      <c r="R72" s="9"/>
      <c r="S72" s="9"/>
    </row>
    <row r="73" spans="2:19">
      <c r="B73" s="9"/>
      <c r="C73" s="9"/>
      <c r="D73" s="9"/>
      <c r="E73" s="9"/>
      <c r="F73" s="37"/>
      <c r="G73" s="37"/>
      <c r="H73" s="37"/>
      <c r="I73" s="37"/>
      <c r="J73" s="37"/>
      <c r="K73" s="37"/>
      <c r="L73" s="37"/>
      <c r="M73" s="37"/>
      <c r="N73" s="9"/>
      <c r="O73" s="9"/>
      <c r="P73" s="9"/>
      <c r="Q73" s="9"/>
      <c r="R73" s="9"/>
      <c r="S73" s="9"/>
    </row>
    <row r="74" spans="2:19">
      <c r="B74" s="9"/>
      <c r="C74" s="12" t="s">
        <v>1129</v>
      </c>
      <c r="D74" s="12"/>
      <c r="E74" s="12"/>
      <c r="F74" s="45">
        <f>Valuation!P29</f>
        <v>82766</v>
      </c>
      <c r="G74" s="45">
        <f>Valuation!Q29</f>
        <v>80645</v>
      </c>
      <c r="H74" s="45">
        <f>Valuation!R29</f>
        <v>85413</v>
      </c>
      <c r="I74" s="45">
        <f>Valuation!S29</f>
        <v>117178.47720000001</v>
      </c>
      <c r="J74" s="45">
        <f>Valuation!T29</f>
        <v>111553.91029440002</v>
      </c>
      <c r="K74" s="45">
        <f>Valuation!U29</f>
        <v>113784.98850028802</v>
      </c>
      <c r="L74" s="45">
        <f>Valuation!V29</f>
        <v>116060.68827029379</v>
      </c>
      <c r="M74" s="45">
        <f>Valuation!W29</f>
        <v>118381.90203569965</v>
      </c>
      <c r="N74" s="12"/>
      <c r="O74" s="12"/>
      <c r="P74" s="12"/>
      <c r="Q74" s="12"/>
      <c r="R74" s="12"/>
      <c r="S74" s="9"/>
    </row>
    <row r="75" spans="2:19">
      <c r="B75" s="9"/>
      <c r="C75" s="9" t="s">
        <v>1051</v>
      </c>
      <c r="D75" s="9"/>
      <c r="E75" s="9"/>
      <c r="F75" s="37">
        <f>Valuation!P30</f>
        <v>-171716</v>
      </c>
      <c r="G75" s="37">
        <f>Valuation!Q30</f>
        <v>363578</v>
      </c>
      <c r="H75" s="37">
        <f>Valuation!R30</f>
        <v>261738</v>
      </c>
      <c r="I75" s="37">
        <f ca="1">Valuation!S30</f>
        <v>182191.29400159756</v>
      </c>
      <c r="J75" s="37" t="e">
        <f ca="1">Valuation!T30</f>
        <v>#NAME?</v>
      </c>
      <c r="K75" s="37" t="e">
        <f ca="1">Valuation!U30</f>
        <v>#NAME?</v>
      </c>
      <c r="L75" s="37" t="e">
        <f ca="1">Valuation!V30</f>
        <v>#NAME?</v>
      </c>
      <c r="M75" s="37" t="e">
        <f ca="1">Valuation!W30</f>
        <v>#NAME?</v>
      </c>
      <c r="N75" s="9"/>
      <c r="O75" s="9"/>
      <c r="P75" s="9"/>
      <c r="Q75" s="9"/>
      <c r="R75" s="9"/>
      <c r="S75" s="9"/>
    </row>
    <row r="76" spans="2:19">
      <c r="B76" s="9"/>
      <c r="C76" s="9" t="s">
        <v>1413</v>
      </c>
      <c r="D76" s="9"/>
      <c r="E76" s="9"/>
      <c r="F76" s="37">
        <f>Valuation!P32</f>
        <v>0</v>
      </c>
      <c r="G76" s="37">
        <f>Valuation!Q32</f>
        <v>0</v>
      </c>
      <c r="H76" s="37">
        <f>Valuation!R32</f>
        <v>0</v>
      </c>
      <c r="I76" s="37">
        <f>Valuation!S32</f>
        <v>0</v>
      </c>
      <c r="J76" s="37">
        <f>Valuation!T32</f>
        <v>0</v>
      </c>
      <c r="K76" s="37">
        <f>Valuation!U32</f>
        <v>0</v>
      </c>
      <c r="L76" s="37">
        <f>Valuation!V32</f>
        <v>0</v>
      </c>
      <c r="M76" s="37">
        <f>Valuation!W32</f>
        <v>0</v>
      </c>
      <c r="N76" s="9"/>
      <c r="O76" s="9"/>
      <c r="P76" s="9"/>
      <c r="Q76" s="9"/>
      <c r="R76" s="9"/>
      <c r="S76" s="9"/>
    </row>
    <row r="77" spans="2:19">
      <c r="B77" s="9"/>
      <c r="C77" s="9" t="s">
        <v>1050</v>
      </c>
      <c r="D77" s="9"/>
      <c r="E77" s="9"/>
      <c r="F77" s="37">
        <f>Valuation!P33</f>
        <v>0</v>
      </c>
      <c r="G77" s="37">
        <f>Valuation!Q33</f>
        <v>0</v>
      </c>
      <c r="H77" s="37">
        <f>Valuation!R33</f>
        <v>0</v>
      </c>
      <c r="I77" s="37">
        <f>Valuation!S33</f>
        <v>0</v>
      </c>
      <c r="J77" s="37">
        <f>Valuation!T33</f>
        <v>0</v>
      </c>
      <c r="K77" s="37">
        <f>Valuation!U33</f>
        <v>0</v>
      </c>
      <c r="L77" s="37">
        <f>Valuation!V33</f>
        <v>0</v>
      </c>
      <c r="M77" s="37">
        <f>Valuation!W33</f>
        <v>0</v>
      </c>
      <c r="N77" s="9"/>
      <c r="O77" s="9"/>
      <c r="P77" s="9"/>
      <c r="Q77" s="9"/>
      <c r="R77" s="9"/>
      <c r="S77" s="9"/>
    </row>
    <row r="78" spans="2:19">
      <c r="B78" s="9"/>
      <c r="C78" s="13" t="s">
        <v>1024</v>
      </c>
      <c r="D78" s="13"/>
      <c r="E78" s="13"/>
      <c r="F78" s="44">
        <f>Valuation!P34</f>
        <v>94871</v>
      </c>
      <c r="G78" s="44">
        <f>Valuation!Q34</f>
        <v>2579066</v>
      </c>
      <c r="H78" s="44">
        <f>Valuation!R34</f>
        <v>1260327</v>
      </c>
      <c r="I78" s="44">
        <f ca="1">Valuation!S34</f>
        <v>568207.81928220042</v>
      </c>
      <c r="J78" s="44" t="e">
        <f ca="1">Valuation!T34</f>
        <v>#NAME?</v>
      </c>
      <c r="K78" s="44" t="e">
        <f ca="1">Valuation!U34</f>
        <v>#NAME?</v>
      </c>
      <c r="L78" s="44" t="e">
        <f ca="1">Valuation!V34</f>
        <v>#NAME?</v>
      </c>
      <c r="M78" s="44" t="e">
        <f ca="1">Valuation!W34</f>
        <v>#NAME?</v>
      </c>
      <c r="N78" s="9"/>
      <c r="O78" s="9"/>
      <c r="P78" s="9"/>
      <c r="Q78" s="9"/>
      <c r="R78" s="9"/>
      <c r="S78" s="9"/>
    </row>
    <row r="79" spans="2:19">
      <c r="B79" s="9"/>
      <c r="C79" s="9"/>
      <c r="D79" s="9"/>
      <c r="E79" s="9"/>
      <c r="F79" s="37"/>
      <c r="G79" s="37"/>
      <c r="H79" s="37"/>
      <c r="I79" s="37"/>
      <c r="J79" s="37"/>
      <c r="K79" s="37"/>
      <c r="L79" s="37"/>
      <c r="M79" s="37"/>
      <c r="N79" s="9"/>
      <c r="O79" s="9"/>
      <c r="P79" s="9"/>
      <c r="Q79" s="9"/>
      <c r="R79" s="9"/>
      <c r="S79" s="9"/>
    </row>
    <row r="80" spans="2:19">
      <c r="B80" s="9"/>
      <c r="C80" s="12" t="s">
        <v>3305</v>
      </c>
      <c r="D80" s="12"/>
      <c r="E80" s="12"/>
      <c r="F80" s="45">
        <f>Valuation!P39</f>
        <v>254391</v>
      </c>
      <c r="G80" s="45">
        <f>Valuation!Q39</f>
        <v>273377</v>
      </c>
      <c r="H80" s="45">
        <f>Valuation!R39</f>
        <v>287209</v>
      </c>
      <c r="I80" s="45" t="e">
        <f>Valuation!S39</f>
        <v>#NAME?</v>
      </c>
      <c r="J80" s="45" t="e">
        <f ca="1">Valuation!T39</f>
        <v>#NAME?</v>
      </c>
      <c r="K80" s="45" t="e">
        <f ca="1">Valuation!U39</f>
        <v>#NAME?</v>
      </c>
      <c r="L80" s="45" t="e">
        <f ca="1">Valuation!V39</f>
        <v>#NAME?</v>
      </c>
      <c r="M80" s="45" t="e">
        <f ca="1">Valuation!W39</f>
        <v>#NAME?</v>
      </c>
      <c r="N80" s="12"/>
      <c r="O80" s="12"/>
      <c r="P80" s="12"/>
      <c r="Q80" s="12"/>
      <c r="R80" s="12"/>
      <c r="S80" s="9"/>
    </row>
    <row r="81" spans="2:19">
      <c r="B81" s="9"/>
      <c r="C81" s="13" t="s">
        <v>1048</v>
      </c>
      <c r="D81" s="13"/>
      <c r="E81" s="13"/>
      <c r="F81" s="46">
        <f>Valuation!P41</f>
        <v>0.37293379089669054</v>
      </c>
      <c r="G81" s="46">
        <f>Valuation!Q41</f>
        <v>9.4341001620472831</v>
      </c>
      <c r="H81" s="46">
        <f>Valuation!R41</f>
        <v>4.3881876960680204</v>
      </c>
      <c r="I81" s="46" t="e">
        <f>Valuation!S41</f>
        <v>#NAME?</v>
      </c>
      <c r="J81" s="46" t="e">
        <f ca="1">Valuation!T41</f>
        <v>#NAME?</v>
      </c>
      <c r="K81" s="46" t="e">
        <f ca="1">Valuation!U41</f>
        <v>#NAME?</v>
      </c>
      <c r="L81" s="46" t="e">
        <f ca="1">Valuation!V41</f>
        <v>#NAME?</v>
      </c>
      <c r="M81" s="46" t="e">
        <f ca="1">Valuation!W41</f>
        <v>#NAME?</v>
      </c>
      <c r="N81" s="9"/>
      <c r="O81" s="9"/>
      <c r="P81" s="9"/>
      <c r="Q81" s="9"/>
      <c r="R81" s="9"/>
      <c r="S81" s="9"/>
    </row>
    <row r="82" spans="2:19">
      <c r="B82" s="9"/>
      <c r="C82" s="9"/>
      <c r="D82" s="9"/>
      <c r="E82" s="9"/>
      <c r="F82" s="37"/>
      <c r="G82" s="37"/>
      <c r="H82" s="37"/>
      <c r="I82" s="37"/>
      <c r="J82" s="37"/>
      <c r="K82" s="37"/>
      <c r="L82" s="37"/>
      <c r="M82" s="37"/>
      <c r="N82" s="9"/>
      <c r="O82" s="9"/>
      <c r="P82" s="9"/>
      <c r="Q82" s="9"/>
      <c r="R82" s="9"/>
      <c r="S82" s="9"/>
    </row>
    <row r="83" spans="2:19">
      <c r="B83" s="9"/>
      <c r="C83" s="12" t="s">
        <v>1030</v>
      </c>
      <c r="D83" s="12"/>
      <c r="E83" s="12"/>
      <c r="F83" s="45">
        <f>Valuation!P36</f>
        <v>94871</v>
      </c>
      <c r="G83" s="45">
        <f>Valuation!Q36</f>
        <v>2579066</v>
      </c>
      <c r="H83" s="45">
        <f>Valuation!R36</f>
        <v>1260327</v>
      </c>
      <c r="I83" s="45">
        <f ca="1">Valuation!S36</f>
        <v>568207.81928220042</v>
      </c>
      <c r="J83" s="45" t="e">
        <f ca="1">Valuation!T36</f>
        <v>#NAME?</v>
      </c>
      <c r="K83" s="45" t="e">
        <f ca="1">Valuation!U36</f>
        <v>#NAME?</v>
      </c>
      <c r="L83" s="45" t="e">
        <f ca="1">Valuation!V36</f>
        <v>#NAME?</v>
      </c>
      <c r="M83" s="45" t="e">
        <f ca="1">Valuation!W36</f>
        <v>#NAME?</v>
      </c>
      <c r="N83" s="12"/>
      <c r="O83" s="12"/>
      <c r="P83" s="12"/>
      <c r="Q83" s="12"/>
      <c r="R83" s="12"/>
      <c r="S83" s="9"/>
    </row>
    <row r="84" spans="2:19">
      <c r="B84" s="9"/>
      <c r="C84" s="13" t="s">
        <v>1047</v>
      </c>
      <c r="D84" s="13"/>
      <c r="E84" s="13"/>
      <c r="F84" s="46">
        <f>Valuation!P42</f>
        <v>0.37293379089669054</v>
      </c>
      <c r="G84" s="46">
        <f>Valuation!Q42</f>
        <v>9.4341001620472831</v>
      </c>
      <c r="H84" s="46">
        <f>Valuation!R42</f>
        <v>4.3881876960680204</v>
      </c>
      <c r="I84" s="46" t="e">
        <f>Valuation!S42</f>
        <v>#NAME?</v>
      </c>
      <c r="J84" s="46" t="e">
        <f ca="1">Valuation!T42</f>
        <v>#NAME?</v>
      </c>
      <c r="K84" s="46" t="e">
        <f ca="1">Valuation!U42</f>
        <v>#NAME?</v>
      </c>
      <c r="L84" s="46" t="e">
        <f ca="1">Valuation!V42</f>
        <v>#NAME?</v>
      </c>
      <c r="M84" s="46" t="e">
        <f ca="1">Valuation!W42</f>
        <v>#NAME?</v>
      </c>
      <c r="N84" s="9"/>
      <c r="O84" s="9"/>
      <c r="P84" s="9"/>
      <c r="Q84" s="9"/>
      <c r="R84" s="9"/>
      <c r="S84" s="9"/>
    </row>
    <row r="85" spans="2:19" ht="7.75" customHeight="1">
      <c r="B85" s="9"/>
      <c r="C85" s="9"/>
      <c r="D85" s="9"/>
      <c r="E85" s="9"/>
      <c r="F85" s="9"/>
      <c r="G85" s="9"/>
      <c r="H85" s="9"/>
      <c r="I85" s="9"/>
      <c r="J85" s="9"/>
      <c r="K85" s="9"/>
      <c r="L85" s="9"/>
      <c r="M85" s="9"/>
      <c r="N85" s="9"/>
      <c r="O85" s="9"/>
      <c r="P85" s="9"/>
      <c r="Q85" s="9"/>
      <c r="R85" s="9"/>
      <c r="S85" s="9"/>
    </row>
    <row r="86" spans="2:19">
      <c r="B86" s="9"/>
      <c r="C86" s="9"/>
      <c r="D86" s="9"/>
      <c r="E86" s="9"/>
      <c r="F86" s="9"/>
      <c r="G86" s="9"/>
      <c r="H86" s="9"/>
      <c r="I86" s="9"/>
      <c r="J86" s="9"/>
      <c r="K86" s="9"/>
      <c r="L86" s="9"/>
      <c r="M86" s="9"/>
      <c r="N86" s="9"/>
      <c r="O86" s="9"/>
      <c r="P86" s="9"/>
      <c r="Q86" s="9"/>
      <c r="R86" s="9"/>
      <c r="S86" s="9"/>
    </row>
    <row r="87" spans="2:19">
      <c r="B87" s="9"/>
      <c r="C87" s="19"/>
      <c r="D87" s="19"/>
      <c r="E87" s="19"/>
      <c r="F87" s="19"/>
      <c r="G87" s="19"/>
      <c r="H87" s="19"/>
      <c r="I87" s="28" t="s">
        <v>793</v>
      </c>
      <c r="J87" s="19"/>
      <c r="K87" s="19"/>
      <c r="L87" s="19"/>
      <c r="M87" s="19"/>
      <c r="N87" s="19"/>
      <c r="O87" s="19"/>
      <c r="P87" s="19"/>
      <c r="Q87" s="19"/>
      <c r="R87" s="19" t="s">
        <v>3283</v>
      </c>
      <c r="S87" s="9"/>
    </row>
    <row r="88" spans="2:19">
      <c r="B88" s="9"/>
      <c r="C88" s="32" t="s">
        <v>3299</v>
      </c>
      <c r="D88" s="9"/>
      <c r="E88" s="9"/>
      <c r="F88" s="13">
        <f>Valuation!P9</f>
        <v>2023</v>
      </c>
      <c r="G88" s="13">
        <f>Valuation!Q9</f>
        <v>2024</v>
      </c>
      <c r="H88" s="13">
        <f>Valuation!R9</f>
        <v>2025</v>
      </c>
      <c r="I88" s="33">
        <f>Valuation!S9</f>
        <v>2026</v>
      </c>
      <c r="J88" s="33">
        <f>Valuation!T9</f>
        <v>2027</v>
      </c>
      <c r="K88" s="33">
        <f>Valuation!U9</f>
        <v>2028</v>
      </c>
      <c r="L88" s="33">
        <f>Valuation!V9</f>
        <v>2029</v>
      </c>
      <c r="M88" s="33">
        <f>Valuation!W9</f>
        <v>2030</v>
      </c>
      <c r="N88" s="13"/>
      <c r="O88" s="9"/>
      <c r="P88" s="9"/>
      <c r="Q88" s="9"/>
      <c r="R88" s="9"/>
      <c r="S88" s="9"/>
    </row>
    <row r="89" spans="2:19" ht="7.75" customHeight="1">
      <c r="B89" s="9"/>
      <c r="C89" s="9"/>
      <c r="D89" s="9"/>
      <c r="E89" s="9"/>
      <c r="F89" s="9"/>
      <c r="G89" s="9"/>
      <c r="H89" s="9"/>
      <c r="I89" s="9"/>
      <c r="J89" s="9"/>
      <c r="K89" s="9"/>
      <c r="L89" s="9"/>
      <c r="M89" s="9"/>
      <c r="N89" s="9"/>
      <c r="O89" s="9"/>
      <c r="P89" s="9"/>
      <c r="Q89" s="9"/>
      <c r="R89" s="9"/>
      <c r="S89" s="9"/>
    </row>
    <row r="90" spans="2:19">
      <c r="B90" s="9"/>
      <c r="C90" s="9" t="s">
        <v>1041</v>
      </c>
      <c r="D90" s="9"/>
      <c r="E90" s="9"/>
      <c r="F90" s="37">
        <f>Valuation!P76</f>
        <v>5738371</v>
      </c>
      <c r="G90" s="37">
        <f>Valuation!Q76</f>
        <v>9824230</v>
      </c>
      <c r="H90" s="37">
        <f>Valuation!R76</f>
        <v>11929535</v>
      </c>
      <c r="I90" s="37" t="e">
        <f ca="1">Valuation!S76</f>
        <v>#NAME?</v>
      </c>
      <c r="J90" s="37" t="e">
        <f ca="1">Valuation!T76</f>
        <v>#NAME?</v>
      </c>
      <c r="K90" s="37" t="e">
        <f ca="1">Valuation!U76</f>
        <v>#NAME?</v>
      </c>
      <c r="L90" s="37" t="e">
        <f ca="1">Valuation!V76</f>
        <v>#NAME?</v>
      </c>
      <c r="M90" s="37" t="e">
        <f ca="1">Valuation!W76</f>
        <v>#NAME?</v>
      </c>
      <c r="N90" s="9"/>
      <c r="O90" s="9"/>
      <c r="P90" s="9"/>
      <c r="Q90" s="9"/>
      <c r="R90" s="9"/>
      <c r="S90" s="9"/>
    </row>
    <row r="91" spans="2:19">
      <c r="B91" s="9"/>
      <c r="C91" s="9" t="s">
        <v>1042</v>
      </c>
      <c r="D91" s="9"/>
      <c r="E91" s="9"/>
      <c r="F91" s="37">
        <f>Valuation!P77</f>
        <v>0</v>
      </c>
      <c r="G91" s="37">
        <f>Valuation!Q77</f>
        <v>0</v>
      </c>
      <c r="H91" s="37">
        <f>Valuation!R77</f>
        <v>0</v>
      </c>
      <c r="I91" s="37">
        <f>Valuation!S77</f>
        <v>0</v>
      </c>
      <c r="J91" s="37">
        <f>Valuation!T77</f>
        <v>0</v>
      </c>
      <c r="K91" s="37">
        <f>Valuation!U77</f>
        <v>0</v>
      </c>
      <c r="L91" s="37">
        <f>Valuation!V77</f>
        <v>0</v>
      </c>
      <c r="M91" s="37">
        <f>Valuation!W77</f>
        <v>0</v>
      </c>
      <c r="N91" s="9"/>
      <c r="O91" s="9"/>
      <c r="P91" s="9"/>
      <c r="Q91" s="9"/>
      <c r="R91" s="9"/>
      <c r="S91" s="9"/>
    </row>
    <row r="92" spans="2:19">
      <c r="B92" s="9"/>
      <c r="C92" s="9" t="s">
        <v>1033</v>
      </c>
      <c r="D92" s="9"/>
      <c r="E92" s="9"/>
      <c r="F92" s="37">
        <f>Valuation!P79</f>
        <v>425441</v>
      </c>
      <c r="G92" s="37">
        <f>Valuation!Q79</f>
        <v>740621</v>
      </c>
      <c r="H92" s="37">
        <f>Valuation!R79</f>
        <v>1661811</v>
      </c>
      <c r="I92" s="37">
        <f ca="1">Valuation!S79</f>
        <v>1574321.8114622512</v>
      </c>
      <c r="J92" s="37">
        <f ca="1">Valuation!T79</f>
        <v>0</v>
      </c>
      <c r="K92" s="37">
        <f ca="1">Valuation!U79</f>
        <v>0</v>
      </c>
      <c r="L92" s="37">
        <f ca="1">Valuation!V79</f>
        <v>0</v>
      </c>
      <c r="M92" s="37">
        <f ca="1">Valuation!W79</f>
        <v>0</v>
      </c>
      <c r="N92" s="9"/>
      <c r="O92" s="9"/>
      <c r="P92" s="9"/>
      <c r="Q92" s="9"/>
      <c r="R92" s="9"/>
      <c r="S92" s="9"/>
    </row>
    <row r="93" spans="2:19">
      <c r="B93" s="9"/>
      <c r="C93" s="9" t="s">
        <v>1043</v>
      </c>
      <c r="D93" s="9"/>
      <c r="E93" s="9"/>
      <c r="F93" s="37">
        <f>Valuation!P81</f>
        <v>86422</v>
      </c>
      <c r="G93" s="37">
        <f>Valuation!Q81</f>
        <v>46804</v>
      </c>
      <c r="H93" s="37">
        <f>Valuation!R81</f>
        <v>1397794</v>
      </c>
      <c r="I93" s="37">
        <f>Valuation!S81</f>
        <v>1259563</v>
      </c>
      <c r="J93" s="37">
        <f>Valuation!T81</f>
        <v>1129222</v>
      </c>
      <c r="K93" s="37">
        <f>Valuation!U81</f>
        <v>1001741</v>
      </c>
      <c r="L93" s="37">
        <f>Valuation!V81</f>
        <v>877698</v>
      </c>
      <c r="M93" s="37">
        <f>Valuation!W81</f>
        <v>754174</v>
      </c>
      <c r="N93" s="9"/>
      <c r="O93" s="9"/>
      <c r="P93" s="9"/>
      <c r="Q93" s="9"/>
      <c r="R93" s="9"/>
      <c r="S93" s="9"/>
    </row>
    <row r="94" spans="2:19">
      <c r="B94" s="9"/>
      <c r="C94" s="9" t="s">
        <v>47</v>
      </c>
      <c r="D94" s="9"/>
      <c r="E94" s="9"/>
      <c r="F94" s="37">
        <f>Valuation!P82</f>
        <v>1139670</v>
      </c>
      <c r="G94" s="37">
        <f>Valuation!Q82</f>
        <v>1139670</v>
      </c>
      <c r="H94" s="37">
        <f>Valuation!R82</f>
        <v>4168967</v>
      </c>
      <c r="I94" s="37">
        <f>Valuation!S82</f>
        <v>4168967</v>
      </c>
      <c r="J94" s="37">
        <f>Valuation!T82</f>
        <v>4168967</v>
      </c>
      <c r="K94" s="37">
        <f>Valuation!U82</f>
        <v>4168967</v>
      </c>
      <c r="L94" s="37">
        <f>Valuation!V82</f>
        <v>4168967</v>
      </c>
      <c r="M94" s="37">
        <f>Valuation!W82</f>
        <v>4168967</v>
      </c>
      <c r="N94" s="9"/>
      <c r="O94" s="9"/>
      <c r="P94" s="9"/>
      <c r="Q94" s="9"/>
      <c r="R94" s="9"/>
      <c r="S94" s="9"/>
    </row>
    <row r="95" spans="2:19">
      <c r="B95" s="9"/>
      <c r="C95" s="9" t="s">
        <v>1044</v>
      </c>
      <c r="D95" s="13"/>
      <c r="E95" s="13"/>
      <c r="F95" s="37">
        <f>Valuation!P83</f>
        <v>192550</v>
      </c>
      <c r="G95" s="37">
        <f>Valuation!Q83</f>
        <v>200080</v>
      </c>
      <c r="H95" s="37">
        <f>Valuation!R83</f>
        <v>264573</v>
      </c>
      <c r="I95" s="37">
        <f ca="1">Valuation!S83</f>
        <v>292525.43494157167</v>
      </c>
      <c r="J95" s="37" t="e">
        <f ca="1">Valuation!T83</f>
        <v>#NAME?</v>
      </c>
      <c r="K95" s="37" t="e">
        <f ca="1">Valuation!U83</f>
        <v>#NAME?</v>
      </c>
      <c r="L95" s="37" t="e">
        <f ca="1">Valuation!V83</f>
        <v>#NAME?</v>
      </c>
      <c r="M95" s="37" t="e">
        <f ca="1">Valuation!W83</f>
        <v>#NAME?</v>
      </c>
      <c r="N95" s="9"/>
      <c r="O95" s="9"/>
      <c r="P95" s="9"/>
      <c r="Q95" s="9"/>
      <c r="R95" s="9"/>
      <c r="S95" s="9"/>
    </row>
    <row r="96" spans="2:19">
      <c r="B96" s="9"/>
      <c r="C96" s="9" t="s">
        <v>1036</v>
      </c>
      <c r="D96" s="9"/>
      <c r="E96" s="9"/>
      <c r="F96" s="37">
        <f>Valuation!P84</f>
        <v>4732396</v>
      </c>
      <c r="G96" s="37">
        <f>Valuation!Q84</f>
        <v>7547802</v>
      </c>
      <c r="H96" s="37">
        <f>Valuation!R84</f>
        <v>6797099</v>
      </c>
      <c r="I96" s="37">
        <f>Valuation!S84</f>
        <v>7136953.9500000002</v>
      </c>
      <c r="J96" s="37">
        <f>Valuation!T84</f>
        <v>7493801.6475000009</v>
      </c>
      <c r="K96" s="37">
        <f>Valuation!U84</f>
        <v>7868491.7298750011</v>
      </c>
      <c r="L96" s="37">
        <f>Valuation!V84</f>
        <v>8261916.3163687512</v>
      </c>
      <c r="M96" s="37">
        <f>Valuation!W84</f>
        <v>8675012.1321871895</v>
      </c>
      <c r="N96" s="9"/>
      <c r="O96" s="9"/>
      <c r="P96" s="9"/>
      <c r="Q96" s="9"/>
      <c r="R96" s="9"/>
      <c r="S96" s="9"/>
    </row>
    <row r="97" spans="2:19">
      <c r="B97" s="9"/>
      <c r="C97" s="9" t="s">
        <v>1039</v>
      </c>
      <c r="D97" s="9"/>
      <c r="E97" s="9"/>
      <c r="F97" s="37">
        <f>Valuation!P85</f>
        <v>2085043</v>
      </c>
      <c r="G97" s="37">
        <f>Valuation!Q85</f>
        <v>3042744</v>
      </c>
      <c r="H97" s="37">
        <f>Valuation!R85</f>
        <v>2829068</v>
      </c>
      <c r="I97" s="37">
        <f>Valuation!S85</f>
        <v>2970521.4</v>
      </c>
      <c r="J97" s="37">
        <f>Valuation!T85</f>
        <v>3119047.47</v>
      </c>
      <c r="K97" s="37">
        <f>Valuation!U85</f>
        <v>3274999.8435000004</v>
      </c>
      <c r="L97" s="37">
        <f>Valuation!V85</f>
        <v>3438749.8356750007</v>
      </c>
      <c r="M97" s="37">
        <f>Valuation!W85</f>
        <v>3610687.3274587509</v>
      </c>
      <c r="N97" s="9"/>
      <c r="O97" s="9"/>
      <c r="P97" s="9"/>
      <c r="Q97" s="9"/>
      <c r="R97" s="9"/>
      <c r="S97" s="9"/>
    </row>
    <row r="98" spans="2:19">
      <c r="B98" s="9"/>
      <c r="C98" s="13" t="s">
        <v>136</v>
      </c>
      <c r="D98" s="13"/>
      <c r="E98" s="13"/>
      <c r="F98" s="44">
        <f>Valuation!P86</f>
        <v>14399893</v>
      </c>
      <c r="G98" s="44">
        <f>Valuation!Q86</f>
        <v>22541951</v>
      </c>
      <c r="H98" s="44">
        <f>Valuation!R86</f>
        <v>29048847</v>
      </c>
      <c r="I98" s="44" t="e">
        <f ca="1">Valuation!S86</f>
        <v>#NAME?</v>
      </c>
      <c r="J98" s="44" t="e">
        <f ca="1">Valuation!T86</f>
        <v>#NAME?</v>
      </c>
      <c r="K98" s="44" t="e">
        <f ca="1">Valuation!U86</f>
        <v>#NAME?</v>
      </c>
      <c r="L98" s="44" t="e">
        <f ca="1">Valuation!V86</f>
        <v>#NAME?</v>
      </c>
      <c r="M98" s="44" t="e">
        <f ca="1">Valuation!W86</f>
        <v>#NAME?</v>
      </c>
      <c r="N98" s="9"/>
      <c r="O98" s="9"/>
      <c r="P98" s="9"/>
      <c r="Q98" s="9"/>
      <c r="R98" s="9"/>
      <c r="S98" s="9"/>
    </row>
    <row r="99" spans="2:19">
      <c r="B99" s="9"/>
      <c r="C99" s="9"/>
      <c r="D99" s="9"/>
      <c r="E99" s="9"/>
      <c r="F99" s="37"/>
      <c r="G99" s="37"/>
      <c r="H99" s="37"/>
      <c r="I99" s="37"/>
      <c r="J99" s="37"/>
      <c r="K99" s="37"/>
      <c r="L99" s="37"/>
      <c r="M99" s="37"/>
      <c r="N99" s="9"/>
      <c r="O99" s="9"/>
      <c r="P99" s="9"/>
      <c r="Q99" s="9"/>
      <c r="R99" s="9"/>
      <c r="S99" s="9"/>
    </row>
    <row r="100" spans="2:19">
      <c r="B100" s="9"/>
      <c r="C100" s="12" t="s">
        <v>1026</v>
      </c>
      <c r="D100" s="12"/>
      <c r="E100" s="12"/>
      <c r="F100" s="45">
        <f>Valuation!P87</f>
        <v>39294</v>
      </c>
      <c r="G100" s="45">
        <f>Valuation!Q87</f>
        <v>63316</v>
      </c>
      <c r="H100" s="45">
        <f>Valuation!R87</f>
        <v>117605</v>
      </c>
      <c r="I100" s="45">
        <f ca="1">Valuation!S87</f>
        <v>93195.212873177734</v>
      </c>
      <c r="J100" s="45">
        <f ca="1">Valuation!T87</f>
        <v>0</v>
      </c>
      <c r="K100" s="45">
        <f ca="1">Valuation!U87</f>
        <v>0</v>
      </c>
      <c r="L100" s="45">
        <f ca="1">Valuation!V87</f>
        <v>0</v>
      </c>
      <c r="M100" s="45">
        <f ca="1">Valuation!W87</f>
        <v>0</v>
      </c>
      <c r="N100" s="12"/>
      <c r="O100" s="12"/>
      <c r="P100" s="12"/>
      <c r="Q100" s="12"/>
      <c r="R100" s="12"/>
      <c r="S100" s="9"/>
    </row>
    <row r="101" spans="2:19">
      <c r="B101" s="9"/>
      <c r="C101" s="9" t="s">
        <v>848</v>
      </c>
      <c r="D101" s="9"/>
      <c r="E101" s="9"/>
      <c r="F101" s="37">
        <f>Valuation!P89</f>
        <v>2979957</v>
      </c>
      <c r="G101" s="37">
        <f>Valuation!Q89</f>
        <v>4534191</v>
      </c>
      <c r="H101" s="37">
        <f>Valuation!R89</f>
        <v>7658724</v>
      </c>
      <c r="I101" s="37">
        <f>Valuation!S89</f>
        <v>7811898.4800000004</v>
      </c>
      <c r="J101" s="37">
        <f>Valuation!T89</f>
        <v>7968136.4496000009</v>
      </c>
      <c r="K101" s="37">
        <f>Valuation!U89</f>
        <v>8127499.1785920011</v>
      </c>
      <c r="L101" s="37">
        <f>Valuation!V89</f>
        <v>8290049.1621638415</v>
      </c>
      <c r="M101" s="37">
        <f>Valuation!W89</f>
        <v>8455850.1454071179</v>
      </c>
      <c r="N101" s="9"/>
      <c r="O101" s="9"/>
      <c r="P101" s="9"/>
      <c r="Q101" s="9"/>
      <c r="R101" s="9"/>
      <c r="S101" s="9"/>
    </row>
    <row r="102" spans="2:19">
      <c r="B102" s="9"/>
      <c r="C102" s="9" t="s">
        <v>1037</v>
      </c>
      <c r="D102" s="9"/>
      <c r="E102" s="9"/>
      <c r="F102" s="37">
        <f>Valuation!P90</f>
        <v>5095598</v>
      </c>
      <c r="G102" s="37">
        <f>Valuation!Q90</f>
        <v>7577894</v>
      </c>
      <c r="H102" s="37">
        <f>Valuation!R90</f>
        <v>6861987</v>
      </c>
      <c r="I102" s="37">
        <f>Valuation!S90</f>
        <v>7205086.3500000006</v>
      </c>
      <c r="J102" s="37">
        <f>Valuation!T90</f>
        <v>7565340.6675000004</v>
      </c>
      <c r="K102" s="37">
        <f>Valuation!U90</f>
        <v>7943607.700875001</v>
      </c>
      <c r="L102" s="37">
        <f>Valuation!V90</f>
        <v>8340788.0859187515</v>
      </c>
      <c r="M102" s="37">
        <f>Valuation!W90</f>
        <v>8757827.4902146887</v>
      </c>
      <c r="N102" s="9"/>
      <c r="O102" s="9"/>
      <c r="P102" s="9"/>
      <c r="Q102" s="9"/>
      <c r="R102" s="9"/>
      <c r="S102" s="9"/>
    </row>
    <row r="103" spans="2:19">
      <c r="B103" s="9"/>
      <c r="C103" s="9" t="s">
        <v>1038</v>
      </c>
      <c r="D103" s="13"/>
      <c r="E103" s="13"/>
      <c r="F103" s="37">
        <f>Valuation!P91</f>
        <v>19531</v>
      </c>
      <c r="G103" s="37">
        <f>Valuation!Q91</f>
        <v>89708</v>
      </c>
      <c r="H103" s="37">
        <f>Valuation!R91</f>
        <v>240458</v>
      </c>
      <c r="I103" s="37">
        <f>Valuation!S91</f>
        <v>245267.16</v>
      </c>
      <c r="J103" s="37">
        <f>Valuation!T91</f>
        <v>250172.50320000001</v>
      </c>
      <c r="K103" s="37">
        <f>Valuation!U91</f>
        <v>255175.95326400001</v>
      </c>
      <c r="L103" s="37">
        <f>Valuation!V91</f>
        <v>260279.47232928002</v>
      </c>
      <c r="M103" s="37">
        <f>Valuation!W91</f>
        <v>265485.06177586562</v>
      </c>
      <c r="N103" s="9"/>
      <c r="O103" s="9"/>
      <c r="P103" s="9"/>
      <c r="Q103" s="9"/>
      <c r="R103" s="9"/>
      <c r="S103" s="9"/>
    </row>
    <row r="104" spans="2:19">
      <c r="B104" s="9"/>
      <c r="C104" s="13" t="s">
        <v>285</v>
      </c>
      <c r="D104" s="13"/>
      <c r="E104" s="13"/>
      <c r="F104" s="44">
        <f>Valuation!P92</f>
        <v>8134380</v>
      </c>
      <c r="G104" s="44">
        <f>Valuation!Q92</f>
        <v>12265109</v>
      </c>
      <c r="H104" s="44">
        <f>Valuation!R92</f>
        <v>14878774</v>
      </c>
      <c r="I104" s="44">
        <f ca="1">Valuation!S92</f>
        <v>15355447.202873178</v>
      </c>
      <c r="J104" s="44">
        <f ca="1">Valuation!T92</f>
        <v>15783649.620300001</v>
      </c>
      <c r="K104" s="44">
        <f ca="1">Valuation!U92</f>
        <v>16326282.832731003</v>
      </c>
      <c r="L104" s="44">
        <f ca="1">Valuation!V92</f>
        <v>16891116.720411874</v>
      </c>
      <c r="M104" s="44">
        <f ca="1">Valuation!W92</f>
        <v>17479162.697397675</v>
      </c>
      <c r="N104" s="9"/>
      <c r="O104" s="9"/>
      <c r="P104" s="9"/>
      <c r="Q104" s="9"/>
      <c r="R104" s="9"/>
      <c r="S104" s="9"/>
    </row>
    <row r="105" spans="2:19">
      <c r="B105" s="9"/>
      <c r="C105" s="9"/>
      <c r="D105" s="9"/>
      <c r="E105" s="9"/>
      <c r="F105" s="37"/>
      <c r="G105" s="37"/>
      <c r="H105" s="37"/>
      <c r="I105" s="37"/>
      <c r="J105" s="37"/>
      <c r="K105" s="37"/>
      <c r="L105" s="37"/>
      <c r="M105" s="37"/>
      <c r="N105" s="9"/>
      <c r="O105" s="9"/>
      <c r="P105" s="9"/>
      <c r="Q105" s="9"/>
      <c r="R105" s="9"/>
      <c r="S105" s="9"/>
    </row>
    <row r="106" spans="2:19">
      <c r="B106" s="9"/>
      <c r="C106" s="12" t="s">
        <v>1045</v>
      </c>
      <c r="D106" s="12"/>
      <c r="E106" s="12"/>
      <c r="F106" s="45">
        <f>Valuation!P93</f>
        <v>6281649</v>
      </c>
      <c r="G106" s="45">
        <f>Valuation!Q93</f>
        <v>10276842</v>
      </c>
      <c r="H106" s="45">
        <f>Valuation!R93</f>
        <v>14793058</v>
      </c>
      <c r="I106" s="45" t="e">
        <f ca="1">Valuation!S93</f>
        <v>#NAME?</v>
      </c>
      <c r="J106" s="45" t="e">
        <f ca="1">Valuation!T93</f>
        <v>#NAME?</v>
      </c>
      <c r="K106" s="45" t="e">
        <f ca="1">Valuation!U93</f>
        <v>#NAME?</v>
      </c>
      <c r="L106" s="45" t="e">
        <f ca="1">Valuation!V93</f>
        <v>#NAME?</v>
      </c>
      <c r="M106" s="45" t="e">
        <f ca="1">Valuation!W93</f>
        <v>#NAME?</v>
      </c>
      <c r="N106" s="12"/>
      <c r="O106" s="12"/>
      <c r="P106" s="12"/>
      <c r="Q106" s="12"/>
      <c r="R106" s="12"/>
      <c r="S106" s="9"/>
    </row>
    <row r="107" spans="2:19">
      <c r="B107" s="9"/>
      <c r="C107" s="9" t="s">
        <v>1040</v>
      </c>
      <c r="D107" s="9"/>
      <c r="E107" s="9"/>
      <c r="F107" s="37">
        <f>Valuation!P94</f>
        <v>0</v>
      </c>
      <c r="G107" s="37">
        <f>Valuation!Q94</f>
        <v>0</v>
      </c>
      <c r="H107" s="37">
        <f>Valuation!R94</f>
        <v>0</v>
      </c>
      <c r="I107" s="37">
        <f>Valuation!S94</f>
        <v>0</v>
      </c>
      <c r="J107" s="37">
        <f>Valuation!T94</f>
        <v>0</v>
      </c>
      <c r="K107" s="37">
        <f>Valuation!U94</f>
        <v>0</v>
      </c>
      <c r="L107" s="37">
        <f>Valuation!V94</f>
        <v>0</v>
      </c>
      <c r="M107" s="37">
        <f>Valuation!W94</f>
        <v>0</v>
      </c>
      <c r="N107" s="9"/>
      <c r="O107" s="9"/>
      <c r="P107" s="9"/>
      <c r="Q107" s="9"/>
      <c r="R107" s="9"/>
      <c r="S107" s="9"/>
    </row>
    <row r="108" spans="2:19">
      <c r="B108" s="9"/>
      <c r="C108" s="13" t="s">
        <v>375</v>
      </c>
      <c r="D108" s="13"/>
      <c r="E108" s="13"/>
      <c r="F108" s="44">
        <f>Valuation!P$95</f>
        <v>6281649</v>
      </c>
      <c r="G108" s="44">
        <f>Valuation!Q$95</f>
        <v>10276842</v>
      </c>
      <c r="H108" s="44">
        <f>Valuation!R$95</f>
        <v>14793058</v>
      </c>
      <c r="I108" s="44" t="e">
        <f ca="1">Valuation!S$95</f>
        <v>#NAME?</v>
      </c>
      <c r="J108" s="44" t="e">
        <f ca="1">Valuation!T$95</f>
        <v>#NAME?</v>
      </c>
      <c r="K108" s="44" t="e">
        <f ca="1">Valuation!U$95</f>
        <v>#NAME?</v>
      </c>
      <c r="L108" s="44" t="e">
        <f ca="1">Valuation!V$95</f>
        <v>#NAME?</v>
      </c>
      <c r="M108" s="44" t="e">
        <f ca="1">Valuation!W$95</f>
        <v>#NAME?</v>
      </c>
      <c r="N108" s="9"/>
      <c r="O108" s="9"/>
      <c r="P108" s="9"/>
      <c r="Q108" s="9"/>
      <c r="R108" s="9"/>
      <c r="S108" s="9"/>
    </row>
    <row r="109" spans="2:19" ht="7.75" customHeight="1">
      <c r="B109" s="9"/>
      <c r="C109" s="9"/>
      <c r="D109" s="9"/>
      <c r="E109" s="9"/>
      <c r="F109" s="9"/>
      <c r="G109" s="9"/>
      <c r="H109" s="9"/>
      <c r="I109" s="9"/>
      <c r="J109" s="9"/>
      <c r="K109" s="9"/>
      <c r="L109" s="9"/>
      <c r="M109" s="9"/>
      <c r="N109" s="9"/>
      <c r="O109" s="9"/>
      <c r="P109" s="9"/>
      <c r="Q109" s="9"/>
      <c r="R109" s="9"/>
      <c r="S109" s="9"/>
    </row>
    <row r="110" spans="2:19">
      <c r="B110" s="9"/>
      <c r="C110" s="9"/>
      <c r="D110" s="9"/>
      <c r="E110" s="9"/>
      <c r="F110" s="9"/>
      <c r="G110" s="9"/>
      <c r="H110" s="9"/>
      <c r="I110" s="9"/>
      <c r="J110" s="9"/>
      <c r="K110" s="9"/>
      <c r="L110" s="9"/>
      <c r="M110" s="9"/>
      <c r="N110" s="9"/>
      <c r="O110" s="9"/>
      <c r="P110" s="9"/>
      <c r="Q110" s="9"/>
      <c r="R110" s="9"/>
      <c r="S110" s="9"/>
    </row>
    <row r="111" spans="2:19">
      <c r="B111" s="9"/>
      <c r="C111" s="19"/>
      <c r="D111" s="19"/>
      <c r="E111" s="19"/>
      <c r="F111" s="19"/>
      <c r="G111" s="19"/>
      <c r="H111" s="19"/>
      <c r="I111" s="28" t="s">
        <v>793</v>
      </c>
      <c r="J111" s="19"/>
      <c r="K111" s="19"/>
      <c r="L111" s="19"/>
      <c r="M111" s="19"/>
      <c r="N111" s="19"/>
      <c r="O111" s="19"/>
      <c r="P111" s="19"/>
      <c r="Q111" s="19"/>
      <c r="R111" s="19" t="s">
        <v>3283</v>
      </c>
      <c r="S111" s="9"/>
    </row>
    <row r="112" spans="2:19">
      <c r="B112" s="9"/>
      <c r="C112" s="32" t="s">
        <v>811</v>
      </c>
      <c r="D112" s="9"/>
      <c r="E112" s="9"/>
      <c r="F112" s="13">
        <f>Valuation!P9</f>
        <v>2023</v>
      </c>
      <c r="G112" s="13">
        <f>Valuation!Q9</f>
        <v>2024</v>
      </c>
      <c r="H112" s="13">
        <f>Valuation!R9</f>
        <v>2025</v>
      </c>
      <c r="I112" s="33">
        <f>Valuation!S9</f>
        <v>2026</v>
      </c>
      <c r="J112" s="33">
        <f>Valuation!T9</f>
        <v>2027</v>
      </c>
      <c r="K112" s="33">
        <f>Valuation!U9</f>
        <v>2028</v>
      </c>
      <c r="L112" s="33">
        <f>Valuation!V9</f>
        <v>2029</v>
      </c>
      <c r="M112" s="33">
        <f>Valuation!W9</f>
        <v>2030</v>
      </c>
      <c r="N112" s="13"/>
      <c r="O112" s="9"/>
      <c r="P112" s="9"/>
      <c r="Q112" s="9"/>
      <c r="R112" s="9"/>
      <c r="S112" s="9"/>
    </row>
    <row r="113" spans="2:19" ht="7.75" customHeight="1">
      <c r="B113" s="9"/>
      <c r="C113" s="9"/>
      <c r="D113" s="9"/>
      <c r="E113" s="9"/>
      <c r="F113" s="37"/>
      <c r="G113" s="37"/>
      <c r="H113" s="37"/>
      <c r="I113" s="37"/>
      <c r="J113" s="37"/>
      <c r="K113" s="37"/>
      <c r="L113" s="37"/>
      <c r="M113" s="37"/>
      <c r="N113" s="9"/>
      <c r="O113" s="9"/>
      <c r="P113" s="9"/>
      <c r="Q113" s="9"/>
      <c r="R113" s="9"/>
      <c r="S113" s="9"/>
    </row>
    <row r="114" spans="2:19">
      <c r="B114" s="9"/>
      <c r="C114" s="13" t="s">
        <v>3306</v>
      </c>
      <c r="D114" s="13"/>
      <c r="E114" s="13"/>
      <c r="F114" s="44">
        <f>Valuation!P65</f>
        <v>309623.39999999944</v>
      </c>
      <c r="G114" s="44">
        <f>Valuation!Q65</f>
        <v>-1424421.7999999998</v>
      </c>
      <c r="H114" s="44">
        <f>Valuation!R65</f>
        <v>-606561.25</v>
      </c>
      <c r="I114" s="44">
        <f ca="1">Valuation!S65</f>
        <v>270810.31220891373</v>
      </c>
      <c r="J114" s="44" t="e">
        <f ca="1">Valuation!T65</f>
        <v>#VALUE!</v>
      </c>
      <c r="K114" s="44" t="e">
        <f ca="1">Valuation!U65</f>
        <v>#VALUE!</v>
      </c>
      <c r="L114" s="44" t="e">
        <f ca="1">Valuation!V65</f>
        <v>#VALUE!</v>
      </c>
      <c r="M114" s="44" t="e">
        <f ca="1">Valuation!W65</f>
        <v>#VALUE!</v>
      </c>
      <c r="N114" s="9"/>
      <c r="O114" s="9"/>
      <c r="P114" s="9"/>
      <c r="Q114" s="9"/>
      <c r="R114" s="9"/>
      <c r="S114" s="9"/>
    </row>
    <row r="115" spans="2:19">
      <c r="B115" s="9"/>
      <c r="C115" s="13" t="s">
        <v>3307</v>
      </c>
      <c r="D115" s="13"/>
      <c r="E115" s="13"/>
      <c r="F115" s="44">
        <f>Valuation!P69</f>
        <v>123473.39999999944</v>
      </c>
      <c r="G115" s="44">
        <f>Valuation!Q69</f>
        <v>-1455151.7999999998</v>
      </c>
      <c r="H115" s="44">
        <f>Valuation!R69</f>
        <v>-1348599.25</v>
      </c>
      <c r="I115" s="44">
        <f ca="1">Valuation!S69</f>
        <v>270810.31220891373</v>
      </c>
      <c r="J115" s="44" t="e">
        <f ca="1">Valuation!T69</f>
        <v>#VALUE!</v>
      </c>
      <c r="K115" s="44" t="e">
        <f ca="1">Valuation!U69</f>
        <v>#VALUE!</v>
      </c>
      <c r="L115" s="44" t="e">
        <f ca="1">Valuation!V69</f>
        <v>#VALUE!</v>
      </c>
      <c r="M115" s="44" t="e">
        <f ca="1">Valuation!W69</f>
        <v>#VALUE!</v>
      </c>
      <c r="N115" s="9"/>
      <c r="O115" s="9"/>
      <c r="P115" s="9"/>
      <c r="Q115" s="9"/>
      <c r="R115" s="9"/>
      <c r="S115" s="9"/>
    </row>
    <row r="116" spans="2:19">
      <c r="B116" s="9"/>
      <c r="C116" s="13" t="s">
        <v>25</v>
      </c>
      <c r="D116" s="13"/>
      <c r="E116" s="13"/>
      <c r="F116" s="44">
        <f>Valuation!P73</f>
        <v>874199.47494306671</v>
      </c>
      <c r="G116" s="44">
        <f>Valuation!Q73</f>
        <v>1410021.1174232427</v>
      </c>
      <c r="H116" s="44">
        <f>Valuation!R73</f>
        <v>649855.9227429512</v>
      </c>
      <c r="I116" s="44">
        <f ca="1">Valuation!S73</f>
        <v>927746.55056567141</v>
      </c>
      <c r="J116" s="44" t="e">
        <f ca="1">Valuation!T73</f>
        <v>#NAME?</v>
      </c>
      <c r="K116" s="44" t="e">
        <f ca="1">Valuation!U73</f>
        <v>#NAME?</v>
      </c>
      <c r="L116" s="44" t="e">
        <f ca="1">Valuation!V73</f>
        <v>#NAME?</v>
      </c>
      <c r="M116" s="44" t="e">
        <f ca="1">Valuation!W73</f>
        <v>#NAME?</v>
      </c>
      <c r="N116" s="9"/>
      <c r="O116" s="9"/>
      <c r="P116" s="9"/>
      <c r="Q116" s="9"/>
      <c r="R116" s="9"/>
      <c r="S116" s="9"/>
    </row>
    <row r="117" spans="2:19">
      <c r="B117" s="9"/>
      <c r="C117" s="13"/>
      <c r="D117" s="13"/>
      <c r="E117" s="13"/>
      <c r="F117" s="44"/>
      <c r="G117" s="44"/>
      <c r="H117" s="44"/>
      <c r="I117" s="44"/>
      <c r="J117" s="44"/>
      <c r="K117" s="44"/>
      <c r="L117" s="44"/>
      <c r="M117" s="44"/>
      <c r="N117" s="9"/>
      <c r="O117" s="9"/>
      <c r="P117" s="9"/>
      <c r="Q117" s="9"/>
      <c r="R117" s="9"/>
      <c r="S117" s="9"/>
    </row>
    <row r="118" spans="2:19">
      <c r="B118" s="9"/>
      <c r="C118" s="9"/>
      <c r="D118" s="9"/>
      <c r="E118" s="9"/>
      <c r="F118" s="37"/>
      <c r="G118" s="37"/>
      <c r="H118" s="37"/>
      <c r="I118" s="37"/>
      <c r="J118" s="37"/>
      <c r="K118" s="37"/>
      <c r="L118" s="37"/>
      <c r="M118" s="37"/>
      <c r="N118" s="9"/>
      <c r="O118" s="9"/>
      <c r="P118" s="9"/>
      <c r="Q118" s="9"/>
      <c r="R118" s="9"/>
      <c r="S118" s="9"/>
    </row>
    <row r="119" spans="2:19">
      <c r="B119" s="9"/>
      <c r="C119" s="9"/>
      <c r="D119" s="9"/>
      <c r="E119" s="9"/>
      <c r="F119" s="37"/>
      <c r="G119" s="37"/>
      <c r="H119" s="37"/>
      <c r="I119" s="37"/>
      <c r="J119" s="37"/>
      <c r="K119" s="37"/>
      <c r="L119" s="37"/>
      <c r="M119" s="37"/>
      <c r="N119" s="9"/>
      <c r="O119" s="9"/>
      <c r="P119" s="9"/>
      <c r="Q119" s="9"/>
      <c r="R119" s="9"/>
      <c r="S119" s="9"/>
    </row>
    <row r="120" spans="2:19">
      <c r="B120" s="9"/>
      <c r="C120" s="13" t="str">
        <f ca="1">"©" &amp; YEAR(TODAY()) &amp; " Morningstar, Inc. All Rights Reserved."</f>
        <v>©2026 Morningstar, Inc. All Rights Reserved.</v>
      </c>
      <c r="D120" s="9"/>
      <c r="E120" s="9"/>
      <c r="F120" s="37"/>
      <c r="G120" s="37"/>
      <c r="H120" s="37"/>
      <c r="I120" s="37"/>
      <c r="J120" s="37"/>
      <c r="K120" s="37"/>
      <c r="L120" s="37"/>
      <c r="M120" s="37"/>
      <c r="N120" s="9"/>
      <c r="O120" s="9"/>
      <c r="P120" s="9"/>
      <c r="Q120" s="9"/>
      <c r="R120" s="9"/>
      <c r="S120" s="9"/>
    </row>
    <row r="121" spans="2:19" ht="39.5" customHeight="1">
      <c r="B121" s="9"/>
      <c r="C121" s="724" t="s">
        <v>3304</v>
      </c>
      <c r="D121" s="724"/>
      <c r="E121" s="724"/>
      <c r="F121" s="724"/>
      <c r="G121" s="724"/>
      <c r="H121" s="724"/>
      <c r="I121" s="724"/>
      <c r="J121" s="724"/>
      <c r="K121" s="724"/>
      <c r="L121" s="724"/>
      <c r="M121" s="724"/>
      <c r="N121" s="724"/>
      <c r="O121" s="724"/>
      <c r="P121" s="724"/>
      <c r="Q121" s="724"/>
      <c r="R121" s="724"/>
      <c r="S121" s="9"/>
    </row>
    <row r="122" spans="2:19">
      <c r="B122" s="9"/>
      <c r="C122" s="9"/>
      <c r="D122" s="9"/>
      <c r="E122" s="9"/>
      <c r="F122" s="37"/>
      <c r="G122" s="37"/>
      <c r="H122" s="37"/>
      <c r="I122" s="37"/>
      <c r="J122" s="37"/>
      <c r="K122" s="37"/>
      <c r="L122" s="37"/>
      <c r="M122" s="37"/>
      <c r="N122" s="9"/>
      <c r="O122" s="9"/>
      <c r="P122" s="9"/>
      <c r="Q122" s="9"/>
      <c r="R122" s="9"/>
      <c r="S122" s="9"/>
    </row>
    <row r="123" spans="2:19">
      <c r="D123" s="47"/>
      <c r="E123" s="47"/>
      <c r="F123" s="48"/>
      <c r="G123" s="48"/>
      <c r="H123" s="48"/>
      <c r="I123" s="48"/>
      <c r="J123" s="48"/>
      <c r="K123" s="48"/>
      <c r="L123" s="48"/>
      <c r="M123" s="48"/>
    </row>
    <row r="124" spans="2:19">
      <c r="F124" s="49"/>
      <c r="G124" s="49"/>
      <c r="H124" s="49"/>
      <c r="I124" s="49"/>
      <c r="J124" s="49"/>
      <c r="K124" s="49"/>
      <c r="L124" s="49"/>
      <c r="M124" s="49"/>
    </row>
    <row r="125" spans="2:19">
      <c r="F125" s="49"/>
      <c r="G125" s="49"/>
      <c r="H125" s="49"/>
      <c r="I125" s="49"/>
      <c r="J125" s="49"/>
      <c r="K125" s="49"/>
      <c r="L125" s="49"/>
      <c r="M125" s="49"/>
    </row>
    <row r="126" spans="2:19">
      <c r="D126" s="47"/>
      <c r="E126" s="47"/>
      <c r="F126" s="48"/>
      <c r="G126" s="48"/>
      <c r="H126" s="48"/>
      <c r="I126" s="48"/>
      <c r="J126" s="48"/>
      <c r="K126" s="48"/>
      <c r="L126" s="48"/>
      <c r="M126" s="48"/>
    </row>
  </sheetData>
  <sheetProtection algorithmName="SHA-512" hashValue="NKZTfOT7ZVCHzFoalt1eIVZ+E/UyIsTQ+AJfRtDCpEY00LGGL9kNzMM0jd/4WKp/hJfI6PlBmy8G80PtoKfEPw==" saltValue="+AE4fq7sgEIqT72LFMI2Xg==" spinCount="100000" sheet="1" objects="1" scenarios="1"/>
  <mergeCells count="1">
    <mergeCell ref="C121:R121"/>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BB238"/>
  <sheetViews>
    <sheetView showOutlineSymbols="0" topLeftCell="A7" workbookViewId="0">
      <selection activeCell="T41" sqref="T41"/>
    </sheetView>
  </sheetViews>
  <sheetFormatPr baseColWidth="10" defaultColWidth="9.1640625" defaultRowHeight="16" outlineLevelRow="1" outlineLevelCol="1"/>
  <cols>
    <col min="1" max="1" width="3.1640625" style="106" customWidth="1"/>
    <col min="2" max="2" width="3.5" style="2" customWidth="1"/>
    <col min="3" max="3" width="44.33203125" style="58" bestFit="1" customWidth="1"/>
    <col min="4" max="13" width="10.5" style="58" customWidth="1" outlineLevel="1"/>
    <col min="14" max="28" width="11.6640625" style="58" customWidth="1"/>
    <col min="29" max="29" width="3.5" style="58" customWidth="1"/>
    <col min="30" max="2011" width="15.6640625" style="58" customWidth="1"/>
    <col min="2012" max="16384" width="9.1640625" style="58"/>
  </cols>
  <sheetData>
    <row r="1" spans="1:30" s="50" customFormat="1" ht="22.5" customHeight="1">
      <c r="B1" s="51"/>
      <c r="K1" s="52"/>
      <c r="L1" s="52"/>
      <c r="O1" s="53"/>
      <c r="P1" s="54"/>
      <c r="R1" s="54"/>
      <c r="S1" s="55"/>
      <c r="AD1" s="56"/>
    </row>
    <row r="2" spans="1:30" s="50" customFormat="1" ht="22.5" customHeight="1">
      <c r="B2" s="57"/>
      <c r="C2" s="58"/>
      <c r="D2" s="2"/>
      <c r="E2" s="2"/>
      <c r="F2" s="2"/>
      <c r="G2" s="2"/>
      <c r="H2" s="2"/>
      <c r="I2" s="2"/>
      <c r="J2" s="2"/>
      <c r="K2" s="2"/>
      <c r="L2" s="2"/>
      <c r="M2" s="2"/>
      <c r="N2" s="58"/>
      <c r="O2" s="59"/>
      <c r="P2" s="59"/>
      <c r="Q2" s="59" t="s">
        <v>70</v>
      </c>
      <c r="R2" s="59" t="s">
        <v>774</v>
      </c>
      <c r="S2" s="60"/>
      <c r="T2" s="2"/>
      <c r="U2" s="2"/>
      <c r="V2" s="2"/>
      <c r="W2" s="2"/>
      <c r="X2" s="2"/>
      <c r="Y2" s="2"/>
      <c r="Z2" s="2"/>
      <c r="AA2" s="2"/>
      <c r="AB2" s="2"/>
      <c r="AC2" s="58"/>
      <c r="AD2" s="61"/>
    </row>
    <row r="3" spans="1:30" s="50" customFormat="1" ht="27" customHeight="1">
      <c r="B3" s="57"/>
      <c r="C3" s="62" t="e">
        <f>V115&amp;" ("&amp;V116&amp;")"</f>
        <v>#NAME?</v>
      </c>
      <c r="D3" s="63"/>
      <c r="E3" s="63"/>
      <c r="F3" s="63"/>
      <c r="G3" s="63"/>
      <c r="H3" s="63"/>
      <c r="I3" s="63"/>
      <c r="J3" s="63"/>
      <c r="K3" s="63"/>
      <c r="L3" s="63"/>
      <c r="M3" s="63"/>
      <c r="N3" s="64" t="e">
        <f ca="1">ROUND(C7, Y125)&amp;" "&amp;V120</f>
        <v>#NAME?</v>
      </c>
      <c r="O3" s="2"/>
      <c r="P3" s="2"/>
      <c r="Q3" s="2"/>
      <c r="R3" s="2"/>
      <c r="S3" s="2"/>
      <c r="T3" s="2"/>
      <c r="U3" s="2"/>
      <c r="V3" s="2"/>
      <c r="W3" s="2"/>
      <c r="X3" s="65"/>
      <c r="Y3" s="66"/>
      <c r="Z3" s="2"/>
      <c r="AA3" s="2"/>
      <c r="AB3" s="67"/>
      <c r="AC3" s="58"/>
      <c r="AD3" s="61"/>
    </row>
    <row r="4" spans="1:30" s="50" customFormat="1" ht="22.5" customHeight="1">
      <c r="B4" s="57"/>
      <c r="C4" s="68" t="s">
        <v>69</v>
      </c>
      <c r="D4" s="69"/>
      <c r="E4" s="69"/>
      <c r="F4" s="69"/>
      <c r="G4" s="69"/>
      <c r="H4" s="69"/>
      <c r="I4" s="69"/>
      <c r="J4" s="69"/>
      <c r="K4" s="69"/>
      <c r="L4" s="69"/>
      <c r="M4" s="69"/>
      <c r="N4" s="70" t="s">
        <v>795</v>
      </c>
      <c r="O4" s="71"/>
      <c r="P4" s="68" t="s">
        <v>794</v>
      </c>
      <c r="Q4" s="72" t="s">
        <v>796</v>
      </c>
      <c r="R4" s="731" t="s">
        <v>797</v>
      </c>
      <c r="S4" s="731"/>
      <c r="T4" s="73" t="s">
        <v>806</v>
      </c>
      <c r="U4" s="729" t="s">
        <v>807</v>
      </c>
      <c r="V4" s="729"/>
      <c r="W4" s="74"/>
      <c r="X4" s="74"/>
      <c r="Y4" s="73" t="str">
        <f>X118</f>
        <v>Bull Value</v>
      </c>
      <c r="Z4" s="75"/>
      <c r="AA4" s="74"/>
      <c r="AB4" s="76"/>
      <c r="AC4" s="58"/>
      <c r="AD4" s="77"/>
    </row>
    <row r="5" spans="1:30" s="50" customFormat="1" ht="22.5" customHeight="1">
      <c r="B5" s="57"/>
      <c r="C5" s="78" t="str">
        <f ca="1">IF(ISERROR(IF(Valuation!U5="Extreme","QQQ",IF(Valuation!V125&lt;'Hidden Formulas'!W14,"QQQQQ",IF(Valuation!V125&lt;'Hidden Formulas'!W15,"QQQQ",IF(Valuation!V125&lt;'Hidden Formulas'!W17,"QQQ",IF(Valuation!V125&lt;'Hidden Formulas'!W18,"QQ","Q")))))),"",IF(Valuation!U5="Extreme","QQQ",IF(Valuation!V125&lt;'Hidden Formulas'!W14,"QQQQQ",IF(Valuation!V125&lt;'Hidden Formulas'!W15,"QQQQ",IF(Valuation!V125&lt;'Hidden Formulas'!W17,"QQQ",IF(Valuation!V125&lt;'Hidden Formulas'!W18,"QQ","Q"))))))</f>
        <v/>
      </c>
      <c r="D5" s="79"/>
      <c r="E5" s="79"/>
      <c r="F5" s="79"/>
      <c r="G5" s="79"/>
      <c r="H5" s="79"/>
      <c r="I5" s="79"/>
      <c r="J5" s="79"/>
      <c r="K5" s="79"/>
      <c r="L5" s="79"/>
      <c r="M5" s="79"/>
      <c r="N5" s="80"/>
      <c r="O5" s="80"/>
      <c r="P5" s="81" t="e">
        <f>ROUND(V125,Y125)&amp;" "&amp;V120</f>
        <v>#NAME?</v>
      </c>
      <c r="Q5" s="82" t="e">
        <f>ROUND(V126, 0)</f>
        <v>#NAME?</v>
      </c>
      <c r="R5" s="732" t="s">
        <v>798</v>
      </c>
      <c r="S5" s="732"/>
      <c r="T5" s="83" t="s">
        <v>775</v>
      </c>
      <c r="U5" s="730" t="s">
        <v>745</v>
      </c>
      <c r="V5" s="730"/>
      <c r="W5" s="79"/>
      <c r="X5" s="79"/>
      <c r="Y5" s="80" t="e">
        <f>ROUND(Z118,Y125)&amp;" "&amp;V120</f>
        <v>#NAME?</v>
      </c>
      <c r="Z5" s="80"/>
      <c r="AA5" s="84"/>
      <c r="AB5" s="2"/>
      <c r="AC5" s="58"/>
      <c r="AD5" s="77"/>
    </row>
    <row r="6" spans="1:30" s="50" customFormat="1" ht="22.5" customHeight="1">
      <c r="B6" s="85"/>
      <c r="C6" s="86"/>
      <c r="D6" s="79"/>
      <c r="E6" s="79"/>
      <c r="F6" s="79"/>
      <c r="G6" s="79"/>
      <c r="H6" s="79"/>
      <c r="I6" s="79"/>
      <c r="J6" s="79"/>
      <c r="K6" s="79"/>
      <c r="L6" s="79"/>
      <c r="M6" s="79"/>
      <c r="N6" s="80"/>
      <c r="O6" s="80"/>
      <c r="P6" s="87">
        <f>+X124</f>
        <v>46090</v>
      </c>
      <c r="Q6" s="88" t="str">
        <f>V120&amp;" "&amp;V122</f>
        <v>USD Thousands</v>
      </c>
      <c r="R6" s="733"/>
      <c r="S6" s="733"/>
      <c r="T6" s="79"/>
      <c r="U6" s="79"/>
      <c r="V6" s="79"/>
      <c r="W6" s="79"/>
      <c r="X6" s="79"/>
      <c r="Y6" s="89" t="str">
        <f>X119</f>
        <v>Bear Value</v>
      </c>
      <c r="Z6" s="90"/>
      <c r="AA6" s="79"/>
      <c r="AB6" s="2"/>
      <c r="AC6" s="58"/>
      <c r="AD6" s="77"/>
    </row>
    <row r="7" spans="1:30" s="50" customFormat="1" ht="22.5" customHeight="1">
      <c r="B7" s="85"/>
      <c r="C7" s="91">
        <f ca="1">IFERROR((R102*(1+COE-S46/R102)^((_ExportData!K3-Q116)/365))*ADR/FX, 0)</f>
        <v>0</v>
      </c>
      <c r="D7" s="79"/>
      <c r="E7" s="79"/>
      <c r="F7" s="79"/>
      <c r="G7" s="79"/>
      <c r="H7" s="79"/>
      <c r="I7" s="79"/>
      <c r="J7" s="79"/>
      <c r="K7" s="79"/>
      <c r="L7" s="79"/>
      <c r="M7" s="79"/>
      <c r="N7" s="89"/>
      <c r="O7" s="89"/>
      <c r="P7" s="79"/>
      <c r="Q7" s="92"/>
      <c r="R7" s="93"/>
      <c r="S7" s="94"/>
      <c r="T7" s="95"/>
      <c r="U7" s="94"/>
      <c r="V7" s="96"/>
      <c r="W7" s="79"/>
      <c r="X7" s="79"/>
      <c r="Y7" s="80" t="e">
        <f>ROUND(Z119,Y125)&amp;" "&amp;V120</f>
        <v>#NAME?</v>
      </c>
      <c r="Z7" s="79"/>
      <c r="AA7" s="79"/>
      <c r="AB7" s="2"/>
      <c r="AC7" s="58"/>
      <c r="AD7" s="97"/>
    </row>
    <row r="8" spans="1:30" s="50" customFormat="1" ht="22.5" customHeight="1">
      <c r="B8" s="2"/>
      <c r="C8" s="9"/>
      <c r="D8" s="9"/>
      <c r="E8" s="9"/>
      <c r="F8" s="9"/>
      <c r="G8" s="9"/>
      <c r="H8" s="9"/>
      <c r="I8" s="9"/>
      <c r="J8" s="9"/>
      <c r="K8" s="9"/>
      <c r="L8" s="9"/>
      <c r="M8" s="9"/>
      <c r="N8" s="98"/>
      <c r="O8" s="99"/>
      <c r="P8" s="9"/>
      <c r="Q8" s="9"/>
      <c r="R8" s="9"/>
      <c r="S8" s="100" t="s">
        <v>793</v>
      </c>
      <c r="T8" s="101"/>
      <c r="U8" s="101"/>
      <c r="V8" s="101"/>
      <c r="W8" s="101"/>
      <c r="X8" s="101"/>
      <c r="Y8" s="101"/>
      <c r="Z8" s="101"/>
      <c r="AA8" s="101"/>
      <c r="AB8" s="101"/>
      <c r="AC8" s="58"/>
      <c r="AD8" s="102"/>
    </row>
    <row r="9" spans="1:30" s="50" customFormat="1" ht="22.5" customHeight="1">
      <c r="B9" s="2"/>
      <c r="C9" s="9"/>
      <c r="D9" s="103">
        <f t="shared" ref="D9:L9" si="0">+E9-1</f>
        <v>2011</v>
      </c>
      <c r="E9" s="103">
        <f t="shared" si="0"/>
        <v>2012</v>
      </c>
      <c r="F9" s="103">
        <f t="shared" si="0"/>
        <v>2013</v>
      </c>
      <c r="G9" s="103">
        <f t="shared" si="0"/>
        <v>2014</v>
      </c>
      <c r="H9" s="103">
        <f t="shared" si="0"/>
        <v>2015</v>
      </c>
      <c r="I9" s="103">
        <f t="shared" si="0"/>
        <v>2016</v>
      </c>
      <c r="J9" s="103">
        <f t="shared" si="0"/>
        <v>2017</v>
      </c>
      <c r="K9" s="103">
        <f t="shared" si="0"/>
        <v>2018</v>
      </c>
      <c r="L9" s="103">
        <f t="shared" si="0"/>
        <v>2019</v>
      </c>
      <c r="M9" s="103">
        <f>+N9-1</f>
        <v>2020</v>
      </c>
      <c r="N9" s="103">
        <f>+O9-1</f>
        <v>2021</v>
      </c>
      <c r="O9" s="103">
        <f>+P9-1</f>
        <v>2022</v>
      </c>
      <c r="P9" s="103">
        <f>+Q9-1</f>
        <v>2023</v>
      </c>
      <c r="Q9" s="103">
        <f>+R9-1</f>
        <v>2024</v>
      </c>
      <c r="R9" s="103">
        <f>+YEAR(Q116)+Control!$A$27</f>
        <v>2025</v>
      </c>
      <c r="S9" s="104">
        <f>+R9+1</f>
        <v>2026</v>
      </c>
      <c r="T9" s="104">
        <f>+S9+1</f>
        <v>2027</v>
      </c>
      <c r="U9" s="104">
        <f>+T9+1</f>
        <v>2028</v>
      </c>
      <c r="V9" s="104">
        <f>+U9+1</f>
        <v>2029</v>
      </c>
      <c r="W9" s="104">
        <f>+V9+1</f>
        <v>2030</v>
      </c>
      <c r="X9" s="104">
        <f>+IF($V$108=10,W9+1,0)</f>
        <v>2031</v>
      </c>
      <c r="Y9" s="104">
        <f>+IF($V$108=10,X9+1,0)</f>
        <v>2032</v>
      </c>
      <c r="Z9" s="104">
        <f>+IF($V$108=10,Y9+1,0)</f>
        <v>2033</v>
      </c>
      <c r="AA9" s="104">
        <f>+IF($V$108=10,Z9+1,0)</f>
        <v>2034</v>
      </c>
      <c r="AB9" s="104">
        <f>+IF($V$108=10,AA9+1,0)</f>
        <v>2035</v>
      </c>
      <c r="AC9" s="58"/>
      <c r="AD9" s="105"/>
    </row>
    <row r="10" spans="1:30" s="50" customFormat="1">
      <c r="A10" s="106"/>
      <c r="B10" s="2"/>
      <c r="C10" s="107" t="s">
        <v>455</v>
      </c>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58"/>
    </row>
    <row r="11" spans="1:30" s="113" customFormat="1" ht="22.5" customHeight="1">
      <c r="A11" s="108"/>
      <c r="B11" s="109"/>
      <c r="C11" s="110" t="s">
        <v>5</v>
      </c>
      <c r="D11" s="111"/>
      <c r="E11" s="111"/>
      <c r="F11" s="111"/>
      <c r="G11" s="111"/>
      <c r="H11" s="111"/>
      <c r="I11" s="111"/>
      <c r="J11" s="111"/>
      <c r="K11" s="111"/>
      <c r="L11" s="111"/>
      <c r="M11" s="111">
        <f>'Financial Statements'!C8</f>
        <v>1277481</v>
      </c>
      <c r="N11" s="111">
        <f>'Financial Statements'!D8</f>
        <v>7839444</v>
      </c>
      <c r="O11" s="111">
        <f>'Financial Statements'!E8</f>
        <v>3194208</v>
      </c>
      <c r="P11" s="111">
        <f>'Financial Statements'!F8</f>
        <v>3108383</v>
      </c>
      <c r="Q11" s="111">
        <f>'Financial Statements'!G8</f>
        <v>6564028</v>
      </c>
      <c r="R11" s="111">
        <f>'Financial Statements'!H8</f>
        <v>7181325</v>
      </c>
      <c r="S11" s="111">
        <f ca="1">Buildup!Q12</f>
        <v>6803250.5397419743</v>
      </c>
      <c r="T11" s="111" t="e">
        <f ca="1">Buildup!R12</f>
        <v>#NAME?</v>
      </c>
      <c r="U11" s="111" t="e">
        <f ca="1">Buildup!S12</f>
        <v>#NAME?</v>
      </c>
      <c r="V11" s="111" t="e">
        <f ca="1">Buildup!T12</f>
        <v>#NAME?</v>
      </c>
      <c r="W11" s="111" t="e">
        <f ca="1">Buildup!U12</f>
        <v>#NAME?</v>
      </c>
      <c r="X11" s="111" t="e">
        <f ca="1">Buildup!V12</f>
        <v>#NAME?</v>
      </c>
      <c r="Y11" s="111" t="e">
        <f ca="1">Buildup!W12</f>
        <v>#NAME?</v>
      </c>
      <c r="Z11" s="111" t="e">
        <f ca="1">Buildup!X12</f>
        <v>#NAME?</v>
      </c>
      <c r="AA11" s="111" t="e">
        <f ca="1">Buildup!Y12</f>
        <v>#NAME?</v>
      </c>
      <c r="AB11" s="111" t="e">
        <f ca="1">Buildup!Z12</f>
        <v>#NAME?</v>
      </c>
      <c r="AC11" s="112"/>
    </row>
    <row r="12" spans="1:30" s="119" customFormat="1" ht="22.5" customHeight="1">
      <c r="A12" s="108"/>
      <c r="B12" s="114"/>
      <c r="C12" s="115" t="s">
        <v>858</v>
      </c>
      <c r="D12" s="116" t="str">
        <f t="shared" ref="D12:R12" si="1">+IFERROR(D11/C11-1,"")</f>
        <v/>
      </c>
      <c r="E12" s="116" t="str">
        <f t="shared" si="1"/>
        <v/>
      </c>
      <c r="F12" s="116" t="str">
        <f t="shared" si="1"/>
        <v/>
      </c>
      <c r="G12" s="116" t="str">
        <f t="shared" si="1"/>
        <v/>
      </c>
      <c r="H12" s="116" t="str">
        <f t="shared" si="1"/>
        <v/>
      </c>
      <c r="I12" s="116" t="str">
        <f t="shared" si="1"/>
        <v/>
      </c>
      <c r="J12" s="116" t="str">
        <f t="shared" si="1"/>
        <v/>
      </c>
      <c r="K12" s="116" t="str">
        <f t="shared" si="1"/>
        <v/>
      </c>
      <c r="L12" s="116" t="str">
        <f t="shared" si="1"/>
        <v/>
      </c>
      <c r="M12" s="116" t="str">
        <f t="shared" si="1"/>
        <v/>
      </c>
      <c r="N12" s="116">
        <f t="shared" si="1"/>
        <v>5.1366423453656065</v>
      </c>
      <c r="O12" s="116">
        <f t="shared" si="1"/>
        <v>-0.59254661427519606</v>
      </c>
      <c r="P12" s="116">
        <f t="shared" si="1"/>
        <v>-2.686894529097672E-2</v>
      </c>
      <c r="Q12" s="116">
        <f t="shared" si="1"/>
        <v>1.1117178931939855</v>
      </c>
      <c r="R12" s="116">
        <f t="shared" si="1"/>
        <v>9.404240810672948E-2</v>
      </c>
      <c r="S12" s="116">
        <f t="shared" ref="S12:AB12" ca="1" si="2">+IFERROR(S11/R11-1,"")</f>
        <v>-5.2646894585334225E-2</v>
      </c>
      <c r="T12" s="117" t="str">
        <f t="shared" ca="1" si="2"/>
        <v/>
      </c>
      <c r="U12" s="117" t="str">
        <f t="shared" ca="1" si="2"/>
        <v/>
      </c>
      <c r="V12" s="117" t="str">
        <f t="shared" ca="1" si="2"/>
        <v/>
      </c>
      <c r="W12" s="117" t="str">
        <f t="shared" ca="1" si="2"/>
        <v/>
      </c>
      <c r="X12" s="117" t="str">
        <f t="shared" ca="1" si="2"/>
        <v/>
      </c>
      <c r="Y12" s="117" t="str">
        <f t="shared" ca="1" si="2"/>
        <v/>
      </c>
      <c r="Z12" s="117" t="str">
        <f t="shared" ca="1" si="2"/>
        <v/>
      </c>
      <c r="AA12" s="117" t="str">
        <f t="shared" ca="1" si="2"/>
        <v/>
      </c>
      <c r="AB12" s="117" t="str">
        <f t="shared" ca="1" si="2"/>
        <v/>
      </c>
      <c r="AC12" s="118"/>
    </row>
    <row r="13" spans="1:30" s="113" customFormat="1" ht="22.5" customHeight="1">
      <c r="A13" s="108"/>
      <c r="B13" s="109"/>
      <c r="C13" s="110" t="s">
        <v>1046</v>
      </c>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2"/>
    </row>
    <row r="14" spans="1:30" s="50" customFormat="1" ht="23.75" customHeight="1">
      <c r="A14" s="106"/>
      <c r="B14" s="2"/>
      <c r="C14" s="120" t="s">
        <v>6</v>
      </c>
      <c r="D14" s="121">
        <f t="shared" ref="D14:R14" si="3">D11-D13</f>
        <v>0</v>
      </c>
      <c r="E14" s="121">
        <f t="shared" si="3"/>
        <v>0</v>
      </c>
      <c r="F14" s="121">
        <f t="shared" si="3"/>
        <v>0</v>
      </c>
      <c r="G14" s="121">
        <f t="shared" si="3"/>
        <v>0</v>
      </c>
      <c r="H14" s="121">
        <f t="shared" si="3"/>
        <v>0</v>
      </c>
      <c r="I14" s="121">
        <f t="shared" si="3"/>
        <v>0</v>
      </c>
      <c r="J14" s="121">
        <f t="shared" si="3"/>
        <v>0</v>
      </c>
      <c r="K14" s="121">
        <f t="shared" si="3"/>
        <v>0</v>
      </c>
      <c r="L14" s="121">
        <f t="shared" si="3"/>
        <v>0</v>
      </c>
      <c r="M14" s="121">
        <f t="shared" si="3"/>
        <v>1277481</v>
      </c>
      <c r="N14" s="121">
        <f t="shared" si="3"/>
        <v>7839444</v>
      </c>
      <c r="O14" s="121">
        <f t="shared" si="3"/>
        <v>3194208</v>
      </c>
      <c r="P14" s="121">
        <f t="shared" si="3"/>
        <v>3108383</v>
      </c>
      <c r="Q14" s="121">
        <f t="shared" si="3"/>
        <v>6564028</v>
      </c>
      <c r="R14" s="122">
        <f t="shared" si="3"/>
        <v>7181325</v>
      </c>
      <c r="S14" s="122">
        <f t="shared" ref="S14:AB14" ca="1" si="4">+S11-S13</f>
        <v>6803250.5397419743</v>
      </c>
      <c r="T14" s="121" t="e">
        <f t="shared" ca="1" si="4"/>
        <v>#NAME?</v>
      </c>
      <c r="U14" s="121" t="e">
        <f t="shared" ca="1" si="4"/>
        <v>#NAME?</v>
      </c>
      <c r="V14" s="121" t="e">
        <f t="shared" ca="1" si="4"/>
        <v>#NAME?</v>
      </c>
      <c r="W14" s="121" t="e">
        <f t="shared" ca="1" si="4"/>
        <v>#NAME?</v>
      </c>
      <c r="X14" s="121" t="e">
        <f t="shared" ca="1" si="4"/>
        <v>#NAME?</v>
      </c>
      <c r="Y14" s="121" t="e">
        <f t="shared" ca="1" si="4"/>
        <v>#NAME?</v>
      </c>
      <c r="Z14" s="121" t="e">
        <f t="shared" ca="1" si="4"/>
        <v>#NAME?</v>
      </c>
      <c r="AA14" s="121" t="e">
        <f t="shared" ca="1" si="4"/>
        <v>#NAME?</v>
      </c>
      <c r="AB14" s="121" t="e">
        <f t="shared" ca="1" si="4"/>
        <v>#NAME?</v>
      </c>
      <c r="AC14" s="58"/>
    </row>
    <row r="15" spans="1:30" s="126" customFormat="1" ht="26.25" customHeight="1">
      <c r="A15" s="123"/>
      <c r="B15" s="124"/>
      <c r="C15" s="115" t="s">
        <v>27</v>
      </c>
      <c r="D15" s="116" t="str">
        <f>IFERROR(+D14/D11, "")</f>
        <v/>
      </c>
      <c r="E15" s="116" t="str">
        <f t="shared" ref="E15:AB15" si="5">IFERROR(+E14/E11, "")</f>
        <v/>
      </c>
      <c r="F15" s="116" t="str">
        <f t="shared" si="5"/>
        <v/>
      </c>
      <c r="G15" s="116" t="str">
        <f t="shared" si="5"/>
        <v/>
      </c>
      <c r="H15" s="116" t="str">
        <f t="shared" si="5"/>
        <v/>
      </c>
      <c r="I15" s="116" t="str">
        <f t="shared" si="5"/>
        <v/>
      </c>
      <c r="J15" s="116" t="str">
        <f t="shared" si="5"/>
        <v/>
      </c>
      <c r="K15" s="116" t="str">
        <f t="shared" si="5"/>
        <v/>
      </c>
      <c r="L15" s="116" t="str">
        <f t="shared" si="5"/>
        <v/>
      </c>
      <c r="M15" s="116">
        <f t="shared" si="5"/>
        <v>1</v>
      </c>
      <c r="N15" s="116">
        <f t="shared" si="5"/>
        <v>1</v>
      </c>
      <c r="O15" s="116">
        <f t="shared" si="5"/>
        <v>1</v>
      </c>
      <c r="P15" s="116">
        <f t="shared" si="5"/>
        <v>1</v>
      </c>
      <c r="Q15" s="116">
        <f t="shared" si="5"/>
        <v>1</v>
      </c>
      <c r="R15" s="116">
        <f t="shared" si="5"/>
        <v>1</v>
      </c>
      <c r="S15" s="116">
        <f t="shared" ca="1" si="5"/>
        <v>1</v>
      </c>
      <c r="T15" s="116" t="str">
        <f t="shared" ca="1" si="5"/>
        <v/>
      </c>
      <c r="U15" s="116" t="str">
        <f t="shared" ca="1" si="5"/>
        <v/>
      </c>
      <c r="V15" s="116" t="str">
        <f t="shared" ca="1" si="5"/>
        <v/>
      </c>
      <c r="W15" s="116" t="str">
        <f t="shared" ca="1" si="5"/>
        <v/>
      </c>
      <c r="X15" s="116" t="str">
        <f t="shared" ca="1" si="5"/>
        <v/>
      </c>
      <c r="Y15" s="116" t="str">
        <f t="shared" ca="1" si="5"/>
        <v/>
      </c>
      <c r="Z15" s="116" t="str">
        <f t="shared" ca="1" si="5"/>
        <v/>
      </c>
      <c r="AA15" s="116" t="str">
        <f t="shared" ca="1" si="5"/>
        <v/>
      </c>
      <c r="AB15" s="116" t="str">
        <f t="shared" ca="1" si="5"/>
        <v/>
      </c>
      <c r="AC15" s="125"/>
    </row>
    <row r="16" spans="1:30" s="50" customFormat="1" ht="22.5" customHeight="1">
      <c r="A16" s="106"/>
      <c r="B16" s="2"/>
      <c r="C16" s="110" t="s">
        <v>1066</v>
      </c>
      <c r="D16" s="127"/>
      <c r="E16" s="127"/>
      <c r="F16" s="127"/>
      <c r="G16" s="127"/>
      <c r="H16" s="127"/>
      <c r="I16" s="127"/>
      <c r="J16" s="127"/>
      <c r="K16" s="127"/>
      <c r="L16" s="127"/>
      <c r="M16" s="127">
        <f>'Financial Statements'!C10+'Financial Statements'!C13+'Financial Statements'!C14+'Financial Statements'!C15-M22+'Financial Statements'!C11+'Financial Statements'!C12</f>
        <v>837568</v>
      </c>
      <c r="N16" s="111">
        <f>'Financial Statements'!D10+'Financial Statements'!D13+'Financial Statements'!D14+'Financial Statements'!D15-N22+'Financial Statements'!D11+'Financial Statements'!D12</f>
        <v>4699223</v>
      </c>
      <c r="O16" s="111">
        <f>'Financial Statements'!E10+'Financial Statements'!E13+'Financial Statements'!E14+'Financial Statements'!E15-O22+'Financial Statements'!E11+'Financial Statements'!E12</f>
        <v>5750347</v>
      </c>
      <c r="P16" s="111">
        <f>'Financial Statements'!F10+'Financial Statements'!F13+'Financial Statements'!F14+'Financial Statements'!F15-P22+'Financial Statements'!F11+'Financial Statements'!F12</f>
        <v>3130403</v>
      </c>
      <c r="Q16" s="111">
        <f>'Financial Statements'!G10+'Financial Statements'!G13+'Financial Statements'!G14+'Financial Statements'!G15-Q22+'Financial Statements'!G11+'Financial Statements'!G12</f>
        <v>4129350</v>
      </c>
      <c r="R16" s="111">
        <f>'Financial Statements'!H10+'Financial Statements'!H13+'Financial Statements'!H14+'Financial Statements'!H15-R22+'Financial Statements'!H11+'Financial Statements'!H12</f>
        <v>5557456</v>
      </c>
      <c r="S16" s="111">
        <f ca="1">Buildup!Q16+Buildup!Q23</f>
        <v>5682526.1228651665</v>
      </c>
      <c r="T16" s="111" t="e">
        <f ca="1">Buildup!R16+Buildup!R23</f>
        <v>#NAME?</v>
      </c>
      <c r="U16" s="111" t="e">
        <f ca="1">Buildup!S16+Buildup!S23</f>
        <v>#NAME?</v>
      </c>
      <c r="V16" s="111" t="e">
        <f ca="1">Buildup!T16+Buildup!T23</f>
        <v>#NAME?</v>
      </c>
      <c r="W16" s="111" t="e">
        <f ca="1">Buildup!U16+Buildup!U23</f>
        <v>#NAME?</v>
      </c>
      <c r="X16" s="111" t="e">
        <f ca="1">Buildup!V16+Buildup!V23</f>
        <v>#NAME?</v>
      </c>
      <c r="Y16" s="111" t="e">
        <f ca="1">Buildup!W16+Buildup!W23</f>
        <v>#NAME?</v>
      </c>
      <c r="Z16" s="111" t="e">
        <f ca="1">Buildup!X16+Buildup!X23</f>
        <v>#NAME?</v>
      </c>
      <c r="AA16" s="111" t="e">
        <f ca="1">Buildup!Y16+Buildup!Y23</f>
        <v>#NAME?</v>
      </c>
      <c r="AB16" s="111" t="e">
        <f ca="1">Buildup!Z16+Buildup!Z23</f>
        <v>#NAME?</v>
      </c>
      <c r="AC16" s="58"/>
    </row>
    <row r="17" spans="1:29" s="132" customFormat="1" ht="22.5" customHeight="1">
      <c r="A17" s="128"/>
      <c r="B17" s="129"/>
      <c r="C17" s="130" t="s">
        <v>1067</v>
      </c>
      <c r="D17" s="116">
        <f>+IF(D16=0,0,D16/D$11)</f>
        <v>0</v>
      </c>
      <c r="E17" s="116">
        <f t="shared" ref="E17:AB17" si="6">+IF(E16=0,0,E16/E$11)</f>
        <v>0</v>
      </c>
      <c r="F17" s="116">
        <f t="shared" si="6"/>
        <v>0</v>
      </c>
      <c r="G17" s="116">
        <f t="shared" si="6"/>
        <v>0</v>
      </c>
      <c r="H17" s="116">
        <f t="shared" si="6"/>
        <v>0</v>
      </c>
      <c r="I17" s="116">
        <f t="shared" si="6"/>
        <v>0</v>
      </c>
      <c r="J17" s="116">
        <f t="shared" si="6"/>
        <v>0</v>
      </c>
      <c r="K17" s="116">
        <f t="shared" si="6"/>
        <v>0</v>
      </c>
      <c r="L17" s="116">
        <f t="shared" si="6"/>
        <v>0</v>
      </c>
      <c r="M17" s="116">
        <f t="shared" si="6"/>
        <v>0.65564027958145754</v>
      </c>
      <c r="N17" s="116">
        <f t="shared" si="6"/>
        <v>0.59943319959935937</v>
      </c>
      <c r="O17" s="116">
        <f t="shared" si="6"/>
        <v>1.8002418752942826</v>
      </c>
      <c r="P17" s="116">
        <f t="shared" si="6"/>
        <v>1.0070840691124614</v>
      </c>
      <c r="Q17" s="116">
        <f t="shared" si="6"/>
        <v>0.62908781010684289</v>
      </c>
      <c r="R17" s="116">
        <f t="shared" si="6"/>
        <v>0.77387613010133927</v>
      </c>
      <c r="S17" s="116">
        <f t="shared" ca="1" si="6"/>
        <v>0.83526633183211962</v>
      </c>
      <c r="T17" s="117" t="e">
        <f t="shared" ca="1" si="6"/>
        <v>#NAME?</v>
      </c>
      <c r="U17" s="117" t="e">
        <f t="shared" ca="1" si="6"/>
        <v>#NAME?</v>
      </c>
      <c r="V17" s="117" t="e">
        <f t="shared" ca="1" si="6"/>
        <v>#NAME?</v>
      </c>
      <c r="W17" s="117" t="e">
        <f t="shared" ca="1" si="6"/>
        <v>#NAME?</v>
      </c>
      <c r="X17" s="117" t="e">
        <f t="shared" ca="1" si="6"/>
        <v>#NAME?</v>
      </c>
      <c r="Y17" s="117" t="e">
        <f t="shared" ca="1" si="6"/>
        <v>#NAME?</v>
      </c>
      <c r="Z17" s="117" t="e">
        <f t="shared" ca="1" si="6"/>
        <v>#NAME?</v>
      </c>
      <c r="AA17" s="117" t="e">
        <f t="shared" ca="1" si="6"/>
        <v>#NAME?</v>
      </c>
      <c r="AB17" s="117" t="e">
        <f t="shared" ca="1" si="6"/>
        <v>#NAME?</v>
      </c>
      <c r="AC17" s="131"/>
    </row>
    <row r="18" spans="1:29" s="126" customFormat="1" ht="22.5" customHeight="1">
      <c r="A18" s="123"/>
      <c r="B18" s="124"/>
      <c r="C18" s="133" t="s">
        <v>1069</v>
      </c>
      <c r="D18" s="127"/>
      <c r="E18" s="127"/>
      <c r="F18" s="127"/>
      <c r="G18" s="127"/>
      <c r="H18" s="127"/>
      <c r="I18" s="127"/>
      <c r="J18" s="127"/>
      <c r="K18" s="127"/>
      <c r="L18" s="127"/>
      <c r="M18" s="127"/>
      <c r="N18" s="111"/>
      <c r="O18" s="111"/>
      <c r="P18" s="111"/>
      <c r="Q18" s="111"/>
      <c r="R18" s="111"/>
      <c r="S18" s="111"/>
      <c r="T18" s="111"/>
      <c r="U18" s="111"/>
      <c r="V18" s="111"/>
      <c r="W18" s="111"/>
      <c r="X18" s="111"/>
      <c r="Y18" s="111"/>
      <c r="Z18" s="111"/>
      <c r="AA18" s="111"/>
      <c r="AB18" s="111"/>
      <c r="AC18" s="125"/>
    </row>
    <row r="19" spans="1:29" s="50" customFormat="1">
      <c r="A19" s="106"/>
      <c r="B19" s="2"/>
      <c r="C19" s="130" t="s">
        <v>1067</v>
      </c>
      <c r="D19" s="116">
        <f t="shared" ref="D19:AB19" si="7">+IF(D18=0,0,D18/D$11)</f>
        <v>0</v>
      </c>
      <c r="E19" s="116">
        <f t="shared" si="7"/>
        <v>0</v>
      </c>
      <c r="F19" s="116">
        <f t="shared" si="7"/>
        <v>0</v>
      </c>
      <c r="G19" s="116">
        <f t="shared" si="7"/>
        <v>0</v>
      </c>
      <c r="H19" s="116">
        <f t="shared" si="7"/>
        <v>0</v>
      </c>
      <c r="I19" s="116">
        <f t="shared" si="7"/>
        <v>0</v>
      </c>
      <c r="J19" s="116">
        <f t="shared" si="7"/>
        <v>0</v>
      </c>
      <c r="K19" s="116">
        <f t="shared" si="7"/>
        <v>0</v>
      </c>
      <c r="L19" s="116">
        <f t="shared" si="7"/>
        <v>0</v>
      </c>
      <c r="M19" s="116">
        <f t="shared" si="7"/>
        <v>0</v>
      </c>
      <c r="N19" s="116">
        <f t="shared" si="7"/>
        <v>0</v>
      </c>
      <c r="O19" s="116">
        <f t="shared" si="7"/>
        <v>0</v>
      </c>
      <c r="P19" s="116">
        <f t="shared" si="7"/>
        <v>0</v>
      </c>
      <c r="Q19" s="116">
        <f t="shared" si="7"/>
        <v>0</v>
      </c>
      <c r="R19" s="116">
        <f t="shared" si="7"/>
        <v>0</v>
      </c>
      <c r="S19" s="116">
        <f t="shared" si="7"/>
        <v>0</v>
      </c>
      <c r="T19" s="117">
        <f t="shared" si="7"/>
        <v>0</v>
      </c>
      <c r="U19" s="117">
        <f t="shared" si="7"/>
        <v>0</v>
      </c>
      <c r="V19" s="117">
        <f t="shared" si="7"/>
        <v>0</v>
      </c>
      <c r="W19" s="117">
        <f t="shared" si="7"/>
        <v>0</v>
      </c>
      <c r="X19" s="117">
        <f t="shared" si="7"/>
        <v>0</v>
      </c>
      <c r="Y19" s="117">
        <f t="shared" si="7"/>
        <v>0</v>
      </c>
      <c r="Z19" s="117">
        <f t="shared" si="7"/>
        <v>0</v>
      </c>
      <c r="AA19" s="117">
        <f t="shared" si="7"/>
        <v>0</v>
      </c>
      <c r="AB19" s="117">
        <f t="shared" si="7"/>
        <v>0</v>
      </c>
      <c r="AC19" s="58"/>
    </row>
    <row r="20" spans="1:29" s="50" customFormat="1">
      <c r="A20" s="106"/>
      <c r="B20" s="2"/>
      <c r="C20" s="133" t="s">
        <v>1070</v>
      </c>
      <c r="D20" s="127"/>
      <c r="E20" s="127"/>
      <c r="F20" s="127"/>
      <c r="G20" s="127"/>
      <c r="H20" s="127"/>
      <c r="I20" s="127"/>
      <c r="J20" s="127"/>
      <c r="K20" s="127"/>
      <c r="L20" s="127"/>
      <c r="M20" s="127"/>
      <c r="N20" s="111"/>
      <c r="O20" s="111"/>
      <c r="P20" s="111"/>
      <c r="Q20" s="111"/>
      <c r="R20" s="111"/>
      <c r="S20" s="111"/>
      <c r="T20" s="111"/>
      <c r="U20" s="111"/>
      <c r="V20" s="111"/>
      <c r="W20" s="111"/>
      <c r="X20" s="111"/>
      <c r="Y20" s="111"/>
      <c r="Z20" s="111"/>
      <c r="AA20" s="111"/>
      <c r="AB20" s="111"/>
      <c r="AC20" s="58"/>
    </row>
    <row r="21" spans="1:29" s="50" customFormat="1">
      <c r="A21" s="106"/>
      <c r="B21" s="2"/>
      <c r="C21" s="130" t="s">
        <v>1067</v>
      </c>
      <c r="D21" s="116">
        <f t="shared" ref="D21:AB21" si="8">+IF(D20=0,0,D20/D$11)</f>
        <v>0</v>
      </c>
      <c r="E21" s="116">
        <f t="shared" si="8"/>
        <v>0</v>
      </c>
      <c r="F21" s="116">
        <f t="shared" si="8"/>
        <v>0</v>
      </c>
      <c r="G21" s="116">
        <f t="shared" si="8"/>
        <v>0</v>
      </c>
      <c r="H21" s="116">
        <f t="shared" si="8"/>
        <v>0</v>
      </c>
      <c r="I21" s="116">
        <f t="shared" si="8"/>
        <v>0</v>
      </c>
      <c r="J21" s="116">
        <f t="shared" si="8"/>
        <v>0</v>
      </c>
      <c r="K21" s="116">
        <f t="shared" si="8"/>
        <v>0</v>
      </c>
      <c r="L21" s="116">
        <f t="shared" si="8"/>
        <v>0</v>
      </c>
      <c r="M21" s="116">
        <f t="shared" si="8"/>
        <v>0</v>
      </c>
      <c r="N21" s="116">
        <f t="shared" si="8"/>
        <v>0</v>
      </c>
      <c r="O21" s="116">
        <f t="shared" si="8"/>
        <v>0</v>
      </c>
      <c r="P21" s="116">
        <f t="shared" si="8"/>
        <v>0</v>
      </c>
      <c r="Q21" s="116">
        <f t="shared" si="8"/>
        <v>0</v>
      </c>
      <c r="R21" s="116">
        <f t="shared" si="8"/>
        <v>0</v>
      </c>
      <c r="S21" s="116">
        <f t="shared" si="8"/>
        <v>0</v>
      </c>
      <c r="T21" s="117">
        <f t="shared" si="8"/>
        <v>0</v>
      </c>
      <c r="U21" s="117">
        <f t="shared" si="8"/>
        <v>0</v>
      </c>
      <c r="V21" s="117">
        <f t="shared" si="8"/>
        <v>0</v>
      </c>
      <c r="W21" s="117">
        <f t="shared" si="8"/>
        <v>0</v>
      </c>
      <c r="X21" s="117">
        <f t="shared" si="8"/>
        <v>0</v>
      </c>
      <c r="Y21" s="117">
        <f t="shared" si="8"/>
        <v>0</v>
      </c>
      <c r="Z21" s="117">
        <f t="shared" si="8"/>
        <v>0</v>
      </c>
      <c r="AA21" s="117">
        <f t="shared" si="8"/>
        <v>0</v>
      </c>
      <c r="AB21" s="117">
        <f t="shared" si="8"/>
        <v>0</v>
      </c>
      <c r="AC21" s="58"/>
    </row>
    <row r="22" spans="1:29" s="50" customFormat="1">
      <c r="A22" s="106"/>
      <c r="B22" s="2"/>
      <c r="C22" s="133" t="s">
        <v>1068</v>
      </c>
      <c r="D22" s="127"/>
      <c r="E22" s="127"/>
      <c r="F22" s="127"/>
      <c r="G22" s="127"/>
      <c r="H22" s="127"/>
      <c r="I22" s="127"/>
      <c r="J22" s="127"/>
      <c r="K22" s="127"/>
      <c r="L22" s="127"/>
      <c r="M22" s="127">
        <f>'Financial Statements'!C90</f>
        <v>30962</v>
      </c>
      <c r="N22" s="111">
        <f>'Financial Statements'!D90</f>
        <v>63651</v>
      </c>
      <c r="O22" s="111">
        <f>'Financial Statements'!E90</f>
        <v>154069</v>
      </c>
      <c r="P22" s="111">
        <f>'Financial Statements'!F90</f>
        <v>139642</v>
      </c>
      <c r="Q22" s="111">
        <f>'Financial Statements'!K90</f>
        <v>127518</v>
      </c>
      <c r="R22" s="111">
        <f>'Financial Statements'!L90</f>
        <v>188428</v>
      </c>
      <c r="S22" s="111">
        <f ca="1">Buildup!Q29+Buildup!Q33</f>
        <v>253146.8263930098</v>
      </c>
      <c r="T22" s="111" t="e">
        <f ca="1">Buildup!R29+Buildup!R33</f>
        <v>#NAME?</v>
      </c>
      <c r="U22" s="111" t="e">
        <f ca="1">Buildup!S29+Buildup!S33</f>
        <v>#NAME?</v>
      </c>
      <c r="V22" s="111" t="e">
        <f ca="1">Buildup!T29+Buildup!T33</f>
        <v>#NAME?</v>
      </c>
      <c r="W22" s="111" t="e">
        <f ca="1">Buildup!U29+Buildup!U33</f>
        <v>#NAME?</v>
      </c>
      <c r="X22" s="111" t="e">
        <f ca="1">Buildup!V29+Buildup!V33</f>
        <v>#NAME?</v>
      </c>
      <c r="Y22" s="111" t="e">
        <f ca="1">Buildup!W29+Buildup!W33</f>
        <v>#NAME?</v>
      </c>
      <c r="Z22" s="111" t="e">
        <f ca="1">Buildup!X29+Buildup!X33</f>
        <v>#NAME?</v>
      </c>
      <c r="AA22" s="111" t="e">
        <f ca="1">Buildup!Y29+Buildup!Y33</f>
        <v>#NAME?</v>
      </c>
      <c r="AB22" s="111" t="e">
        <f ca="1">Buildup!Z29+Buildup!Z33</f>
        <v>#NAME?</v>
      </c>
      <c r="AC22" s="58"/>
    </row>
    <row r="23" spans="1:29" s="50" customFormat="1" ht="23.75" customHeight="1">
      <c r="A23" s="106"/>
      <c r="B23" s="2"/>
      <c r="C23" s="130" t="s">
        <v>1067</v>
      </c>
      <c r="D23" s="116">
        <f t="shared" ref="D23:AB23" si="9">+IF(D22=0,0,D22/D$11)</f>
        <v>0</v>
      </c>
      <c r="E23" s="116">
        <f t="shared" si="9"/>
        <v>0</v>
      </c>
      <c r="F23" s="116">
        <f t="shared" si="9"/>
        <v>0</v>
      </c>
      <c r="G23" s="116">
        <f t="shared" si="9"/>
        <v>0</v>
      </c>
      <c r="H23" s="116">
        <f t="shared" si="9"/>
        <v>0</v>
      </c>
      <c r="I23" s="116">
        <f t="shared" si="9"/>
        <v>0</v>
      </c>
      <c r="J23" s="116">
        <f t="shared" si="9"/>
        <v>0</v>
      </c>
      <c r="K23" s="116">
        <f t="shared" si="9"/>
        <v>0</v>
      </c>
      <c r="L23" s="116">
        <f t="shared" si="9"/>
        <v>0</v>
      </c>
      <c r="M23" s="116">
        <f t="shared" si="9"/>
        <v>2.4236759685662645E-2</v>
      </c>
      <c r="N23" s="116">
        <f t="shared" si="9"/>
        <v>8.1193258093303564E-3</v>
      </c>
      <c r="O23" s="116">
        <f t="shared" si="9"/>
        <v>4.823386579709274E-2</v>
      </c>
      <c r="P23" s="116">
        <f t="shared" si="9"/>
        <v>4.4924322388843328E-2</v>
      </c>
      <c r="Q23" s="116">
        <f t="shared" si="9"/>
        <v>1.9426790988703889E-2</v>
      </c>
      <c r="R23" s="116">
        <f t="shared" si="9"/>
        <v>2.6238611955314652E-2</v>
      </c>
      <c r="S23" s="116">
        <f t="shared" ca="1" si="9"/>
        <v>3.7209687474277678E-2</v>
      </c>
      <c r="T23" s="117" t="e">
        <f t="shared" ca="1" si="9"/>
        <v>#NAME?</v>
      </c>
      <c r="U23" s="117" t="e">
        <f t="shared" ca="1" si="9"/>
        <v>#NAME?</v>
      </c>
      <c r="V23" s="117" t="e">
        <f t="shared" ca="1" si="9"/>
        <v>#NAME?</v>
      </c>
      <c r="W23" s="117" t="e">
        <f t="shared" ca="1" si="9"/>
        <v>#NAME?</v>
      </c>
      <c r="X23" s="117" t="e">
        <f t="shared" ca="1" si="9"/>
        <v>#NAME?</v>
      </c>
      <c r="Y23" s="117" t="e">
        <f t="shared" ca="1" si="9"/>
        <v>#NAME?</v>
      </c>
      <c r="Z23" s="117" t="e">
        <f t="shared" ca="1" si="9"/>
        <v>#NAME?</v>
      </c>
      <c r="AA23" s="117" t="e">
        <f t="shared" ca="1" si="9"/>
        <v>#NAME?</v>
      </c>
      <c r="AB23" s="117" t="e">
        <f t="shared" ca="1" si="9"/>
        <v>#NAME?</v>
      </c>
      <c r="AC23" s="58"/>
    </row>
    <row r="24" spans="1:29" s="50" customFormat="1" ht="23.75" customHeight="1">
      <c r="A24" s="106"/>
      <c r="B24" s="2"/>
      <c r="C24" s="134" t="s">
        <v>16</v>
      </c>
      <c r="D24" s="135">
        <f>+D14-D16-D18-D20-D22</f>
        <v>0</v>
      </c>
      <c r="E24" s="135">
        <f t="shared" ref="E24:AB24" si="10">+E14-E16-E18-E20-E22</f>
        <v>0</v>
      </c>
      <c r="F24" s="135">
        <f t="shared" si="10"/>
        <v>0</v>
      </c>
      <c r="G24" s="135">
        <f t="shared" si="10"/>
        <v>0</v>
      </c>
      <c r="H24" s="135">
        <f t="shared" si="10"/>
        <v>0</v>
      </c>
      <c r="I24" s="135">
        <f t="shared" si="10"/>
        <v>0</v>
      </c>
      <c r="J24" s="135">
        <f t="shared" si="10"/>
        <v>0</v>
      </c>
      <c r="K24" s="135">
        <f t="shared" si="10"/>
        <v>0</v>
      </c>
      <c r="L24" s="135">
        <f t="shared" si="10"/>
        <v>0</v>
      </c>
      <c r="M24" s="135">
        <f t="shared" si="10"/>
        <v>408951</v>
      </c>
      <c r="N24" s="135">
        <f t="shared" si="10"/>
        <v>3076570</v>
      </c>
      <c r="O24" s="135">
        <f t="shared" si="10"/>
        <v>-2710208</v>
      </c>
      <c r="P24" s="135">
        <f t="shared" si="10"/>
        <v>-161662</v>
      </c>
      <c r="Q24" s="135">
        <f t="shared" si="10"/>
        <v>2307160</v>
      </c>
      <c r="R24" s="135">
        <f t="shared" si="10"/>
        <v>1435441</v>
      </c>
      <c r="S24" s="135">
        <f t="shared" ca="1" si="10"/>
        <v>867577.59048379795</v>
      </c>
      <c r="T24" s="135" t="e">
        <f t="shared" ca="1" si="10"/>
        <v>#NAME?</v>
      </c>
      <c r="U24" s="135" t="e">
        <f t="shared" ca="1" si="10"/>
        <v>#NAME?</v>
      </c>
      <c r="V24" s="135" t="e">
        <f t="shared" ca="1" si="10"/>
        <v>#NAME?</v>
      </c>
      <c r="W24" s="135" t="e">
        <f t="shared" ca="1" si="10"/>
        <v>#NAME?</v>
      </c>
      <c r="X24" s="121" t="e">
        <f t="shared" ca="1" si="10"/>
        <v>#NAME?</v>
      </c>
      <c r="Y24" s="121" t="e">
        <f t="shared" ca="1" si="10"/>
        <v>#NAME?</v>
      </c>
      <c r="Z24" s="121" t="e">
        <f t="shared" ca="1" si="10"/>
        <v>#NAME?</v>
      </c>
      <c r="AA24" s="121" t="e">
        <f t="shared" ca="1" si="10"/>
        <v>#NAME?</v>
      </c>
      <c r="AB24" s="121" t="e">
        <f t="shared" ca="1" si="10"/>
        <v>#NAME?</v>
      </c>
      <c r="AC24" s="58"/>
    </row>
    <row r="25" spans="1:29" s="50" customFormat="1" ht="30.25" customHeight="1">
      <c r="A25" s="106"/>
      <c r="B25" s="2"/>
      <c r="C25" s="115" t="s">
        <v>1016</v>
      </c>
      <c r="D25" s="116">
        <f t="shared" ref="D25:AB25" si="11">+IF(D24=0,0,D24/D$11)</f>
        <v>0</v>
      </c>
      <c r="E25" s="116">
        <f t="shared" si="11"/>
        <v>0</v>
      </c>
      <c r="F25" s="116">
        <f t="shared" si="11"/>
        <v>0</v>
      </c>
      <c r="G25" s="116">
        <f t="shared" si="11"/>
        <v>0</v>
      </c>
      <c r="H25" s="116">
        <f t="shared" si="11"/>
        <v>0</v>
      </c>
      <c r="I25" s="116">
        <f t="shared" si="11"/>
        <v>0</v>
      </c>
      <c r="J25" s="116">
        <f t="shared" si="11"/>
        <v>0</v>
      </c>
      <c r="K25" s="116">
        <f t="shared" si="11"/>
        <v>0</v>
      </c>
      <c r="L25" s="116">
        <f t="shared" si="11"/>
        <v>0</v>
      </c>
      <c r="M25" s="116">
        <f t="shared" si="11"/>
        <v>0.32012296073287977</v>
      </c>
      <c r="N25" s="116">
        <f t="shared" si="11"/>
        <v>0.3924474745913103</v>
      </c>
      <c r="O25" s="116">
        <f t="shared" si="11"/>
        <v>-0.84847574109137536</v>
      </c>
      <c r="P25" s="116">
        <f t="shared" si="11"/>
        <v>-5.20083915013047E-2</v>
      </c>
      <c r="Q25" s="116">
        <f t="shared" si="11"/>
        <v>0.35148539890445318</v>
      </c>
      <c r="R25" s="116">
        <f t="shared" si="11"/>
        <v>0.19988525794334611</v>
      </c>
      <c r="S25" s="116">
        <f t="shared" ca="1" si="11"/>
        <v>0.12752398069360274</v>
      </c>
      <c r="T25" s="116" t="e">
        <f t="shared" ca="1" si="11"/>
        <v>#NAME?</v>
      </c>
      <c r="U25" s="116" t="e">
        <f t="shared" ca="1" si="11"/>
        <v>#NAME?</v>
      </c>
      <c r="V25" s="116" t="e">
        <f t="shared" ca="1" si="11"/>
        <v>#NAME?</v>
      </c>
      <c r="W25" s="116" t="e">
        <f t="shared" ca="1" si="11"/>
        <v>#NAME?</v>
      </c>
      <c r="X25" s="116" t="e">
        <f t="shared" ca="1" si="11"/>
        <v>#NAME?</v>
      </c>
      <c r="Y25" s="116" t="e">
        <f t="shared" ca="1" si="11"/>
        <v>#NAME?</v>
      </c>
      <c r="Z25" s="116" t="e">
        <f t="shared" ca="1" si="11"/>
        <v>#NAME?</v>
      </c>
      <c r="AA25" s="116" t="e">
        <f t="shared" ca="1" si="11"/>
        <v>#NAME?</v>
      </c>
      <c r="AB25" s="116" t="e">
        <f t="shared" ca="1" si="11"/>
        <v>#NAME?</v>
      </c>
      <c r="AC25" s="58"/>
    </row>
    <row r="26" spans="1:29" s="50" customFormat="1">
      <c r="A26" s="106"/>
      <c r="B26" s="2"/>
      <c r="C26" s="110" t="s">
        <v>1061</v>
      </c>
      <c r="D26" s="127"/>
      <c r="E26" s="127"/>
      <c r="F26" s="127"/>
      <c r="G26" s="127"/>
      <c r="H26" s="127"/>
      <c r="I26" s="127"/>
      <c r="J26" s="127"/>
      <c r="K26" s="127"/>
      <c r="L26" s="127"/>
      <c r="M26" s="127">
        <f>-'Financial Statements'!C18</f>
        <v>2882</v>
      </c>
      <c r="N26" s="111">
        <f>-'Financial Statements'!D18</f>
        <v>20463</v>
      </c>
      <c r="O26" s="111">
        <f>-'Financial Statements'!E18</f>
        <v>265473</v>
      </c>
      <c r="P26" s="111">
        <f>-'Financial Statements'!F18</f>
        <v>-167583</v>
      </c>
      <c r="Q26" s="111">
        <f>-'Financial Statements'!G18</f>
        <v>-716129</v>
      </c>
      <c r="R26" s="111">
        <f>-'Financial Statements'!H18</f>
        <v>-172037</v>
      </c>
      <c r="S26" s="111"/>
      <c r="T26" s="111"/>
      <c r="U26" s="111"/>
      <c r="V26" s="111"/>
      <c r="W26" s="111"/>
      <c r="X26" s="111"/>
      <c r="Y26" s="111"/>
      <c r="Z26" s="111"/>
      <c r="AA26" s="111"/>
      <c r="AB26" s="111"/>
      <c r="AC26" s="58"/>
    </row>
    <row r="27" spans="1:29" s="50" customFormat="1">
      <c r="A27" s="106"/>
      <c r="B27" s="2"/>
      <c r="C27" s="110" t="s">
        <v>1062</v>
      </c>
      <c r="D27" s="127"/>
      <c r="E27" s="127"/>
      <c r="F27" s="127"/>
      <c r="G27" s="127"/>
      <c r="H27" s="127"/>
      <c r="I27" s="127"/>
      <c r="J27" s="127"/>
      <c r="K27" s="127"/>
      <c r="L27" s="127"/>
      <c r="M27" s="127"/>
      <c r="N27" s="111"/>
      <c r="O27" s="111"/>
      <c r="P27" s="111"/>
      <c r="Q27" s="111"/>
      <c r="R27" s="111"/>
      <c r="S27" s="111"/>
      <c r="T27" s="111"/>
      <c r="U27" s="111"/>
      <c r="V27" s="111"/>
      <c r="W27" s="111"/>
      <c r="X27" s="111"/>
      <c r="Y27" s="111"/>
      <c r="Z27" s="111"/>
      <c r="AA27" s="111"/>
      <c r="AB27" s="111"/>
      <c r="AC27" s="58"/>
    </row>
    <row r="28" spans="1:29" s="50" customFormat="1" ht="30.25" customHeight="1">
      <c r="A28" s="106"/>
      <c r="B28" s="2"/>
      <c r="C28" s="120" t="s">
        <v>17</v>
      </c>
      <c r="D28" s="121">
        <f>+D24-D26-D27</f>
        <v>0</v>
      </c>
      <c r="E28" s="121">
        <f t="shared" ref="E28:AB28" si="12">+E24-E26-E27</f>
        <v>0</v>
      </c>
      <c r="F28" s="121">
        <f t="shared" si="12"/>
        <v>0</v>
      </c>
      <c r="G28" s="121">
        <f t="shared" si="12"/>
        <v>0</v>
      </c>
      <c r="H28" s="121">
        <f t="shared" si="12"/>
        <v>0</v>
      </c>
      <c r="I28" s="121">
        <f t="shared" si="12"/>
        <v>0</v>
      </c>
      <c r="J28" s="121">
        <f t="shared" si="12"/>
        <v>0</v>
      </c>
      <c r="K28" s="121">
        <f t="shared" si="12"/>
        <v>0</v>
      </c>
      <c r="L28" s="121">
        <f t="shared" si="12"/>
        <v>0</v>
      </c>
      <c r="M28" s="121">
        <f t="shared" si="12"/>
        <v>406069</v>
      </c>
      <c r="N28" s="121">
        <f t="shared" si="12"/>
        <v>3056107</v>
      </c>
      <c r="O28" s="121">
        <f t="shared" si="12"/>
        <v>-2975681</v>
      </c>
      <c r="P28" s="121">
        <f t="shared" si="12"/>
        <v>5921</v>
      </c>
      <c r="Q28" s="121">
        <f t="shared" si="12"/>
        <v>3023289</v>
      </c>
      <c r="R28" s="121">
        <f t="shared" si="12"/>
        <v>1607478</v>
      </c>
      <c r="S28" s="121">
        <f t="shared" ca="1" si="12"/>
        <v>867577.59048379795</v>
      </c>
      <c r="T28" s="121" t="e">
        <f t="shared" ca="1" si="12"/>
        <v>#NAME?</v>
      </c>
      <c r="U28" s="121" t="e">
        <f t="shared" ca="1" si="12"/>
        <v>#NAME?</v>
      </c>
      <c r="V28" s="121" t="e">
        <f t="shared" ca="1" si="12"/>
        <v>#NAME?</v>
      </c>
      <c r="W28" s="121" t="e">
        <f t="shared" ca="1" si="12"/>
        <v>#NAME?</v>
      </c>
      <c r="X28" s="121" t="e">
        <f t="shared" ca="1" si="12"/>
        <v>#NAME?</v>
      </c>
      <c r="Y28" s="121" t="e">
        <f t="shared" ca="1" si="12"/>
        <v>#NAME?</v>
      </c>
      <c r="Z28" s="121" t="e">
        <f t="shared" ca="1" si="12"/>
        <v>#NAME?</v>
      </c>
      <c r="AA28" s="121" t="e">
        <f t="shared" ca="1" si="12"/>
        <v>#NAME?</v>
      </c>
      <c r="AB28" s="121" t="e">
        <f t="shared" ca="1" si="12"/>
        <v>#NAME?</v>
      </c>
      <c r="AC28" s="58"/>
    </row>
    <row r="29" spans="1:29" s="50" customFormat="1">
      <c r="A29" s="106"/>
      <c r="B29" s="2"/>
      <c r="C29" s="110" t="s">
        <v>1129</v>
      </c>
      <c r="D29" s="127"/>
      <c r="E29" s="127"/>
      <c r="F29" s="127"/>
      <c r="G29" s="127"/>
      <c r="H29" s="127"/>
      <c r="I29" s="127"/>
      <c r="J29" s="127"/>
      <c r="K29" s="127"/>
      <c r="L29" s="127"/>
      <c r="M29" s="127">
        <f>'Financial Statements'!C19</f>
        <v>2634</v>
      </c>
      <c r="N29" s="111">
        <f>'Financial Statements'!D19</f>
        <v>29160</v>
      </c>
      <c r="O29" s="111">
        <f>'Financial Statements'!E19</f>
        <v>88901</v>
      </c>
      <c r="P29" s="111">
        <f>'Financial Statements'!F19</f>
        <v>82766</v>
      </c>
      <c r="Q29" s="111">
        <f>'Financial Statements'!G19</f>
        <v>80645</v>
      </c>
      <c r="R29" s="111">
        <f>'Financial Statements'!H19</f>
        <v>85413</v>
      </c>
      <c r="S29" s="111">
        <f>Buildup!Q37</f>
        <v>117178.47720000001</v>
      </c>
      <c r="T29" s="111">
        <f>Buildup!R37</f>
        <v>111553.91029440002</v>
      </c>
      <c r="U29" s="111">
        <f>Buildup!S37</f>
        <v>113784.98850028802</v>
      </c>
      <c r="V29" s="111">
        <f>Buildup!T37</f>
        <v>116060.68827029379</v>
      </c>
      <c r="W29" s="111">
        <f>Buildup!U37</f>
        <v>118381.90203569965</v>
      </c>
      <c r="X29" s="111">
        <f>Buildup!V37</f>
        <v>120749.54007641364</v>
      </c>
      <c r="Y29" s="111">
        <f>Buildup!W37</f>
        <v>123164.53087794191</v>
      </c>
      <c r="Z29" s="111">
        <f>Buildup!X37</f>
        <v>125627.82149550077</v>
      </c>
      <c r="AA29" s="111">
        <f>Buildup!Y37</f>
        <v>128140.37792541078</v>
      </c>
      <c r="AB29" s="111">
        <f>Buildup!Z37</f>
        <v>130703.18548391899</v>
      </c>
      <c r="AC29" s="58"/>
    </row>
    <row r="30" spans="1:29" s="50" customFormat="1">
      <c r="A30" s="106"/>
      <c r="B30" s="2"/>
      <c r="C30" s="110" t="s">
        <v>1051</v>
      </c>
      <c r="D30" s="127"/>
      <c r="E30" s="127"/>
      <c r="F30" s="127"/>
      <c r="G30" s="127"/>
      <c r="H30" s="127"/>
      <c r="I30" s="127"/>
      <c r="J30" s="127"/>
      <c r="K30" s="127"/>
      <c r="L30" s="127"/>
      <c r="M30" s="127">
        <f>'Financial Statements'!C21</f>
        <v>86882</v>
      </c>
      <c r="N30" s="111">
        <f>'Financial Statements'!D21</f>
        <v>-597173</v>
      </c>
      <c r="O30" s="111">
        <f>'Financial Statements'!E21</f>
        <v>-439633</v>
      </c>
      <c r="P30" s="111">
        <f>'Financial Statements'!F21</f>
        <v>-171716</v>
      </c>
      <c r="Q30" s="111">
        <f>'Financial Statements'!G21</f>
        <v>363578</v>
      </c>
      <c r="R30" s="111">
        <f>'Financial Statements'!H21</f>
        <v>261738</v>
      </c>
      <c r="S30" s="111">
        <f ca="1">Buildup!Q40*Valuation!S28</f>
        <v>182191.29400159756</v>
      </c>
      <c r="T30" s="111" t="e">
        <f ca="1">Buildup!R40*Valuation!T28</f>
        <v>#NAME?</v>
      </c>
      <c r="U30" s="111" t="e">
        <f ca="1">Buildup!S40*Valuation!U28</f>
        <v>#NAME?</v>
      </c>
      <c r="V30" s="111" t="e">
        <f ca="1">Buildup!T40*Valuation!V28</f>
        <v>#NAME?</v>
      </c>
      <c r="W30" s="111" t="e">
        <f ca="1">Buildup!U40*Valuation!W28</f>
        <v>#NAME?</v>
      </c>
      <c r="X30" s="111" t="e">
        <f ca="1">Buildup!V40*Valuation!X28</f>
        <v>#NAME?</v>
      </c>
      <c r="Y30" s="111" t="e">
        <f ca="1">Buildup!W40*Valuation!Y28</f>
        <v>#NAME?</v>
      </c>
      <c r="Z30" s="111" t="e">
        <f ca="1">Buildup!X40*Valuation!Z28</f>
        <v>#NAME?</v>
      </c>
      <c r="AA30" s="111" t="e">
        <f ca="1">Buildup!Y40*Valuation!AA28</f>
        <v>#NAME?</v>
      </c>
      <c r="AB30" s="111" t="e">
        <f ca="1">Buildup!Z40*Valuation!AB28</f>
        <v>#NAME?</v>
      </c>
      <c r="AC30" s="58"/>
    </row>
    <row r="31" spans="1:29" s="50" customFormat="1">
      <c r="A31" s="106"/>
      <c r="B31" s="2"/>
      <c r="C31" s="136" t="s">
        <v>1053</v>
      </c>
      <c r="D31" s="137">
        <f>+IF((D28-D29)=0,0,D30/(D28-D29))</f>
        <v>0</v>
      </c>
      <c r="E31" s="137">
        <f t="shared" ref="E31:AB31" si="13">+IF((E28-E29)=0,0,E30/(E28-E29))</f>
        <v>0</v>
      </c>
      <c r="F31" s="137">
        <f t="shared" si="13"/>
        <v>0</v>
      </c>
      <c r="G31" s="137">
        <f t="shared" si="13"/>
        <v>0</v>
      </c>
      <c r="H31" s="137">
        <f t="shared" si="13"/>
        <v>0</v>
      </c>
      <c r="I31" s="137">
        <f t="shared" si="13"/>
        <v>0</v>
      </c>
      <c r="J31" s="137">
        <f t="shared" si="13"/>
        <v>0</v>
      </c>
      <c r="K31" s="137">
        <f t="shared" si="13"/>
        <v>0</v>
      </c>
      <c r="L31" s="137">
        <f t="shared" si="13"/>
        <v>0</v>
      </c>
      <c r="M31" s="137">
        <f t="shared" si="13"/>
        <v>0.21535563349734158</v>
      </c>
      <c r="N31" s="137">
        <f t="shared" si="13"/>
        <v>-0.19728558180899763</v>
      </c>
      <c r="O31" s="137">
        <f t="shared" si="13"/>
        <v>0.14345610592243901</v>
      </c>
      <c r="P31" s="137">
        <f t="shared" si="13"/>
        <v>2.2345760947361573</v>
      </c>
      <c r="Q31" s="137">
        <f t="shared" si="13"/>
        <v>0.12355487106153513</v>
      </c>
      <c r="R31" s="137">
        <f t="shared" si="13"/>
        <v>0.17196243261621547</v>
      </c>
      <c r="S31" s="138">
        <f t="shared" ca="1" si="13"/>
        <v>0.24279252304059365</v>
      </c>
      <c r="T31" s="138" t="e">
        <f t="shared" ca="1" si="13"/>
        <v>#NAME?</v>
      </c>
      <c r="U31" s="138" t="e">
        <f t="shared" ca="1" si="13"/>
        <v>#NAME?</v>
      </c>
      <c r="V31" s="138" t="e">
        <f t="shared" ca="1" si="13"/>
        <v>#NAME?</v>
      </c>
      <c r="W31" s="138" t="e">
        <f t="shared" ca="1" si="13"/>
        <v>#NAME?</v>
      </c>
      <c r="X31" s="138" t="e">
        <f t="shared" ca="1" si="13"/>
        <v>#NAME?</v>
      </c>
      <c r="Y31" s="138" t="e">
        <f t="shared" ca="1" si="13"/>
        <v>#NAME?</v>
      </c>
      <c r="Z31" s="138" t="e">
        <f t="shared" ca="1" si="13"/>
        <v>#NAME?</v>
      </c>
      <c r="AA31" s="138" t="e">
        <f t="shared" ca="1" si="13"/>
        <v>#NAME?</v>
      </c>
      <c r="AB31" s="138" t="e">
        <f t="shared" ca="1" si="13"/>
        <v>#NAME?</v>
      </c>
      <c r="AC31" s="58"/>
    </row>
    <row r="32" spans="1:29" s="50" customFormat="1">
      <c r="A32" s="106"/>
      <c r="B32" s="2"/>
      <c r="C32" s="110" t="s">
        <v>1028</v>
      </c>
      <c r="D32" s="127"/>
      <c r="E32" s="127"/>
      <c r="F32" s="127"/>
      <c r="G32" s="127"/>
      <c r="H32" s="127"/>
      <c r="I32" s="127"/>
      <c r="J32" s="127"/>
      <c r="K32" s="127"/>
      <c r="L32" s="127"/>
      <c r="M32" s="127"/>
      <c r="N32" s="111"/>
      <c r="O32" s="111"/>
      <c r="P32" s="111"/>
      <c r="Q32" s="111"/>
      <c r="R32" s="111"/>
      <c r="S32" s="111"/>
      <c r="T32" s="111"/>
      <c r="U32" s="111"/>
      <c r="V32" s="111"/>
      <c r="W32" s="111"/>
      <c r="X32" s="111"/>
      <c r="Y32" s="111"/>
      <c r="Z32" s="111"/>
      <c r="AA32" s="111"/>
      <c r="AB32" s="111"/>
      <c r="AC32" s="58"/>
    </row>
    <row r="33" spans="1:29" s="50" customFormat="1">
      <c r="A33" s="106"/>
      <c r="B33" s="2"/>
      <c r="C33" s="110" t="s">
        <v>1050</v>
      </c>
      <c r="D33" s="127"/>
      <c r="E33" s="127"/>
      <c r="F33" s="127"/>
      <c r="G33" s="127"/>
      <c r="H33" s="127"/>
      <c r="I33" s="127"/>
      <c r="J33" s="127"/>
      <c r="K33" s="127"/>
      <c r="L33" s="127"/>
      <c r="M33" s="127"/>
      <c r="N33" s="111"/>
      <c r="O33" s="111"/>
      <c r="P33" s="111"/>
      <c r="Q33" s="111"/>
      <c r="R33" s="111"/>
      <c r="S33" s="111"/>
      <c r="T33" s="111"/>
      <c r="U33" s="111"/>
      <c r="V33" s="111"/>
      <c r="W33" s="111"/>
      <c r="X33" s="111"/>
      <c r="Y33" s="111"/>
      <c r="Z33" s="111"/>
      <c r="AA33" s="111"/>
      <c r="AB33" s="111"/>
      <c r="AC33" s="58"/>
    </row>
    <row r="34" spans="1:29" s="50" customFormat="1" ht="30.25" customHeight="1">
      <c r="A34" s="106"/>
      <c r="B34" s="2"/>
      <c r="C34" s="120" t="s">
        <v>1024</v>
      </c>
      <c r="D34" s="121">
        <f t="shared" ref="D34:AB34" si="14">+D28-D29-D30+D32+D33</f>
        <v>0</v>
      </c>
      <c r="E34" s="121">
        <f t="shared" si="14"/>
        <v>0</v>
      </c>
      <c r="F34" s="121">
        <f t="shared" si="14"/>
        <v>0</v>
      </c>
      <c r="G34" s="121">
        <f t="shared" si="14"/>
        <v>0</v>
      </c>
      <c r="H34" s="121">
        <f t="shared" si="14"/>
        <v>0</v>
      </c>
      <c r="I34" s="121">
        <f t="shared" si="14"/>
        <v>0</v>
      </c>
      <c r="J34" s="121">
        <f t="shared" si="14"/>
        <v>0</v>
      </c>
      <c r="K34" s="121">
        <f t="shared" si="14"/>
        <v>0</v>
      </c>
      <c r="L34" s="121">
        <f t="shared" si="14"/>
        <v>0</v>
      </c>
      <c r="M34" s="121">
        <f t="shared" si="14"/>
        <v>316553</v>
      </c>
      <c r="N34" s="121">
        <f t="shared" si="14"/>
        <v>3624120</v>
      </c>
      <c r="O34" s="121">
        <f t="shared" si="14"/>
        <v>-2624949</v>
      </c>
      <c r="P34" s="121">
        <f t="shared" si="14"/>
        <v>94871</v>
      </c>
      <c r="Q34" s="121">
        <f t="shared" si="14"/>
        <v>2579066</v>
      </c>
      <c r="R34" s="122">
        <f t="shared" si="14"/>
        <v>1260327</v>
      </c>
      <c r="S34" s="122">
        <f t="shared" ca="1" si="14"/>
        <v>568207.81928220042</v>
      </c>
      <c r="T34" s="121" t="e">
        <f t="shared" ca="1" si="14"/>
        <v>#NAME?</v>
      </c>
      <c r="U34" s="121" t="e">
        <f t="shared" ca="1" si="14"/>
        <v>#NAME?</v>
      </c>
      <c r="V34" s="121" t="e">
        <f t="shared" ca="1" si="14"/>
        <v>#NAME?</v>
      </c>
      <c r="W34" s="121" t="e">
        <f t="shared" ca="1" si="14"/>
        <v>#NAME?</v>
      </c>
      <c r="X34" s="121" t="e">
        <f t="shared" ca="1" si="14"/>
        <v>#NAME?</v>
      </c>
      <c r="Y34" s="121" t="e">
        <f t="shared" ca="1" si="14"/>
        <v>#NAME?</v>
      </c>
      <c r="Z34" s="121" t="e">
        <f t="shared" ca="1" si="14"/>
        <v>#NAME?</v>
      </c>
      <c r="AA34" s="121" t="e">
        <f t="shared" ca="1" si="14"/>
        <v>#NAME?</v>
      </c>
      <c r="AB34" s="121" t="e">
        <f t="shared" ca="1" si="14"/>
        <v>#NAME?</v>
      </c>
      <c r="AC34" s="58"/>
    </row>
    <row r="35" spans="1:29" s="50" customFormat="1">
      <c r="A35" s="106"/>
      <c r="B35" s="2"/>
      <c r="C35" s="110" t="s">
        <v>1029</v>
      </c>
      <c r="D35" s="127"/>
      <c r="E35" s="127"/>
      <c r="F35" s="127"/>
      <c r="G35" s="127"/>
      <c r="H35" s="127"/>
      <c r="I35" s="127"/>
      <c r="J35" s="127"/>
      <c r="K35" s="127"/>
      <c r="L35" s="127"/>
      <c r="M35" s="127"/>
      <c r="N35" s="111"/>
      <c r="O35" s="111"/>
      <c r="P35" s="111"/>
      <c r="Q35" s="111"/>
      <c r="R35" s="111"/>
      <c r="S35" s="111"/>
      <c r="T35" s="111"/>
      <c r="U35" s="111"/>
      <c r="V35" s="111"/>
      <c r="W35" s="111"/>
      <c r="X35" s="111"/>
      <c r="Y35" s="111"/>
      <c r="Z35" s="111"/>
      <c r="AA35" s="111"/>
      <c r="AB35" s="111"/>
      <c r="AC35" s="58"/>
    </row>
    <row r="36" spans="1:29" s="50" customFormat="1" ht="30.25" customHeight="1">
      <c r="A36" s="106"/>
      <c r="B36" s="2"/>
      <c r="C36" s="120" t="s">
        <v>1030</v>
      </c>
      <c r="D36" s="121">
        <f t="shared" ref="D36:AB36" si="15">D34+D35</f>
        <v>0</v>
      </c>
      <c r="E36" s="121">
        <f t="shared" si="15"/>
        <v>0</v>
      </c>
      <c r="F36" s="121">
        <f t="shared" si="15"/>
        <v>0</v>
      </c>
      <c r="G36" s="121">
        <f t="shared" si="15"/>
        <v>0</v>
      </c>
      <c r="H36" s="121">
        <f t="shared" si="15"/>
        <v>0</v>
      </c>
      <c r="I36" s="121">
        <f t="shared" si="15"/>
        <v>0</v>
      </c>
      <c r="J36" s="121">
        <f t="shared" si="15"/>
        <v>0</v>
      </c>
      <c r="K36" s="121">
        <f t="shared" si="15"/>
        <v>0</v>
      </c>
      <c r="L36" s="121">
        <f t="shared" si="15"/>
        <v>0</v>
      </c>
      <c r="M36" s="121">
        <f t="shared" si="15"/>
        <v>316553</v>
      </c>
      <c r="N36" s="121">
        <f t="shared" si="15"/>
        <v>3624120</v>
      </c>
      <c r="O36" s="121">
        <f t="shared" si="15"/>
        <v>-2624949</v>
      </c>
      <c r="P36" s="121">
        <f t="shared" si="15"/>
        <v>94871</v>
      </c>
      <c r="Q36" s="121">
        <f t="shared" si="15"/>
        <v>2579066</v>
      </c>
      <c r="R36" s="122">
        <f t="shared" si="15"/>
        <v>1260327</v>
      </c>
      <c r="S36" s="122">
        <f t="shared" ca="1" si="15"/>
        <v>568207.81928220042</v>
      </c>
      <c r="T36" s="121" t="e">
        <f t="shared" ca="1" si="15"/>
        <v>#NAME?</v>
      </c>
      <c r="U36" s="121" t="e">
        <f t="shared" ca="1" si="15"/>
        <v>#NAME?</v>
      </c>
      <c r="V36" s="121" t="e">
        <f t="shared" ca="1" si="15"/>
        <v>#NAME?</v>
      </c>
      <c r="W36" s="121" t="e">
        <f t="shared" ca="1" si="15"/>
        <v>#NAME?</v>
      </c>
      <c r="X36" s="121" t="e">
        <f t="shared" ca="1" si="15"/>
        <v>#NAME?</v>
      </c>
      <c r="Y36" s="121" t="e">
        <f t="shared" ca="1" si="15"/>
        <v>#NAME?</v>
      </c>
      <c r="Z36" s="121" t="e">
        <f t="shared" ca="1" si="15"/>
        <v>#NAME?</v>
      </c>
      <c r="AA36" s="121" t="e">
        <f t="shared" ca="1" si="15"/>
        <v>#NAME?</v>
      </c>
      <c r="AB36" s="121" t="e">
        <f t="shared" ca="1" si="15"/>
        <v>#NAME?</v>
      </c>
      <c r="AC36" s="58"/>
    </row>
    <row r="37" spans="1:29" s="50" customFormat="1" outlineLevel="1">
      <c r="A37" s="106"/>
      <c r="B37" s="2"/>
      <c r="C37" s="139" t="s">
        <v>18</v>
      </c>
      <c r="D37" s="127"/>
      <c r="E37" s="127"/>
      <c r="F37" s="127"/>
      <c r="G37" s="127"/>
      <c r="H37" s="127"/>
      <c r="I37" s="127"/>
      <c r="J37" s="127"/>
      <c r="K37" s="127"/>
      <c r="L37" s="127"/>
      <c r="M37" s="127"/>
      <c r="N37" s="140"/>
      <c r="O37" s="140"/>
      <c r="P37" s="140"/>
      <c r="Q37" s="140"/>
      <c r="R37" s="140"/>
      <c r="S37" s="140">
        <v>-2000000</v>
      </c>
      <c r="T37" s="140">
        <f>-1300000</f>
        <v>-1300000</v>
      </c>
      <c r="U37" s="140"/>
      <c r="V37" s="140"/>
      <c r="W37" s="140"/>
      <c r="X37" s="140"/>
      <c r="Y37" s="140"/>
      <c r="Z37" s="140"/>
      <c r="AA37" s="140"/>
      <c r="AB37" s="140"/>
      <c r="AC37" s="58"/>
    </row>
    <row r="38" spans="1:29" s="50" customFormat="1" outlineLevel="1">
      <c r="A38" s="106"/>
      <c r="B38" s="2"/>
      <c r="C38" s="139" t="s">
        <v>19</v>
      </c>
      <c r="D38" s="127"/>
      <c r="E38" s="127"/>
      <c r="F38" s="127"/>
      <c r="G38" s="127"/>
      <c r="H38" s="127"/>
      <c r="I38" s="127"/>
      <c r="J38" s="127"/>
      <c r="K38" s="127"/>
      <c r="L38" s="127"/>
      <c r="M38" s="127"/>
      <c r="N38" s="140"/>
      <c r="O38" s="140"/>
      <c r="P38" s="140"/>
      <c r="Q38" s="140"/>
      <c r="R38" s="140"/>
      <c r="S38" s="140" t="e">
        <f>V125</f>
        <v>#NAME?</v>
      </c>
      <c r="T38" s="140" t="e">
        <f ca="1">C7*(1+WACC)</f>
        <v>#NAME?</v>
      </c>
      <c r="U38" s="140"/>
      <c r="V38" s="140"/>
      <c r="W38" s="140"/>
      <c r="X38" s="140"/>
      <c r="Y38" s="140"/>
      <c r="Z38" s="140"/>
      <c r="AA38" s="140"/>
      <c r="AB38" s="140"/>
      <c r="AC38" s="58"/>
    </row>
    <row r="39" spans="1:29" s="50" customFormat="1">
      <c r="A39" s="106"/>
      <c r="B39" s="2"/>
      <c r="C39" s="110" t="s">
        <v>1049</v>
      </c>
      <c r="D39" s="127"/>
      <c r="E39" s="127"/>
      <c r="F39" s="127"/>
      <c r="G39" s="127"/>
      <c r="H39" s="127"/>
      <c r="I39" s="127"/>
      <c r="J39" s="127"/>
      <c r="K39" s="127"/>
      <c r="L39" s="127"/>
      <c r="M39" s="127">
        <f>'Financial Statements'!C31</f>
        <v>91209</v>
      </c>
      <c r="N39" s="111">
        <f>'Financial Statements'!D31</f>
        <v>219965</v>
      </c>
      <c r="O39" s="111">
        <f>'Financial Statements'!E31</f>
        <v>222338</v>
      </c>
      <c r="P39" s="111">
        <f>'Financial Statements'!F31</f>
        <v>254391</v>
      </c>
      <c r="Q39" s="111">
        <f>'Financial Statements'!G31</f>
        <v>273377</v>
      </c>
      <c r="R39" s="111">
        <f>'Financial Statements'!H31</f>
        <v>287209</v>
      </c>
      <c r="S39" s="111" t="e">
        <f>R40+S37/S38</f>
        <v>#NAME?</v>
      </c>
      <c r="T39" s="111" t="e">
        <f ca="1">S40+T37/T38</f>
        <v>#NAME?</v>
      </c>
      <c r="U39" s="111" t="e">
        <f t="shared" ref="U39:AB39" ca="1" si="16">T39</f>
        <v>#NAME?</v>
      </c>
      <c r="V39" s="111" t="e">
        <f t="shared" ca="1" si="16"/>
        <v>#NAME?</v>
      </c>
      <c r="W39" s="111" t="e">
        <f t="shared" ca="1" si="16"/>
        <v>#NAME?</v>
      </c>
      <c r="X39" s="111" t="e">
        <f t="shared" ca="1" si="16"/>
        <v>#NAME?</v>
      </c>
      <c r="Y39" s="111" t="e">
        <f t="shared" ca="1" si="16"/>
        <v>#NAME?</v>
      </c>
      <c r="Z39" s="111" t="e">
        <f t="shared" ca="1" si="16"/>
        <v>#NAME?</v>
      </c>
      <c r="AA39" s="111" t="e">
        <f t="shared" ca="1" si="16"/>
        <v>#NAME?</v>
      </c>
      <c r="AB39" s="111" t="e">
        <f t="shared" ca="1" si="16"/>
        <v>#NAME?</v>
      </c>
      <c r="AC39" s="58"/>
    </row>
    <row r="40" spans="1:29" s="50" customFormat="1" ht="22.5" customHeight="1">
      <c r="A40" s="106"/>
      <c r="B40" s="2"/>
      <c r="C40" s="141" t="s">
        <v>773</v>
      </c>
      <c r="D40" s="98"/>
      <c r="E40" s="98"/>
      <c r="F40" s="98"/>
      <c r="G40" s="98"/>
      <c r="H40" s="98"/>
      <c r="I40" s="98"/>
      <c r="J40" s="98"/>
      <c r="K40" s="98"/>
      <c r="L40" s="98"/>
      <c r="M40" s="98"/>
      <c r="N40" s="98"/>
      <c r="O40" s="98"/>
      <c r="P40" s="98"/>
      <c r="Q40" s="98"/>
      <c r="R40" s="142">
        <v>268000</v>
      </c>
      <c r="S40" s="143">
        <f>+IFERROR(R40+(S37/S38),R40)</f>
        <v>268000</v>
      </c>
      <c r="T40" s="143">
        <f t="shared" ref="T40:AB40" ca="1" si="17">+IFERROR(S40+(T37/T38),S40)</f>
        <v>268000</v>
      </c>
      <c r="U40" s="143">
        <f t="shared" ca="1" si="17"/>
        <v>268000</v>
      </c>
      <c r="V40" s="143">
        <f t="shared" ca="1" si="17"/>
        <v>268000</v>
      </c>
      <c r="W40" s="143">
        <f t="shared" ca="1" si="17"/>
        <v>268000</v>
      </c>
      <c r="X40" s="144">
        <f t="shared" ca="1" si="17"/>
        <v>268000</v>
      </c>
      <c r="Y40" s="144">
        <f t="shared" ca="1" si="17"/>
        <v>268000</v>
      </c>
      <c r="Z40" s="144">
        <f t="shared" ca="1" si="17"/>
        <v>268000</v>
      </c>
      <c r="AA40" s="144">
        <f t="shared" ca="1" si="17"/>
        <v>268000</v>
      </c>
      <c r="AB40" s="144">
        <f t="shared" ca="1" si="17"/>
        <v>268000</v>
      </c>
      <c r="AC40" s="58"/>
    </row>
    <row r="41" spans="1:29" s="50" customFormat="1" ht="30.25" customHeight="1">
      <c r="A41" s="106"/>
      <c r="B41" s="2"/>
      <c r="C41" s="110" t="s">
        <v>1048</v>
      </c>
      <c r="D41" s="145">
        <f t="shared" ref="D41:Q41" si="18">+IF(D39=0,0,D34/D39)</f>
        <v>0</v>
      </c>
      <c r="E41" s="145">
        <f t="shared" si="18"/>
        <v>0</v>
      </c>
      <c r="F41" s="145">
        <f t="shared" si="18"/>
        <v>0</v>
      </c>
      <c r="G41" s="145">
        <f t="shared" si="18"/>
        <v>0</v>
      </c>
      <c r="H41" s="145">
        <f t="shared" si="18"/>
        <v>0</v>
      </c>
      <c r="I41" s="145">
        <f t="shared" si="18"/>
        <v>0</v>
      </c>
      <c r="J41" s="145">
        <f t="shared" si="18"/>
        <v>0</v>
      </c>
      <c r="K41" s="145">
        <f t="shared" si="18"/>
        <v>0</v>
      </c>
      <c r="L41" s="145">
        <f t="shared" si="18"/>
        <v>0</v>
      </c>
      <c r="M41" s="145">
        <f t="shared" si="18"/>
        <v>3.4706333804778038</v>
      </c>
      <c r="N41" s="145">
        <f>+IF(N39=0,0,N34/N39)</f>
        <v>16.475893892210124</v>
      </c>
      <c r="O41" s="145">
        <f t="shared" si="18"/>
        <v>-11.806119511734387</v>
      </c>
      <c r="P41" s="145">
        <f t="shared" si="18"/>
        <v>0.37293379089669054</v>
      </c>
      <c r="Q41" s="145">
        <f t="shared" si="18"/>
        <v>9.4341001620472831</v>
      </c>
      <c r="R41" s="145">
        <f>+IF(R39=0,0,R34/R39)</f>
        <v>4.3881876960680204</v>
      </c>
      <c r="S41" s="146" t="e">
        <f t="shared" ref="S41:AB41" si="19">+IF(S39=0,0,S34/S39)</f>
        <v>#NAME?</v>
      </c>
      <c r="T41" s="146" t="e">
        <f t="shared" ca="1" si="19"/>
        <v>#NAME?</v>
      </c>
      <c r="U41" s="146" t="e">
        <f t="shared" ca="1" si="19"/>
        <v>#NAME?</v>
      </c>
      <c r="V41" s="146" t="e">
        <f t="shared" ca="1" si="19"/>
        <v>#NAME?</v>
      </c>
      <c r="W41" s="146" t="e">
        <f t="shared" ca="1" si="19"/>
        <v>#NAME?</v>
      </c>
      <c r="X41" s="146" t="e">
        <f t="shared" ca="1" si="19"/>
        <v>#NAME?</v>
      </c>
      <c r="Y41" s="146" t="e">
        <f t="shared" ca="1" si="19"/>
        <v>#NAME?</v>
      </c>
      <c r="Z41" s="146" t="e">
        <f t="shared" ca="1" si="19"/>
        <v>#NAME?</v>
      </c>
      <c r="AA41" s="146" t="e">
        <f t="shared" ca="1" si="19"/>
        <v>#NAME?</v>
      </c>
      <c r="AB41" s="146" t="e">
        <f t="shared" ca="1" si="19"/>
        <v>#NAME?</v>
      </c>
      <c r="AC41" s="58"/>
    </row>
    <row r="42" spans="1:29" s="50" customFormat="1">
      <c r="A42" s="106"/>
      <c r="B42" s="2"/>
      <c r="C42" s="110" t="s">
        <v>1047</v>
      </c>
      <c r="D42" s="145">
        <f t="shared" ref="D42:Q42" si="20">IF(D39=0,0,D36/D39)</f>
        <v>0</v>
      </c>
      <c r="E42" s="145">
        <f t="shared" si="20"/>
        <v>0</v>
      </c>
      <c r="F42" s="145">
        <f t="shared" si="20"/>
        <v>0</v>
      </c>
      <c r="G42" s="145">
        <f t="shared" si="20"/>
        <v>0</v>
      </c>
      <c r="H42" s="145">
        <f t="shared" si="20"/>
        <v>0</v>
      </c>
      <c r="I42" s="145">
        <f t="shared" si="20"/>
        <v>0</v>
      </c>
      <c r="J42" s="145">
        <f t="shared" si="20"/>
        <v>0</v>
      </c>
      <c r="K42" s="145">
        <f t="shared" si="20"/>
        <v>0</v>
      </c>
      <c r="L42" s="145">
        <f t="shared" si="20"/>
        <v>0</v>
      </c>
      <c r="M42" s="145">
        <f t="shared" si="20"/>
        <v>3.4706333804778038</v>
      </c>
      <c r="N42" s="145">
        <f>IF(N39=0,0,N36/N39)</f>
        <v>16.475893892210124</v>
      </c>
      <c r="O42" s="145">
        <f t="shared" si="20"/>
        <v>-11.806119511734387</v>
      </c>
      <c r="P42" s="145">
        <f t="shared" si="20"/>
        <v>0.37293379089669054</v>
      </c>
      <c r="Q42" s="145">
        <f t="shared" si="20"/>
        <v>9.4341001620472831</v>
      </c>
      <c r="R42" s="145">
        <f>IF(R39=0,0,R36/R39)</f>
        <v>4.3881876960680204</v>
      </c>
      <c r="S42" s="146" t="e">
        <f t="shared" ref="S42:AB42" si="21">IF(S39=0,0,S36/S39)</f>
        <v>#NAME?</v>
      </c>
      <c r="T42" s="146" t="e">
        <f t="shared" ca="1" si="21"/>
        <v>#NAME?</v>
      </c>
      <c r="U42" s="146" t="e">
        <f t="shared" ca="1" si="21"/>
        <v>#NAME?</v>
      </c>
      <c r="V42" s="146" t="e">
        <f t="shared" ca="1" si="21"/>
        <v>#NAME?</v>
      </c>
      <c r="W42" s="146" t="e">
        <f t="shared" ca="1" si="21"/>
        <v>#NAME?</v>
      </c>
      <c r="X42" s="146" t="e">
        <f t="shared" ca="1" si="21"/>
        <v>#NAME?</v>
      </c>
      <c r="Y42" s="146" t="e">
        <f t="shared" ca="1" si="21"/>
        <v>#NAME?</v>
      </c>
      <c r="Z42" s="146" t="e">
        <f t="shared" ca="1" si="21"/>
        <v>#NAME?</v>
      </c>
      <c r="AA42" s="146" t="e">
        <f t="shared" ca="1" si="21"/>
        <v>#NAME?</v>
      </c>
      <c r="AB42" s="146" t="e">
        <f t="shared" ca="1" si="21"/>
        <v>#NAME?</v>
      </c>
      <c r="AC42" s="58"/>
    </row>
    <row r="43" spans="1:29" s="50" customFormat="1" outlineLevel="1">
      <c r="A43" s="106"/>
      <c r="B43" s="2"/>
      <c r="C43" s="110" t="s">
        <v>1072</v>
      </c>
      <c r="D43" s="127"/>
      <c r="E43" s="127"/>
      <c r="F43" s="127"/>
      <c r="G43" s="127"/>
      <c r="H43" s="127"/>
      <c r="I43" s="127"/>
      <c r="J43" s="127"/>
      <c r="K43" s="127"/>
      <c r="L43" s="127"/>
      <c r="M43" s="127"/>
      <c r="N43" s="140">
        <f>N39</f>
        <v>219965</v>
      </c>
      <c r="O43" s="140">
        <f>O39</f>
        <v>222338</v>
      </c>
      <c r="P43" s="140">
        <f>P39</f>
        <v>254391</v>
      </c>
      <c r="Q43" s="140">
        <f>Q39</f>
        <v>273377</v>
      </c>
      <c r="R43" s="140">
        <f>R39</f>
        <v>287209</v>
      </c>
      <c r="S43" s="140" t="e">
        <f t="shared" ref="S43:AB43" si="22">S39</f>
        <v>#NAME?</v>
      </c>
      <c r="T43" s="140" t="e">
        <f t="shared" ca="1" si="22"/>
        <v>#NAME?</v>
      </c>
      <c r="U43" s="140" t="e">
        <f t="shared" ca="1" si="22"/>
        <v>#NAME?</v>
      </c>
      <c r="V43" s="140" t="e">
        <f t="shared" ca="1" si="22"/>
        <v>#NAME?</v>
      </c>
      <c r="W43" s="140" t="e">
        <f t="shared" ca="1" si="22"/>
        <v>#NAME?</v>
      </c>
      <c r="X43" s="140" t="e">
        <f t="shared" ca="1" si="22"/>
        <v>#NAME?</v>
      </c>
      <c r="Y43" s="140" t="e">
        <f t="shared" ca="1" si="22"/>
        <v>#NAME?</v>
      </c>
      <c r="Z43" s="140" t="e">
        <f t="shared" ca="1" si="22"/>
        <v>#NAME?</v>
      </c>
      <c r="AA43" s="140" t="e">
        <f t="shared" ca="1" si="22"/>
        <v>#NAME?</v>
      </c>
      <c r="AB43" s="140" t="e">
        <f t="shared" ca="1" si="22"/>
        <v>#NAME?</v>
      </c>
      <c r="AC43" s="58"/>
    </row>
    <row r="44" spans="1:29" s="50" customFormat="1" outlineLevel="1">
      <c r="A44" s="106"/>
      <c r="B44" s="2"/>
      <c r="C44" s="141" t="s">
        <v>1074</v>
      </c>
      <c r="D44" s="146">
        <f>IF(D43=0,0,D34/D43)</f>
        <v>0</v>
      </c>
      <c r="E44" s="146">
        <f t="shared" ref="E44:AB44" si="23">IF(E43=0,0,E34/E43)</f>
        <v>0</v>
      </c>
      <c r="F44" s="146">
        <f t="shared" si="23"/>
        <v>0</v>
      </c>
      <c r="G44" s="146">
        <f t="shared" si="23"/>
        <v>0</v>
      </c>
      <c r="H44" s="146">
        <f t="shared" si="23"/>
        <v>0</v>
      </c>
      <c r="I44" s="146">
        <f t="shared" si="23"/>
        <v>0</v>
      </c>
      <c r="J44" s="146">
        <f t="shared" si="23"/>
        <v>0</v>
      </c>
      <c r="K44" s="146">
        <f t="shared" si="23"/>
        <v>0</v>
      </c>
      <c r="L44" s="146">
        <f t="shared" si="23"/>
        <v>0</v>
      </c>
      <c r="M44" s="146">
        <f t="shared" si="23"/>
        <v>0</v>
      </c>
      <c r="N44" s="146">
        <f t="shared" si="23"/>
        <v>16.475893892210124</v>
      </c>
      <c r="O44" s="146">
        <f t="shared" si="23"/>
        <v>-11.806119511734387</v>
      </c>
      <c r="P44" s="146">
        <f t="shared" si="23"/>
        <v>0.37293379089669054</v>
      </c>
      <c r="Q44" s="146">
        <f t="shared" si="23"/>
        <v>9.4341001620472831</v>
      </c>
      <c r="R44" s="146">
        <f t="shared" si="23"/>
        <v>4.3881876960680204</v>
      </c>
      <c r="S44" s="146" t="e">
        <f t="shared" si="23"/>
        <v>#NAME?</v>
      </c>
      <c r="T44" s="146" t="e">
        <f t="shared" ca="1" si="23"/>
        <v>#NAME?</v>
      </c>
      <c r="U44" s="146" t="e">
        <f t="shared" ca="1" si="23"/>
        <v>#NAME?</v>
      </c>
      <c r="V44" s="146" t="e">
        <f t="shared" ca="1" si="23"/>
        <v>#NAME?</v>
      </c>
      <c r="W44" s="146" t="e">
        <f t="shared" ca="1" si="23"/>
        <v>#NAME?</v>
      </c>
      <c r="X44" s="146" t="e">
        <f t="shared" ca="1" si="23"/>
        <v>#NAME?</v>
      </c>
      <c r="Y44" s="146" t="e">
        <f t="shared" ca="1" si="23"/>
        <v>#NAME?</v>
      </c>
      <c r="Z44" s="146" t="e">
        <f t="shared" ca="1" si="23"/>
        <v>#NAME?</v>
      </c>
      <c r="AA44" s="146" t="e">
        <f t="shared" ca="1" si="23"/>
        <v>#NAME?</v>
      </c>
      <c r="AB44" s="146" t="e">
        <f t="shared" ca="1" si="23"/>
        <v>#NAME?</v>
      </c>
      <c r="AC44" s="58"/>
    </row>
    <row r="45" spans="1:29" s="50" customFormat="1" outlineLevel="1">
      <c r="A45" s="106"/>
      <c r="B45" s="2"/>
      <c r="C45" s="141" t="s">
        <v>1073</v>
      </c>
      <c r="D45" s="146">
        <f>IF(D43=0,0,D36/D43)</f>
        <v>0</v>
      </c>
      <c r="E45" s="146">
        <f t="shared" ref="E45:AB45" si="24">IF(E43=0,0,E36/E43)</f>
        <v>0</v>
      </c>
      <c r="F45" s="146">
        <f t="shared" si="24"/>
        <v>0</v>
      </c>
      <c r="G45" s="146">
        <f t="shared" si="24"/>
        <v>0</v>
      </c>
      <c r="H45" s="146">
        <f t="shared" si="24"/>
        <v>0</v>
      </c>
      <c r="I45" s="146">
        <f t="shared" si="24"/>
        <v>0</v>
      </c>
      <c r="J45" s="146">
        <f t="shared" si="24"/>
        <v>0</v>
      </c>
      <c r="K45" s="146">
        <f t="shared" si="24"/>
        <v>0</v>
      </c>
      <c r="L45" s="146">
        <f t="shared" si="24"/>
        <v>0</v>
      </c>
      <c r="M45" s="146">
        <f t="shared" si="24"/>
        <v>0</v>
      </c>
      <c r="N45" s="146">
        <f t="shared" si="24"/>
        <v>16.475893892210124</v>
      </c>
      <c r="O45" s="146">
        <f t="shared" si="24"/>
        <v>-11.806119511734387</v>
      </c>
      <c r="P45" s="146">
        <f t="shared" si="24"/>
        <v>0.37293379089669054</v>
      </c>
      <c r="Q45" s="146">
        <f t="shared" si="24"/>
        <v>9.4341001620472831</v>
      </c>
      <c r="R45" s="146">
        <f t="shared" si="24"/>
        <v>4.3881876960680204</v>
      </c>
      <c r="S45" s="146" t="e">
        <f t="shared" si="24"/>
        <v>#NAME?</v>
      </c>
      <c r="T45" s="146" t="e">
        <f t="shared" ca="1" si="24"/>
        <v>#NAME?</v>
      </c>
      <c r="U45" s="146" t="e">
        <f t="shared" ca="1" si="24"/>
        <v>#NAME?</v>
      </c>
      <c r="V45" s="146" t="e">
        <f t="shared" ca="1" si="24"/>
        <v>#NAME?</v>
      </c>
      <c r="W45" s="146" t="e">
        <f t="shared" ca="1" si="24"/>
        <v>#NAME?</v>
      </c>
      <c r="X45" s="146" t="e">
        <f t="shared" ca="1" si="24"/>
        <v>#NAME?</v>
      </c>
      <c r="Y45" s="146" t="e">
        <f t="shared" ca="1" si="24"/>
        <v>#NAME?</v>
      </c>
      <c r="Z45" s="146" t="e">
        <f t="shared" ca="1" si="24"/>
        <v>#NAME?</v>
      </c>
      <c r="AA45" s="146" t="e">
        <f t="shared" ca="1" si="24"/>
        <v>#NAME?</v>
      </c>
      <c r="AB45" s="146" t="e">
        <f t="shared" ca="1" si="24"/>
        <v>#NAME?</v>
      </c>
      <c r="AC45" s="58"/>
    </row>
    <row r="46" spans="1:29" s="52" customFormat="1" ht="30.25" customHeight="1">
      <c r="A46" s="147"/>
      <c r="B46" s="148"/>
      <c r="C46" s="133" t="s">
        <v>816</v>
      </c>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50"/>
    </row>
    <row r="47" spans="1:29" s="50" customFormat="1">
      <c r="A47" s="106"/>
      <c r="B47" s="2"/>
      <c r="C47" s="110" t="s">
        <v>817</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58"/>
    </row>
    <row r="48" spans="1:29" s="50" customFormat="1" ht="30.25" customHeight="1">
      <c r="A48" s="106"/>
      <c r="B48" s="2"/>
      <c r="C48" s="151" t="s">
        <v>3635</v>
      </c>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58"/>
    </row>
    <row r="49" spans="1:29" s="153" customFormat="1" ht="24.75" customHeight="1">
      <c r="B49" s="154"/>
      <c r="C49" s="141" t="s">
        <v>814</v>
      </c>
      <c r="D49" s="146">
        <f t="shared" ref="D49:AB49" si="25">+D46+D47</f>
        <v>0</v>
      </c>
      <c r="E49" s="146">
        <f t="shared" si="25"/>
        <v>0</v>
      </c>
      <c r="F49" s="146">
        <f t="shared" si="25"/>
        <v>0</v>
      </c>
      <c r="G49" s="146">
        <f t="shared" si="25"/>
        <v>0</v>
      </c>
      <c r="H49" s="146">
        <f t="shared" si="25"/>
        <v>0</v>
      </c>
      <c r="I49" s="146">
        <f t="shared" si="25"/>
        <v>0</v>
      </c>
      <c r="J49" s="146">
        <f t="shared" si="25"/>
        <v>0</v>
      </c>
      <c r="K49" s="146">
        <f t="shared" si="25"/>
        <v>0</v>
      </c>
      <c r="L49" s="146">
        <f t="shared" si="25"/>
        <v>0</v>
      </c>
      <c r="M49" s="146">
        <f t="shared" si="25"/>
        <v>0</v>
      </c>
      <c r="N49" s="146">
        <f t="shared" si="25"/>
        <v>0</v>
      </c>
      <c r="O49" s="146">
        <f t="shared" si="25"/>
        <v>0</v>
      </c>
      <c r="P49" s="146">
        <f t="shared" si="25"/>
        <v>0</v>
      </c>
      <c r="Q49" s="146">
        <f t="shared" si="25"/>
        <v>0</v>
      </c>
      <c r="R49" s="146">
        <f t="shared" si="25"/>
        <v>0</v>
      </c>
      <c r="S49" s="146">
        <f t="shared" si="25"/>
        <v>0</v>
      </c>
      <c r="T49" s="146">
        <f t="shared" si="25"/>
        <v>0</v>
      </c>
      <c r="U49" s="146">
        <f t="shared" si="25"/>
        <v>0</v>
      </c>
      <c r="V49" s="146">
        <f t="shared" si="25"/>
        <v>0</v>
      </c>
      <c r="W49" s="146">
        <f t="shared" si="25"/>
        <v>0</v>
      </c>
      <c r="X49" s="146">
        <f t="shared" si="25"/>
        <v>0</v>
      </c>
      <c r="Y49" s="146">
        <f t="shared" si="25"/>
        <v>0</v>
      </c>
      <c r="Z49" s="146">
        <f t="shared" si="25"/>
        <v>0</v>
      </c>
      <c r="AA49" s="146">
        <f t="shared" si="25"/>
        <v>0</v>
      </c>
      <c r="AB49" s="146">
        <f t="shared" si="25"/>
        <v>0</v>
      </c>
      <c r="AC49" s="155"/>
    </row>
    <row r="50" spans="1:29" s="153" customFormat="1" ht="45" customHeight="1">
      <c r="B50" s="154"/>
      <c r="C50" s="136" t="s">
        <v>815</v>
      </c>
      <c r="D50" s="156" t="str">
        <f t="shared" ref="D50:AB50" si="26">IFERROR(+D49/D42, "")</f>
        <v/>
      </c>
      <c r="E50" s="156" t="str">
        <f t="shared" si="26"/>
        <v/>
      </c>
      <c r="F50" s="156" t="str">
        <f t="shared" si="26"/>
        <v/>
      </c>
      <c r="G50" s="156" t="str">
        <f t="shared" si="26"/>
        <v/>
      </c>
      <c r="H50" s="156" t="str">
        <f t="shared" si="26"/>
        <v/>
      </c>
      <c r="I50" s="156" t="str">
        <f t="shared" si="26"/>
        <v/>
      </c>
      <c r="J50" s="156" t="str">
        <f t="shared" si="26"/>
        <v/>
      </c>
      <c r="K50" s="156" t="str">
        <f t="shared" si="26"/>
        <v/>
      </c>
      <c r="L50" s="156" t="str">
        <f t="shared" si="26"/>
        <v/>
      </c>
      <c r="M50" s="156">
        <f t="shared" si="26"/>
        <v>0</v>
      </c>
      <c r="N50" s="156">
        <f t="shared" si="26"/>
        <v>0</v>
      </c>
      <c r="O50" s="156">
        <f t="shared" si="26"/>
        <v>0</v>
      </c>
      <c r="P50" s="156">
        <f t="shared" si="26"/>
        <v>0</v>
      </c>
      <c r="Q50" s="156">
        <f t="shared" si="26"/>
        <v>0</v>
      </c>
      <c r="R50" s="156">
        <f t="shared" si="26"/>
        <v>0</v>
      </c>
      <c r="S50" s="156" t="str">
        <f t="shared" si="26"/>
        <v/>
      </c>
      <c r="T50" s="156" t="str">
        <f t="shared" ca="1" si="26"/>
        <v/>
      </c>
      <c r="U50" s="156" t="str">
        <f t="shared" ca="1" si="26"/>
        <v/>
      </c>
      <c r="V50" s="156" t="str">
        <f t="shared" ca="1" si="26"/>
        <v/>
      </c>
      <c r="W50" s="156" t="str">
        <f t="shared" ca="1" si="26"/>
        <v/>
      </c>
      <c r="X50" s="156" t="str">
        <f t="shared" ca="1" si="26"/>
        <v/>
      </c>
      <c r="Y50" s="156" t="str">
        <f t="shared" ca="1" si="26"/>
        <v/>
      </c>
      <c r="Z50" s="156" t="str">
        <f t="shared" ca="1" si="26"/>
        <v/>
      </c>
      <c r="AA50" s="156" t="str">
        <f t="shared" ca="1" si="26"/>
        <v/>
      </c>
      <c r="AB50" s="156" t="str">
        <f t="shared" ca="1" si="26"/>
        <v/>
      </c>
      <c r="AC50" s="155"/>
    </row>
    <row r="51" spans="1:29" s="153" customFormat="1" ht="24.75" customHeight="1">
      <c r="B51" s="154"/>
      <c r="C51" s="157" t="s">
        <v>1063</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5"/>
    </row>
    <row r="52" spans="1:29" s="153" customFormat="1" ht="24.75" customHeight="1">
      <c r="B52" s="154"/>
      <c r="C52" s="158" t="s">
        <v>1064</v>
      </c>
      <c r="D52" s="159">
        <f t="shared" ref="D52:AB52" si="27">+D28+D63+D64</f>
        <v>0</v>
      </c>
      <c r="E52" s="159">
        <f t="shared" si="27"/>
        <v>0</v>
      </c>
      <c r="F52" s="159">
        <f t="shared" si="27"/>
        <v>0</v>
      </c>
      <c r="G52" s="159">
        <f t="shared" si="27"/>
        <v>0</v>
      </c>
      <c r="H52" s="159">
        <f t="shared" si="27"/>
        <v>0</v>
      </c>
      <c r="I52" s="159">
        <f t="shared" si="27"/>
        <v>0</v>
      </c>
      <c r="J52" s="159">
        <f t="shared" si="27"/>
        <v>0</v>
      </c>
      <c r="K52" s="159">
        <f t="shared" si="27"/>
        <v>0</v>
      </c>
      <c r="L52" s="159">
        <f t="shared" si="27"/>
        <v>0</v>
      </c>
      <c r="M52" s="159">
        <f t="shared" si="27"/>
        <v>406069</v>
      </c>
      <c r="N52" s="159">
        <f t="shared" si="27"/>
        <v>3103058</v>
      </c>
      <c r="O52" s="159">
        <f t="shared" si="27"/>
        <v>-2821612</v>
      </c>
      <c r="P52" s="159">
        <f t="shared" si="27"/>
        <v>145563</v>
      </c>
      <c r="Q52" s="159">
        <f t="shared" si="27"/>
        <v>3150807</v>
      </c>
      <c r="R52" s="159">
        <f t="shared" si="27"/>
        <v>1795906</v>
      </c>
      <c r="S52" s="159">
        <f t="shared" ca="1" si="27"/>
        <v>1120724.4168768078</v>
      </c>
      <c r="T52" s="159" t="e">
        <f t="shared" ca="1" si="27"/>
        <v>#NAME?</v>
      </c>
      <c r="U52" s="159" t="e">
        <f t="shared" ca="1" si="27"/>
        <v>#NAME?</v>
      </c>
      <c r="V52" s="159" t="e">
        <f t="shared" ca="1" si="27"/>
        <v>#NAME?</v>
      </c>
      <c r="W52" s="159" t="e">
        <f t="shared" ca="1" si="27"/>
        <v>#NAME?</v>
      </c>
      <c r="X52" s="160" t="e">
        <f t="shared" ca="1" si="27"/>
        <v>#NAME?</v>
      </c>
      <c r="Y52" s="160" t="e">
        <f t="shared" ca="1" si="27"/>
        <v>#NAME?</v>
      </c>
      <c r="Z52" s="160" t="e">
        <f t="shared" ca="1" si="27"/>
        <v>#NAME?</v>
      </c>
      <c r="AA52" s="160" t="e">
        <f t="shared" ca="1" si="27"/>
        <v>#NAME?</v>
      </c>
      <c r="AB52" s="160" t="e">
        <f t="shared" ca="1" si="27"/>
        <v>#NAME?</v>
      </c>
      <c r="AC52" s="155"/>
    </row>
    <row r="53" spans="1:29" s="153" customFormat="1" ht="24.75" customHeight="1">
      <c r="B53" s="154"/>
      <c r="C53" s="161" t="s">
        <v>84</v>
      </c>
      <c r="D53" s="162" t="str">
        <f>+IFERROR(D52/D$11, "")</f>
        <v/>
      </c>
      <c r="E53" s="162" t="str">
        <f t="shared" ref="E53:AB53" si="28">+IFERROR(E52/E$11, "")</f>
        <v/>
      </c>
      <c r="F53" s="162" t="str">
        <f t="shared" si="28"/>
        <v/>
      </c>
      <c r="G53" s="162" t="str">
        <f t="shared" si="28"/>
        <v/>
      </c>
      <c r="H53" s="162" t="str">
        <f t="shared" si="28"/>
        <v/>
      </c>
      <c r="I53" s="162" t="str">
        <f t="shared" si="28"/>
        <v/>
      </c>
      <c r="J53" s="162" t="str">
        <f t="shared" si="28"/>
        <v/>
      </c>
      <c r="K53" s="162" t="str">
        <f t="shared" si="28"/>
        <v/>
      </c>
      <c r="L53" s="162" t="str">
        <f t="shared" si="28"/>
        <v/>
      </c>
      <c r="M53" s="162">
        <f t="shared" si="28"/>
        <v>0.3178669584909678</v>
      </c>
      <c r="N53" s="162">
        <f t="shared" si="28"/>
        <v>0.39582628563964484</v>
      </c>
      <c r="O53" s="162">
        <f t="shared" si="28"/>
        <v>-0.88335261823901257</v>
      </c>
      <c r="P53" s="162">
        <f t="shared" si="28"/>
        <v>4.6829171308683644E-2</v>
      </c>
      <c r="Q53" s="162">
        <f t="shared" si="28"/>
        <v>0.48001120653354923</v>
      </c>
      <c r="R53" s="162">
        <f t="shared" si="28"/>
        <v>0.25008003397701678</v>
      </c>
      <c r="S53" s="162">
        <f t="shared" ca="1" si="28"/>
        <v>0.16473366816788043</v>
      </c>
      <c r="T53" s="162" t="str">
        <f t="shared" ca="1" si="28"/>
        <v/>
      </c>
      <c r="U53" s="162" t="str">
        <f t="shared" ca="1" si="28"/>
        <v/>
      </c>
      <c r="V53" s="162" t="str">
        <f t="shared" ca="1" si="28"/>
        <v/>
      </c>
      <c r="W53" s="162" t="str">
        <f t="shared" ca="1" si="28"/>
        <v/>
      </c>
      <c r="X53" s="162" t="str">
        <f t="shared" ca="1" si="28"/>
        <v/>
      </c>
      <c r="Y53" s="162" t="str">
        <f t="shared" ca="1" si="28"/>
        <v/>
      </c>
      <c r="Z53" s="162" t="str">
        <f t="shared" ca="1" si="28"/>
        <v/>
      </c>
      <c r="AA53" s="162" t="str">
        <f t="shared" ca="1" si="28"/>
        <v/>
      </c>
      <c r="AB53" s="162" t="str">
        <f t="shared" ca="1" si="28"/>
        <v/>
      </c>
      <c r="AC53" s="155"/>
    </row>
    <row r="54" spans="1:29" s="153" customFormat="1" ht="24.75" customHeight="1">
      <c r="B54" s="154"/>
      <c r="C54" s="163" t="s">
        <v>1025</v>
      </c>
      <c r="D54" s="164"/>
      <c r="E54" s="164"/>
      <c r="F54" s="164"/>
      <c r="G54" s="164"/>
      <c r="H54" s="164"/>
      <c r="I54" s="164"/>
      <c r="J54" s="164"/>
      <c r="K54" s="164"/>
      <c r="L54" s="164"/>
      <c r="M54" s="164"/>
      <c r="N54" s="111"/>
      <c r="O54" s="111"/>
      <c r="P54" s="111"/>
      <c r="Q54" s="111"/>
      <c r="R54" s="111"/>
      <c r="S54" s="111"/>
      <c r="T54" s="111"/>
      <c r="U54" s="111"/>
      <c r="V54" s="111"/>
      <c r="W54" s="111"/>
      <c r="X54" s="111"/>
      <c r="Y54" s="111"/>
      <c r="Z54" s="111"/>
      <c r="AA54" s="111"/>
      <c r="AB54" s="111"/>
      <c r="AC54" s="155"/>
    </row>
    <row r="55" spans="1:29" s="153" customFormat="1" ht="24.75" customHeight="1">
      <c r="B55" s="154"/>
      <c r="C55" s="158" t="s">
        <v>1065</v>
      </c>
      <c r="D55" s="159">
        <f>+D52+D54</f>
        <v>0</v>
      </c>
      <c r="E55" s="159">
        <f t="shared" ref="E55:AB55" si="29">+E52+E54</f>
        <v>0</v>
      </c>
      <c r="F55" s="159">
        <f t="shared" si="29"/>
        <v>0</v>
      </c>
      <c r="G55" s="159">
        <f t="shared" si="29"/>
        <v>0</v>
      </c>
      <c r="H55" s="159">
        <f t="shared" si="29"/>
        <v>0</v>
      </c>
      <c r="I55" s="159">
        <f t="shared" si="29"/>
        <v>0</v>
      </c>
      <c r="J55" s="159">
        <f t="shared" si="29"/>
        <v>0</v>
      </c>
      <c r="K55" s="159">
        <f t="shared" si="29"/>
        <v>0</v>
      </c>
      <c r="L55" s="159">
        <f t="shared" si="29"/>
        <v>0</v>
      </c>
      <c r="M55" s="159">
        <f t="shared" si="29"/>
        <v>406069</v>
      </c>
      <c r="N55" s="159">
        <f t="shared" si="29"/>
        <v>3103058</v>
      </c>
      <c r="O55" s="159">
        <f t="shared" si="29"/>
        <v>-2821612</v>
      </c>
      <c r="P55" s="159">
        <f t="shared" si="29"/>
        <v>145563</v>
      </c>
      <c r="Q55" s="159">
        <f t="shared" si="29"/>
        <v>3150807</v>
      </c>
      <c r="R55" s="159">
        <f t="shared" si="29"/>
        <v>1795906</v>
      </c>
      <c r="S55" s="159">
        <f t="shared" ca="1" si="29"/>
        <v>1120724.4168768078</v>
      </c>
      <c r="T55" s="159" t="e">
        <f t="shared" ca="1" si="29"/>
        <v>#NAME?</v>
      </c>
      <c r="U55" s="159" t="e">
        <f t="shared" ca="1" si="29"/>
        <v>#NAME?</v>
      </c>
      <c r="V55" s="159" t="e">
        <f t="shared" ca="1" si="29"/>
        <v>#NAME?</v>
      </c>
      <c r="W55" s="159" t="e">
        <f t="shared" ca="1" si="29"/>
        <v>#NAME?</v>
      </c>
      <c r="X55" s="160" t="e">
        <f t="shared" ca="1" si="29"/>
        <v>#NAME?</v>
      </c>
      <c r="Y55" s="160" t="e">
        <f t="shared" ca="1" si="29"/>
        <v>#NAME?</v>
      </c>
      <c r="Z55" s="160" t="e">
        <f t="shared" ca="1" si="29"/>
        <v>#NAME?</v>
      </c>
      <c r="AA55" s="160" t="e">
        <f t="shared" ca="1" si="29"/>
        <v>#NAME?</v>
      </c>
      <c r="AB55" s="160" t="e">
        <f t="shared" ca="1" si="29"/>
        <v>#NAME?</v>
      </c>
      <c r="AC55" s="155"/>
    </row>
    <row r="56" spans="1:29" s="50" customFormat="1" ht="45" customHeight="1">
      <c r="A56" s="106"/>
      <c r="B56" s="2"/>
      <c r="C56" s="161" t="s">
        <v>1078</v>
      </c>
      <c r="D56" s="162" t="str">
        <f>+IFERROR(D55/D$11, "")</f>
        <v/>
      </c>
      <c r="E56" s="162" t="str">
        <f t="shared" ref="E56:AB56" si="30">+IFERROR(E55/E$11, "")</f>
        <v/>
      </c>
      <c r="F56" s="162" t="str">
        <f t="shared" si="30"/>
        <v/>
      </c>
      <c r="G56" s="162" t="str">
        <f t="shared" si="30"/>
        <v/>
      </c>
      <c r="H56" s="162" t="str">
        <f t="shared" si="30"/>
        <v/>
      </c>
      <c r="I56" s="162" t="str">
        <f t="shared" si="30"/>
        <v/>
      </c>
      <c r="J56" s="162" t="str">
        <f t="shared" si="30"/>
        <v/>
      </c>
      <c r="K56" s="162" t="str">
        <f t="shared" si="30"/>
        <v/>
      </c>
      <c r="L56" s="162" t="str">
        <f t="shared" si="30"/>
        <v/>
      </c>
      <c r="M56" s="162">
        <f t="shared" si="30"/>
        <v>0.3178669584909678</v>
      </c>
      <c r="N56" s="162">
        <f t="shared" si="30"/>
        <v>0.39582628563964484</v>
      </c>
      <c r="O56" s="162">
        <f t="shared" si="30"/>
        <v>-0.88335261823901257</v>
      </c>
      <c r="P56" s="162">
        <f t="shared" si="30"/>
        <v>4.6829171308683644E-2</v>
      </c>
      <c r="Q56" s="162">
        <f t="shared" si="30"/>
        <v>0.48001120653354923</v>
      </c>
      <c r="R56" s="162">
        <f t="shared" si="30"/>
        <v>0.25008003397701678</v>
      </c>
      <c r="S56" s="162">
        <f t="shared" ca="1" si="30"/>
        <v>0.16473366816788043</v>
      </c>
      <c r="T56" s="162" t="str">
        <f t="shared" ca="1" si="30"/>
        <v/>
      </c>
      <c r="U56" s="162" t="str">
        <f t="shared" ca="1" si="30"/>
        <v/>
      </c>
      <c r="V56" s="162" t="str">
        <f t="shared" ca="1" si="30"/>
        <v/>
      </c>
      <c r="W56" s="162" t="str">
        <f t="shared" ca="1" si="30"/>
        <v/>
      </c>
      <c r="X56" s="162" t="str">
        <f t="shared" ca="1" si="30"/>
        <v/>
      </c>
      <c r="Y56" s="162" t="str">
        <f t="shared" ca="1" si="30"/>
        <v/>
      </c>
      <c r="Z56" s="162" t="str">
        <f t="shared" ca="1" si="30"/>
        <v/>
      </c>
      <c r="AA56" s="162" t="str">
        <f t="shared" ca="1" si="30"/>
        <v/>
      </c>
      <c r="AB56" s="162" t="str">
        <f t="shared" ca="1" si="30"/>
        <v/>
      </c>
      <c r="AC56" s="58"/>
    </row>
    <row r="57" spans="1:29" s="50" customFormat="1">
      <c r="A57" s="106"/>
      <c r="B57" s="2"/>
      <c r="C57" s="157" t="s">
        <v>811</v>
      </c>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58"/>
    </row>
    <row r="58" spans="1:29" s="50" customFormat="1">
      <c r="A58" s="106"/>
      <c r="B58" s="2"/>
      <c r="C58" s="110" t="s">
        <v>20</v>
      </c>
      <c r="D58" s="127"/>
      <c r="E58" s="127"/>
      <c r="F58" s="127"/>
      <c r="G58" s="127"/>
      <c r="H58" s="127"/>
      <c r="I58" s="127"/>
      <c r="J58" s="127"/>
      <c r="K58" s="127"/>
      <c r="L58" s="127"/>
      <c r="M58" s="127">
        <f>+(M76*0.1)+M77+M79-M87+M84-M90</f>
        <v>-121987.5</v>
      </c>
      <c r="N58" s="111">
        <f>+(N76)+N77+N79-N87+N84-N90</f>
        <v>6979135</v>
      </c>
      <c r="O58" s="111">
        <f>+(O76*0.2)+O77+O79-O87+O84-O90</f>
        <v>1410600.5999999996</v>
      </c>
      <c r="P58" s="111">
        <f>+(P76*0.2)+P77+P79-P87+P84-P90</f>
        <v>1170619.2000000002</v>
      </c>
      <c r="Q58" s="111">
        <f>+(Q76*0.2)+Q77+Q79-Q87+Q84-Q90</f>
        <v>2612059</v>
      </c>
      <c r="R58" s="111">
        <f>+(R76*0.15)+R77+R79-R87+R84-R90</f>
        <v>3268748.25</v>
      </c>
      <c r="S58" s="111">
        <f ca="1">S77+S79-S87+S84-S90+ROIC!T111</f>
        <v>3108216.5028495146</v>
      </c>
      <c r="T58" s="111" t="e">
        <f ca="1">T77+T79-T87+T84-T90+ROIC!U111</f>
        <v>#VALUE!</v>
      </c>
      <c r="U58" s="111" t="e">
        <f ca="1">U77+U79-U87+U84-U90+ROIC!V111</f>
        <v>#VALUE!</v>
      </c>
      <c r="V58" s="111" t="e">
        <f ca="1">V77+V79-V87+V84-V90+ROIC!W111</f>
        <v>#VALUE!</v>
      </c>
      <c r="W58" s="111" t="e">
        <f ca="1">W77+W79-W87+W84-W90+ROIC!X111</f>
        <v>#VALUE!</v>
      </c>
      <c r="X58" s="111" t="e">
        <f ca="1">X77+X79-X87+X84-X90+ROIC!Y111</f>
        <v>#VALUE!</v>
      </c>
      <c r="Y58" s="111" t="e">
        <f ca="1">Y77+Y79-Y87+Y84-Y90+ROIC!Z111</f>
        <v>#VALUE!</v>
      </c>
      <c r="Z58" s="111" t="e">
        <f ca="1">Z77+Z79-Z87+Z84-Z90+ROIC!AA111</f>
        <v>#VALUE!</v>
      </c>
      <c r="AA58" s="111" t="e">
        <f ca="1">AA77+AA79-AA87+AA84-AA90+ROIC!AB111</f>
        <v>#VALUE!</v>
      </c>
      <c r="AB58" s="111" t="e">
        <f ca="1">AB77+AB79-AB87+AB84-AB90+ROIC!AC111</f>
        <v>#VALUE!</v>
      </c>
      <c r="AC58" s="58"/>
    </row>
    <row r="59" spans="1:29" s="50" customFormat="1">
      <c r="A59" s="106"/>
      <c r="B59" s="2"/>
      <c r="C59" s="136" t="s">
        <v>29</v>
      </c>
      <c r="D59" s="165" t="str">
        <f t="shared" ref="D59:AB59" si="31">IFERROR(D58/D11*365,"")</f>
        <v/>
      </c>
      <c r="E59" s="165" t="str">
        <f t="shared" si="31"/>
        <v/>
      </c>
      <c r="F59" s="165" t="str">
        <f t="shared" si="31"/>
        <v/>
      </c>
      <c r="G59" s="165" t="str">
        <f t="shared" si="31"/>
        <v/>
      </c>
      <c r="H59" s="165" t="str">
        <f t="shared" si="31"/>
        <v/>
      </c>
      <c r="I59" s="165" t="str">
        <f t="shared" si="31"/>
        <v/>
      </c>
      <c r="J59" s="165" t="str">
        <f t="shared" si="31"/>
        <v/>
      </c>
      <c r="K59" s="165" t="str">
        <f t="shared" si="31"/>
        <v/>
      </c>
      <c r="L59" s="165" t="str">
        <f t="shared" si="31"/>
        <v/>
      </c>
      <c r="M59" s="165">
        <f t="shared" si="31"/>
        <v>-34.854089806423737</v>
      </c>
      <c r="N59" s="165">
        <f t="shared" si="31"/>
        <v>324.94450818195781</v>
      </c>
      <c r="O59" s="165">
        <f t="shared" si="31"/>
        <v>161.18838190875479</v>
      </c>
      <c r="P59" s="165">
        <f t="shared" si="31"/>
        <v>137.45925389503162</v>
      </c>
      <c r="Q59" s="165">
        <f t="shared" si="31"/>
        <v>145.24641500615172</v>
      </c>
      <c r="R59" s="165">
        <f t="shared" si="31"/>
        <v>166.13829777234704</v>
      </c>
      <c r="S59" s="166">
        <f t="shared" ca="1" si="31"/>
        <v>166.75837776556452</v>
      </c>
      <c r="T59" s="167" t="str">
        <f t="shared" ca="1" si="31"/>
        <v/>
      </c>
      <c r="U59" s="167" t="str">
        <f t="shared" ca="1" si="31"/>
        <v/>
      </c>
      <c r="V59" s="167" t="str">
        <f t="shared" ca="1" si="31"/>
        <v/>
      </c>
      <c r="W59" s="167" t="str">
        <f t="shared" ca="1" si="31"/>
        <v/>
      </c>
      <c r="X59" s="167" t="str">
        <f t="shared" ca="1" si="31"/>
        <v/>
      </c>
      <c r="Y59" s="167" t="str">
        <f t="shared" ca="1" si="31"/>
        <v/>
      </c>
      <c r="Z59" s="167" t="str">
        <f t="shared" ca="1" si="31"/>
        <v/>
      </c>
      <c r="AA59" s="167" t="str">
        <f t="shared" ca="1" si="31"/>
        <v/>
      </c>
      <c r="AB59" s="167" t="str">
        <f t="shared" ca="1" si="31"/>
        <v/>
      </c>
      <c r="AC59" s="58"/>
    </row>
    <row r="60" spans="1:29" s="50" customFormat="1">
      <c r="A60" s="106"/>
      <c r="B60" s="2"/>
      <c r="C60" s="136" t="s">
        <v>812</v>
      </c>
      <c r="D60" s="168"/>
      <c r="E60" s="168">
        <f>+D58-E58</f>
        <v>0</v>
      </c>
      <c r="F60" s="168">
        <f t="shared" ref="F60:AB60" si="32">+E58-F58</f>
        <v>0</v>
      </c>
      <c r="G60" s="168">
        <f t="shared" si="32"/>
        <v>0</v>
      </c>
      <c r="H60" s="168">
        <f t="shared" si="32"/>
        <v>0</v>
      </c>
      <c r="I60" s="168">
        <f t="shared" si="32"/>
        <v>0</v>
      </c>
      <c r="J60" s="168">
        <f t="shared" si="32"/>
        <v>0</v>
      </c>
      <c r="K60" s="168">
        <f t="shared" si="32"/>
        <v>0</v>
      </c>
      <c r="L60" s="168">
        <f t="shared" si="32"/>
        <v>0</v>
      </c>
      <c r="M60" s="168">
        <f t="shared" si="32"/>
        <v>121987.5</v>
      </c>
      <c r="N60" s="168">
        <f t="shared" si="32"/>
        <v>-7101122.5</v>
      </c>
      <c r="O60" s="168">
        <f t="shared" si="32"/>
        <v>5568534.4000000004</v>
      </c>
      <c r="P60" s="168">
        <f t="shared" si="32"/>
        <v>239981.39999999944</v>
      </c>
      <c r="Q60" s="168">
        <f t="shared" si="32"/>
        <v>-1441439.7999999998</v>
      </c>
      <c r="R60" s="168">
        <f t="shared" si="32"/>
        <v>-656689.25</v>
      </c>
      <c r="S60" s="168">
        <f t="shared" ca="1" si="32"/>
        <v>160531.7471504854</v>
      </c>
      <c r="T60" s="168" t="e">
        <f t="shared" ca="1" si="32"/>
        <v>#VALUE!</v>
      </c>
      <c r="U60" s="168" t="e">
        <f t="shared" ca="1" si="32"/>
        <v>#VALUE!</v>
      </c>
      <c r="V60" s="168" t="e">
        <f t="shared" ca="1" si="32"/>
        <v>#VALUE!</v>
      </c>
      <c r="W60" s="168" t="e">
        <f t="shared" ca="1" si="32"/>
        <v>#VALUE!</v>
      </c>
      <c r="X60" s="168" t="e">
        <f t="shared" ca="1" si="32"/>
        <v>#VALUE!</v>
      </c>
      <c r="Y60" s="168" t="e">
        <f t="shared" ca="1" si="32"/>
        <v>#VALUE!</v>
      </c>
      <c r="Z60" s="168" t="e">
        <f t="shared" ca="1" si="32"/>
        <v>#VALUE!</v>
      </c>
      <c r="AA60" s="168" t="e">
        <f t="shared" ca="1" si="32"/>
        <v>#VALUE!</v>
      </c>
      <c r="AB60" s="168" t="e">
        <f t="shared" ca="1" si="32"/>
        <v>#VALUE!</v>
      </c>
      <c r="AC60" s="58"/>
    </row>
    <row r="61" spans="1:29" s="50" customFormat="1">
      <c r="A61" s="106"/>
      <c r="B61" s="2"/>
      <c r="C61" s="110" t="s">
        <v>1052</v>
      </c>
      <c r="D61" s="127"/>
      <c r="E61" s="127"/>
      <c r="F61" s="127"/>
      <c r="G61" s="127"/>
      <c r="H61" s="127"/>
      <c r="I61" s="127"/>
      <c r="J61" s="127"/>
      <c r="K61" s="127"/>
      <c r="L61" s="127"/>
      <c r="M61" s="127"/>
      <c r="N61" s="111">
        <f>'Financial Statements'!C145+'Financial Statements'!C146+'Financial Statements'!C147</f>
        <v>-18802</v>
      </c>
      <c r="O61" s="111">
        <f>'Financial Statements'!D145+'Financial Statements'!D146+'Financial Statements'!D147</f>
        <v>-24952</v>
      </c>
      <c r="P61" s="111">
        <f>-70000</f>
        <v>-70000</v>
      </c>
      <c r="Q61" s="111">
        <f>-110500</f>
        <v>-110500</v>
      </c>
      <c r="R61" s="111">
        <f>-138300</f>
        <v>-138300</v>
      </c>
      <c r="S61" s="111">
        <f ca="1">Buildup!Q42</f>
        <v>-142868.26133458148</v>
      </c>
      <c r="T61" s="111" t="e">
        <f ca="1">Buildup!R42</f>
        <v>#NAME?</v>
      </c>
      <c r="U61" s="111" t="e">
        <f ca="1">Buildup!S42</f>
        <v>#NAME?</v>
      </c>
      <c r="V61" s="111" t="e">
        <f ca="1">Buildup!T42</f>
        <v>#NAME?</v>
      </c>
      <c r="W61" s="111" t="e">
        <f ca="1">Buildup!U42</f>
        <v>#NAME?</v>
      </c>
      <c r="X61" s="111" t="e">
        <f ca="1">Buildup!V42</f>
        <v>#NAME?</v>
      </c>
      <c r="Y61" s="111" t="e">
        <f ca="1">Buildup!W42</f>
        <v>#NAME?</v>
      </c>
      <c r="Z61" s="111" t="e">
        <f ca="1">Buildup!X42</f>
        <v>#NAME?</v>
      </c>
      <c r="AA61" s="111" t="e">
        <f ca="1">Buildup!Y42</f>
        <v>#NAME?</v>
      </c>
      <c r="AB61" s="111" t="e">
        <f ca="1">Buildup!Z42</f>
        <v>#NAME?</v>
      </c>
      <c r="AC61" s="58"/>
    </row>
    <row r="62" spans="1:29" s="50" customFormat="1">
      <c r="A62" s="106"/>
      <c r="B62" s="2"/>
      <c r="C62" s="136" t="s">
        <v>28</v>
      </c>
      <c r="D62" s="137" t="str">
        <f t="shared" ref="D62:AB62" si="33">IFERROR(ABS(D61)/D11,"")</f>
        <v/>
      </c>
      <c r="E62" s="137" t="str">
        <f t="shared" si="33"/>
        <v/>
      </c>
      <c r="F62" s="137" t="str">
        <f t="shared" si="33"/>
        <v/>
      </c>
      <c r="G62" s="137" t="str">
        <f t="shared" si="33"/>
        <v/>
      </c>
      <c r="H62" s="137" t="str">
        <f t="shared" si="33"/>
        <v/>
      </c>
      <c r="I62" s="137" t="str">
        <f t="shared" si="33"/>
        <v/>
      </c>
      <c r="J62" s="137" t="str">
        <f t="shared" si="33"/>
        <v/>
      </c>
      <c r="K62" s="137" t="str">
        <f t="shared" si="33"/>
        <v/>
      </c>
      <c r="L62" s="137" t="str">
        <f t="shared" si="33"/>
        <v/>
      </c>
      <c r="M62" s="137">
        <f t="shared" si="33"/>
        <v>0</v>
      </c>
      <c r="N62" s="137">
        <f t="shared" si="33"/>
        <v>2.3983843752184465E-3</v>
      </c>
      <c r="O62" s="137">
        <f t="shared" si="33"/>
        <v>7.8116390667107467E-3</v>
      </c>
      <c r="P62" s="137">
        <f t="shared" si="33"/>
        <v>2.251974740564467E-2</v>
      </c>
      <c r="Q62" s="137">
        <f t="shared" si="33"/>
        <v>1.6834175600713465E-2</v>
      </c>
      <c r="R62" s="137">
        <f t="shared" si="33"/>
        <v>1.9258284508777975E-2</v>
      </c>
      <c r="S62" s="137">
        <f t="shared" ca="1" si="33"/>
        <v>2.1000000000000001E-2</v>
      </c>
      <c r="T62" s="137" t="str">
        <f t="shared" ca="1" si="33"/>
        <v/>
      </c>
      <c r="U62" s="137" t="str">
        <f t="shared" ca="1" si="33"/>
        <v/>
      </c>
      <c r="V62" s="137" t="str">
        <f t="shared" ca="1" si="33"/>
        <v/>
      </c>
      <c r="W62" s="137" t="str">
        <f t="shared" ca="1" si="33"/>
        <v/>
      </c>
      <c r="X62" s="137" t="str">
        <f t="shared" ca="1" si="33"/>
        <v/>
      </c>
      <c r="Y62" s="137" t="str">
        <f t="shared" ca="1" si="33"/>
        <v/>
      </c>
      <c r="Z62" s="137" t="str">
        <f t="shared" ca="1" si="33"/>
        <v/>
      </c>
      <c r="AA62" s="137" t="str">
        <f t="shared" ca="1" si="33"/>
        <v/>
      </c>
      <c r="AB62" s="137" t="str">
        <f t="shared" ca="1" si="33"/>
        <v/>
      </c>
      <c r="AC62" s="58"/>
    </row>
    <row r="63" spans="1:29" s="50" customFormat="1">
      <c r="A63" s="106"/>
      <c r="B63" s="2"/>
      <c r="C63" s="110" t="s">
        <v>8</v>
      </c>
      <c r="D63" s="127"/>
      <c r="E63" s="127"/>
      <c r="F63" s="127"/>
      <c r="G63" s="127"/>
      <c r="H63" s="127"/>
      <c r="I63" s="127"/>
      <c r="J63" s="127"/>
      <c r="K63" s="127"/>
      <c r="L63" s="127"/>
      <c r="M63" s="127"/>
      <c r="N63" s="111">
        <f>Buildup!L29</f>
        <v>46951</v>
      </c>
      <c r="O63" s="111">
        <f>Buildup!M29</f>
        <v>108769</v>
      </c>
      <c r="P63" s="111">
        <f>Buildup!N29</f>
        <v>33542</v>
      </c>
      <c r="Q63" s="111">
        <f>Buildup!O29</f>
        <v>57918</v>
      </c>
      <c r="R63" s="111">
        <f>Buildup!P29</f>
        <v>121302</v>
      </c>
      <c r="S63" s="111">
        <f ca="1">Buildup!Q29</f>
        <v>114915.82639300979</v>
      </c>
      <c r="T63" s="111" t="e">
        <f ca="1">Buildup!R29</f>
        <v>#NAME?</v>
      </c>
      <c r="U63" s="111" t="e">
        <f ca="1">Buildup!S29</f>
        <v>#NAME?</v>
      </c>
      <c r="V63" s="111" t="e">
        <f ca="1">Buildup!T29</f>
        <v>#NAME?</v>
      </c>
      <c r="W63" s="111" t="e">
        <f ca="1">Buildup!U29</f>
        <v>#NAME?</v>
      </c>
      <c r="X63" s="111" t="e">
        <f ca="1">Buildup!V29</f>
        <v>#NAME?</v>
      </c>
      <c r="Y63" s="111" t="e">
        <f ca="1">Buildup!W29</f>
        <v>#NAME?</v>
      </c>
      <c r="Z63" s="111" t="e">
        <f ca="1">Buildup!X29</f>
        <v>#NAME?</v>
      </c>
      <c r="AA63" s="111" t="e">
        <f ca="1">Buildup!Y29</f>
        <v>#NAME?</v>
      </c>
      <c r="AB63" s="111" t="e">
        <f ca="1">Buildup!Z29</f>
        <v>#NAME?</v>
      </c>
      <c r="AC63" s="58"/>
    </row>
    <row r="64" spans="1:29" s="50" customFormat="1" ht="23.75" customHeight="1">
      <c r="A64" s="106"/>
      <c r="B64" s="2"/>
      <c r="C64" s="110" t="s">
        <v>14</v>
      </c>
      <c r="D64" s="127"/>
      <c r="E64" s="127"/>
      <c r="F64" s="127"/>
      <c r="G64" s="127"/>
      <c r="H64" s="127"/>
      <c r="I64" s="127"/>
      <c r="J64" s="127"/>
      <c r="K64" s="127"/>
      <c r="L64" s="127"/>
      <c r="M64" s="127"/>
      <c r="N64" s="111"/>
      <c r="O64" s="111">
        <f>Buildup!M33</f>
        <v>45300</v>
      </c>
      <c r="P64" s="111">
        <f>Buildup!N33</f>
        <v>106100</v>
      </c>
      <c r="Q64" s="111">
        <f>Buildup!O33</f>
        <v>69600</v>
      </c>
      <c r="R64" s="111">
        <f>Buildup!P33</f>
        <v>67126</v>
      </c>
      <c r="S64" s="111">
        <f>Buildup!Q33</f>
        <v>138231</v>
      </c>
      <c r="T64" s="111">
        <f>Buildup!R33</f>
        <v>130341</v>
      </c>
      <c r="U64" s="111">
        <f>Buildup!S33</f>
        <v>127481</v>
      </c>
      <c r="V64" s="111">
        <f>Buildup!T33</f>
        <v>124043</v>
      </c>
      <c r="W64" s="111">
        <f>Buildup!U33</f>
        <v>123524</v>
      </c>
      <c r="X64" s="111">
        <f>Buildup!V33</f>
        <v>117347.79999999999</v>
      </c>
      <c r="Y64" s="111">
        <f>Buildup!W33</f>
        <v>111480.40999999999</v>
      </c>
      <c r="Z64" s="111">
        <f>Buildup!X33</f>
        <v>105906.38949999999</v>
      </c>
      <c r="AA64" s="111">
        <f>Buildup!Y33</f>
        <v>100611.07002499998</v>
      </c>
      <c r="AB64" s="111">
        <f>Buildup!Z33</f>
        <v>95580.516523749975</v>
      </c>
      <c r="AC64" s="58"/>
    </row>
    <row r="65" spans="1:29" s="50" customFormat="1" ht="23.75" customHeight="1">
      <c r="A65" s="106"/>
      <c r="B65" s="2"/>
      <c r="C65" s="169" t="s">
        <v>22</v>
      </c>
      <c r="D65" s="170">
        <f t="shared" ref="D65:AB65" si="34">+D60+D61+D63+D64</f>
        <v>0</v>
      </c>
      <c r="E65" s="170">
        <f t="shared" si="34"/>
        <v>0</v>
      </c>
      <c r="F65" s="170">
        <f t="shared" si="34"/>
        <v>0</v>
      </c>
      <c r="G65" s="170">
        <f t="shared" si="34"/>
        <v>0</v>
      </c>
      <c r="H65" s="170">
        <f t="shared" si="34"/>
        <v>0</v>
      </c>
      <c r="I65" s="170">
        <f t="shared" si="34"/>
        <v>0</v>
      </c>
      <c r="J65" s="170">
        <f t="shared" si="34"/>
        <v>0</v>
      </c>
      <c r="K65" s="170">
        <f t="shared" si="34"/>
        <v>0</v>
      </c>
      <c r="L65" s="170">
        <f t="shared" si="34"/>
        <v>0</v>
      </c>
      <c r="M65" s="170">
        <f t="shared" si="34"/>
        <v>121987.5</v>
      </c>
      <c r="N65" s="121">
        <f t="shared" si="34"/>
        <v>-7072973.5</v>
      </c>
      <c r="O65" s="121">
        <f t="shared" si="34"/>
        <v>5697651.4000000004</v>
      </c>
      <c r="P65" s="121">
        <f t="shared" si="34"/>
        <v>309623.39999999944</v>
      </c>
      <c r="Q65" s="121">
        <f t="shared" si="34"/>
        <v>-1424421.7999999998</v>
      </c>
      <c r="R65" s="122">
        <f t="shared" si="34"/>
        <v>-606561.25</v>
      </c>
      <c r="S65" s="122">
        <f t="shared" ca="1" si="34"/>
        <v>270810.31220891373</v>
      </c>
      <c r="T65" s="121" t="e">
        <f t="shared" ca="1" si="34"/>
        <v>#VALUE!</v>
      </c>
      <c r="U65" s="121" t="e">
        <f t="shared" ca="1" si="34"/>
        <v>#VALUE!</v>
      </c>
      <c r="V65" s="121" t="e">
        <f t="shared" ca="1" si="34"/>
        <v>#VALUE!</v>
      </c>
      <c r="W65" s="121" t="e">
        <f t="shared" ca="1" si="34"/>
        <v>#VALUE!</v>
      </c>
      <c r="X65" s="121" t="e">
        <f t="shared" ca="1" si="34"/>
        <v>#VALUE!</v>
      </c>
      <c r="Y65" s="121" t="e">
        <f t="shared" ca="1" si="34"/>
        <v>#VALUE!</v>
      </c>
      <c r="Z65" s="121" t="e">
        <f t="shared" ca="1" si="34"/>
        <v>#VALUE!</v>
      </c>
      <c r="AA65" s="121" t="e">
        <f t="shared" ca="1" si="34"/>
        <v>#VALUE!</v>
      </c>
      <c r="AB65" s="121" t="e">
        <f t="shared" ca="1" si="34"/>
        <v>#VALUE!</v>
      </c>
      <c r="AC65" s="58"/>
    </row>
    <row r="66" spans="1:29" s="50" customFormat="1" ht="23.75" customHeight="1">
      <c r="A66" s="106"/>
      <c r="B66" s="2"/>
      <c r="C66" s="136" t="s">
        <v>28</v>
      </c>
      <c r="D66" s="137" t="str">
        <f t="shared" ref="D66:AB66" si="35">+IFERROR(D65/D11,"")</f>
        <v/>
      </c>
      <c r="E66" s="137" t="str">
        <f t="shared" si="35"/>
        <v/>
      </c>
      <c r="F66" s="137" t="str">
        <f t="shared" si="35"/>
        <v/>
      </c>
      <c r="G66" s="137" t="str">
        <f t="shared" si="35"/>
        <v/>
      </c>
      <c r="H66" s="137" t="str">
        <f t="shared" si="35"/>
        <v/>
      </c>
      <c r="I66" s="137" t="str">
        <f t="shared" si="35"/>
        <v/>
      </c>
      <c r="J66" s="137" t="str">
        <f t="shared" si="35"/>
        <v/>
      </c>
      <c r="K66" s="137" t="str">
        <f t="shared" si="35"/>
        <v/>
      </c>
      <c r="L66" s="137" t="str">
        <f t="shared" si="35"/>
        <v/>
      </c>
      <c r="M66" s="137">
        <f t="shared" si="35"/>
        <v>9.549065700390065E-2</v>
      </c>
      <c r="N66" s="137">
        <f t="shared" si="35"/>
        <v>-0.90222897185055473</v>
      </c>
      <c r="O66" s="137">
        <f t="shared" si="35"/>
        <v>1.7837446402989412</v>
      </c>
      <c r="P66" s="137">
        <f t="shared" si="35"/>
        <v>9.9609153698240999E-2</v>
      </c>
      <c r="Q66" s="137">
        <f t="shared" si="35"/>
        <v>-0.21700422362610272</v>
      </c>
      <c r="R66" s="137">
        <f t="shared" si="35"/>
        <v>-8.4463695766449784E-2</v>
      </c>
      <c r="S66" s="138">
        <f t="shared" ca="1" si="35"/>
        <v>3.9806017818533067E-2</v>
      </c>
      <c r="T66" s="138" t="str">
        <f t="shared" ca="1" si="35"/>
        <v/>
      </c>
      <c r="U66" s="138" t="str">
        <f t="shared" ca="1" si="35"/>
        <v/>
      </c>
      <c r="V66" s="138" t="str">
        <f t="shared" ca="1" si="35"/>
        <v/>
      </c>
      <c r="W66" s="138" t="str">
        <f t="shared" ca="1" si="35"/>
        <v/>
      </c>
      <c r="X66" s="138" t="str">
        <f t="shared" ca="1" si="35"/>
        <v/>
      </c>
      <c r="Y66" s="138" t="str">
        <f t="shared" ca="1" si="35"/>
        <v/>
      </c>
      <c r="Z66" s="138" t="str">
        <f t="shared" ca="1" si="35"/>
        <v/>
      </c>
      <c r="AA66" s="138" t="str">
        <f t="shared" ca="1" si="35"/>
        <v/>
      </c>
      <c r="AB66" s="138" t="str">
        <f t="shared" ca="1" si="35"/>
        <v/>
      </c>
      <c r="AC66" s="58"/>
    </row>
    <row r="67" spans="1:29" s="50" customFormat="1">
      <c r="A67" s="106"/>
      <c r="B67" s="2"/>
      <c r="C67" s="136" t="s">
        <v>1031</v>
      </c>
      <c r="D67" s="137" t="str">
        <f t="shared" ref="D67:AB67" si="36">+IFERROR(D65/D98,"")</f>
        <v/>
      </c>
      <c r="E67" s="137" t="str">
        <f t="shared" si="36"/>
        <v/>
      </c>
      <c r="F67" s="137" t="str">
        <f t="shared" si="36"/>
        <v/>
      </c>
      <c r="G67" s="137" t="str">
        <f t="shared" si="36"/>
        <v/>
      </c>
      <c r="H67" s="137" t="str">
        <f t="shared" si="36"/>
        <v/>
      </c>
      <c r="I67" s="137" t="str">
        <f t="shared" si="36"/>
        <v/>
      </c>
      <c r="J67" s="137" t="str">
        <f t="shared" si="36"/>
        <v/>
      </c>
      <c r="K67" s="137" t="str">
        <f t="shared" si="36"/>
        <v/>
      </c>
      <c r="L67" s="137" t="str">
        <f t="shared" si="36"/>
        <v/>
      </c>
      <c r="M67" s="137">
        <f t="shared" si="36"/>
        <v>0.38286232649214325</v>
      </c>
      <c r="N67" s="137">
        <f t="shared" si="36"/>
        <v>-1.9330172192102164</v>
      </c>
      <c r="O67" s="137">
        <f t="shared" si="36"/>
        <v>-2.2758730711564334</v>
      </c>
      <c r="P67" s="137">
        <f t="shared" si="36"/>
        <v>3.1341549257699786</v>
      </c>
      <c r="Q67" s="137">
        <f t="shared" si="36"/>
        <v>-0.52381025417298788</v>
      </c>
      <c r="R67" s="137">
        <f t="shared" si="36"/>
        <v>-0.43382257127505136</v>
      </c>
      <c r="S67" s="138">
        <f t="shared" ca="1" si="36"/>
        <v>0.34057025886598796</v>
      </c>
      <c r="T67" s="138" t="str">
        <f t="shared" ca="1" si="36"/>
        <v/>
      </c>
      <c r="U67" s="138" t="str">
        <f t="shared" ca="1" si="36"/>
        <v/>
      </c>
      <c r="V67" s="138" t="str">
        <f t="shared" ca="1" si="36"/>
        <v/>
      </c>
      <c r="W67" s="138" t="str">
        <f t="shared" ca="1" si="36"/>
        <v/>
      </c>
      <c r="X67" s="138" t="str">
        <f ca="1">+IFERROR(X65/X98,"")</f>
        <v/>
      </c>
      <c r="Y67" s="138" t="str">
        <f t="shared" ca="1" si="36"/>
        <v/>
      </c>
      <c r="Z67" s="138" t="str">
        <f t="shared" ca="1" si="36"/>
        <v/>
      </c>
      <c r="AA67" s="138" t="str">
        <f t="shared" ca="1" si="36"/>
        <v/>
      </c>
      <c r="AB67" s="138" t="str">
        <f t="shared" ca="1" si="36"/>
        <v/>
      </c>
      <c r="AC67" s="58"/>
    </row>
    <row r="68" spans="1:29" s="50" customFormat="1" ht="23.75" customHeight="1">
      <c r="A68" s="106"/>
      <c r="B68" s="2"/>
      <c r="C68" s="110" t="s">
        <v>1027</v>
      </c>
      <c r="D68" s="127"/>
      <c r="E68" s="127"/>
      <c r="F68" s="127"/>
      <c r="G68" s="127"/>
      <c r="H68" s="127"/>
      <c r="I68" s="127"/>
      <c r="J68" s="127"/>
      <c r="K68" s="127"/>
      <c r="L68" s="127"/>
      <c r="M68" s="127"/>
      <c r="N68" s="111">
        <f>'Financial Statements'!C148</f>
        <v>33615</v>
      </c>
      <c r="O68" s="111">
        <f>'Financial Statements'!D148</f>
        <v>-70911</v>
      </c>
      <c r="P68" s="111">
        <f>'Financial Statements'!E148</f>
        <v>-186150</v>
      </c>
      <c r="Q68" s="111">
        <f>'Financial Statements'!F148</f>
        <v>-30730</v>
      </c>
      <c r="R68" s="111">
        <f>'Financial Statements'!L105</f>
        <v>-742038</v>
      </c>
      <c r="S68" s="111"/>
      <c r="T68" s="111"/>
      <c r="U68" s="111"/>
      <c r="V68" s="111"/>
      <c r="W68" s="111"/>
      <c r="X68" s="111"/>
      <c r="Y68" s="111"/>
      <c r="Z68" s="111"/>
      <c r="AA68" s="111"/>
      <c r="AB68" s="111"/>
      <c r="AC68" s="58"/>
    </row>
    <row r="69" spans="1:29" s="50" customFormat="1" ht="23.75" customHeight="1">
      <c r="A69" s="106"/>
      <c r="B69" s="2"/>
      <c r="C69" s="171" t="s">
        <v>23</v>
      </c>
      <c r="D69" s="122">
        <f t="shared" ref="D69:AB69" si="37">+D65+D68</f>
        <v>0</v>
      </c>
      <c r="E69" s="122">
        <f t="shared" si="37"/>
        <v>0</v>
      </c>
      <c r="F69" s="122">
        <f t="shared" si="37"/>
        <v>0</v>
      </c>
      <c r="G69" s="122">
        <f t="shared" si="37"/>
        <v>0</v>
      </c>
      <c r="H69" s="122">
        <f t="shared" si="37"/>
        <v>0</v>
      </c>
      <c r="I69" s="122">
        <f t="shared" si="37"/>
        <v>0</v>
      </c>
      <c r="J69" s="122">
        <f t="shared" si="37"/>
        <v>0</v>
      </c>
      <c r="K69" s="122">
        <f t="shared" si="37"/>
        <v>0</v>
      </c>
      <c r="L69" s="122">
        <f t="shared" si="37"/>
        <v>0</v>
      </c>
      <c r="M69" s="122">
        <f t="shared" si="37"/>
        <v>121987.5</v>
      </c>
      <c r="N69" s="121">
        <f t="shared" si="37"/>
        <v>-7039358.5</v>
      </c>
      <c r="O69" s="121">
        <f t="shared" si="37"/>
        <v>5626740.4000000004</v>
      </c>
      <c r="P69" s="121">
        <f t="shared" si="37"/>
        <v>123473.39999999944</v>
      </c>
      <c r="Q69" s="121">
        <f t="shared" si="37"/>
        <v>-1455151.7999999998</v>
      </c>
      <c r="R69" s="122">
        <f t="shared" si="37"/>
        <v>-1348599.25</v>
      </c>
      <c r="S69" s="122">
        <f t="shared" ca="1" si="37"/>
        <v>270810.31220891373</v>
      </c>
      <c r="T69" s="121" t="e">
        <f t="shared" ca="1" si="37"/>
        <v>#VALUE!</v>
      </c>
      <c r="U69" s="121" t="e">
        <f t="shared" ca="1" si="37"/>
        <v>#VALUE!</v>
      </c>
      <c r="V69" s="121" t="e">
        <f t="shared" ca="1" si="37"/>
        <v>#VALUE!</v>
      </c>
      <c r="W69" s="121" t="e">
        <f t="shared" ca="1" si="37"/>
        <v>#VALUE!</v>
      </c>
      <c r="X69" s="121" t="e">
        <f t="shared" ca="1" si="37"/>
        <v>#VALUE!</v>
      </c>
      <c r="Y69" s="121" t="e">
        <f t="shared" ca="1" si="37"/>
        <v>#VALUE!</v>
      </c>
      <c r="Z69" s="121" t="e">
        <f t="shared" ca="1" si="37"/>
        <v>#VALUE!</v>
      </c>
      <c r="AA69" s="121" t="e">
        <f t="shared" ca="1" si="37"/>
        <v>#VALUE!</v>
      </c>
      <c r="AB69" s="121" t="e">
        <f t="shared" ca="1" si="37"/>
        <v>#VALUE!</v>
      </c>
      <c r="AC69" s="58"/>
    </row>
    <row r="70" spans="1:29" s="50" customFormat="1" ht="23.75" customHeight="1">
      <c r="A70" s="106"/>
      <c r="B70" s="2"/>
      <c r="C70" s="136" t="s">
        <v>28</v>
      </c>
      <c r="D70" s="137" t="str">
        <f t="shared" ref="D70:AB70" si="38">+IFERROR(D69/D11,"")</f>
        <v/>
      </c>
      <c r="E70" s="137" t="str">
        <f t="shared" si="38"/>
        <v/>
      </c>
      <c r="F70" s="137" t="str">
        <f t="shared" si="38"/>
        <v/>
      </c>
      <c r="G70" s="137" t="str">
        <f t="shared" si="38"/>
        <v/>
      </c>
      <c r="H70" s="137" t="str">
        <f t="shared" si="38"/>
        <v/>
      </c>
      <c r="I70" s="137" t="str">
        <f t="shared" si="38"/>
        <v/>
      </c>
      <c r="J70" s="137" t="str">
        <f t="shared" si="38"/>
        <v/>
      </c>
      <c r="K70" s="137" t="str">
        <f t="shared" si="38"/>
        <v/>
      </c>
      <c r="L70" s="137" t="str">
        <f t="shared" si="38"/>
        <v/>
      </c>
      <c r="M70" s="137">
        <f t="shared" si="38"/>
        <v>9.549065700390065E-2</v>
      </c>
      <c r="N70" s="137">
        <f t="shared" si="38"/>
        <v>-0.89794104020642285</v>
      </c>
      <c r="O70" s="137">
        <f t="shared" si="38"/>
        <v>1.7615447710355745</v>
      </c>
      <c r="P70" s="137">
        <f t="shared" si="38"/>
        <v>3.9722711133087348E-2</v>
      </c>
      <c r="Q70" s="137">
        <f t="shared" si="38"/>
        <v>-0.2216858002433871</v>
      </c>
      <c r="R70" s="137">
        <f t="shared" si="38"/>
        <v>-0.18779253828506579</v>
      </c>
      <c r="S70" s="138">
        <f t="shared" ca="1" si="38"/>
        <v>3.9806017818533067E-2</v>
      </c>
      <c r="T70" s="138" t="str">
        <f t="shared" ca="1" si="38"/>
        <v/>
      </c>
      <c r="U70" s="138" t="str">
        <f t="shared" ca="1" si="38"/>
        <v/>
      </c>
      <c r="V70" s="138" t="str">
        <f t="shared" ca="1" si="38"/>
        <v/>
      </c>
      <c r="W70" s="138" t="str">
        <f t="shared" ca="1" si="38"/>
        <v/>
      </c>
      <c r="X70" s="138" t="str">
        <f t="shared" ca="1" si="38"/>
        <v/>
      </c>
      <c r="Y70" s="138" t="str">
        <f t="shared" ca="1" si="38"/>
        <v/>
      </c>
      <c r="Z70" s="138" t="str">
        <f t="shared" ca="1" si="38"/>
        <v/>
      </c>
      <c r="AA70" s="138" t="str">
        <f t="shared" ca="1" si="38"/>
        <v/>
      </c>
      <c r="AB70" s="138" t="str">
        <f t="shared" ca="1" si="38"/>
        <v/>
      </c>
      <c r="AC70" s="58"/>
    </row>
    <row r="71" spans="1:29" s="50" customFormat="1">
      <c r="A71" s="106"/>
      <c r="B71" s="2"/>
      <c r="C71" s="136" t="s">
        <v>1031</v>
      </c>
      <c r="D71" s="137" t="str">
        <f t="shared" ref="D71:AB71" si="39">+IFERROR(D69/D98,"")</f>
        <v/>
      </c>
      <c r="E71" s="137" t="str">
        <f t="shared" si="39"/>
        <v/>
      </c>
      <c r="F71" s="137" t="str">
        <f t="shared" si="39"/>
        <v/>
      </c>
      <c r="G71" s="137" t="str">
        <f t="shared" si="39"/>
        <v/>
      </c>
      <c r="H71" s="137" t="str">
        <f t="shared" si="39"/>
        <v/>
      </c>
      <c r="I71" s="137" t="str">
        <f t="shared" si="39"/>
        <v/>
      </c>
      <c r="J71" s="137" t="str">
        <f t="shared" si="39"/>
        <v/>
      </c>
      <c r="K71" s="137" t="str">
        <f t="shared" si="39"/>
        <v/>
      </c>
      <c r="L71" s="137" t="str">
        <f t="shared" si="39"/>
        <v/>
      </c>
      <c r="M71" s="137">
        <f t="shared" si="39"/>
        <v>0.38286232649214325</v>
      </c>
      <c r="N71" s="137">
        <f t="shared" si="39"/>
        <v>-1.9238303653610183</v>
      </c>
      <c r="O71" s="137">
        <f t="shared" si="39"/>
        <v>-2.2475483415408637</v>
      </c>
      <c r="P71" s="137">
        <f t="shared" si="39"/>
        <v>1.2498563248500139</v>
      </c>
      <c r="Q71" s="137">
        <f t="shared" si="39"/>
        <v>-0.53511076158640702</v>
      </c>
      <c r="R71" s="137">
        <f t="shared" si="39"/>
        <v>-0.9645403399155581</v>
      </c>
      <c r="S71" s="138">
        <f t="shared" ca="1" si="39"/>
        <v>0.34057025886598796</v>
      </c>
      <c r="T71" s="138" t="str">
        <f t="shared" ca="1" si="39"/>
        <v/>
      </c>
      <c r="U71" s="138" t="str">
        <f t="shared" ca="1" si="39"/>
        <v/>
      </c>
      <c r="V71" s="138" t="str">
        <f t="shared" ca="1" si="39"/>
        <v/>
      </c>
      <c r="W71" s="138" t="str">
        <f t="shared" ca="1" si="39"/>
        <v/>
      </c>
      <c r="X71" s="138" t="str">
        <f t="shared" ca="1" si="39"/>
        <v/>
      </c>
      <c r="Y71" s="138" t="str">
        <f t="shared" ca="1" si="39"/>
        <v/>
      </c>
      <c r="Z71" s="138" t="str">
        <f t="shared" ca="1" si="39"/>
        <v/>
      </c>
      <c r="AA71" s="138" t="str">
        <f t="shared" ca="1" si="39"/>
        <v/>
      </c>
      <c r="AB71" s="138" t="str">
        <f t="shared" ca="1" si="39"/>
        <v/>
      </c>
      <c r="AC71" s="58"/>
    </row>
    <row r="72" spans="1:29" s="50" customFormat="1" ht="30.25" customHeight="1">
      <c r="A72" s="106"/>
      <c r="B72" s="2"/>
      <c r="C72" s="110" t="s">
        <v>838</v>
      </c>
      <c r="D72" s="127"/>
      <c r="E72" s="127"/>
      <c r="F72" s="127"/>
      <c r="G72" s="127"/>
      <c r="H72" s="127"/>
      <c r="I72" s="127"/>
      <c r="J72" s="127"/>
      <c r="K72" s="127"/>
      <c r="L72" s="127"/>
      <c r="M72" s="127">
        <f>'Financial Statements'!C95+'Financial Statements'!C94+'Financial Statements'!C93+'Financial Statements'!C92</f>
        <v>78903</v>
      </c>
      <c r="N72" s="111">
        <f>'Financial Statements'!D95+'Financial Statements'!D94+'Financial Statements'!D93+'Financial Statements'!D92</f>
        <v>1150337</v>
      </c>
      <c r="O72" s="111">
        <f>'Financial Statements'!E95+'Financial Statements'!E94+'Financial Statements'!E93+'Financial Statements'!E92</f>
        <v>2451043</v>
      </c>
      <c r="P72" s="111">
        <f>'Financial Statements'!F95+'Financial Statements'!F94+'Financial Statements'!F93+'Financial Statements'!F92</f>
        <v>925619</v>
      </c>
      <c r="Q72" s="111">
        <f>'Financial Statements'!K92+'Financial Statements'!K91</f>
        <v>931555</v>
      </c>
      <c r="R72" s="111">
        <f>'Financial Statements'!L92+'Financial Statements'!L91</f>
        <v>839440</v>
      </c>
      <c r="S72" s="111"/>
      <c r="T72" s="111">
        <f>S72*(1+Buildup!R18)</f>
        <v>0</v>
      </c>
      <c r="U72" s="111">
        <f>T72*(1+Buildup!S18)</f>
        <v>0</v>
      </c>
      <c r="V72" s="111">
        <f>U72*(1+Buildup!T18)</f>
        <v>0</v>
      </c>
      <c r="W72" s="111">
        <f>V72*(1+Buildup!U18)</f>
        <v>0</v>
      </c>
      <c r="X72" s="111">
        <f>W72*(1+Buildup!V18)</f>
        <v>0</v>
      </c>
      <c r="Y72" s="111">
        <f>X72*(1+Buildup!W18)</f>
        <v>0</v>
      </c>
      <c r="Z72" s="111">
        <f>Y72*(1+Buildup!X18)</f>
        <v>0</v>
      </c>
      <c r="AA72" s="111">
        <f>Z72*(1+Buildup!Y18)</f>
        <v>0</v>
      </c>
      <c r="AB72" s="111">
        <f>AA72*(1+Buildup!Z18)</f>
        <v>0</v>
      </c>
      <c r="AC72" s="58"/>
    </row>
    <row r="73" spans="1:29" s="50" customFormat="1">
      <c r="A73" s="106"/>
      <c r="B73" s="2"/>
      <c r="C73" s="171" t="s">
        <v>25</v>
      </c>
      <c r="D73" s="122">
        <f t="shared" ref="D73:AB73" si="40">+D24-D27+D33-D30-(D29*D31)+D69+D32+D72</f>
        <v>0</v>
      </c>
      <c r="E73" s="122">
        <f t="shared" si="40"/>
        <v>0</v>
      </c>
      <c r="F73" s="122">
        <f t="shared" si="40"/>
        <v>0</v>
      </c>
      <c r="G73" s="122">
        <f t="shared" si="40"/>
        <v>0</v>
      </c>
      <c r="H73" s="122">
        <f t="shared" si="40"/>
        <v>0</v>
      </c>
      <c r="I73" s="122">
        <f t="shared" si="40"/>
        <v>0</v>
      </c>
      <c r="J73" s="122">
        <f t="shared" si="40"/>
        <v>0</v>
      </c>
      <c r="K73" s="122">
        <f t="shared" si="40"/>
        <v>0</v>
      </c>
      <c r="L73" s="122">
        <f t="shared" si="40"/>
        <v>0</v>
      </c>
      <c r="M73" s="122">
        <f t="shared" si="40"/>
        <v>522392.25326136802</v>
      </c>
      <c r="N73" s="121">
        <f t="shared" si="40"/>
        <v>-2209525.6524344496</v>
      </c>
      <c r="O73" s="121">
        <f t="shared" si="40"/>
        <v>5794455.0087273903</v>
      </c>
      <c r="P73" s="121">
        <f t="shared" si="40"/>
        <v>874199.47494306671</v>
      </c>
      <c r="Q73" s="121">
        <f t="shared" si="40"/>
        <v>1410021.1174232427</v>
      </c>
      <c r="R73" s="122">
        <f t="shared" si="40"/>
        <v>649855.9227429512</v>
      </c>
      <c r="S73" s="122">
        <f t="shared" ca="1" si="40"/>
        <v>927746.55056567141</v>
      </c>
      <c r="T73" s="121" t="e">
        <f t="shared" ca="1" si="40"/>
        <v>#NAME?</v>
      </c>
      <c r="U73" s="121" t="e">
        <f t="shared" ca="1" si="40"/>
        <v>#NAME?</v>
      </c>
      <c r="V73" s="121" t="e">
        <f t="shared" ca="1" si="40"/>
        <v>#NAME?</v>
      </c>
      <c r="W73" s="121" t="e">
        <f t="shared" ca="1" si="40"/>
        <v>#NAME?</v>
      </c>
      <c r="X73" s="121" t="e">
        <f t="shared" ca="1" si="40"/>
        <v>#NAME?</v>
      </c>
      <c r="Y73" s="121" t="e">
        <f t="shared" ca="1" si="40"/>
        <v>#NAME?</v>
      </c>
      <c r="Z73" s="121" t="e">
        <f t="shared" ca="1" si="40"/>
        <v>#NAME?</v>
      </c>
      <c r="AA73" s="121" t="e">
        <f t="shared" ca="1" si="40"/>
        <v>#NAME?</v>
      </c>
      <c r="AB73" s="121" t="e">
        <f t="shared" ca="1" si="40"/>
        <v>#NAME?</v>
      </c>
      <c r="AC73" s="58"/>
    </row>
    <row r="74" spans="1:29" s="50" customFormat="1" ht="45" customHeight="1">
      <c r="A74" s="106"/>
      <c r="B74" s="2"/>
      <c r="C74" s="136" t="s">
        <v>30</v>
      </c>
      <c r="D74" s="172"/>
      <c r="E74" s="172"/>
      <c r="F74" s="172"/>
      <c r="G74" s="172"/>
      <c r="H74" s="172"/>
      <c r="I74" s="172"/>
      <c r="J74" s="172"/>
      <c r="K74" s="172"/>
      <c r="L74" s="172"/>
      <c r="M74" s="172"/>
      <c r="N74" s="172"/>
      <c r="O74" s="173"/>
      <c r="P74" s="173"/>
      <c r="Q74" s="173"/>
      <c r="R74" s="173"/>
      <c r="S74" s="174" t="e">
        <f ca="1">S73/(1+$Y$113)^(S$9-$R$9)</f>
        <v>#NAME?</v>
      </c>
      <c r="T74" s="175" t="e">
        <f ca="1">T73/(1+$Y$113)^(T$9-$R$9)</f>
        <v>#NAME?</v>
      </c>
      <c r="U74" s="175" t="e">
        <f ca="1">U73/(1+$Y$113)^(U$9-$R$9)</f>
        <v>#NAME?</v>
      </c>
      <c r="V74" s="175" t="e">
        <f ca="1">V73/(1+$Y$113)^(V$9-$R$9)</f>
        <v>#NAME?</v>
      </c>
      <c r="W74" s="175" t="e">
        <f ca="1">W73/(1+$Y$113)^(W$9-$R$9)</f>
        <v>#NAME?</v>
      </c>
      <c r="X74" s="175" t="e">
        <f ca="1">IF(V108=5,0,X73/(1+$Y$113)^(X$9-$R$9))</f>
        <v>#NAME?</v>
      </c>
      <c r="Y74" s="175" t="e">
        <f ca="1">IF($V$108=5,0,Y$73/(1+$Y$113)^(Y$9-$R$9))</f>
        <v>#NAME?</v>
      </c>
      <c r="Z74" s="175" t="e">
        <f ca="1">IF($V$108=5,0,Z$73/(1+$Y$113)^(Z$9-$R$9))</f>
        <v>#NAME?</v>
      </c>
      <c r="AA74" s="175" t="e">
        <f ca="1">IF($V$108=5,0,AA$73/(1+$Y$113)^(AA$9-$R$9))</f>
        <v>#NAME?</v>
      </c>
      <c r="AB74" s="175" t="e">
        <f ca="1">IF($V$108=5,0,AB$73/(1+$Y$113)^(AB$9-$R$9))</f>
        <v>#NAME?</v>
      </c>
      <c r="AC74" s="58"/>
    </row>
    <row r="75" spans="1:29" s="50" customFormat="1">
      <c r="A75" s="106"/>
      <c r="B75" s="2"/>
      <c r="C75" s="157" t="s">
        <v>454</v>
      </c>
      <c r="D75" s="172"/>
      <c r="E75" s="172"/>
      <c r="F75" s="172"/>
      <c r="G75" s="172"/>
      <c r="H75" s="172"/>
      <c r="I75" s="172"/>
      <c r="J75" s="172"/>
      <c r="K75" s="172"/>
      <c r="L75" s="172"/>
      <c r="M75" s="172"/>
      <c r="N75" s="172"/>
      <c r="O75" s="173"/>
      <c r="P75" s="173"/>
      <c r="Q75" s="173"/>
      <c r="R75" s="173"/>
      <c r="S75" s="174"/>
      <c r="T75" s="175"/>
      <c r="U75" s="175"/>
      <c r="V75" s="175"/>
      <c r="W75" s="175"/>
      <c r="X75" s="175"/>
      <c r="Y75" s="175"/>
      <c r="Z75" s="175"/>
      <c r="AA75" s="175"/>
      <c r="AB75" s="175"/>
      <c r="AC75" s="58"/>
    </row>
    <row r="76" spans="1:29" s="50" customFormat="1">
      <c r="A76" s="106"/>
      <c r="B76" s="2"/>
      <c r="C76" s="110" t="s">
        <v>1041</v>
      </c>
      <c r="D76" s="127"/>
      <c r="E76" s="127"/>
      <c r="F76" s="127"/>
      <c r="G76" s="127"/>
      <c r="H76" s="127"/>
      <c r="I76" s="127"/>
      <c r="J76" s="127"/>
      <c r="K76" s="127"/>
      <c r="L76" s="127"/>
      <c r="M76" s="127">
        <f>'Financial Statements'!C44+'Financial Statements'!C45+'Financial Statements'!C47</f>
        <v>1141575</v>
      </c>
      <c r="N76" s="140">
        <f>'Financial Statements'!D44+'Financial Statements'!D45+'Financial Statements'!D47</f>
        <v>7254525</v>
      </c>
      <c r="O76" s="140">
        <f>'Financial Statements'!E44+'Financial Statements'!E45+'Financial Statements'!E47</f>
        <v>5312043</v>
      </c>
      <c r="P76" s="140">
        <f>'Financial Statements'!F44+'Financial Statements'!F45+'Financial Statements'!F47</f>
        <v>5738371</v>
      </c>
      <c r="Q76" s="140">
        <f>'Financial Statements'!G44+'Financial Statements'!G45+'Financial Statements'!G46</f>
        <v>9824230</v>
      </c>
      <c r="R76" s="140">
        <f>'Financial Statements'!H44+'Financial Statements'!H45+'Financial Statements'!H46</f>
        <v>11929535</v>
      </c>
      <c r="S76" s="160" t="e">
        <f t="shared" ref="S76:AB76" ca="1" si="41">+S87+S89+S90+S91+S93+S94-S77-S79-S81-S82-S83-S84-S85</f>
        <v>#NAME?</v>
      </c>
      <c r="T76" s="160" t="e">
        <f t="shared" ca="1" si="41"/>
        <v>#NAME?</v>
      </c>
      <c r="U76" s="160" t="e">
        <f t="shared" ca="1" si="41"/>
        <v>#NAME?</v>
      </c>
      <c r="V76" s="160" t="e">
        <f t="shared" ca="1" si="41"/>
        <v>#NAME?</v>
      </c>
      <c r="W76" s="160" t="e">
        <f t="shared" ca="1" si="41"/>
        <v>#NAME?</v>
      </c>
      <c r="X76" s="160" t="e">
        <f t="shared" ca="1" si="41"/>
        <v>#NAME?</v>
      </c>
      <c r="Y76" s="160" t="e">
        <f t="shared" ca="1" si="41"/>
        <v>#NAME?</v>
      </c>
      <c r="Z76" s="160" t="e">
        <f t="shared" ca="1" si="41"/>
        <v>#NAME?</v>
      </c>
      <c r="AA76" s="160" t="e">
        <f t="shared" ca="1" si="41"/>
        <v>#NAME?</v>
      </c>
      <c r="AB76" s="160" t="e">
        <f t="shared" ca="1" si="41"/>
        <v>#NAME?</v>
      </c>
      <c r="AC76" s="58"/>
    </row>
    <row r="77" spans="1:29" s="50" customFormat="1">
      <c r="A77" s="106"/>
      <c r="B77" s="2"/>
      <c r="C77" s="110" t="s">
        <v>1042</v>
      </c>
      <c r="D77" s="127"/>
      <c r="E77" s="127"/>
      <c r="F77" s="127"/>
      <c r="G77" s="127"/>
      <c r="H77" s="127"/>
      <c r="I77" s="127"/>
      <c r="J77" s="127"/>
      <c r="K77" s="127"/>
      <c r="L77" s="127"/>
      <c r="M77" s="127"/>
      <c r="N77" s="140"/>
      <c r="O77" s="140"/>
      <c r="P77" s="140"/>
      <c r="Q77" s="140"/>
      <c r="R77" s="140"/>
      <c r="S77" s="140">
        <f t="shared" ref="S77:AA77" si="42">+IFERROR(S78*S13/365,0)</f>
        <v>0</v>
      </c>
      <c r="T77" s="140">
        <f t="shared" si="42"/>
        <v>0</v>
      </c>
      <c r="U77" s="140">
        <f t="shared" si="42"/>
        <v>0</v>
      </c>
      <c r="V77" s="140">
        <f t="shared" si="42"/>
        <v>0</v>
      </c>
      <c r="W77" s="140">
        <f t="shared" si="42"/>
        <v>0</v>
      </c>
      <c r="X77" s="140">
        <f t="shared" si="42"/>
        <v>0</v>
      </c>
      <c r="Y77" s="140">
        <f t="shared" si="42"/>
        <v>0</v>
      </c>
      <c r="Z77" s="140">
        <f t="shared" si="42"/>
        <v>0</v>
      </c>
      <c r="AA77" s="140">
        <f t="shared" si="42"/>
        <v>0</v>
      </c>
      <c r="AB77" s="140"/>
      <c r="AC77" s="58"/>
    </row>
    <row r="78" spans="1:29" s="50" customFormat="1">
      <c r="A78" s="106"/>
      <c r="B78" s="2"/>
      <c r="C78" s="136" t="s">
        <v>1034</v>
      </c>
      <c r="D78" s="172" t="str">
        <f t="shared" ref="D78:Q78" si="43">IFERROR(D$77/D$13*365, "")</f>
        <v/>
      </c>
      <c r="E78" s="172" t="str">
        <f t="shared" si="43"/>
        <v/>
      </c>
      <c r="F78" s="172" t="str">
        <f t="shared" si="43"/>
        <v/>
      </c>
      <c r="G78" s="172" t="str">
        <f t="shared" si="43"/>
        <v/>
      </c>
      <c r="H78" s="172" t="str">
        <f t="shared" si="43"/>
        <v/>
      </c>
      <c r="I78" s="172" t="str">
        <f t="shared" si="43"/>
        <v/>
      </c>
      <c r="J78" s="172" t="str">
        <f t="shared" si="43"/>
        <v/>
      </c>
      <c r="K78" s="172" t="str">
        <f t="shared" si="43"/>
        <v/>
      </c>
      <c r="L78" s="172" t="str">
        <f t="shared" si="43"/>
        <v/>
      </c>
      <c r="M78" s="172" t="str">
        <f t="shared" si="43"/>
        <v/>
      </c>
      <c r="N78" s="172" t="str">
        <f t="shared" si="43"/>
        <v/>
      </c>
      <c r="O78" s="172" t="str">
        <f t="shared" si="43"/>
        <v/>
      </c>
      <c r="P78" s="172" t="str">
        <f t="shared" si="43"/>
        <v/>
      </c>
      <c r="Q78" s="172" t="str">
        <f t="shared" si="43"/>
        <v/>
      </c>
      <c r="R78" s="172" t="str">
        <f>IFERROR(R$77/R$13*365, "")</f>
        <v/>
      </c>
      <c r="S78" s="176"/>
      <c r="T78" s="176"/>
      <c r="U78" s="176"/>
      <c r="V78" s="176"/>
      <c r="W78" s="176"/>
      <c r="X78" s="176"/>
      <c r="Y78" s="176"/>
      <c r="Z78" s="176"/>
      <c r="AA78" s="176"/>
      <c r="AB78" s="176"/>
      <c r="AC78" s="58"/>
    </row>
    <row r="79" spans="1:29" s="50" customFormat="1">
      <c r="A79" s="106"/>
      <c r="B79" s="2"/>
      <c r="C79" s="110" t="s">
        <v>1033</v>
      </c>
      <c r="D79" s="127"/>
      <c r="E79" s="127"/>
      <c r="F79" s="127"/>
      <c r="G79" s="127"/>
      <c r="H79" s="127"/>
      <c r="I79" s="127"/>
      <c r="J79" s="127"/>
      <c r="K79" s="127"/>
      <c r="L79" s="127"/>
      <c r="M79" s="127">
        <f>'Financial Statements'!C48+'Financial Statements'!C49</f>
        <v>189471</v>
      </c>
      <c r="N79" s="140">
        <f>'Financial Statements'!D48+'Financial Statements'!D49</f>
        <v>457256</v>
      </c>
      <c r="O79" s="140">
        <f>'Financial Statements'!E48+'Financial Statements'!E49</f>
        <v>464817</v>
      </c>
      <c r="P79" s="140">
        <f>'Financial Statements'!F48+'Financial Statements'!F49</f>
        <v>425441</v>
      </c>
      <c r="Q79" s="140">
        <f>'Financial Statements'!G49+'Financial Statements'!G52</f>
        <v>740621</v>
      </c>
      <c r="R79" s="140">
        <f>'Financial Statements'!H49+'Financial Statements'!H52</f>
        <v>1661811</v>
      </c>
      <c r="S79" s="140">
        <f t="shared" ref="S79:AB79" ca="1" si="44">+IFERROR(S80*S11/365,0)</f>
        <v>1574321.8114622512</v>
      </c>
      <c r="T79" s="140">
        <f t="shared" ca="1" si="44"/>
        <v>0</v>
      </c>
      <c r="U79" s="140">
        <f t="shared" ca="1" si="44"/>
        <v>0</v>
      </c>
      <c r="V79" s="140">
        <f t="shared" ca="1" si="44"/>
        <v>0</v>
      </c>
      <c r="W79" s="140">
        <f t="shared" ca="1" si="44"/>
        <v>0</v>
      </c>
      <c r="X79" s="140">
        <f t="shared" ca="1" si="44"/>
        <v>0</v>
      </c>
      <c r="Y79" s="140">
        <f t="shared" ca="1" si="44"/>
        <v>0</v>
      </c>
      <c r="Z79" s="140">
        <f t="shared" ca="1" si="44"/>
        <v>0</v>
      </c>
      <c r="AA79" s="140">
        <f t="shared" ca="1" si="44"/>
        <v>0</v>
      </c>
      <c r="AB79" s="140">
        <f t="shared" ca="1" si="44"/>
        <v>0</v>
      </c>
      <c r="AC79" s="58"/>
    </row>
    <row r="80" spans="1:29" s="50" customFormat="1">
      <c r="A80" s="106"/>
      <c r="B80" s="2"/>
      <c r="C80" s="136" t="s">
        <v>1035</v>
      </c>
      <c r="D80" s="172" t="str">
        <f>IFERROR(+D79/D$11*365, "")</f>
        <v/>
      </c>
      <c r="E80" s="172" t="str">
        <f t="shared" ref="E80:Q80" si="45">IFERROR(+E79/E$11*365, "")</f>
        <v/>
      </c>
      <c r="F80" s="172" t="str">
        <f t="shared" si="45"/>
        <v/>
      </c>
      <c r="G80" s="172" t="str">
        <f t="shared" si="45"/>
        <v/>
      </c>
      <c r="H80" s="172" t="str">
        <f t="shared" si="45"/>
        <v/>
      </c>
      <c r="I80" s="172" t="str">
        <f t="shared" si="45"/>
        <v/>
      </c>
      <c r="J80" s="172" t="str">
        <f t="shared" si="45"/>
        <v/>
      </c>
      <c r="K80" s="172" t="str">
        <f t="shared" si="45"/>
        <v/>
      </c>
      <c r="L80" s="172" t="str">
        <f t="shared" si="45"/>
        <v/>
      </c>
      <c r="M80" s="172">
        <f t="shared" si="45"/>
        <v>54.13537657311538</v>
      </c>
      <c r="N80" s="172">
        <f t="shared" si="45"/>
        <v>21.289576148512573</v>
      </c>
      <c r="O80" s="172">
        <f t="shared" si="45"/>
        <v>53.114325992546512</v>
      </c>
      <c r="P80" s="172">
        <f t="shared" si="45"/>
        <v>49.957152963453986</v>
      </c>
      <c r="Q80" s="172">
        <f t="shared" si="45"/>
        <v>41.183045684753324</v>
      </c>
      <c r="R80" s="172">
        <f>IFERROR(+R79/R$11*365, "")</f>
        <v>84.463663042683635</v>
      </c>
      <c r="S80" s="177">
        <f t="shared" ref="S80:AB80" si="46">R80</f>
        <v>84.463663042683635</v>
      </c>
      <c r="T80" s="176">
        <f t="shared" si="46"/>
        <v>84.463663042683635</v>
      </c>
      <c r="U80" s="177">
        <f t="shared" si="46"/>
        <v>84.463663042683635</v>
      </c>
      <c r="V80" s="176">
        <f t="shared" si="46"/>
        <v>84.463663042683635</v>
      </c>
      <c r="W80" s="177">
        <f t="shared" si="46"/>
        <v>84.463663042683635</v>
      </c>
      <c r="X80" s="176">
        <f t="shared" si="46"/>
        <v>84.463663042683635</v>
      </c>
      <c r="Y80" s="177">
        <f t="shared" si="46"/>
        <v>84.463663042683635</v>
      </c>
      <c r="Z80" s="176">
        <f t="shared" si="46"/>
        <v>84.463663042683635</v>
      </c>
      <c r="AA80" s="176">
        <f t="shared" si="46"/>
        <v>84.463663042683635</v>
      </c>
      <c r="AB80" s="176">
        <f t="shared" si="46"/>
        <v>84.463663042683635</v>
      </c>
      <c r="AC80" s="58"/>
    </row>
    <row r="81" spans="1:54" s="50" customFormat="1">
      <c r="A81" s="106"/>
      <c r="B81" s="2"/>
      <c r="C81" s="110" t="s">
        <v>1043</v>
      </c>
      <c r="D81" s="127"/>
      <c r="E81" s="127"/>
      <c r="F81" s="127"/>
      <c r="G81" s="127"/>
      <c r="H81" s="127"/>
      <c r="I81" s="127"/>
      <c r="J81" s="127"/>
      <c r="K81" s="127"/>
      <c r="L81" s="127"/>
      <c r="M81" s="127"/>
      <c r="N81" s="140">
        <f>'Financial Statements'!D56</f>
        <v>176689</v>
      </c>
      <c r="O81" s="140">
        <f>'Financial Statements'!E56</f>
        <v>135429</v>
      </c>
      <c r="P81" s="140">
        <f>'Financial Statements'!F56</f>
        <v>86422</v>
      </c>
      <c r="Q81" s="140">
        <f>'Financial Statements'!G59</f>
        <v>46804</v>
      </c>
      <c r="R81" s="140">
        <f>'Financial Statements'!H59</f>
        <v>1397794</v>
      </c>
      <c r="S81" s="140">
        <f t="shared" ref="S81:AB81" si="47">+R81-S64</f>
        <v>1259563</v>
      </c>
      <c r="T81" s="140">
        <f t="shared" si="47"/>
        <v>1129222</v>
      </c>
      <c r="U81" s="140">
        <f t="shared" si="47"/>
        <v>1001741</v>
      </c>
      <c r="V81" s="140">
        <f t="shared" si="47"/>
        <v>877698</v>
      </c>
      <c r="W81" s="140">
        <f t="shared" si="47"/>
        <v>754174</v>
      </c>
      <c r="X81" s="140">
        <f t="shared" si="47"/>
        <v>636826.19999999995</v>
      </c>
      <c r="Y81" s="140">
        <f t="shared" si="47"/>
        <v>525345.78999999992</v>
      </c>
      <c r="Z81" s="140">
        <f t="shared" si="47"/>
        <v>419439.40049999993</v>
      </c>
      <c r="AA81" s="140">
        <f t="shared" si="47"/>
        <v>318828.33047499997</v>
      </c>
      <c r="AB81" s="140">
        <f t="shared" si="47"/>
        <v>223247.81395124999</v>
      </c>
      <c r="AC81" s="58"/>
    </row>
    <row r="82" spans="1:54" s="50" customFormat="1">
      <c r="A82" s="106"/>
      <c r="B82" s="2"/>
      <c r="C82" s="110" t="s">
        <v>47</v>
      </c>
      <c r="D82" s="127"/>
      <c r="E82" s="127"/>
      <c r="F82" s="127"/>
      <c r="G82" s="127"/>
      <c r="H82" s="127"/>
      <c r="I82" s="127"/>
      <c r="J82" s="127"/>
      <c r="K82" s="127"/>
      <c r="L82" s="127"/>
      <c r="M82" s="127">
        <f>'Financial Statements'!C55</f>
        <v>77212</v>
      </c>
      <c r="N82" s="140">
        <f>'Financial Statements'!D55</f>
        <v>625758</v>
      </c>
      <c r="O82" s="140">
        <f>'Financial Statements'!E55</f>
        <v>1073906</v>
      </c>
      <c r="P82" s="140">
        <f>'Financial Statements'!F55</f>
        <v>1139670</v>
      </c>
      <c r="Q82" s="140">
        <f>'Financial Statements'!G58</f>
        <v>1139670</v>
      </c>
      <c r="R82" s="140">
        <f>'Financial Statements'!H58</f>
        <v>4168967</v>
      </c>
      <c r="S82" s="140">
        <f t="shared" ref="S82:AB82" si="48">+R82</f>
        <v>4168967</v>
      </c>
      <c r="T82" s="140">
        <f t="shared" si="48"/>
        <v>4168967</v>
      </c>
      <c r="U82" s="140">
        <f t="shared" si="48"/>
        <v>4168967</v>
      </c>
      <c r="V82" s="140">
        <f t="shared" si="48"/>
        <v>4168967</v>
      </c>
      <c r="W82" s="140">
        <f t="shared" si="48"/>
        <v>4168967</v>
      </c>
      <c r="X82" s="140">
        <f t="shared" si="48"/>
        <v>4168967</v>
      </c>
      <c r="Y82" s="140">
        <f t="shared" si="48"/>
        <v>4168967</v>
      </c>
      <c r="Z82" s="140">
        <f t="shared" si="48"/>
        <v>4168967</v>
      </c>
      <c r="AA82" s="140">
        <f t="shared" si="48"/>
        <v>4168967</v>
      </c>
      <c r="AB82" s="140">
        <f t="shared" si="48"/>
        <v>4168967</v>
      </c>
      <c r="AC82" s="58"/>
    </row>
    <row r="83" spans="1:54" s="50" customFormat="1">
      <c r="A83" s="106"/>
      <c r="B83" s="2"/>
      <c r="C83" s="110" t="s">
        <v>1044</v>
      </c>
      <c r="D83" s="127"/>
      <c r="E83" s="127"/>
      <c r="F83" s="127"/>
      <c r="G83" s="127"/>
      <c r="H83" s="127"/>
      <c r="I83" s="127"/>
      <c r="J83" s="127"/>
      <c r="K83" s="127"/>
      <c r="L83" s="127"/>
      <c r="M83" s="127">
        <f>'Financial Statements'!C54</f>
        <v>49250</v>
      </c>
      <c r="N83" s="140">
        <f>'Financial Statements'!D54</f>
        <v>59230</v>
      </c>
      <c r="O83" s="140">
        <f>'Financial Statements'!E54</f>
        <v>171853</v>
      </c>
      <c r="P83" s="140">
        <f>'Financial Statements'!F54</f>
        <v>192550</v>
      </c>
      <c r="Q83" s="140">
        <f>'Financial Statements'!G57</f>
        <v>200080</v>
      </c>
      <c r="R83" s="140">
        <f>'Financial Statements'!H57</f>
        <v>264573</v>
      </c>
      <c r="S83" s="140">
        <f t="shared" ref="S83:AB83" ca="1" si="49">+R83-S63-S61</f>
        <v>292525.43494157167</v>
      </c>
      <c r="T83" s="140" t="e">
        <f t="shared" ca="1" si="49"/>
        <v>#NAME?</v>
      </c>
      <c r="U83" s="140" t="e">
        <f t="shared" ca="1" si="49"/>
        <v>#NAME?</v>
      </c>
      <c r="V83" s="140" t="e">
        <f t="shared" ca="1" si="49"/>
        <v>#NAME?</v>
      </c>
      <c r="W83" s="140" t="e">
        <f t="shared" ca="1" si="49"/>
        <v>#NAME?</v>
      </c>
      <c r="X83" s="140" t="e">
        <f t="shared" ca="1" si="49"/>
        <v>#NAME?</v>
      </c>
      <c r="Y83" s="140" t="e">
        <f t="shared" ca="1" si="49"/>
        <v>#NAME?</v>
      </c>
      <c r="Z83" s="140" t="e">
        <f t="shared" ca="1" si="49"/>
        <v>#NAME?</v>
      </c>
      <c r="AA83" s="140" t="e">
        <f t="shared" ca="1" si="49"/>
        <v>#NAME?</v>
      </c>
      <c r="AB83" s="140" t="e">
        <f t="shared" ca="1" si="49"/>
        <v>#NAME?</v>
      </c>
      <c r="AC83" s="58"/>
    </row>
    <row r="84" spans="1:54" s="50" customFormat="1">
      <c r="A84" s="106"/>
      <c r="B84" s="2"/>
      <c r="C84" s="110" t="s">
        <v>1036</v>
      </c>
      <c r="D84" s="127"/>
      <c r="E84" s="127"/>
      <c r="F84" s="127"/>
      <c r="G84" s="127"/>
      <c r="H84" s="127"/>
      <c r="I84" s="127"/>
      <c r="J84" s="127"/>
      <c r="K84" s="127"/>
      <c r="L84" s="127"/>
      <c r="M84" s="127">
        <f>'Financial Statements'!C46+'Financial Statements'!C50+'Financial Statements'!C53</f>
        <v>3903747</v>
      </c>
      <c r="N84" s="140">
        <f>'Financial Statements'!D46+'Financial Statements'!D50+'Financial Statements'!D53</f>
        <v>10760467</v>
      </c>
      <c r="O84" s="140">
        <f>'Financial Statements'!E46+'Financial Statements'!E50+'Financial Statements'!E53</f>
        <v>5327524</v>
      </c>
      <c r="P84" s="140">
        <f>'Financial Statements'!F46+'Financial Statements'!F50+'Financial Statements'!F53</f>
        <v>4732396</v>
      </c>
      <c r="Q84" s="140">
        <f>'Financial Statements'!G47+'Financial Statements'!G48+'Financial Statements'!G50+'Financial Statements'!G51+'Financial Statements'!G53</f>
        <v>7547802</v>
      </c>
      <c r="R84" s="140">
        <f>'Financial Statements'!H47+'Financial Statements'!H48+'Financial Statements'!H50+'Financial Statements'!H51+'Financial Statements'!H53</f>
        <v>6797099</v>
      </c>
      <c r="S84" s="140">
        <f t="shared" ref="S84:AB84" si="50">R84*1.05</f>
        <v>7136953.9500000002</v>
      </c>
      <c r="T84" s="140">
        <f t="shared" si="50"/>
        <v>7493801.6475000009</v>
      </c>
      <c r="U84" s="140">
        <f t="shared" si="50"/>
        <v>7868491.7298750011</v>
      </c>
      <c r="V84" s="140">
        <f t="shared" si="50"/>
        <v>8261916.3163687512</v>
      </c>
      <c r="W84" s="140">
        <f t="shared" si="50"/>
        <v>8675012.1321871895</v>
      </c>
      <c r="X84" s="140">
        <f t="shared" si="50"/>
        <v>9108762.7387965489</v>
      </c>
      <c r="Y84" s="140">
        <f t="shared" si="50"/>
        <v>9564200.8757363763</v>
      </c>
      <c r="Z84" s="140">
        <f t="shared" si="50"/>
        <v>10042410.919523196</v>
      </c>
      <c r="AA84" s="140">
        <f t="shared" si="50"/>
        <v>10544531.465499356</v>
      </c>
      <c r="AB84" s="140">
        <f t="shared" si="50"/>
        <v>11071758.038774325</v>
      </c>
      <c r="AC84" s="58"/>
    </row>
    <row r="85" spans="1:54" s="50" customFormat="1" ht="30.25" customHeight="1">
      <c r="A85" s="106"/>
      <c r="B85" s="2"/>
      <c r="C85" s="110" t="s">
        <v>1039</v>
      </c>
      <c r="D85" s="127"/>
      <c r="E85" s="127"/>
      <c r="F85" s="127"/>
      <c r="G85" s="127"/>
      <c r="H85" s="127"/>
      <c r="I85" s="127"/>
      <c r="J85" s="127"/>
      <c r="K85" s="127"/>
      <c r="L85" s="127"/>
      <c r="M85" s="127">
        <f>'Financial Statements'!C57+'Financial Statements'!C52</f>
        <v>433334</v>
      </c>
      <c r="N85" s="140">
        <f>'Financial Statements'!D57+'Financial Statements'!D52</f>
        <v>1940500</v>
      </c>
      <c r="O85" s="140">
        <f>'Financial Statements'!E57+'Financial Statements'!E52</f>
        <v>1826113</v>
      </c>
      <c r="P85" s="140">
        <f>'Financial Statements'!F57+'Financial Statements'!F52</f>
        <v>2085043</v>
      </c>
      <c r="Q85" s="140">
        <f>'Financial Statements'!G55+'Financial Statements'!G60+'Financial Statements'!G56</f>
        <v>3042744</v>
      </c>
      <c r="R85" s="140">
        <f>'Financial Statements'!H55+'Financial Statements'!H60+'Financial Statements'!H56</f>
        <v>2829068</v>
      </c>
      <c r="S85" s="140">
        <f t="shared" ref="S85:AB85" si="51">R85*1.05</f>
        <v>2970521.4</v>
      </c>
      <c r="T85" s="140">
        <f t="shared" si="51"/>
        <v>3119047.47</v>
      </c>
      <c r="U85" s="140">
        <f t="shared" si="51"/>
        <v>3274999.8435000004</v>
      </c>
      <c r="V85" s="140">
        <f t="shared" si="51"/>
        <v>3438749.8356750007</v>
      </c>
      <c r="W85" s="140">
        <f t="shared" si="51"/>
        <v>3610687.3274587509</v>
      </c>
      <c r="X85" s="140">
        <f t="shared" si="51"/>
        <v>3791221.6938316887</v>
      </c>
      <c r="Y85" s="140">
        <f t="shared" si="51"/>
        <v>3980782.7785232733</v>
      </c>
      <c r="Z85" s="140">
        <f t="shared" si="51"/>
        <v>4179821.9174494371</v>
      </c>
      <c r="AA85" s="140">
        <f t="shared" si="51"/>
        <v>4388813.0133219091</v>
      </c>
      <c r="AB85" s="140">
        <f t="shared" si="51"/>
        <v>4608253.6639880044</v>
      </c>
      <c r="AC85" s="58"/>
    </row>
    <row r="86" spans="1:54" s="50" customFormat="1">
      <c r="A86" s="106"/>
      <c r="B86" s="2"/>
      <c r="C86" s="178" t="s">
        <v>136</v>
      </c>
      <c r="D86" s="179">
        <f>+D76+D77+D79+D81+D82+D83+D84+D85</f>
        <v>0</v>
      </c>
      <c r="E86" s="179">
        <f t="shared" ref="E86:AB86" si="52">+E76+E77+E79+E81+E82+E83+E84+E85</f>
        <v>0</v>
      </c>
      <c r="F86" s="179">
        <f t="shared" si="52"/>
        <v>0</v>
      </c>
      <c r="G86" s="179">
        <f t="shared" si="52"/>
        <v>0</v>
      </c>
      <c r="H86" s="179">
        <f t="shared" si="52"/>
        <v>0</v>
      </c>
      <c r="I86" s="179">
        <f t="shared" si="52"/>
        <v>0</v>
      </c>
      <c r="J86" s="179">
        <f t="shared" si="52"/>
        <v>0</v>
      </c>
      <c r="K86" s="179">
        <f t="shared" si="52"/>
        <v>0</v>
      </c>
      <c r="L86" s="179">
        <f t="shared" si="52"/>
        <v>0</v>
      </c>
      <c r="M86" s="179">
        <f t="shared" si="52"/>
        <v>5794589</v>
      </c>
      <c r="N86" s="179">
        <f t="shared" si="52"/>
        <v>21274425</v>
      </c>
      <c r="O86" s="179">
        <f t="shared" si="52"/>
        <v>14311685</v>
      </c>
      <c r="P86" s="179">
        <f t="shared" si="52"/>
        <v>14399893</v>
      </c>
      <c r="Q86" s="179">
        <f t="shared" si="52"/>
        <v>22541951</v>
      </c>
      <c r="R86" s="179">
        <f t="shared" si="52"/>
        <v>29048847</v>
      </c>
      <c r="S86" s="179" t="e">
        <f t="shared" ca="1" si="52"/>
        <v>#NAME?</v>
      </c>
      <c r="T86" s="179" t="e">
        <f t="shared" ca="1" si="52"/>
        <v>#NAME?</v>
      </c>
      <c r="U86" s="179" t="e">
        <f t="shared" ca="1" si="52"/>
        <v>#NAME?</v>
      </c>
      <c r="V86" s="179" t="e">
        <f t="shared" ca="1" si="52"/>
        <v>#NAME?</v>
      </c>
      <c r="W86" s="179" t="e">
        <f t="shared" ca="1" si="52"/>
        <v>#NAME?</v>
      </c>
      <c r="X86" s="180" t="e">
        <f t="shared" ca="1" si="52"/>
        <v>#NAME?</v>
      </c>
      <c r="Y86" s="180" t="e">
        <f t="shared" ca="1" si="52"/>
        <v>#NAME?</v>
      </c>
      <c r="Z86" s="180" t="e">
        <f t="shared" ca="1" si="52"/>
        <v>#NAME?</v>
      </c>
      <c r="AA86" s="180" t="e">
        <f t="shared" ca="1" si="52"/>
        <v>#NAME?</v>
      </c>
      <c r="AB86" s="180" t="e">
        <f t="shared" ca="1" si="52"/>
        <v>#NAME?</v>
      </c>
      <c r="AC86" s="58"/>
    </row>
    <row r="87" spans="1:54" s="50" customFormat="1">
      <c r="A87" s="106"/>
      <c r="B87" s="2"/>
      <c r="C87" s="110" t="s">
        <v>1026</v>
      </c>
      <c r="D87" s="127"/>
      <c r="E87" s="127"/>
      <c r="F87" s="127"/>
      <c r="G87" s="127"/>
      <c r="H87" s="127"/>
      <c r="I87" s="127"/>
      <c r="J87" s="127"/>
      <c r="K87" s="127"/>
      <c r="L87" s="127"/>
      <c r="M87" s="127">
        <f>'Financial Statements'!C62</f>
        <v>85111</v>
      </c>
      <c r="N87" s="127">
        <f>'Financial Statements'!D62</f>
        <v>39833</v>
      </c>
      <c r="O87" s="127">
        <f>'Financial Statements'!E62</f>
        <v>56043</v>
      </c>
      <c r="P87" s="127">
        <f>'Financial Statements'!F62</f>
        <v>39294</v>
      </c>
      <c r="Q87" s="127">
        <f>'Financial Statements'!G65</f>
        <v>63316</v>
      </c>
      <c r="R87" s="127">
        <f>'Financial Statements'!H65</f>
        <v>117605</v>
      </c>
      <c r="S87" s="140">
        <f t="shared" ref="S87:AA87" ca="1" si="53">+IFERROR(S88*S11/365,0)</f>
        <v>93195.212873177734</v>
      </c>
      <c r="T87" s="127">
        <f t="shared" ca="1" si="53"/>
        <v>0</v>
      </c>
      <c r="U87" s="127">
        <f t="shared" ca="1" si="53"/>
        <v>0</v>
      </c>
      <c r="V87" s="127">
        <f t="shared" ca="1" si="53"/>
        <v>0</v>
      </c>
      <c r="W87" s="127">
        <f t="shared" ca="1" si="53"/>
        <v>0</v>
      </c>
      <c r="X87" s="127">
        <f t="shared" ca="1" si="53"/>
        <v>0</v>
      </c>
      <c r="Y87" s="127">
        <f t="shared" ca="1" si="53"/>
        <v>0</v>
      </c>
      <c r="Z87" s="127">
        <f t="shared" ca="1" si="53"/>
        <v>0</v>
      </c>
      <c r="AA87" s="127">
        <f t="shared" ca="1" si="53"/>
        <v>0</v>
      </c>
      <c r="AB87" s="127"/>
      <c r="AC87" s="58"/>
    </row>
    <row r="88" spans="1:54" s="50" customFormat="1">
      <c r="A88" s="106"/>
      <c r="B88" s="2"/>
      <c r="C88" s="136" t="s">
        <v>1054</v>
      </c>
      <c r="D88" s="172" t="str">
        <f t="shared" ref="D88:Q88" si="54">IFERROR(D$87/D$13*365, "")</f>
        <v/>
      </c>
      <c r="E88" s="172" t="str">
        <f t="shared" si="54"/>
        <v/>
      </c>
      <c r="F88" s="172" t="str">
        <f t="shared" si="54"/>
        <v/>
      </c>
      <c r="G88" s="172" t="str">
        <f t="shared" si="54"/>
        <v/>
      </c>
      <c r="H88" s="172" t="str">
        <f t="shared" si="54"/>
        <v/>
      </c>
      <c r="I88" s="172" t="str">
        <f t="shared" si="54"/>
        <v/>
      </c>
      <c r="J88" s="172" t="str">
        <f t="shared" si="54"/>
        <v/>
      </c>
      <c r="K88" s="172" t="str">
        <f t="shared" si="54"/>
        <v/>
      </c>
      <c r="L88" s="172" t="str">
        <f t="shared" si="54"/>
        <v/>
      </c>
      <c r="M88" s="172" t="str">
        <f t="shared" si="54"/>
        <v/>
      </c>
      <c r="N88" s="172" t="str">
        <f t="shared" si="54"/>
        <v/>
      </c>
      <c r="O88" s="172" t="str">
        <f t="shared" si="54"/>
        <v/>
      </c>
      <c r="P88" s="172" t="str">
        <f t="shared" si="54"/>
        <v/>
      </c>
      <c r="Q88" s="172" t="str">
        <f t="shared" si="54"/>
        <v/>
      </c>
      <c r="R88" s="172" t="str">
        <f>IFERROR(R$87/R$13*365, "")</f>
        <v/>
      </c>
      <c r="S88" s="176">
        <v>5</v>
      </c>
      <c r="T88" s="176">
        <f t="shared" ref="T88:AA88" si="55">S88</f>
        <v>5</v>
      </c>
      <c r="U88" s="176">
        <f t="shared" si="55"/>
        <v>5</v>
      </c>
      <c r="V88" s="176">
        <f t="shared" si="55"/>
        <v>5</v>
      </c>
      <c r="W88" s="176">
        <f t="shared" si="55"/>
        <v>5</v>
      </c>
      <c r="X88" s="176">
        <f t="shared" si="55"/>
        <v>5</v>
      </c>
      <c r="Y88" s="176">
        <f t="shared" si="55"/>
        <v>5</v>
      </c>
      <c r="Z88" s="176">
        <f t="shared" si="55"/>
        <v>5</v>
      </c>
      <c r="AA88" s="176">
        <f t="shared" si="55"/>
        <v>5</v>
      </c>
      <c r="AB88" s="176"/>
      <c r="AC88" s="58"/>
    </row>
    <row r="89" spans="1:54" s="50" customFormat="1">
      <c r="A89" s="106"/>
      <c r="B89" s="2"/>
      <c r="C89" s="110" t="s">
        <v>848</v>
      </c>
      <c r="D89" s="127"/>
      <c r="E89" s="127"/>
      <c r="F89" s="127"/>
      <c r="G89" s="127"/>
      <c r="H89" s="127"/>
      <c r="I89" s="127"/>
      <c r="J89" s="127"/>
      <c r="K89" s="127"/>
      <c r="L89" s="127"/>
      <c r="M89" s="127">
        <f>'Financial Statements'!C72+'Financial Statements'!C68</f>
        <v>562467</v>
      </c>
      <c r="N89" s="127">
        <f>'Financial Statements'!D72+'Financial Statements'!D68</f>
        <v>3384795</v>
      </c>
      <c r="O89" s="127">
        <f>'Financial Statements'!E72+'Financial Statements'!E68</f>
        <v>3393448</v>
      </c>
      <c r="P89" s="127">
        <f>'Financial Statements'!F72+'Financial Statements'!F68</f>
        <v>2979957</v>
      </c>
      <c r="Q89" s="127">
        <f>'Financial Statements'!G70+'Financial Statements'!G66</f>
        <v>4534191</v>
      </c>
      <c r="R89" s="127">
        <f>'Financial Statements'!H70+'Financial Statements'!H66</f>
        <v>7658724</v>
      </c>
      <c r="S89" s="127">
        <f t="shared" ref="S89:AB89" si="56">R89*1.02</f>
        <v>7811898.4800000004</v>
      </c>
      <c r="T89" s="127">
        <f t="shared" si="56"/>
        <v>7968136.4496000009</v>
      </c>
      <c r="U89" s="127">
        <f t="shared" si="56"/>
        <v>8127499.1785920011</v>
      </c>
      <c r="V89" s="127">
        <f t="shared" si="56"/>
        <v>8290049.1621638415</v>
      </c>
      <c r="W89" s="127">
        <f t="shared" si="56"/>
        <v>8455850.1454071179</v>
      </c>
      <c r="X89" s="127">
        <f t="shared" si="56"/>
        <v>8624967.1483152602</v>
      </c>
      <c r="Y89" s="127">
        <f t="shared" si="56"/>
        <v>8797466.4912815653</v>
      </c>
      <c r="Z89" s="127">
        <f t="shared" si="56"/>
        <v>8973415.8211071976</v>
      </c>
      <c r="AA89" s="127">
        <f t="shared" si="56"/>
        <v>9152884.1375293415</v>
      </c>
      <c r="AB89" s="127">
        <f t="shared" si="56"/>
        <v>9335941.8202799279</v>
      </c>
      <c r="AC89" s="58"/>
    </row>
    <row r="90" spans="1:54" s="50" customFormat="1">
      <c r="A90" s="106"/>
      <c r="B90" s="2"/>
      <c r="C90" s="110" t="s">
        <v>1037</v>
      </c>
      <c r="D90" s="127"/>
      <c r="E90" s="127"/>
      <c r="F90" s="127"/>
      <c r="G90" s="127"/>
      <c r="H90" s="127"/>
      <c r="I90" s="127"/>
      <c r="J90" s="127"/>
      <c r="K90" s="127"/>
      <c r="L90" s="127"/>
      <c r="M90" s="127">
        <f>'Financial Statements'!C61+'Financial Statements'!C63+'Financial Statements'!C64+'Financial Statements'!C65+'Financial Statements'!C67</f>
        <v>4244252</v>
      </c>
      <c r="N90" s="127">
        <f>'Financial Statements'!D61+'Financial Statements'!D63+'Financial Statements'!D64+'Financial Statements'!D65+'Financial Statements'!D67</f>
        <v>11453280</v>
      </c>
      <c r="O90" s="127">
        <f>'Financial Statements'!E61+'Financial Statements'!E63+'Financial Statements'!E64+'Financial Statements'!E65+'Financial Statements'!E67</f>
        <v>5388106</v>
      </c>
      <c r="P90" s="127">
        <f>'Financial Statements'!F61+'Financial Statements'!F63+'Financial Statements'!F64+'Financial Statements'!F65+'Financial Statements'!F67</f>
        <v>5095598</v>
      </c>
      <c r="Q90" s="127">
        <f>'Financial Statements'!G64+'Financial Statements'!G67+'Financial Statements'!G68</f>
        <v>7577894</v>
      </c>
      <c r="R90" s="127">
        <f>'Financial Statements'!H64+'Financial Statements'!H67+'Financial Statements'!H68</f>
        <v>6861987</v>
      </c>
      <c r="S90" s="127">
        <f t="shared" ref="S90:AB90" si="57">R90*1.05</f>
        <v>7205086.3500000006</v>
      </c>
      <c r="T90" s="127">
        <f t="shared" si="57"/>
        <v>7565340.6675000004</v>
      </c>
      <c r="U90" s="127">
        <f t="shared" si="57"/>
        <v>7943607.700875001</v>
      </c>
      <c r="V90" s="127">
        <f t="shared" si="57"/>
        <v>8340788.0859187515</v>
      </c>
      <c r="W90" s="127">
        <f t="shared" si="57"/>
        <v>8757827.4902146887</v>
      </c>
      <c r="X90" s="127">
        <f t="shared" si="57"/>
        <v>9195718.864725424</v>
      </c>
      <c r="Y90" s="127">
        <f t="shared" si="57"/>
        <v>9655504.8079616949</v>
      </c>
      <c r="Z90" s="127">
        <f t="shared" si="57"/>
        <v>10138280.04835978</v>
      </c>
      <c r="AA90" s="127">
        <f t="shared" si="57"/>
        <v>10645194.050777769</v>
      </c>
      <c r="AB90" s="127">
        <f t="shared" si="57"/>
        <v>11177453.753316658</v>
      </c>
      <c r="AC90" s="58"/>
    </row>
    <row r="91" spans="1:54" s="50" customFormat="1" ht="30.25" customHeight="1">
      <c r="A91" s="106"/>
      <c r="B91" s="2"/>
      <c r="C91" s="110" t="s">
        <v>1038</v>
      </c>
      <c r="D91" s="127"/>
      <c r="E91" s="127"/>
      <c r="F91" s="127"/>
      <c r="G91" s="127"/>
      <c r="H91" s="127"/>
      <c r="I91" s="127"/>
      <c r="J91" s="127"/>
      <c r="K91" s="127"/>
      <c r="L91" s="127"/>
      <c r="M91" s="127"/>
      <c r="N91" s="127">
        <f>'Financial Statements'!C69</f>
        <v>0</v>
      </c>
      <c r="O91" s="127">
        <f>'Financial Statements'!D69</f>
        <v>14828</v>
      </c>
      <c r="P91" s="127">
        <f>'Financial Statements'!E69</f>
        <v>19531</v>
      </c>
      <c r="Q91" s="127">
        <f>'Financial Statements'!G71</f>
        <v>89708</v>
      </c>
      <c r="R91" s="127">
        <f>'Financial Statements'!H71</f>
        <v>240458</v>
      </c>
      <c r="S91" s="127">
        <f t="shared" ref="S91:AB91" si="58">R91*1.02</f>
        <v>245267.16</v>
      </c>
      <c r="T91" s="127">
        <f t="shared" si="58"/>
        <v>250172.50320000001</v>
      </c>
      <c r="U91" s="127">
        <f t="shared" si="58"/>
        <v>255175.95326400001</v>
      </c>
      <c r="V91" s="127">
        <f t="shared" si="58"/>
        <v>260279.47232928002</v>
      </c>
      <c r="W91" s="127">
        <f t="shared" si="58"/>
        <v>265485.06177586562</v>
      </c>
      <c r="X91" s="127">
        <f t="shared" si="58"/>
        <v>270794.76301138295</v>
      </c>
      <c r="Y91" s="127">
        <f t="shared" si="58"/>
        <v>276210.65827161062</v>
      </c>
      <c r="Z91" s="127">
        <f t="shared" si="58"/>
        <v>281734.87143704284</v>
      </c>
      <c r="AA91" s="127">
        <f t="shared" si="58"/>
        <v>287369.56886578369</v>
      </c>
      <c r="AB91" s="127">
        <f t="shared" si="58"/>
        <v>293116.96024309937</v>
      </c>
      <c r="AC91" s="58"/>
    </row>
    <row r="92" spans="1:54" s="50" customFormat="1">
      <c r="A92" s="106"/>
      <c r="B92" s="2"/>
      <c r="C92" s="178" t="s">
        <v>285</v>
      </c>
      <c r="D92" s="179">
        <f>+D87+D89+D90+D91</f>
        <v>0</v>
      </c>
      <c r="E92" s="179">
        <f t="shared" ref="E92:AB92" si="59">+E87+E89+E90+E91</f>
        <v>0</v>
      </c>
      <c r="F92" s="179">
        <f t="shared" si="59"/>
        <v>0</v>
      </c>
      <c r="G92" s="179">
        <f t="shared" si="59"/>
        <v>0</v>
      </c>
      <c r="H92" s="179">
        <f t="shared" si="59"/>
        <v>0</v>
      </c>
      <c r="I92" s="179">
        <f t="shared" si="59"/>
        <v>0</v>
      </c>
      <c r="J92" s="179">
        <f t="shared" si="59"/>
        <v>0</v>
      </c>
      <c r="K92" s="179">
        <f t="shared" si="59"/>
        <v>0</v>
      </c>
      <c r="L92" s="179">
        <f t="shared" si="59"/>
        <v>0</v>
      </c>
      <c r="M92" s="179">
        <f t="shared" si="59"/>
        <v>4891830</v>
      </c>
      <c r="N92" s="179">
        <f t="shared" si="59"/>
        <v>14877908</v>
      </c>
      <c r="O92" s="179">
        <f t="shared" si="59"/>
        <v>8852425</v>
      </c>
      <c r="P92" s="179">
        <f t="shared" si="59"/>
        <v>8134380</v>
      </c>
      <c r="Q92" s="179">
        <f t="shared" si="59"/>
        <v>12265109</v>
      </c>
      <c r="R92" s="179">
        <f t="shared" si="59"/>
        <v>14878774</v>
      </c>
      <c r="S92" s="179">
        <f t="shared" ca="1" si="59"/>
        <v>15355447.202873178</v>
      </c>
      <c r="T92" s="179">
        <f t="shared" ca="1" si="59"/>
        <v>15783649.620300001</v>
      </c>
      <c r="U92" s="179">
        <f t="shared" ca="1" si="59"/>
        <v>16326282.832731003</v>
      </c>
      <c r="V92" s="179">
        <f t="shared" ca="1" si="59"/>
        <v>16891116.720411874</v>
      </c>
      <c r="W92" s="179">
        <f t="shared" ca="1" si="59"/>
        <v>17479162.697397675</v>
      </c>
      <c r="X92" s="121">
        <f t="shared" ca="1" si="59"/>
        <v>18091480.776052069</v>
      </c>
      <c r="Y92" s="121">
        <f t="shared" ca="1" si="59"/>
        <v>18729181.957514871</v>
      </c>
      <c r="Z92" s="121">
        <f t="shared" ca="1" si="59"/>
        <v>19393430.740904018</v>
      </c>
      <c r="AA92" s="121">
        <f t="shared" ca="1" si="59"/>
        <v>20085447.757172894</v>
      </c>
      <c r="AB92" s="121">
        <f t="shared" si="59"/>
        <v>20806512.533839684</v>
      </c>
      <c r="AC92" s="58"/>
    </row>
    <row r="93" spans="1:54" s="50" customFormat="1">
      <c r="A93" s="106"/>
      <c r="B93" s="2"/>
      <c r="C93" s="110" t="s">
        <v>1045</v>
      </c>
      <c r="D93" s="127"/>
      <c r="E93" s="127"/>
      <c r="F93" s="127"/>
      <c r="G93" s="127"/>
      <c r="H93" s="127"/>
      <c r="I93" s="127"/>
      <c r="J93" s="127"/>
      <c r="K93" s="127"/>
      <c r="L93" s="127"/>
      <c r="M93" s="127">
        <f>'Financial Statements'!C79</f>
        <v>963584</v>
      </c>
      <c r="N93" s="127">
        <f>'Financial Statements'!D79</f>
        <v>6381689</v>
      </c>
      <c r="O93" s="127">
        <f>'Financial Statements'!E79</f>
        <v>5454557</v>
      </c>
      <c r="P93" s="127">
        <f>'Financial Statements'!F79</f>
        <v>6281649</v>
      </c>
      <c r="Q93" s="127">
        <f>'Financial Statements'!G81</f>
        <v>10276842</v>
      </c>
      <c r="R93" s="127">
        <f>'Financial Statements'!H81</f>
        <v>14793058</v>
      </c>
      <c r="S93" s="181" t="e">
        <f t="shared" ref="S93:AB93" ca="1" si="60">R93+S34+S37-(S49*S39)</f>
        <v>#NAME?</v>
      </c>
      <c r="T93" s="181" t="e">
        <f t="shared" ca="1" si="60"/>
        <v>#NAME?</v>
      </c>
      <c r="U93" s="181" t="e">
        <f t="shared" ca="1" si="60"/>
        <v>#NAME?</v>
      </c>
      <c r="V93" s="181" t="e">
        <f t="shared" ca="1" si="60"/>
        <v>#NAME?</v>
      </c>
      <c r="W93" s="181" t="e">
        <f t="shared" ca="1" si="60"/>
        <v>#NAME?</v>
      </c>
      <c r="X93" s="181" t="e">
        <f t="shared" ca="1" si="60"/>
        <v>#NAME?</v>
      </c>
      <c r="Y93" s="181" t="e">
        <f t="shared" ca="1" si="60"/>
        <v>#NAME?</v>
      </c>
      <c r="Z93" s="181" t="e">
        <f t="shared" ca="1" si="60"/>
        <v>#NAME?</v>
      </c>
      <c r="AA93" s="181" t="e">
        <f t="shared" ca="1" si="60"/>
        <v>#NAME?</v>
      </c>
      <c r="AB93" s="181" t="e">
        <f t="shared" ca="1" si="60"/>
        <v>#NAME?</v>
      </c>
      <c r="AC93" s="58"/>
    </row>
    <row r="94" spans="1:54" s="50" customFormat="1" ht="30.25" customHeight="1">
      <c r="A94" s="106"/>
      <c r="B94" s="2"/>
      <c r="C94" s="110" t="s">
        <v>1040</v>
      </c>
      <c r="D94" s="127"/>
      <c r="E94" s="127"/>
      <c r="F94" s="127"/>
      <c r="G94" s="127"/>
      <c r="H94" s="127"/>
      <c r="I94" s="127"/>
      <c r="J94" s="127"/>
      <c r="K94" s="127"/>
      <c r="L94" s="127"/>
      <c r="M94" s="127"/>
      <c r="N94" s="127"/>
      <c r="O94" s="127"/>
      <c r="P94" s="127"/>
      <c r="Q94" s="127"/>
      <c r="R94" s="127"/>
      <c r="S94" s="127"/>
      <c r="T94" s="127"/>
      <c r="U94" s="127"/>
      <c r="V94" s="127"/>
      <c r="W94" s="127"/>
      <c r="X94" s="127"/>
      <c r="Y94" s="127"/>
      <c r="Z94" s="127"/>
      <c r="AA94" s="127"/>
      <c r="AB94" s="127"/>
      <c r="AC94" s="58"/>
    </row>
    <row r="95" spans="1:54" s="50" customFormat="1" ht="45" customHeight="1">
      <c r="A95" s="106"/>
      <c r="B95" s="2"/>
      <c r="C95" s="178" t="s">
        <v>375</v>
      </c>
      <c r="D95" s="179">
        <f>+D93+D94</f>
        <v>0</v>
      </c>
      <c r="E95" s="179">
        <f t="shared" ref="E95:W95" si="61">+E93+E94</f>
        <v>0</v>
      </c>
      <c r="F95" s="179">
        <f t="shared" si="61"/>
        <v>0</v>
      </c>
      <c r="G95" s="179">
        <f t="shared" si="61"/>
        <v>0</v>
      </c>
      <c r="H95" s="179">
        <f t="shared" si="61"/>
        <v>0</v>
      </c>
      <c r="I95" s="179">
        <f t="shared" si="61"/>
        <v>0</v>
      </c>
      <c r="J95" s="179">
        <f t="shared" si="61"/>
        <v>0</v>
      </c>
      <c r="K95" s="179">
        <f t="shared" si="61"/>
        <v>0</v>
      </c>
      <c r="L95" s="179">
        <f t="shared" si="61"/>
        <v>0</v>
      </c>
      <c r="M95" s="179">
        <f t="shared" si="61"/>
        <v>963584</v>
      </c>
      <c r="N95" s="179">
        <f t="shared" si="61"/>
        <v>6381689</v>
      </c>
      <c r="O95" s="179">
        <f t="shared" si="61"/>
        <v>5454557</v>
      </c>
      <c r="P95" s="179">
        <f t="shared" si="61"/>
        <v>6281649</v>
      </c>
      <c r="Q95" s="179">
        <f t="shared" si="61"/>
        <v>10276842</v>
      </c>
      <c r="R95" s="179">
        <f t="shared" si="61"/>
        <v>14793058</v>
      </c>
      <c r="S95" s="179" t="e">
        <f t="shared" ca="1" si="61"/>
        <v>#NAME?</v>
      </c>
      <c r="T95" s="179" t="e">
        <f t="shared" ca="1" si="61"/>
        <v>#NAME?</v>
      </c>
      <c r="U95" s="179" t="e">
        <f t="shared" ca="1" si="61"/>
        <v>#NAME?</v>
      </c>
      <c r="V95" s="179" t="e">
        <f t="shared" ca="1" si="61"/>
        <v>#NAME?</v>
      </c>
      <c r="W95" s="179" t="e">
        <f t="shared" ca="1" si="61"/>
        <v>#NAME?</v>
      </c>
      <c r="X95" s="180" t="e">
        <f ca="1">+X93+X94</f>
        <v>#NAME?</v>
      </c>
      <c r="Y95" s="180" t="e">
        <f ca="1">+Y93+Y94</f>
        <v>#NAME?</v>
      </c>
      <c r="Z95" s="180" t="e">
        <f ca="1">+Z93+Z94</f>
        <v>#NAME?</v>
      </c>
      <c r="AA95" s="180" t="e">
        <f ca="1">+AA93+AA94</f>
        <v>#NAME?</v>
      </c>
      <c r="AB95" s="180" t="e">
        <f ca="1">+AB93+AB94</f>
        <v>#NAME?</v>
      </c>
      <c r="AC95" s="182" t="str">
        <f t="shared" ref="AC95:BB95" si="62">+IF((AC96-$R$97) &gt; ($V$108 + LENGTH), "Stage III",IF((AC96-$R$97) &gt; $V$108, "Stage II","Stage I"))</f>
        <v>Stage II</v>
      </c>
      <c r="AD95" s="183" t="str">
        <f t="shared" si="62"/>
        <v>Stage III</v>
      </c>
      <c r="AE95" s="183" t="str">
        <f t="shared" si="62"/>
        <v>Stage III</v>
      </c>
      <c r="AF95" s="183" t="str">
        <f t="shared" si="62"/>
        <v>Stage III</v>
      </c>
      <c r="AG95" s="183" t="str">
        <f t="shared" si="62"/>
        <v>Stage III</v>
      </c>
      <c r="AH95" s="183" t="str">
        <f t="shared" si="62"/>
        <v>Stage III</v>
      </c>
      <c r="AI95" s="183" t="str">
        <f t="shared" si="62"/>
        <v>Stage III</v>
      </c>
      <c r="AJ95" s="183" t="str">
        <f t="shared" si="62"/>
        <v>Stage III</v>
      </c>
      <c r="AK95" s="183" t="str">
        <f t="shared" si="62"/>
        <v>Stage III</v>
      </c>
      <c r="AL95" s="183" t="str">
        <f t="shared" si="62"/>
        <v>Stage III</v>
      </c>
      <c r="AM95" s="183" t="str">
        <f t="shared" si="62"/>
        <v>Stage III</v>
      </c>
      <c r="AN95" s="183" t="str">
        <f t="shared" si="62"/>
        <v>Stage III</v>
      </c>
      <c r="AO95" s="183" t="str">
        <f t="shared" si="62"/>
        <v>Stage III</v>
      </c>
      <c r="AP95" s="183" t="str">
        <f t="shared" si="62"/>
        <v>Stage III</v>
      </c>
      <c r="AQ95" s="183" t="str">
        <f t="shared" si="62"/>
        <v>Stage III</v>
      </c>
      <c r="AR95" s="183" t="str">
        <f t="shared" si="62"/>
        <v>Stage III</v>
      </c>
      <c r="AS95" s="183" t="str">
        <f t="shared" si="62"/>
        <v>Stage III</v>
      </c>
      <c r="AT95" s="183" t="str">
        <f t="shared" si="62"/>
        <v>Stage III</v>
      </c>
      <c r="AU95" s="183" t="str">
        <f t="shared" si="62"/>
        <v>Stage III</v>
      </c>
      <c r="AV95" s="183" t="str">
        <f t="shared" si="62"/>
        <v>Stage III</v>
      </c>
      <c r="AW95" s="183" t="str">
        <f t="shared" si="62"/>
        <v>Stage III</v>
      </c>
      <c r="AX95" s="183" t="str">
        <f t="shared" si="62"/>
        <v>Stage III</v>
      </c>
      <c r="AY95" s="183" t="str">
        <f t="shared" si="62"/>
        <v>Stage III</v>
      </c>
      <c r="AZ95" s="183" t="str">
        <f t="shared" si="62"/>
        <v>Stage III</v>
      </c>
      <c r="BA95" s="183" t="str">
        <f t="shared" si="62"/>
        <v>Stage III</v>
      </c>
      <c r="BB95" s="183" t="str">
        <f t="shared" si="62"/>
        <v>Stage III</v>
      </c>
    </row>
    <row r="96" spans="1:54" s="50" customFormat="1">
      <c r="A96" s="106"/>
      <c r="B96" s="2"/>
      <c r="C96" s="98"/>
      <c r="D96" s="184" t="s">
        <v>85</v>
      </c>
      <c r="E96" s="184" t="s">
        <v>85</v>
      </c>
      <c r="F96" s="184" t="s">
        <v>85</v>
      </c>
      <c r="G96" s="184" t="s">
        <v>85</v>
      </c>
      <c r="H96" s="184" t="s">
        <v>85</v>
      </c>
      <c r="I96" s="184" t="s">
        <v>85</v>
      </c>
      <c r="J96" s="184" t="s">
        <v>85</v>
      </c>
      <c r="K96" s="184" t="s">
        <v>85</v>
      </c>
      <c r="L96" s="184" t="s">
        <v>85</v>
      </c>
      <c r="M96" s="184" t="s">
        <v>85</v>
      </c>
      <c r="N96" s="184" t="s">
        <v>85</v>
      </c>
      <c r="O96" s="184" t="s">
        <v>85</v>
      </c>
      <c r="P96" s="184" t="s">
        <v>85</v>
      </c>
      <c r="Q96" s="184" t="s">
        <v>85</v>
      </c>
      <c r="R96" s="184" t="s">
        <v>85</v>
      </c>
      <c r="S96" s="185" t="s">
        <v>86</v>
      </c>
      <c r="T96" s="185" t="s">
        <v>86</v>
      </c>
      <c r="U96" s="185" t="s">
        <v>86</v>
      </c>
      <c r="V96" s="185" t="s">
        <v>86</v>
      </c>
      <c r="W96" s="185" t="s">
        <v>86</v>
      </c>
      <c r="X96" s="185" t="str">
        <f>+IF((X97-$R$97) &gt; ($V$108 + LENGTH), "Stage III",IF((X97-$R$97) &gt; $V$108, "Stage II","Stage I"))</f>
        <v>Stage I</v>
      </c>
      <c r="Y96" s="185" t="str">
        <f>+IF((Y97-$R$97) &gt; ($V$108 + LENGTH), "Stage III",IF((Y97-$R$97) &gt; $V$108, "Stage II","Stage I"))</f>
        <v>Stage I</v>
      </c>
      <c r="Z96" s="185" t="str">
        <f>+IF((Z97-$R$97) &gt; ($V$108 + LENGTH), "Stage III",IF((Z97-$R$97) &gt; $V$108, "Stage II","Stage I"))</f>
        <v>Stage I</v>
      </c>
      <c r="AA96" s="185" t="str">
        <f>+IF((AA97-$R$97) &gt; ($V$108 + LENGTH), "Stage III",IF((AA97-$R$97) &gt; $V$108, "Stage II","Stage I"))</f>
        <v>Stage I</v>
      </c>
      <c r="AB96" s="185" t="str">
        <f>+IF((AB97-$R$97) &gt; ($V$108 + LENGTH), "Stage III",IF((AB97-$R$97) &gt; $V$108, "Stage II","Stage I"))</f>
        <v>Stage I</v>
      </c>
      <c r="AC96" s="186">
        <f>AB97+1</f>
        <v>2036</v>
      </c>
      <c r="AD96" s="187">
        <f t="shared" ref="AD96:BB96" si="63">AC96+1</f>
        <v>2037</v>
      </c>
      <c r="AE96" s="187">
        <f t="shared" si="63"/>
        <v>2038</v>
      </c>
      <c r="AF96" s="187">
        <f t="shared" si="63"/>
        <v>2039</v>
      </c>
      <c r="AG96" s="187">
        <f t="shared" si="63"/>
        <v>2040</v>
      </c>
      <c r="AH96" s="187">
        <f t="shared" si="63"/>
        <v>2041</v>
      </c>
      <c r="AI96" s="187">
        <f t="shared" si="63"/>
        <v>2042</v>
      </c>
      <c r="AJ96" s="187">
        <f t="shared" si="63"/>
        <v>2043</v>
      </c>
      <c r="AK96" s="187">
        <f t="shared" si="63"/>
        <v>2044</v>
      </c>
      <c r="AL96" s="187">
        <f t="shared" si="63"/>
        <v>2045</v>
      </c>
      <c r="AM96" s="187">
        <f t="shared" si="63"/>
        <v>2046</v>
      </c>
      <c r="AN96" s="187">
        <f t="shared" si="63"/>
        <v>2047</v>
      </c>
      <c r="AO96" s="187">
        <f t="shared" si="63"/>
        <v>2048</v>
      </c>
      <c r="AP96" s="187">
        <f t="shared" si="63"/>
        <v>2049</v>
      </c>
      <c r="AQ96" s="187">
        <f t="shared" si="63"/>
        <v>2050</v>
      </c>
      <c r="AR96" s="187">
        <f t="shared" si="63"/>
        <v>2051</v>
      </c>
      <c r="AS96" s="187">
        <f t="shared" si="63"/>
        <v>2052</v>
      </c>
      <c r="AT96" s="187">
        <f t="shared" si="63"/>
        <v>2053</v>
      </c>
      <c r="AU96" s="187">
        <f t="shared" si="63"/>
        <v>2054</v>
      </c>
      <c r="AV96" s="187">
        <f t="shared" si="63"/>
        <v>2055</v>
      </c>
      <c r="AW96" s="187">
        <f t="shared" si="63"/>
        <v>2056</v>
      </c>
      <c r="AX96" s="187">
        <f t="shared" si="63"/>
        <v>2057</v>
      </c>
      <c r="AY96" s="187">
        <f t="shared" si="63"/>
        <v>2058</v>
      </c>
      <c r="AZ96" s="187">
        <f t="shared" si="63"/>
        <v>2059</v>
      </c>
      <c r="BA96" s="187">
        <f t="shared" si="63"/>
        <v>2060</v>
      </c>
      <c r="BB96" s="187">
        <f t="shared" si="63"/>
        <v>2061</v>
      </c>
    </row>
    <row r="97" spans="1:54" s="50" customFormat="1">
      <c r="A97" s="106"/>
      <c r="B97" s="2"/>
      <c r="C97" s="98"/>
      <c r="D97" s="188">
        <f t="shared" ref="D97:AB97" si="64">D9</f>
        <v>2011</v>
      </c>
      <c r="E97" s="188">
        <f t="shared" si="64"/>
        <v>2012</v>
      </c>
      <c r="F97" s="188">
        <f t="shared" si="64"/>
        <v>2013</v>
      </c>
      <c r="G97" s="188">
        <f t="shared" si="64"/>
        <v>2014</v>
      </c>
      <c r="H97" s="188">
        <f t="shared" si="64"/>
        <v>2015</v>
      </c>
      <c r="I97" s="188">
        <f t="shared" si="64"/>
        <v>2016</v>
      </c>
      <c r="J97" s="188">
        <f t="shared" si="64"/>
        <v>2017</v>
      </c>
      <c r="K97" s="188">
        <f t="shared" si="64"/>
        <v>2018</v>
      </c>
      <c r="L97" s="188">
        <f t="shared" si="64"/>
        <v>2019</v>
      </c>
      <c r="M97" s="188">
        <f t="shared" si="64"/>
        <v>2020</v>
      </c>
      <c r="N97" s="188">
        <f t="shared" si="64"/>
        <v>2021</v>
      </c>
      <c r="O97" s="188">
        <f t="shared" si="64"/>
        <v>2022</v>
      </c>
      <c r="P97" s="188">
        <f t="shared" si="64"/>
        <v>2023</v>
      </c>
      <c r="Q97" s="188">
        <f t="shared" si="64"/>
        <v>2024</v>
      </c>
      <c r="R97" s="188">
        <f t="shared" si="64"/>
        <v>2025</v>
      </c>
      <c r="S97" s="188">
        <f t="shared" si="64"/>
        <v>2026</v>
      </c>
      <c r="T97" s="188">
        <f t="shared" si="64"/>
        <v>2027</v>
      </c>
      <c r="U97" s="188">
        <f t="shared" si="64"/>
        <v>2028</v>
      </c>
      <c r="V97" s="188">
        <f t="shared" si="64"/>
        <v>2029</v>
      </c>
      <c r="W97" s="188">
        <f t="shared" si="64"/>
        <v>2030</v>
      </c>
      <c r="X97" s="188">
        <f t="shared" si="64"/>
        <v>2031</v>
      </c>
      <c r="Y97" s="188">
        <f t="shared" si="64"/>
        <v>2032</v>
      </c>
      <c r="Z97" s="188">
        <f t="shared" si="64"/>
        <v>2033</v>
      </c>
      <c r="AA97" s="188">
        <f t="shared" si="64"/>
        <v>2034</v>
      </c>
      <c r="AB97" s="188">
        <f t="shared" si="64"/>
        <v>2035</v>
      </c>
      <c r="AC97" s="189" t="e">
        <f ca="1">IF(AC95="Stage I",+AC28+AC63-AC30+AC32+AC33-(AC29*AC31),IF(AC95="Stage II",AB98*(1+$V106),AB98*$V107))</f>
        <v>#NAME?</v>
      </c>
      <c r="AD97" s="190" t="e">
        <f t="shared" ref="AD97:BB97" ca="1" si="65">IF(AD95="Stage I",+AD28+AD63-AD30+AD32+AD33-(AD29*AD31),IF(AD95="Stage II",AC97*(1+$V106),AC97*$V107))</f>
        <v>#NAME?</v>
      </c>
      <c r="AE97" s="190" t="e">
        <f t="shared" ca="1" si="65"/>
        <v>#NAME?</v>
      </c>
      <c r="AF97" s="190" t="e">
        <f t="shared" ca="1" si="65"/>
        <v>#NAME?</v>
      </c>
      <c r="AG97" s="190" t="e">
        <f t="shared" ca="1" si="65"/>
        <v>#NAME?</v>
      </c>
      <c r="AH97" s="190" t="e">
        <f t="shared" ca="1" si="65"/>
        <v>#NAME?</v>
      </c>
      <c r="AI97" s="190" t="e">
        <f t="shared" ca="1" si="65"/>
        <v>#NAME?</v>
      </c>
      <c r="AJ97" s="190" t="e">
        <f t="shared" ca="1" si="65"/>
        <v>#NAME?</v>
      </c>
      <c r="AK97" s="190" t="e">
        <f t="shared" ca="1" si="65"/>
        <v>#NAME?</v>
      </c>
      <c r="AL97" s="190" t="e">
        <f t="shared" ca="1" si="65"/>
        <v>#NAME?</v>
      </c>
      <c r="AM97" s="190" t="e">
        <f t="shared" ca="1" si="65"/>
        <v>#NAME?</v>
      </c>
      <c r="AN97" s="190" t="e">
        <f t="shared" ca="1" si="65"/>
        <v>#NAME?</v>
      </c>
      <c r="AO97" s="190" t="e">
        <f t="shared" ca="1" si="65"/>
        <v>#NAME?</v>
      </c>
      <c r="AP97" s="190" t="e">
        <f t="shared" ca="1" si="65"/>
        <v>#NAME?</v>
      </c>
      <c r="AQ97" s="190" t="e">
        <f t="shared" ca="1" si="65"/>
        <v>#NAME?</v>
      </c>
      <c r="AR97" s="190" t="e">
        <f t="shared" ca="1" si="65"/>
        <v>#NAME?</v>
      </c>
      <c r="AS97" s="190" t="e">
        <f t="shared" ca="1" si="65"/>
        <v>#NAME?</v>
      </c>
      <c r="AT97" s="190" t="e">
        <f t="shared" ca="1" si="65"/>
        <v>#NAME?</v>
      </c>
      <c r="AU97" s="190" t="e">
        <f t="shared" ca="1" si="65"/>
        <v>#NAME?</v>
      </c>
      <c r="AV97" s="190" t="e">
        <f t="shared" ca="1" si="65"/>
        <v>#NAME?</v>
      </c>
      <c r="AW97" s="190" t="e">
        <f t="shared" ca="1" si="65"/>
        <v>#NAME?</v>
      </c>
      <c r="AX97" s="190" t="e">
        <f t="shared" ca="1" si="65"/>
        <v>#NAME?</v>
      </c>
      <c r="AY97" s="190" t="e">
        <f t="shared" ca="1" si="65"/>
        <v>#NAME?</v>
      </c>
      <c r="AZ97" s="190" t="e">
        <f t="shared" ca="1" si="65"/>
        <v>#NAME?</v>
      </c>
      <c r="BA97" s="190" t="e">
        <f t="shared" ca="1" si="65"/>
        <v>#NAME?</v>
      </c>
      <c r="BB97" s="190" t="e">
        <f t="shared" ca="1" si="65"/>
        <v>#NAME?</v>
      </c>
    </row>
    <row r="98" spans="1:54" s="50" customFormat="1">
      <c r="A98" s="106"/>
      <c r="B98" s="2"/>
      <c r="C98" s="141" t="s">
        <v>26</v>
      </c>
      <c r="D98" s="191">
        <f t="shared" ref="D98:W98" si="66">+D28+D64-D30+D32+D33-(D29*D31)</f>
        <v>0</v>
      </c>
      <c r="E98" s="191">
        <f t="shared" si="66"/>
        <v>0</v>
      </c>
      <c r="F98" s="191">
        <f t="shared" si="66"/>
        <v>0</v>
      </c>
      <c r="G98" s="191">
        <f t="shared" si="66"/>
        <v>0</v>
      </c>
      <c r="H98" s="191">
        <f t="shared" si="66"/>
        <v>0</v>
      </c>
      <c r="I98" s="191">
        <f t="shared" si="66"/>
        <v>0</v>
      </c>
      <c r="J98" s="191">
        <f t="shared" si="66"/>
        <v>0</v>
      </c>
      <c r="K98" s="191">
        <f t="shared" si="66"/>
        <v>0</v>
      </c>
      <c r="L98" s="191">
        <f t="shared" si="66"/>
        <v>0</v>
      </c>
      <c r="M98" s="191">
        <f t="shared" si="66"/>
        <v>318619.75326136802</v>
      </c>
      <c r="N98" s="191">
        <f t="shared" si="66"/>
        <v>3659032.8475655504</v>
      </c>
      <c r="O98" s="191">
        <f t="shared" si="66"/>
        <v>-2503501.3912726105</v>
      </c>
      <c r="P98" s="191">
        <f t="shared" si="66"/>
        <v>98790.074943067215</v>
      </c>
      <c r="Q98" s="191">
        <f t="shared" si="66"/>
        <v>2719346.9174232427</v>
      </c>
      <c r="R98" s="192">
        <f t="shared" si="66"/>
        <v>1398178.1727429512</v>
      </c>
      <c r="S98" s="192">
        <f t="shared" ca="1" si="66"/>
        <v>795167.23835675768</v>
      </c>
      <c r="T98" s="191" t="e">
        <f t="shared" ca="1" si="66"/>
        <v>#NAME?</v>
      </c>
      <c r="U98" s="191" t="e">
        <f t="shared" ca="1" si="66"/>
        <v>#NAME?</v>
      </c>
      <c r="V98" s="191" t="e">
        <f t="shared" ca="1" si="66"/>
        <v>#NAME?</v>
      </c>
      <c r="W98" s="191" t="e">
        <f t="shared" ca="1" si="66"/>
        <v>#NAME?</v>
      </c>
      <c r="X98" s="191" t="e">
        <f ca="1">IF(X96="Stage I",+X28+X64-X30+X32+X33-(X29*X31),IF(X96="Stage II",W98*(1+$V106),W98*$V107))</f>
        <v>#NAME?</v>
      </c>
      <c r="Y98" s="191" t="e">
        <f ca="1">IF(Y96="Stage I",+Y28+Y64-Y30+Y32+Y33-(Y29*Y31),IF(Y96="Stage II",X98*(1+$V106),X98*$V107))</f>
        <v>#NAME?</v>
      </c>
      <c r="Z98" s="191" t="e">
        <f ca="1">IF(Z96="Stage I",+Z28+Z64-Z30+Z32+Z33-(Z29*Z31),IF(Z96="Stage II",Y98*(1+$V106),Y98*$V107))</f>
        <v>#NAME?</v>
      </c>
      <c r="AA98" s="191" t="e">
        <f ca="1">IF(AA96="Stage I",+AA28+AA64-AA30+AA32+AA33-(AA29*AA31),IF(AA96="Stage II",Z98*(1+$V106),Z98*$V107))</f>
        <v>#NAME?</v>
      </c>
      <c r="AB98" s="191" t="e">
        <f ca="1">IF(AB96="Stage I",+AB28+AB64-AB30+AB32+AB33-(AB29*AB31),IF(AB96="Stage II",AA98*(1+$V106),AA98*$V107))</f>
        <v>#NAME?</v>
      </c>
      <c r="AC98" s="193" t="e">
        <f t="shared" ref="AC98:BB98" ca="1" si="67">IF(AC95="Stage I",AC68+AC63,IF(AC95="Stage II",-AC97*($V106/$V104),-AC97*($V107/$Y113)))</f>
        <v>#NAME?</v>
      </c>
      <c r="AD98" s="190" t="e">
        <f t="shared" ca="1" si="67"/>
        <v>#NAME?</v>
      </c>
      <c r="AE98" s="190" t="e">
        <f t="shared" ca="1" si="67"/>
        <v>#NAME?</v>
      </c>
      <c r="AF98" s="190" t="e">
        <f t="shared" ca="1" si="67"/>
        <v>#NAME?</v>
      </c>
      <c r="AG98" s="190" t="e">
        <f t="shared" ca="1" si="67"/>
        <v>#NAME?</v>
      </c>
      <c r="AH98" s="190" t="e">
        <f t="shared" ca="1" si="67"/>
        <v>#NAME?</v>
      </c>
      <c r="AI98" s="190" t="e">
        <f t="shared" ca="1" si="67"/>
        <v>#NAME?</v>
      </c>
      <c r="AJ98" s="190" t="e">
        <f t="shared" ca="1" si="67"/>
        <v>#NAME?</v>
      </c>
      <c r="AK98" s="190" t="e">
        <f t="shared" ca="1" si="67"/>
        <v>#NAME?</v>
      </c>
      <c r="AL98" s="190" t="e">
        <f t="shared" ca="1" si="67"/>
        <v>#NAME?</v>
      </c>
      <c r="AM98" s="190" t="e">
        <f t="shared" ca="1" si="67"/>
        <v>#NAME?</v>
      </c>
      <c r="AN98" s="190" t="e">
        <f t="shared" ca="1" si="67"/>
        <v>#NAME?</v>
      </c>
      <c r="AO98" s="190" t="e">
        <f t="shared" ca="1" si="67"/>
        <v>#NAME?</v>
      </c>
      <c r="AP98" s="190" t="e">
        <f t="shared" ca="1" si="67"/>
        <v>#NAME?</v>
      </c>
      <c r="AQ98" s="190" t="e">
        <f t="shared" ca="1" si="67"/>
        <v>#NAME?</v>
      </c>
      <c r="AR98" s="190" t="e">
        <f t="shared" ca="1" si="67"/>
        <v>#NAME?</v>
      </c>
      <c r="AS98" s="190" t="e">
        <f t="shared" ca="1" si="67"/>
        <v>#NAME?</v>
      </c>
      <c r="AT98" s="190" t="e">
        <f t="shared" ca="1" si="67"/>
        <v>#NAME?</v>
      </c>
      <c r="AU98" s="190" t="e">
        <f t="shared" ca="1" si="67"/>
        <v>#NAME?</v>
      </c>
      <c r="AV98" s="190" t="e">
        <f t="shared" ca="1" si="67"/>
        <v>#NAME?</v>
      </c>
      <c r="AW98" s="190" t="e">
        <f t="shared" ca="1" si="67"/>
        <v>#NAME?</v>
      </c>
      <c r="AX98" s="190" t="e">
        <f t="shared" ca="1" si="67"/>
        <v>#NAME?</v>
      </c>
      <c r="AY98" s="190" t="e">
        <f t="shared" ca="1" si="67"/>
        <v>#NAME?</v>
      </c>
      <c r="AZ98" s="190" t="e">
        <f t="shared" ca="1" si="67"/>
        <v>#NAME?</v>
      </c>
      <c r="BA98" s="190" t="e">
        <f t="shared" ca="1" si="67"/>
        <v>#NAME?</v>
      </c>
      <c r="BB98" s="190" t="e">
        <f t="shared" ca="1" si="67"/>
        <v>#NAME?</v>
      </c>
    </row>
    <row r="99" spans="1:54" s="50" customFormat="1">
      <c r="A99" s="106"/>
      <c r="B99" s="2"/>
      <c r="C99" s="141" t="s">
        <v>1071</v>
      </c>
      <c r="D99" s="192">
        <f>D69-D64</f>
        <v>0</v>
      </c>
      <c r="E99" s="192">
        <f t="shared" ref="E99:AB99" si="68">E69-E64</f>
        <v>0</v>
      </c>
      <c r="F99" s="192">
        <f t="shared" si="68"/>
        <v>0</v>
      </c>
      <c r="G99" s="192">
        <f t="shared" si="68"/>
        <v>0</v>
      </c>
      <c r="H99" s="192">
        <f t="shared" si="68"/>
        <v>0</v>
      </c>
      <c r="I99" s="192">
        <f t="shared" si="68"/>
        <v>0</v>
      </c>
      <c r="J99" s="192">
        <f t="shared" si="68"/>
        <v>0</v>
      </c>
      <c r="K99" s="192">
        <f t="shared" si="68"/>
        <v>0</v>
      </c>
      <c r="L99" s="192">
        <f t="shared" si="68"/>
        <v>0</v>
      </c>
      <c r="M99" s="192">
        <f t="shared" si="68"/>
        <v>121987.5</v>
      </c>
      <c r="N99" s="192">
        <f t="shared" si="68"/>
        <v>-7039358.5</v>
      </c>
      <c r="O99" s="192">
        <f t="shared" si="68"/>
        <v>5581440.4000000004</v>
      </c>
      <c r="P99" s="192">
        <f t="shared" si="68"/>
        <v>17373.399999999441</v>
      </c>
      <c r="Q99" s="192">
        <f t="shared" si="68"/>
        <v>-1524751.7999999998</v>
      </c>
      <c r="R99" s="192">
        <f t="shared" si="68"/>
        <v>-1415725.25</v>
      </c>
      <c r="S99" s="192">
        <f t="shared" ca="1" si="68"/>
        <v>132579.31220891373</v>
      </c>
      <c r="T99" s="192" t="e">
        <f t="shared" ca="1" si="68"/>
        <v>#VALUE!</v>
      </c>
      <c r="U99" s="192" t="e">
        <f t="shared" ca="1" si="68"/>
        <v>#VALUE!</v>
      </c>
      <c r="V99" s="192" t="e">
        <f t="shared" ca="1" si="68"/>
        <v>#VALUE!</v>
      </c>
      <c r="W99" s="192" t="e">
        <f t="shared" ca="1" si="68"/>
        <v>#VALUE!</v>
      </c>
      <c r="X99" s="192" t="e">
        <f t="shared" ca="1" si="68"/>
        <v>#VALUE!</v>
      </c>
      <c r="Y99" s="192" t="e">
        <f t="shared" ca="1" si="68"/>
        <v>#VALUE!</v>
      </c>
      <c r="Z99" s="192" t="e">
        <f t="shared" ca="1" si="68"/>
        <v>#VALUE!</v>
      </c>
      <c r="AA99" s="192" t="e">
        <f t="shared" ca="1" si="68"/>
        <v>#VALUE!</v>
      </c>
      <c r="AB99" s="192" t="e">
        <f t="shared" ca="1" si="68"/>
        <v>#VALUE!</v>
      </c>
      <c r="AC99" s="193">
        <f t="shared" ref="X99:BB100" si="69">IF(AC95="Stage I",AC71,0)</f>
        <v>0</v>
      </c>
      <c r="AD99" s="190">
        <f t="shared" si="69"/>
        <v>0</v>
      </c>
      <c r="AE99" s="190">
        <f t="shared" si="69"/>
        <v>0</v>
      </c>
      <c r="AF99" s="190">
        <f t="shared" si="69"/>
        <v>0</v>
      </c>
      <c r="AG99" s="190">
        <f t="shared" si="69"/>
        <v>0</v>
      </c>
      <c r="AH99" s="190">
        <f t="shared" si="69"/>
        <v>0</v>
      </c>
      <c r="AI99" s="190">
        <f t="shared" si="69"/>
        <v>0</v>
      </c>
      <c r="AJ99" s="190">
        <f t="shared" si="69"/>
        <v>0</v>
      </c>
      <c r="AK99" s="190">
        <f t="shared" si="69"/>
        <v>0</v>
      </c>
      <c r="AL99" s="190">
        <f t="shared" si="69"/>
        <v>0</v>
      </c>
      <c r="AM99" s="190">
        <f t="shared" si="69"/>
        <v>0</v>
      </c>
      <c r="AN99" s="190">
        <f t="shared" si="69"/>
        <v>0</v>
      </c>
      <c r="AO99" s="190">
        <f t="shared" si="69"/>
        <v>0</v>
      </c>
      <c r="AP99" s="190">
        <f t="shared" si="69"/>
        <v>0</v>
      </c>
      <c r="AQ99" s="190">
        <f t="shared" si="69"/>
        <v>0</v>
      </c>
      <c r="AR99" s="190">
        <f t="shared" si="69"/>
        <v>0</v>
      </c>
      <c r="AS99" s="190">
        <f t="shared" si="69"/>
        <v>0</v>
      </c>
      <c r="AT99" s="190">
        <f t="shared" si="69"/>
        <v>0</v>
      </c>
      <c r="AU99" s="190">
        <f t="shared" si="69"/>
        <v>0</v>
      </c>
      <c r="AV99" s="190">
        <f t="shared" si="69"/>
        <v>0</v>
      </c>
      <c r="AW99" s="190">
        <f t="shared" si="69"/>
        <v>0</v>
      </c>
      <c r="AX99" s="190">
        <f t="shared" si="69"/>
        <v>0</v>
      </c>
      <c r="AY99" s="190">
        <f t="shared" si="69"/>
        <v>0</v>
      </c>
      <c r="AZ99" s="190">
        <f t="shared" si="69"/>
        <v>0</v>
      </c>
      <c r="BA99" s="190">
        <f t="shared" si="69"/>
        <v>0</v>
      </c>
      <c r="BB99" s="190">
        <f t="shared" si="69"/>
        <v>0</v>
      </c>
    </row>
    <row r="100" spans="1:54" s="50" customFormat="1" ht="30.25" customHeight="1">
      <c r="A100" s="106"/>
      <c r="B100" s="2"/>
      <c r="C100" s="141" t="s">
        <v>24</v>
      </c>
      <c r="D100" s="192">
        <f t="shared" ref="D100:W100" si="70">D72</f>
        <v>0</v>
      </c>
      <c r="E100" s="192">
        <f t="shared" si="70"/>
        <v>0</v>
      </c>
      <c r="F100" s="192">
        <f t="shared" si="70"/>
        <v>0</v>
      </c>
      <c r="G100" s="192">
        <f t="shared" si="70"/>
        <v>0</v>
      </c>
      <c r="H100" s="192">
        <f t="shared" si="70"/>
        <v>0</v>
      </c>
      <c r="I100" s="192">
        <f t="shared" si="70"/>
        <v>0</v>
      </c>
      <c r="J100" s="192">
        <f t="shared" si="70"/>
        <v>0</v>
      </c>
      <c r="K100" s="192">
        <f t="shared" si="70"/>
        <v>0</v>
      </c>
      <c r="L100" s="192">
        <f t="shared" si="70"/>
        <v>0</v>
      </c>
      <c r="M100" s="192">
        <f t="shared" si="70"/>
        <v>78903</v>
      </c>
      <c r="N100" s="192">
        <f t="shared" si="70"/>
        <v>1150337</v>
      </c>
      <c r="O100" s="192">
        <f t="shared" si="70"/>
        <v>2451043</v>
      </c>
      <c r="P100" s="192">
        <f t="shared" si="70"/>
        <v>925619</v>
      </c>
      <c r="Q100" s="192">
        <f t="shared" si="70"/>
        <v>931555</v>
      </c>
      <c r="R100" s="192">
        <f t="shared" si="70"/>
        <v>839440</v>
      </c>
      <c r="S100" s="192">
        <f t="shared" si="70"/>
        <v>0</v>
      </c>
      <c r="T100" s="192">
        <f t="shared" si="70"/>
        <v>0</v>
      </c>
      <c r="U100" s="192">
        <f t="shared" si="70"/>
        <v>0</v>
      </c>
      <c r="V100" s="192">
        <f t="shared" si="70"/>
        <v>0</v>
      </c>
      <c r="W100" s="192">
        <f t="shared" si="70"/>
        <v>0</v>
      </c>
      <c r="X100" s="192">
        <f t="shared" si="69"/>
        <v>0</v>
      </c>
      <c r="Y100" s="192">
        <f t="shared" si="69"/>
        <v>0</v>
      </c>
      <c r="Z100" s="192">
        <f t="shared" si="69"/>
        <v>0</v>
      </c>
      <c r="AA100" s="192">
        <f t="shared" si="69"/>
        <v>0</v>
      </c>
      <c r="AB100" s="192">
        <f t="shared" si="69"/>
        <v>0</v>
      </c>
      <c r="AC100" s="194" t="e">
        <f t="shared" ref="AC100:BB100" ca="1" si="71">SUM(AC97:AC99)</f>
        <v>#NAME?</v>
      </c>
      <c r="AD100" s="195" t="e">
        <f t="shared" ca="1" si="71"/>
        <v>#NAME?</v>
      </c>
      <c r="AE100" s="195" t="e">
        <f t="shared" ca="1" si="71"/>
        <v>#NAME?</v>
      </c>
      <c r="AF100" s="195" t="e">
        <f t="shared" ca="1" si="71"/>
        <v>#NAME?</v>
      </c>
      <c r="AG100" s="195" t="e">
        <f t="shared" ca="1" si="71"/>
        <v>#NAME?</v>
      </c>
      <c r="AH100" s="195" t="e">
        <f t="shared" ca="1" si="71"/>
        <v>#NAME?</v>
      </c>
      <c r="AI100" s="195" t="e">
        <f t="shared" ca="1" si="71"/>
        <v>#NAME?</v>
      </c>
      <c r="AJ100" s="195" t="e">
        <f t="shared" ca="1" si="71"/>
        <v>#NAME?</v>
      </c>
      <c r="AK100" s="195" t="e">
        <f t="shared" ca="1" si="71"/>
        <v>#NAME?</v>
      </c>
      <c r="AL100" s="195" t="e">
        <f t="shared" ca="1" si="71"/>
        <v>#NAME?</v>
      </c>
      <c r="AM100" s="195" t="e">
        <f t="shared" ca="1" si="71"/>
        <v>#NAME?</v>
      </c>
      <c r="AN100" s="195" t="e">
        <f t="shared" ca="1" si="71"/>
        <v>#NAME?</v>
      </c>
      <c r="AO100" s="195" t="e">
        <f t="shared" ca="1" si="71"/>
        <v>#NAME?</v>
      </c>
      <c r="AP100" s="195" t="e">
        <f t="shared" ca="1" si="71"/>
        <v>#NAME?</v>
      </c>
      <c r="AQ100" s="195" t="e">
        <f t="shared" ca="1" si="71"/>
        <v>#NAME?</v>
      </c>
      <c r="AR100" s="195" t="e">
        <f t="shared" ca="1" si="71"/>
        <v>#NAME?</v>
      </c>
      <c r="AS100" s="195" t="e">
        <f t="shared" ca="1" si="71"/>
        <v>#NAME?</v>
      </c>
      <c r="AT100" s="195" t="e">
        <f t="shared" ca="1" si="71"/>
        <v>#NAME?</v>
      </c>
      <c r="AU100" s="195" t="e">
        <f t="shared" ca="1" si="71"/>
        <v>#NAME?</v>
      </c>
      <c r="AV100" s="195" t="e">
        <f t="shared" ca="1" si="71"/>
        <v>#NAME?</v>
      </c>
      <c r="AW100" s="195" t="e">
        <f t="shared" ca="1" si="71"/>
        <v>#NAME?</v>
      </c>
      <c r="AX100" s="195" t="e">
        <f t="shared" ca="1" si="71"/>
        <v>#NAME?</v>
      </c>
      <c r="AY100" s="195" t="e">
        <f t="shared" ca="1" si="71"/>
        <v>#NAME?</v>
      </c>
      <c r="AZ100" s="195" t="e">
        <f t="shared" ca="1" si="71"/>
        <v>#NAME?</v>
      </c>
      <c r="BA100" s="195" t="e">
        <f t="shared" ca="1" si="71"/>
        <v>#NAME?</v>
      </c>
      <c r="BB100" s="195" t="e">
        <f t="shared" ca="1" si="71"/>
        <v>#NAME?</v>
      </c>
    </row>
    <row r="101" spans="1:54" s="50" customFormat="1" ht="30.25" customHeight="1">
      <c r="A101" s="106"/>
      <c r="B101" s="2"/>
      <c r="C101" s="171" t="s">
        <v>93</v>
      </c>
      <c r="D101" s="196">
        <f>SUM(D98:D100)</f>
        <v>0</v>
      </c>
      <c r="E101" s="196">
        <f t="shared" ref="E101:U101" si="72">SUM(E98:E100)</f>
        <v>0</v>
      </c>
      <c r="F101" s="196">
        <f t="shared" si="72"/>
        <v>0</v>
      </c>
      <c r="G101" s="196">
        <f t="shared" si="72"/>
        <v>0</v>
      </c>
      <c r="H101" s="196">
        <f t="shared" si="72"/>
        <v>0</v>
      </c>
      <c r="I101" s="196">
        <f t="shared" si="72"/>
        <v>0</v>
      </c>
      <c r="J101" s="196">
        <f t="shared" si="72"/>
        <v>0</v>
      </c>
      <c r="K101" s="196">
        <f t="shared" si="72"/>
        <v>0</v>
      </c>
      <c r="L101" s="196">
        <f t="shared" si="72"/>
        <v>0</v>
      </c>
      <c r="M101" s="196">
        <f t="shared" si="72"/>
        <v>519510.25326136802</v>
      </c>
      <c r="N101" s="121">
        <f>SUM(N98:N100)</f>
        <v>-2229988.6524344496</v>
      </c>
      <c r="O101" s="121">
        <f t="shared" si="72"/>
        <v>5528982.0087273903</v>
      </c>
      <c r="P101" s="121">
        <f t="shared" si="72"/>
        <v>1041782.4749430667</v>
      </c>
      <c r="Q101" s="121">
        <f t="shared" si="72"/>
        <v>2126150.1174232429</v>
      </c>
      <c r="R101" s="122">
        <f t="shared" si="72"/>
        <v>821892.9227429512</v>
      </c>
      <c r="S101" s="122">
        <f t="shared" ca="1" si="72"/>
        <v>927746.55056567141</v>
      </c>
      <c r="T101" s="121" t="e">
        <f t="shared" ca="1" si="72"/>
        <v>#NAME?</v>
      </c>
      <c r="U101" s="121" t="e">
        <f t="shared" ca="1" si="72"/>
        <v>#NAME?</v>
      </c>
      <c r="V101" s="121" t="e">
        <f t="shared" ref="V101:AB101" ca="1" si="73">SUM(V98:V100)</f>
        <v>#NAME?</v>
      </c>
      <c r="W101" s="121" t="e">
        <f t="shared" ca="1" si="73"/>
        <v>#NAME?</v>
      </c>
      <c r="X101" s="121" t="e">
        <f t="shared" ca="1" si="73"/>
        <v>#NAME?</v>
      </c>
      <c r="Y101" s="121" t="e">
        <f t="shared" ca="1" si="73"/>
        <v>#NAME?</v>
      </c>
      <c r="Z101" s="121" t="e">
        <f t="shared" ca="1" si="73"/>
        <v>#NAME?</v>
      </c>
      <c r="AA101" s="121" t="e">
        <f t="shared" ca="1" si="73"/>
        <v>#NAME?</v>
      </c>
      <c r="AB101" s="121" t="e">
        <f t="shared" ca="1" si="73"/>
        <v>#NAME?</v>
      </c>
      <c r="AC101" s="58"/>
    </row>
    <row r="102" spans="1:54" s="50" customFormat="1">
      <c r="A102" s="106"/>
      <c r="B102" s="2"/>
      <c r="C102" s="98" t="s">
        <v>832</v>
      </c>
      <c r="D102" s="98"/>
      <c r="E102" s="98"/>
      <c r="F102" s="98"/>
      <c r="G102" s="98"/>
      <c r="H102" s="98"/>
      <c r="I102" s="98"/>
      <c r="J102" s="98"/>
      <c r="K102" s="98"/>
      <c r="L102" s="98"/>
      <c r="M102" s="98"/>
      <c r="N102" s="197"/>
      <c r="O102" s="197"/>
      <c r="P102" s="197"/>
      <c r="Q102" s="197"/>
      <c r="R102" s="198" t="e">
        <f ca="1">Q114/S40</f>
        <v>#NAME?</v>
      </c>
      <c r="S102" s="198" t="e">
        <f t="shared" ref="S102:AB102" ca="1" si="74">+R102*(1+$Y$106)-IFERROR(S49,0)</f>
        <v>#NAME?</v>
      </c>
      <c r="T102" s="198" t="e">
        <f t="shared" ca="1" si="74"/>
        <v>#NAME?</v>
      </c>
      <c r="U102" s="198" t="e">
        <f t="shared" ca="1" si="74"/>
        <v>#NAME?</v>
      </c>
      <c r="V102" s="198" t="e">
        <f t="shared" ca="1" si="74"/>
        <v>#NAME?</v>
      </c>
      <c r="W102" s="198" t="e">
        <f t="shared" ca="1" si="74"/>
        <v>#NAME?</v>
      </c>
      <c r="X102" s="198" t="e">
        <f t="shared" ca="1" si="74"/>
        <v>#NAME?</v>
      </c>
      <c r="Y102" s="198" t="e">
        <f t="shared" ca="1" si="74"/>
        <v>#NAME?</v>
      </c>
      <c r="Z102" s="198" t="e">
        <f t="shared" ca="1" si="74"/>
        <v>#NAME?</v>
      </c>
      <c r="AA102" s="198" t="e">
        <f t="shared" ca="1" si="74"/>
        <v>#NAME?</v>
      </c>
      <c r="AB102" s="198" t="e">
        <f t="shared" ca="1" si="74"/>
        <v>#NAME?</v>
      </c>
      <c r="AC102" s="58"/>
    </row>
    <row r="103" spans="1:54" s="50" customFormat="1">
      <c r="A103" s="106"/>
      <c r="B103" s="2"/>
      <c r="C103" s="199"/>
      <c r="D103" s="199"/>
      <c r="E103" s="199"/>
      <c r="F103" s="199"/>
      <c r="G103" s="199"/>
      <c r="H103" s="199"/>
      <c r="I103" s="199"/>
      <c r="J103" s="199"/>
      <c r="K103" s="199"/>
      <c r="L103" s="199"/>
      <c r="M103" s="199"/>
      <c r="N103" s="200" t="s">
        <v>31</v>
      </c>
      <c r="O103" s="199"/>
      <c r="P103" s="199"/>
      <c r="Q103" s="199"/>
      <c r="R103" s="199"/>
      <c r="S103" s="201" t="s">
        <v>819</v>
      </c>
      <c r="T103" s="199"/>
      <c r="U103" s="199"/>
      <c r="V103" s="199"/>
      <c r="W103" s="199"/>
      <c r="X103" s="201" t="s">
        <v>820</v>
      </c>
      <c r="Y103" s="199"/>
      <c r="Z103" s="199"/>
      <c r="AA103" s="199"/>
      <c r="AB103" s="199"/>
      <c r="AC103" s="58"/>
    </row>
    <row r="104" spans="1:54" s="50" customFormat="1">
      <c r="A104" s="106"/>
      <c r="B104" s="2"/>
      <c r="C104" s="98"/>
      <c r="D104" s="98"/>
      <c r="E104" s="98"/>
      <c r="F104" s="98"/>
      <c r="G104" s="98"/>
      <c r="H104" s="98"/>
      <c r="I104" s="98"/>
      <c r="J104" s="98"/>
      <c r="K104" s="98"/>
      <c r="L104" s="98"/>
      <c r="M104" s="98"/>
      <c r="N104" s="202" t="s">
        <v>32</v>
      </c>
      <c r="O104" s="98"/>
      <c r="P104" s="98"/>
      <c r="Q104" s="203" t="e">
        <f ca="1">+IF(V108=5,SUM($S$74:$W$74)+S37,SUM($S$74:$AB$74)+S37)</f>
        <v>#NAME?</v>
      </c>
      <c r="R104" s="98"/>
      <c r="S104" s="204" t="s">
        <v>38</v>
      </c>
      <c r="T104" s="98"/>
      <c r="U104" s="98"/>
      <c r="V104" s="205" t="e">
        <f ca="1">V106/V105</f>
        <v>#NAME?</v>
      </c>
      <c r="W104" s="98"/>
      <c r="X104" s="98" t="s">
        <v>1</v>
      </c>
      <c r="Y104" s="206">
        <v>0.09</v>
      </c>
      <c r="Z104" s="2"/>
      <c r="AA104" s="98" t="s">
        <v>2</v>
      </c>
      <c r="AB104" s="206">
        <v>6.5000000000000002E-2</v>
      </c>
      <c r="AC104" s="58"/>
    </row>
    <row r="105" spans="1:54" s="50" customFormat="1">
      <c r="A105" s="106"/>
      <c r="B105" s="2"/>
      <c r="C105" s="98" t="s">
        <v>865</v>
      </c>
      <c r="D105" s="98"/>
      <c r="E105" s="98"/>
      <c r="F105" s="98"/>
      <c r="G105" s="98"/>
      <c r="H105" s="98"/>
      <c r="I105" s="98"/>
      <c r="J105" s="98"/>
      <c r="K105" s="98"/>
      <c r="L105" s="98"/>
      <c r="M105" s="98"/>
      <c r="N105" s="202" t="s">
        <v>33</v>
      </c>
      <c r="O105" s="98"/>
      <c r="P105" s="98"/>
      <c r="Q105" s="203" t="e">
        <f ca="1">IF(V110="Standard",IF($V$108=5,(((($W$28+$W$64+$W$72+$W$32+$W33-$W$30-($W$29*$W$31))*(1-$V$105))*(1+$V$106)/($Y$113-$V$106))-((($W$28+$W$64+$W$72+$W$32+$W$33-$W$30-($W$29*$W$31))*(1-$V$105))*((1+$V$106)^($V$109+1))/($Y$113-$V$106))/((1+$Y$113)^$V$109))/((1+$Y$113)^$V$108),(((($AB$28+$AB$64+$AB$72+$AB$32+$AB$33-$AB$30-($AB$29*$AB$31))*(1-$V$105))*(1+$V$106)/($Y$113-$V$106))-((($AB$28+$AB$64+$AB$72+$AB$32+$AB$33-$AB$30-($AB$29*$AB$31))*(1-$V$105))*((1+$V$106)^($V$109+1))/($Y$113-$V$106))/((1+$Y$113)^$V$109))/((1+$Y$113)^$V$108)),V113)</f>
        <v>#NAME?</v>
      </c>
      <c r="R105" s="98"/>
      <c r="S105" s="204" t="s">
        <v>39</v>
      </c>
      <c r="T105" s="98"/>
      <c r="U105" s="98"/>
      <c r="V105" s="207" t="e">
        <f ca="1">V106/AVERAGE(COE,ROIC!AC315)</f>
        <v>#NAME?</v>
      </c>
      <c r="W105" s="98"/>
      <c r="X105" s="98" t="s">
        <v>823</v>
      </c>
      <c r="Y105" s="206">
        <v>0</v>
      </c>
      <c r="Z105" s="2"/>
      <c r="AA105" s="9" t="s">
        <v>3245</v>
      </c>
      <c r="AB105" s="208">
        <v>0</v>
      </c>
      <c r="AC105" s="58"/>
    </row>
    <row r="106" spans="1:54" s="50" customFormat="1">
      <c r="A106" s="106"/>
      <c r="B106" s="2"/>
      <c r="C106" s="98"/>
      <c r="D106" s="98"/>
      <c r="E106" s="98"/>
      <c r="F106" s="98"/>
      <c r="G106" s="98"/>
      <c r="H106" s="98"/>
      <c r="I106" s="98"/>
      <c r="J106" s="98"/>
      <c r="K106" s="98"/>
      <c r="L106" s="98"/>
      <c r="M106" s="98"/>
      <c r="N106" s="202" t="s">
        <v>34</v>
      </c>
      <c r="O106" s="98"/>
      <c r="P106" s="98"/>
      <c r="Q106" s="203" t="e">
        <f ca="1">IF(V110 = "Standard",IF($V$108=5,((W$28+W$64+W$72+W$32+W$33-W$30-(W$29*W$31))*((1+$V$106)^($V$109+1))/$Y$113)/((1+$Y$113)^($V$108+$V$109)),((AB$28+AB$64+AB$72+AB$32+AB$33-AB$30-(AB$29*AB$31))*((1+$V$106)^($V$109+1))/$Y$113)/((1+$Y$113)^($V$108+$V$109))),0)</f>
        <v>#NAME?</v>
      </c>
      <c r="R106" s="98"/>
      <c r="S106" s="204" t="s">
        <v>40</v>
      </c>
      <c r="T106" s="98"/>
      <c r="U106" s="98"/>
      <c r="V106" s="207" t="e">
        <f ca="1">AVERAGE(V107,(AB28/AA28-1))</f>
        <v>#NAME?</v>
      </c>
      <c r="W106" s="98"/>
      <c r="X106" s="42" t="s">
        <v>3314</v>
      </c>
      <c r="Y106" s="209">
        <f>Y104+CRP</f>
        <v>0.09</v>
      </c>
      <c r="Z106" s="9"/>
      <c r="AA106" s="134" t="s">
        <v>3313</v>
      </c>
      <c r="AB106" s="210">
        <f>COD+AB105</f>
        <v>6.5000000000000002E-2</v>
      </c>
      <c r="AC106" s="58"/>
    </row>
    <row r="107" spans="1:54" s="50" customFormat="1">
      <c r="A107" s="106"/>
      <c r="B107" s="2"/>
      <c r="C107" s="98"/>
      <c r="D107" s="98"/>
      <c r="E107" s="98"/>
      <c r="F107" s="98"/>
      <c r="G107" s="98"/>
      <c r="H107" s="98"/>
      <c r="I107" s="98"/>
      <c r="J107" s="98"/>
      <c r="K107" s="98"/>
      <c r="L107" s="98"/>
      <c r="M107" s="98"/>
      <c r="N107" s="725" t="s">
        <v>35</v>
      </c>
      <c r="O107" s="725"/>
      <c r="P107" s="98"/>
      <c r="Q107" s="212"/>
      <c r="R107" s="98"/>
      <c r="S107" s="204" t="s">
        <v>88</v>
      </c>
      <c r="T107" s="98"/>
      <c r="U107" s="98"/>
      <c r="V107" s="207">
        <v>0.04</v>
      </c>
      <c r="W107" s="98"/>
      <c r="X107" s="2"/>
      <c r="Y107" s="2"/>
      <c r="Z107" s="2"/>
      <c r="AA107" s="2"/>
      <c r="AB107" s="2"/>
      <c r="AC107" s="58"/>
    </row>
    <row r="108" spans="1:54" s="50" customFormat="1">
      <c r="A108" s="106"/>
      <c r="B108" s="2"/>
      <c r="C108" s="98"/>
      <c r="D108" s="98"/>
      <c r="E108" s="98"/>
      <c r="F108" s="98"/>
      <c r="G108" s="98"/>
      <c r="H108" s="98"/>
      <c r="I108" s="98"/>
      <c r="J108" s="98"/>
      <c r="K108" s="98"/>
      <c r="L108" s="98"/>
      <c r="M108" s="98"/>
      <c r="N108" s="725" t="s">
        <v>35</v>
      </c>
      <c r="O108" s="725"/>
      <c r="P108" s="98"/>
      <c r="Q108" s="212"/>
      <c r="R108" s="98"/>
      <c r="S108" s="204" t="s">
        <v>87</v>
      </c>
      <c r="T108" s="98"/>
      <c r="U108" s="98"/>
      <c r="V108" s="213">
        <v>10</v>
      </c>
      <c r="W108" s="98"/>
      <c r="X108" s="98" t="s">
        <v>821</v>
      </c>
      <c r="Y108" s="214" t="e">
        <f ca="1">1-Y109-Y110</f>
        <v>#NAME?</v>
      </c>
      <c r="Z108" s="2"/>
      <c r="AA108" s="9" t="s">
        <v>3264</v>
      </c>
      <c r="AB108" s="206">
        <v>0</v>
      </c>
      <c r="AC108" s="58"/>
    </row>
    <row r="109" spans="1:54" s="50" customFormat="1">
      <c r="A109" s="106"/>
      <c r="B109" s="2"/>
      <c r="C109" s="98"/>
      <c r="D109" s="98"/>
      <c r="E109" s="98"/>
      <c r="F109" s="98"/>
      <c r="G109" s="98"/>
      <c r="H109" s="98"/>
      <c r="I109" s="98"/>
      <c r="J109" s="98"/>
      <c r="K109" s="98"/>
      <c r="L109" s="98"/>
      <c r="M109" s="98"/>
      <c r="N109" s="725" t="s">
        <v>35</v>
      </c>
      <c r="O109" s="725"/>
      <c r="P109" s="98"/>
      <c r="Q109" s="212">
        <f>IFERROR(N164+S158,0)</f>
        <v>0</v>
      </c>
      <c r="R109" s="98"/>
      <c r="S109" s="204" t="s">
        <v>41</v>
      </c>
      <c r="T109" s="98"/>
      <c r="U109" s="98"/>
      <c r="V109" s="215">
        <v>1</v>
      </c>
      <c r="W109" s="216">
        <f>+V108+LENGTH</f>
        <v>11</v>
      </c>
      <c r="X109" s="98" t="s">
        <v>822</v>
      </c>
      <c r="Y109" s="208" t="e">
        <f ca="1">Q114/(Q114+Q111)</f>
        <v>#NAME?</v>
      </c>
      <c r="Z109" s="2"/>
      <c r="AA109" s="98"/>
      <c r="AB109" s="98"/>
      <c r="AC109" s="58"/>
    </row>
    <row r="110" spans="1:54" s="50" customFormat="1">
      <c r="A110" s="106"/>
      <c r="B110" s="2"/>
      <c r="C110" s="98"/>
      <c r="D110" s="98"/>
      <c r="E110" s="98"/>
      <c r="F110" s="98"/>
      <c r="G110" s="98"/>
      <c r="H110" s="98"/>
      <c r="I110" s="98"/>
      <c r="J110" s="98"/>
      <c r="K110" s="98"/>
      <c r="L110" s="98"/>
      <c r="M110" s="98"/>
      <c r="N110" s="202" t="s">
        <v>36</v>
      </c>
      <c r="O110" s="98"/>
      <c r="P110" s="98"/>
      <c r="Q110" s="217">
        <f>+R76-ROIC!S111</f>
        <v>10140104.75</v>
      </c>
      <c r="R110" s="98"/>
      <c r="S110" s="204" t="s">
        <v>776</v>
      </c>
      <c r="T110" s="98"/>
      <c r="U110" s="98"/>
      <c r="V110" s="218" t="s">
        <v>775</v>
      </c>
      <c r="W110" s="98"/>
      <c r="X110" s="9" t="s">
        <v>3244</v>
      </c>
      <c r="Y110" s="208">
        <v>0</v>
      </c>
      <c r="Z110" s="2"/>
      <c r="AA110" s="98"/>
      <c r="AB110" s="98"/>
      <c r="AC110" s="58"/>
    </row>
    <row r="111" spans="1:54" s="50" customFormat="1">
      <c r="A111" s="106"/>
      <c r="B111" s="2"/>
      <c r="C111" s="98"/>
      <c r="D111" s="98"/>
      <c r="E111" s="98"/>
      <c r="F111" s="98"/>
      <c r="G111" s="98"/>
      <c r="H111" s="98"/>
      <c r="I111" s="98"/>
      <c r="J111" s="98"/>
      <c r="K111" s="98"/>
      <c r="L111" s="98"/>
      <c r="M111" s="98"/>
      <c r="N111" s="219" t="s">
        <v>3334</v>
      </c>
      <c r="O111" s="98"/>
      <c r="P111" s="98"/>
      <c r="Q111" s="217">
        <f>R89</f>
        <v>7658724</v>
      </c>
      <c r="R111" s="98"/>
      <c r="S111" s="220" t="str">
        <f>+IF(V110="NAV","Terminal Value","Multiple")</f>
        <v>Multiple</v>
      </c>
      <c r="T111" s="98"/>
      <c r="U111" s="98"/>
      <c r="V111" s="221"/>
      <c r="W111" s="98"/>
      <c r="X111" s="2"/>
      <c r="Y111" s="2"/>
      <c r="Z111" s="2"/>
      <c r="AA111" s="98"/>
      <c r="AB111" s="98"/>
      <c r="AC111" s="58"/>
    </row>
    <row r="112" spans="1:54" s="50" customFormat="1" ht="23.75" customHeight="1">
      <c r="A112" s="106"/>
      <c r="B112" s="2"/>
      <c r="C112" s="98"/>
      <c r="D112" s="98"/>
      <c r="E112" s="98"/>
      <c r="F112" s="98"/>
      <c r="G112" s="98"/>
      <c r="H112" s="98"/>
      <c r="I112" s="98"/>
      <c r="J112" s="98"/>
      <c r="K112" s="98"/>
      <c r="L112" s="98"/>
      <c r="M112" s="98"/>
      <c r="N112" s="202" t="s">
        <v>813</v>
      </c>
      <c r="O112" s="98"/>
      <c r="P112" s="98"/>
      <c r="Q112" s="212"/>
      <c r="R112" s="98"/>
      <c r="S112" s="204" t="str">
        <f>IF(V110="EV / Sales", "Terminal Sales",IF(V110 = "EV / EBI", "Terminal EBI", IF(V110 = "EV / EBITDA", "Terminal EBITDA","")))</f>
        <v/>
      </c>
      <c r="T112" s="98"/>
      <c r="U112" s="98"/>
      <c r="V112" s="222" t="str">
        <f>+IF(V110="EV / Sales",IF(V108=5,W11,AB11),IF(V110="EV / EBI",IF(V108=5,W98,AB98),IF(V110="EV / EBITDA",IF(V108=5,W55,AB55),"")))</f>
        <v/>
      </c>
      <c r="W112" s="98"/>
      <c r="X112" s="98" t="s">
        <v>4</v>
      </c>
      <c r="Y112" s="208">
        <v>0.21</v>
      </c>
      <c r="Z112" s="2"/>
      <c r="AA112" s="98"/>
      <c r="AB112" s="98"/>
      <c r="AC112" s="58"/>
    </row>
    <row r="113" spans="1:29" s="50" customFormat="1" ht="30.25" customHeight="1">
      <c r="A113" s="106"/>
      <c r="B113" s="2"/>
      <c r="C113" s="98"/>
      <c r="D113" s="98"/>
      <c r="E113" s="98"/>
      <c r="F113" s="98"/>
      <c r="G113" s="98"/>
      <c r="H113" s="98"/>
      <c r="I113" s="98"/>
      <c r="J113" s="98"/>
      <c r="K113" s="98"/>
      <c r="L113" s="98"/>
      <c r="M113" s="98"/>
      <c r="N113" s="202" t="s">
        <v>89</v>
      </c>
      <c r="O113" s="98"/>
      <c r="P113" s="98"/>
      <c r="Q113" s="212"/>
      <c r="R113" s="216">
        <f>Q107+Q108+Q109+Q112+Q113</f>
        <v>0</v>
      </c>
      <c r="S113" s="727" t="s">
        <v>868</v>
      </c>
      <c r="T113" s="727"/>
      <c r="U113" s="98"/>
      <c r="V113" s="726" t="str">
        <f ca="1">+IFERROR(IF(V110="NAV",V111,V111*V112)/IF(V108 = 5, (1+WACC)^5, (1+WACC)^10),"")</f>
        <v/>
      </c>
      <c r="W113" s="98"/>
      <c r="X113" s="134" t="s">
        <v>3</v>
      </c>
      <c r="Y113" s="223" t="e">
        <f ca="1">+((Y106)*Y109)+(AB108*Y110)+((AB106)*(1-Y112)*Y108)</f>
        <v>#NAME?</v>
      </c>
      <c r="Z113" s="2"/>
      <c r="AA113" s="98"/>
      <c r="AB113" s="224"/>
      <c r="AC113" s="58"/>
    </row>
    <row r="114" spans="1:29" s="50" customFormat="1">
      <c r="A114" s="106"/>
      <c r="B114" s="2"/>
      <c r="C114" s="98"/>
      <c r="D114" s="98"/>
      <c r="E114" s="98"/>
      <c r="F114" s="98"/>
      <c r="G114" s="98"/>
      <c r="H114" s="98"/>
      <c r="I114" s="98"/>
      <c r="J114" s="98"/>
      <c r="K114" s="98"/>
      <c r="L114" s="98"/>
      <c r="M114" s="98"/>
      <c r="N114" s="225" t="s">
        <v>37</v>
      </c>
      <c r="O114" s="169"/>
      <c r="P114" s="98"/>
      <c r="Q114" s="226" t="e">
        <f ca="1">Q115+Q107+Q108+Q109+Q110-Q111-Q112-Q113</f>
        <v>#NAME?</v>
      </c>
      <c r="R114" s="98"/>
      <c r="S114" s="727"/>
      <c r="T114" s="727"/>
      <c r="U114" s="98"/>
      <c r="V114" s="726"/>
      <c r="W114" s="98"/>
      <c r="X114" s="9"/>
      <c r="Y114" s="9"/>
      <c r="Z114" s="9"/>
      <c r="AA114" s="98"/>
      <c r="AB114" s="98"/>
      <c r="AC114" s="58"/>
    </row>
    <row r="115" spans="1:29" s="50" customFormat="1">
      <c r="A115" s="106"/>
      <c r="B115" s="2"/>
      <c r="C115" s="98"/>
      <c r="D115" s="98"/>
      <c r="E115" s="98"/>
      <c r="F115" s="98"/>
      <c r="G115" s="98"/>
      <c r="H115" s="98"/>
      <c r="I115" s="98"/>
      <c r="J115" s="98"/>
      <c r="K115" s="98"/>
      <c r="L115" s="98"/>
      <c r="M115" s="98"/>
      <c r="N115" s="227" t="s">
        <v>1075</v>
      </c>
      <c r="O115" s="98"/>
      <c r="P115" s="98"/>
      <c r="Q115" s="228" t="e">
        <f ca="1">SUM(Q104:Q106)</f>
        <v>#NAME?</v>
      </c>
      <c r="R115" s="98"/>
      <c r="S115" s="229" t="s">
        <v>51</v>
      </c>
      <c r="T115" s="98"/>
      <c r="U115" s="230"/>
      <c r="V115" s="231" t="e">
        <v>#NAME?</v>
      </c>
      <c r="W115" s="98"/>
      <c r="X115" s="32" t="s">
        <v>824</v>
      </c>
      <c r="Y115" s="98"/>
      <c r="Z115" s="98"/>
      <c r="AA115" s="98"/>
      <c r="AB115" s="98"/>
      <c r="AC115" s="58"/>
    </row>
    <row r="116" spans="1:29" s="50" customFormat="1">
      <c r="A116" s="106"/>
      <c r="B116" s="2"/>
      <c r="C116" s="98"/>
      <c r="D116" s="98"/>
      <c r="E116" s="98"/>
      <c r="F116" s="98"/>
      <c r="G116" s="98"/>
      <c r="H116" s="98"/>
      <c r="I116" s="98"/>
      <c r="J116" s="98"/>
      <c r="K116" s="98"/>
      <c r="L116" s="98"/>
      <c r="M116" s="98"/>
      <c r="N116" s="202" t="s">
        <v>772</v>
      </c>
      <c r="O116" s="98"/>
      <c r="P116" s="98"/>
      <c r="Q116" s="232">
        <v>46022</v>
      </c>
      <c r="R116" s="98"/>
      <c r="S116" s="229" t="s">
        <v>818</v>
      </c>
      <c r="T116" s="98"/>
      <c r="U116" s="230"/>
      <c r="V116" s="233" t="s">
        <v>3565</v>
      </c>
      <c r="W116" s="98"/>
      <c r="X116" s="234" t="s">
        <v>790</v>
      </c>
      <c r="Y116" s="98"/>
      <c r="Z116" s="9">
        <f>+IF(X116="Base",Y117,IF(X116=X118,Y118,IF(X116=X119,Y119,IF(X116=X120,Y120,IF(X116=X121,Y121,6)))))</f>
        <v>1</v>
      </c>
      <c r="AA116" s="98"/>
      <c r="AB116" s="98"/>
      <c r="AC116" s="58"/>
    </row>
    <row r="117" spans="1:29" s="50" customFormat="1">
      <c r="A117" s="106"/>
      <c r="B117" s="2"/>
      <c r="C117" s="98"/>
      <c r="D117" s="98"/>
      <c r="E117" s="98"/>
      <c r="F117" s="98"/>
      <c r="G117" s="98"/>
      <c r="H117" s="98"/>
      <c r="I117" s="98"/>
      <c r="J117" s="98"/>
      <c r="K117" s="98"/>
      <c r="L117" s="98"/>
      <c r="M117" s="98"/>
      <c r="N117" s="98"/>
      <c r="O117" s="98"/>
      <c r="P117" s="98"/>
      <c r="Q117" s="235">
        <v>5</v>
      </c>
      <c r="R117" s="98"/>
      <c r="S117" s="98" t="s">
        <v>833</v>
      </c>
      <c r="T117" s="98"/>
      <c r="U117" s="230"/>
      <c r="V117" s="236">
        <v>1</v>
      </c>
      <c r="W117" s="98"/>
      <c r="X117" s="235" t="s">
        <v>790</v>
      </c>
      <c r="Y117" s="235">
        <v>1</v>
      </c>
      <c r="Z117" s="235"/>
      <c r="AA117" s="98"/>
      <c r="AB117" s="98"/>
      <c r="AC117" s="58"/>
    </row>
    <row r="118" spans="1:29" s="50" customFormat="1">
      <c r="A118" s="106"/>
      <c r="B118" s="2"/>
      <c r="C118" s="98"/>
      <c r="D118" s="98"/>
      <c r="E118" s="98"/>
      <c r="F118" s="98"/>
      <c r="G118" s="98"/>
      <c r="H118" s="98"/>
      <c r="I118" s="98"/>
      <c r="J118" s="98"/>
      <c r="K118" s="98"/>
      <c r="L118" s="98"/>
      <c r="M118" s="98"/>
      <c r="N118" s="107" t="s">
        <v>1056</v>
      </c>
      <c r="O118" s="98"/>
      <c r="P118" s="98"/>
      <c r="Q118" s="235">
        <v>10</v>
      </c>
      <c r="R118" s="98"/>
      <c r="S118" s="98" t="s">
        <v>834</v>
      </c>
      <c r="T118" s="98"/>
      <c r="U118" s="230"/>
      <c r="V118" s="236">
        <v>1</v>
      </c>
      <c r="W118" s="98"/>
      <c r="X118" s="234" t="s">
        <v>830</v>
      </c>
      <c r="Y118" s="237">
        <v>2</v>
      </c>
      <c r="Z118" s="238"/>
      <c r="AA118" s="98"/>
      <c r="AB118" s="98"/>
      <c r="AC118" s="58"/>
    </row>
    <row r="119" spans="1:29" s="50" customFormat="1">
      <c r="A119" s="106"/>
      <c r="B119" s="2"/>
      <c r="C119" s="98"/>
      <c r="D119" s="98"/>
      <c r="E119" s="98"/>
      <c r="F119" s="98"/>
      <c r="G119" s="98"/>
      <c r="H119" s="98"/>
      <c r="I119" s="98"/>
      <c r="J119" s="98"/>
      <c r="K119" s="98"/>
      <c r="L119" s="98"/>
      <c r="M119" s="98"/>
      <c r="N119" s="204" t="s">
        <v>1057</v>
      </c>
      <c r="O119" s="235"/>
      <c r="P119" s="734" t="s">
        <v>3566</v>
      </c>
      <c r="Q119" s="734"/>
      <c r="R119" s="98"/>
      <c r="S119" s="98" t="s">
        <v>996</v>
      </c>
      <c r="T119" s="98"/>
      <c r="U119" s="230"/>
      <c r="V119" s="218" t="s">
        <v>780</v>
      </c>
      <c r="W119" s="98"/>
      <c r="X119" s="234" t="s">
        <v>831</v>
      </c>
      <c r="Y119" s="237">
        <v>3</v>
      </c>
      <c r="Z119" s="238"/>
      <c r="AA119" s="98"/>
      <c r="AB119" s="98"/>
      <c r="AC119" s="58"/>
    </row>
    <row r="120" spans="1:29" s="50" customFormat="1">
      <c r="A120" s="106"/>
      <c r="B120" s="2"/>
      <c r="C120" s="98"/>
      <c r="D120" s="98"/>
      <c r="E120" s="98"/>
      <c r="F120" s="98"/>
      <c r="G120" s="98"/>
      <c r="H120" s="98"/>
      <c r="I120" s="98"/>
      <c r="J120" s="98"/>
      <c r="K120" s="98"/>
      <c r="L120" s="98"/>
      <c r="M120" s="98"/>
      <c r="N120" s="204" t="s">
        <v>1058</v>
      </c>
      <c r="O120" s="235"/>
      <c r="P120" s="734" t="s">
        <v>3301</v>
      </c>
      <c r="Q120" s="734"/>
      <c r="R120" s="98"/>
      <c r="S120" s="98" t="s">
        <v>997</v>
      </c>
      <c r="T120" s="98"/>
      <c r="U120" s="230"/>
      <c r="V120" s="218" t="s">
        <v>780</v>
      </c>
      <c r="W120" s="98"/>
      <c r="X120" s="234" t="s">
        <v>835</v>
      </c>
      <c r="Y120" s="237">
        <v>4</v>
      </c>
      <c r="Z120" s="238"/>
      <c r="AA120" s="98"/>
      <c r="AB120" s="98"/>
      <c r="AC120" s="58"/>
    </row>
    <row r="121" spans="1:29" s="50" customFormat="1">
      <c r="A121" s="106"/>
      <c r="B121" s="2"/>
      <c r="C121" s="98"/>
      <c r="D121" s="98"/>
      <c r="E121" s="98"/>
      <c r="F121" s="98"/>
      <c r="G121" s="98"/>
      <c r="H121" s="98"/>
      <c r="I121" s="98"/>
      <c r="J121" s="98"/>
      <c r="K121" s="98"/>
      <c r="L121" s="98"/>
      <c r="M121" s="98"/>
      <c r="N121" s="204" t="s">
        <v>1059</v>
      </c>
      <c r="O121" s="235"/>
      <c r="P121" s="734" t="s">
        <v>3567</v>
      </c>
      <c r="Q121" s="734"/>
      <c r="R121" s="98"/>
      <c r="S121" s="98" t="s">
        <v>1032</v>
      </c>
      <c r="T121" s="98"/>
      <c r="U121" s="98"/>
      <c r="V121" s="239" t="str">
        <f>IF(OR(V119="USD",V119="EUR",V119="GBP",V119="CAD",V119="CNY",V119="RMB",V119="JPY"),V119,"NATIVE")</f>
        <v>USD</v>
      </c>
      <c r="W121" s="98"/>
      <c r="X121" s="234" t="s">
        <v>836</v>
      </c>
      <c r="Y121" s="237">
        <v>5</v>
      </c>
      <c r="Z121" s="238"/>
      <c r="AA121" s="98"/>
      <c r="AB121" s="98"/>
      <c r="AC121" s="58"/>
    </row>
    <row r="122" spans="1:29" s="50" customFormat="1">
      <c r="A122" s="106"/>
      <c r="B122" s="2"/>
      <c r="C122" s="98"/>
      <c r="D122" s="98"/>
      <c r="E122" s="98"/>
      <c r="F122" s="98"/>
      <c r="G122" s="98"/>
      <c r="H122" s="98"/>
      <c r="I122" s="98"/>
      <c r="J122" s="98"/>
      <c r="K122" s="98"/>
      <c r="L122" s="98"/>
      <c r="M122" s="98"/>
      <c r="N122" s="204" t="s">
        <v>1060</v>
      </c>
      <c r="O122" s="235"/>
      <c r="P122" s="728"/>
      <c r="Q122" s="728"/>
      <c r="R122" s="98"/>
      <c r="S122" s="98" t="s">
        <v>998</v>
      </c>
      <c r="T122" s="98"/>
      <c r="U122" s="230"/>
      <c r="V122" s="218" t="s">
        <v>777</v>
      </c>
      <c r="W122" s="98"/>
      <c r="X122" s="234" t="s">
        <v>837</v>
      </c>
      <c r="Y122" s="237">
        <v>6</v>
      </c>
      <c r="Z122" s="238"/>
      <c r="AA122" s="98"/>
      <c r="AB122" s="98"/>
      <c r="AC122" s="58"/>
    </row>
    <row r="123" spans="1:29" s="50" customFormat="1">
      <c r="A123" s="106"/>
      <c r="B123" s="2"/>
      <c r="C123" s="98"/>
      <c r="D123" s="98"/>
      <c r="E123" s="98"/>
      <c r="F123" s="98"/>
      <c r="G123" s="98"/>
      <c r="H123" s="98"/>
      <c r="I123" s="98"/>
      <c r="J123" s="98"/>
      <c r="K123" s="98"/>
      <c r="L123" s="98"/>
      <c r="M123" s="98"/>
      <c r="N123" s="235"/>
      <c r="O123" s="235"/>
      <c r="P123" s="728"/>
      <c r="Q123" s="728"/>
      <c r="R123" s="98"/>
      <c r="S123" s="98" t="s">
        <v>1128</v>
      </c>
      <c r="T123" s="98"/>
      <c r="U123" s="240" t="str">
        <f>IF(V123="Halves", "FH", "FQ")</f>
        <v>FQ</v>
      </c>
      <c r="V123" s="218" t="s">
        <v>3328</v>
      </c>
      <c r="W123" s="98"/>
      <c r="X123" s="98"/>
      <c r="Y123" s="98"/>
      <c r="Z123" s="98"/>
      <c r="AA123" s="98"/>
      <c r="AB123" s="98"/>
      <c r="AC123" s="58"/>
    </row>
    <row r="124" spans="1:29" s="50" customFormat="1">
      <c r="A124" s="106"/>
      <c r="B124" s="2"/>
      <c r="C124" s="98"/>
      <c r="D124" s="98"/>
      <c r="E124" s="98"/>
      <c r="F124" s="98"/>
      <c r="G124" s="98"/>
      <c r="H124" s="98"/>
      <c r="I124" s="98"/>
      <c r="J124" s="98"/>
      <c r="K124" s="98"/>
      <c r="L124" s="98"/>
      <c r="M124" s="98"/>
      <c r="N124" s="235"/>
      <c r="O124" s="235"/>
      <c r="P124" s="728"/>
      <c r="Q124" s="728"/>
      <c r="R124" s="98"/>
      <c r="S124" s="98" t="s">
        <v>1198</v>
      </c>
      <c r="T124" s="98"/>
      <c r="U124" s="230"/>
      <c r="V124" s="241" t="s">
        <v>3568</v>
      </c>
      <c r="W124" s="237">
        <f>+IF(V122="Thousands",1000,IF(V122="Millions",1000000,1000000000))</f>
        <v>1000</v>
      </c>
      <c r="X124" s="242">
        <v>46090</v>
      </c>
      <c r="Y124" s="243" t="e">
        <v>#NAME?</v>
      </c>
      <c r="Z124" s="98"/>
      <c r="AA124" s="98"/>
      <c r="AB124" s="98"/>
      <c r="AC124" s="58"/>
    </row>
    <row r="125" spans="1:29" s="50" customFormat="1">
      <c r="A125" s="106"/>
      <c r="B125" s="2"/>
      <c r="C125" s="98"/>
      <c r="D125" s="98"/>
      <c r="E125" s="98"/>
      <c r="F125" s="98"/>
      <c r="G125" s="98"/>
      <c r="H125" s="98"/>
      <c r="I125" s="98"/>
      <c r="J125" s="98"/>
      <c r="K125" s="98"/>
      <c r="L125" s="98"/>
      <c r="M125" s="98"/>
      <c r="N125" s="98"/>
      <c r="O125" s="98"/>
      <c r="P125" s="728"/>
      <c r="Q125" s="728"/>
      <c r="R125" s="98"/>
      <c r="S125" s="98" t="s">
        <v>983</v>
      </c>
      <c r="T125" s="98"/>
      <c r="U125" s="230"/>
      <c r="V125" s="244" t="e">
        <f>Y124</f>
        <v>#NAME?</v>
      </c>
      <c r="W125" s="98"/>
      <c r="X125" s="245" t="s">
        <v>786</v>
      </c>
      <c r="Y125" s="237" t="e">
        <f>+IF(100/V125&lt;0.02,-2,IF(10/V125&lt;0.02,-1,IF(1/V125&lt;0.02,0,IF(0.1/V125&lt;0.02,1,2))))</f>
        <v>#NAME?</v>
      </c>
      <c r="Z125" s="98"/>
      <c r="AA125" s="98"/>
      <c r="AB125" s="98"/>
      <c r="AC125" s="58"/>
    </row>
    <row r="126" spans="1:29" s="50" customFormat="1" ht="45" customHeight="1">
      <c r="A126" s="106"/>
      <c r="B126" s="2"/>
      <c r="C126" s="98"/>
      <c r="D126" s="98"/>
      <c r="E126" s="98"/>
      <c r="F126" s="98"/>
      <c r="G126" s="98"/>
      <c r="H126" s="98"/>
      <c r="I126" s="98"/>
      <c r="J126" s="98"/>
      <c r="K126" s="98"/>
      <c r="L126" s="98"/>
      <c r="M126" s="98"/>
      <c r="N126" s="98"/>
      <c r="O126" s="98"/>
      <c r="P126" s="728"/>
      <c r="Q126" s="728"/>
      <c r="R126" s="98"/>
      <c r="S126" s="98" t="s">
        <v>796</v>
      </c>
      <c r="T126" s="98"/>
      <c r="U126" s="230"/>
      <c r="V126" s="246" t="e">
        <v>#NAME?</v>
      </c>
      <c r="W126" s="98"/>
      <c r="X126" s="98"/>
      <c r="Y126" s="98"/>
      <c r="Z126" s="98"/>
      <c r="AA126" s="98"/>
      <c r="AB126" s="98"/>
      <c r="AC126" s="58"/>
    </row>
    <row r="127" spans="1:29" s="50" customFormat="1" outlineLevel="1">
      <c r="A127" s="106"/>
      <c r="B127" s="2"/>
      <c r="C127" s="157" t="s">
        <v>853</v>
      </c>
      <c r="D127" s="98"/>
      <c r="E127" s="98"/>
      <c r="F127" s="98"/>
      <c r="G127" s="98"/>
      <c r="H127" s="98"/>
      <c r="I127" s="98"/>
      <c r="J127" s="98"/>
      <c r="K127" s="98"/>
      <c r="L127" s="98"/>
      <c r="M127" s="98"/>
      <c r="N127" s="235"/>
      <c r="O127" s="235"/>
      <c r="P127" s="235"/>
      <c r="Q127" s="235"/>
      <c r="R127" s="98"/>
      <c r="S127" s="98"/>
      <c r="T127" s="98"/>
      <c r="U127" s="98"/>
      <c r="V127" s="98"/>
      <c r="W127" s="98"/>
      <c r="X127" s="98"/>
      <c r="Y127" s="98"/>
      <c r="Z127" s="98"/>
      <c r="AA127" s="98"/>
      <c r="AB127" s="98"/>
      <c r="AC127" s="247"/>
    </row>
    <row r="128" spans="1:29" s="50" customFormat="1" outlineLevel="1">
      <c r="A128" s="106"/>
      <c r="B128" s="2"/>
      <c r="C128" s="9" t="s">
        <v>839</v>
      </c>
      <c r="D128" s="248">
        <f t="shared" ref="D128:AB128" si="75">D101</f>
        <v>0</v>
      </c>
      <c r="E128" s="248">
        <f t="shared" si="75"/>
        <v>0</v>
      </c>
      <c r="F128" s="248">
        <f t="shared" si="75"/>
        <v>0</v>
      </c>
      <c r="G128" s="248">
        <f t="shared" si="75"/>
        <v>0</v>
      </c>
      <c r="H128" s="248">
        <f t="shared" si="75"/>
        <v>0</v>
      </c>
      <c r="I128" s="248">
        <f t="shared" si="75"/>
        <v>0</v>
      </c>
      <c r="J128" s="248">
        <f t="shared" si="75"/>
        <v>0</v>
      </c>
      <c r="K128" s="248">
        <f t="shared" si="75"/>
        <v>0</v>
      </c>
      <c r="L128" s="248">
        <f t="shared" si="75"/>
        <v>0</v>
      </c>
      <c r="M128" s="248">
        <f t="shared" si="75"/>
        <v>519510.25326136802</v>
      </c>
      <c r="N128" s="248">
        <f t="shared" si="75"/>
        <v>-2229988.6524344496</v>
      </c>
      <c r="O128" s="248">
        <f t="shared" si="75"/>
        <v>5528982.0087273903</v>
      </c>
      <c r="P128" s="248">
        <f t="shared" si="75"/>
        <v>1041782.4749430667</v>
      </c>
      <c r="Q128" s="248">
        <f t="shared" si="75"/>
        <v>2126150.1174232429</v>
      </c>
      <c r="R128" s="248">
        <f t="shared" si="75"/>
        <v>821892.9227429512</v>
      </c>
      <c r="S128" s="248">
        <f t="shared" ca="1" si="75"/>
        <v>927746.55056567141</v>
      </c>
      <c r="T128" s="248" t="e">
        <f t="shared" ca="1" si="75"/>
        <v>#NAME?</v>
      </c>
      <c r="U128" s="248" t="e">
        <f t="shared" ca="1" si="75"/>
        <v>#NAME?</v>
      </c>
      <c r="V128" s="248" t="e">
        <f t="shared" ca="1" si="75"/>
        <v>#NAME?</v>
      </c>
      <c r="W128" s="249" t="e">
        <f t="shared" ca="1" si="75"/>
        <v>#NAME?</v>
      </c>
      <c r="X128" s="249" t="e">
        <f t="shared" ca="1" si="75"/>
        <v>#NAME?</v>
      </c>
      <c r="Y128" s="249" t="e">
        <f t="shared" ca="1" si="75"/>
        <v>#NAME?</v>
      </c>
      <c r="Z128" s="249" t="e">
        <f t="shared" ca="1" si="75"/>
        <v>#NAME?</v>
      </c>
      <c r="AA128" s="249" t="e">
        <f t="shared" ca="1" si="75"/>
        <v>#NAME?</v>
      </c>
      <c r="AB128" s="249" t="e">
        <f t="shared" ca="1" si="75"/>
        <v>#NAME?</v>
      </c>
      <c r="AC128" s="247"/>
    </row>
    <row r="129" spans="1:29" s="50" customFormat="1" outlineLevel="1">
      <c r="A129" s="106"/>
      <c r="B129" s="2"/>
      <c r="C129" s="9" t="s">
        <v>1019</v>
      </c>
      <c r="D129" s="250"/>
      <c r="E129" s="250"/>
      <c r="F129" s="250"/>
      <c r="G129" s="250"/>
      <c r="H129" s="250"/>
      <c r="I129" s="250"/>
      <c r="J129" s="250"/>
      <c r="K129" s="250"/>
      <c r="L129" s="250"/>
      <c r="M129" s="250"/>
      <c r="N129" s="250"/>
      <c r="O129" s="250"/>
      <c r="P129" s="250"/>
      <c r="Q129" s="250"/>
      <c r="R129" s="250"/>
      <c r="S129" s="250"/>
      <c r="T129" s="250"/>
      <c r="U129" s="250"/>
      <c r="V129" s="250"/>
      <c r="W129" s="251"/>
      <c r="X129" s="251"/>
      <c r="Y129" s="251"/>
      <c r="Z129" s="251"/>
      <c r="AA129" s="251"/>
      <c r="AB129" s="251"/>
      <c r="AC129" s="252"/>
    </row>
    <row r="130" spans="1:29" s="50" customFormat="1" outlineLevel="1">
      <c r="A130" s="106"/>
      <c r="B130" s="2"/>
      <c r="C130" s="98" t="s">
        <v>840</v>
      </c>
      <c r="D130" s="250"/>
      <c r="E130" s="250"/>
      <c r="F130" s="250"/>
      <c r="G130" s="250"/>
      <c r="H130" s="250"/>
      <c r="I130" s="250"/>
      <c r="J130" s="250"/>
      <c r="K130" s="250"/>
      <c r="L130" s="250"/>
      <c r="M130" s="250"/>
      <c r="N130" s="250"/>
      <c r="O130" s="250"/>
      <c r="P130" s="250"/>
      <c r="Q130" s="250"/>
      <c r="R130" s="250"/>
      <c r="S130" s="250"/>
      <c r="T130" s="250"/>
      <c r="U130" s="250"/>
      <c r="V130" s="250"/>
      <c r="W130" s="251"/>
      <c r="X130" s="251"/>
      <c r="Y130" s="251"/>
      <c r="Z130" s="251"/>
      <c r="AA130" s="251"/>
      <c r="AB130" s="251"/>
      <c r="AC130" s="252"/>
    </row>
    <row r="131" spans="1:29" s="50" customFormat="1" ht="30.25" customHeight="1" outlineLevel="1">
      <c r="A131" s="106"/>
      <c r="B131" s="2"/>
      <c r="C131" s="253" t="s">
        <v>841</v>
      </c>
      <c r="D131" s="254"/>
      <c r="E131" s="254"/>
      <c r="F131" s="254"/>
      <c r="G131" s="254"/>
      <c r="H131" s="254"/>
      <c r="I131" s="254"/>
      <c r="J131" s="254"/>
      <c r="K131" s="254"/>
      <c r="L131" s="254"/>
      <c r="M131" s="254"/>
      <c r="N131" s="254"/>
      <c r="O131" s="254"/>
      <c r="P131" s="254"/>
      <c r="Q131" s="254"/>
      <c r="R131" s="254"/>
      <c r="S131" s="255" t="e">
        <f t="shared" ref="S131:AB131" si="76">-S49*S39</f>
        <v>#NAME?</v>
      </c>
      <c r="T131" s="255" t="e">
        <f t="shared" ca="1" si="76"/>
        <v>#NAME?</v>
      </c>
      <c r="U131" s="255" t="e">
        <f t="shared" ca="1" si="76"/>
        <v>#NAME?</v>
      </c>
      <c r="V131" s="255" t="e">
        <f t="shared" ca="1" si="76"/>
        <v>#NAME?</v>
      </c>
      <c r="W131" s="256" t="e">
        <f t="shared" ca="1" si="76"/>
        <v>#NAME?</v>
      </c>
      <c r="X131" s="256" t="e">
        <f t="shared" ca="1" si="76"/>
        <v>#NAME?</v>
      </c>
      <c r="Y131" s="256" t="e">
        <f t="shared" ca="1" si="76"/>
        <v>#NAME?</v>
      </c>
      <c r="Z131" s="256" t="e">
        <f t="shared" ca="1" si="76"/>
        <v>#NAME?</v>
      </c>
      <c r="AA131" s="256" t="e">
        <f t="shared" ca="1" si="76"/>
        <v>#NAME?</v>
      </c>
      <c r="AB131" s="256" t="e">
        <f t="shared" ca="1" si="76"/>
        <v>#NAME?</v>
      </c>
      <c r="AC131" s="247"/>
    </row>
    <row r="132" spans="1:29" s="50" customFormat="1" outlineLevel="1">
      <c r="A132" s="106"/>
      <c r="B132" s="2"/>
      <c r="C132" s="257" t="s">
        <v>856</v>
      </c>
      <c r="D132" s="258">
        <f>D128+D129+D130+D131</f>
        <v>0</v>
      </c>
      <c r="E132" s="258">
        <f t="shared" ref="E132:AB132" si="77">E128+E129+E130+E131</f>
        <v>0</v>
      </c>
      <c r="F132" s="258">
        <f t="shared" si="77"/>
        <v>0</v>
      </c>
      <c r="G132" s="258">
        <f t="shared" si="77"/>
        <v>0</v>
      </c>
      <c r="H132" s="258">
        <f t="shared" si="77"/>
        <v>0</v>
      </c>
      <c r="I132" s="258">
        <f t="shared" si="77"/>
        <v>0</v>
      </c>
      <c r="J132" s="258">
        <f t="shared" si="77"/>
        <v>0</v>
      </c>
      <c r="K132" s="258">
        <f t="shared" si="77"/>
        <v>0</v>
      </c>
      <c r="L132" s="258">
        <f t="shared" si="77"/>
        <v>0</v>
      </c>
      <c r="M132" s="258">
        <f t="shared" si="77"/>
        <v>519510.25326136802</v>
      </c>
      <c r="N132" s="258">
        <f t="shared" si="77"/>
        <v>-2229988.6524344496</v>
      </c>
      <c r="O132" s="258">
        <f t="shared" si="77"/>
        <v>5528982.0087273903</v>
      </c>
      <c r="P132" s="258">
        <f t="shared" si="77"/>
        <v>1041782.4749430667</v>
      </c>
      <c r="Q132" s="258">
        <f t="shared" si="77"/>
        <v>2126150.1174232429</v>
      </c>
      <c r="R132" s="258">
        <f t="shared" si="77"/>
        <v>821892.9227429512</v>
      </c>
      <c r="S132" s="258" t="e">
        <f t="shared" ca="1" si="77"/>
        <v>#NAME?</v>
      </c>
      <c r="T132" s="258" t="e">
        <f t="shared" ca="1" si="77"/>
        <v>#NAME?</v>
      </c>
      <c r="U132" s="258" t="e">
        <f t="shared" ca="1" si="77"/>
        <v>#NAME?</v>
      </c>
      <c r="V132" s="258" t="e">
        <f t="shared" ca="1" si="77"/>
        <v>#NAME?</v>
      </c>
      <c r="W132" s="259" t="e">
        <f t="shared" ca="1" si="77"/>
        <v>#NAME?</v>
      </c>
      <c r="X132" s="259" t="e">
        <f t="shared" ca="1" si="77"/>
        <v>#NAME?</v>
      </c>
      <c r="Y132" s="259" t="e">
        <f t="shared" ca="1" si="77"/>
        <v>#NAME?</v>
      </c>
      <c r="Z132" s="259" t="e">
        <f t="shared" ca="1" si="77"/>
        <v>#NAME?</v>
      </c>
      <c r="AA132" s="259" t="e">
        <f t="shared" ca="1" si="77"/>
        <v>#NAME?</v>
      </c>
      <c r="AB132" s="259" t="e">
        <f t="shared" ca="1" si="77"/>
        <v>#NAME?</v>
      </c>
      <c r="AC132" s="252"/>
    </row>
    <row r="133" spans="1:29" s="50" customFormat="1" outlineLevel="1">
      <c r="A133" s="106"/>
      <c r="B133" s="2"/>
      <c r="C133" s="20" t="s">
        <v>842</v>
      </c>
      <c r="D133" s="98"/>
      <c r="E133" s="98"/>
      <c r="F133" s="98"/>
      <c r="G133" s="98"/>
      <c r="H133" s="98"/>
      <c r="I133" s="98"/>
      <c r="J133" s="98"/>
      <c r="K133" s="98"/>
      <c r="L133" s="98"/>
      <c r="M133" s="98"/>
      <c r="N133" s="235"/>
      <c r="O133" s="235"/>
      <c r="P133" s="235"/>
      <c r="Q133" s="235"/>
      <c r="R133" s="98"/>
      <c r="S133" s="260"/>
      <c r="T133" s="260"/>
      <c r="U133" s="260"/>
      <c r="V133" s="260"/>
      <c r="W133" s="260"/>
      <c r="X133" s="260"/>
      <c r="Y133" s="260"/>
      <c r="Z133" s="260"/>
      <c r="AA133" s="260"/>
      <c r="AB133" s="260"/>
      <c r="AC133" s="252"/>
    </row>
    <row r="134" spans="1:29" s="50" customFormat="1" outlineLevel="1">
      <c r="A134" s="106"/>
      <c r="B134" s="2"/>
      <c r="C134" s="20" t="s">
        <v>843</v>
      </c>
      <c r="D134" s="98"/>
      <c r="E134" s="98"/>
      <c r="F134" s="98"/>
      <c r="G134" s="98"/>
      <c r="H134" s="98"/>
      <c r="I134" s="98"/>
      <c r="J134" s="98"/>
      <c r="K134" s="98"/>
      <c r="L134" s="98"/>
      <c r="M134" s="98"/>
      <c r="N134" s="235"/>
      <c r="O134" s="235"/>
      <c r="P134" s="235"/>
      <c r="Q134" s="235"/>
      <c r="R134" s="98"/>
      <c r="S134" s="260"/>
      <c r="T134" s="260"/>
      <c r="U134" s="260"/>
      <c r="V134" s="260"/>
      <c r="W134" s="260"/>
      <c r="X134" s="260"/>
      <c r="Y134" s="260"/>
      <c r="Z134" s="260"/>
      <c r="AA134" s="260"/>
      <c r="AB134" s="260"/>
      <c r="AC134" s="252"/>
    </row>
    <row r="135" spans="1:29" s="50" customFormat="1" outlineLevel="1">
      <c r="A135" s="106"/>
      <c r="B135" s="2"/>
      <c r="C135" s="20" t="s">
        <v>844</v>
      </c>
      <c r="D135" s="98"/>
      <c r="E135" s="98"/>
      <c r="F135" s="98"/>
      <c r="G135" s="98"/>
      <c r="H135" s="98"/>
      <c r="I135" s="98"/>
      <c r="J135" s="98"/>
      <c r="K135" s="98"/>
      <c r="L135" s="98"/>
      <c r="M135" s="98"/>
      <c r="N135" s="261"/>
      <c r="O135" s="262"/>
      <c r="P135" s="262"/>
      <c r="Q135" s="262"/>
      <c r="R135" s="262"/>
      <c r="S135" s="260"/>
      <c r="T135" s="260"/>
      <c r="U135" s="260"/>
      <c r="V135" s="260"/>
      <c r="W135" s="260"/>
      <c r="X135" s="260"/>
      <c r="Y135" s="260"/>
      <c r="Z135" s="260"/>
      <c r="AA135" s="260"/>
      <c r="AB135" s="260"/>
      <c r="AC135" s="252"/>
    </row>
    <row r="136" spans="1:29" s="50" customFormat="1" ht="30.25" customHeight="1" outlineLevel="1">
      <c r="A136" s="147"/>
      <c r="B136" s="148"/>
      <c r="C136" s="20" t="s">
        <v>855</v>
      </c>
      <c r="D136" s="98"/>
      <c r="E136" s="98"/>
      <c r="F136" s="98"/>
      <c r="G136" s="98"/>
      <c r="H136" s="98"/>
      <c r="I136" s="98"/>
      <c r="J136" s="98"/>
      <c r="K136" s="98"/>
      <c r="L136" s="98"/>
      <c r="M136" s="98"/>
      <c r="N136" s="235"/>
      <c r="O136" s="235"/>
      <c r="P136" s="235"/>
      <c r="Q136" s="235"/>
      <c r="R136" s="98"/>
      <c r="S136" s="260"/>
      <c r="T136" s="260"/>
      <c r="U136" s="260"/>
      <c r="V136" s="260"/>
      <c r="W136" s="260"/>
      <c r="X136" s="260"/>
      <c r="Y136" s="260"/>
      <c r="Z136" s="260"/>
      <c r="AA136" s="260"/>
      <c r="AB136" s="260"/>
      <c r="AC136" s="263"/>
    </row>
    <row r="137" spans="1:29" s="50" customFormat="1" ht="30.25" customHeight="1" outlineLevel="1">
      <c r="A137" s="147"/>
      <c r="B137" s="148"/>
      <c r="C137" s="264" t="s">
        <v>854</v>
      </c>
      <c r="D137" s="120"/>
      <c r="E137" s="120"/>
      <c r="F137" s="120"/>
      <c r="G137" s="120"/>
      <c r="H137" s="120"/>
      <c r="I137" s="120"/>
      <c r="J137" s="120"/>
      <c r="K137" s="120"/>
      <c r="L137" s="120"/>
      <c r="M137" s="120"/>
      <c r="N137" s="265"/>
      <c r="O137" s="265"/>
      <c r="P137" s="265"/>
      <c r="Q137" s="265"/>
      <c r="R137" s="120"/>
      <c r="S137" s="266">
        <f t="shared" ref="S137:AB137" si="78">SUM(S133:S136)</f>
        <v>0</v>
      </c>
      <c r="T137" s="266">
        <f t="shared" si="78"/>
        <v>0</v>
      </c>
      <c r="U137" s="266">
        <f t="shared" si="78"/>
        <v>0</v>
      </c>
      <c r="V137" s="266">
        <f t="shared" si="78"/>
        <v>0</v>
      </c>
      <c r="W137" s="266">
        <f t="shared" si="78"/>
        <v>0</v>
      </c>
      <c r="X137" s="266">
        <f>SUM(X133:X136)</f>
        <v>0</v>
      </c>
      <c r="Y137" s="266">
        <f>SUM(Y133:Y136)</f>
        <v>0</v>
      </c>
      <c r="Z137" s="266">
        <f>SUM(Z133:Z136)</f>
        <v>0</v>
      </c>
      <c r="AA137" s="266">
        <f>SUM(AA133:AA136)</f>
        <v>0</v>
      </c>
      <c r="AB137" s="266">
        <f t="shared" si="78"/>
        <v>0</v>
      </c>
      <c r="AC137" s="263"/>
    </row>
    <row r="138" spans="1:29" s="50" customFormat="1" ht="30.25" customHeight="1" outlineLevel="1">
      <c r="A138" s="106"/>
      <c r="B138" s="2"/>
      <c r="C138" s="257" t="s">
        <v>866</v>
      </c>
      <c r="D138" s="267"/>
      <c r="E138" s="267"/>
      <c r="F138" s="267"/>
      <c r="G138" s="267"/>
      <c r="H138" s="267"/>
      <c r="I138" s="267"/>
      <c r="J138" s="267"/>
      <c r="K138" s="267"/>
      <c r="L138" s="267"/>
      <c r="M138" s="267"/>
      <c r="N138" s="268"/>
      <c r="O138" s="268"/>
      <c r="P138" s="268"/>
      <c r="Q138" s="268"/>
      <c r="R138" s="267"/>
      <c r="S138" s="269">
        <f ca="1">+S128+S129-S137</f>
        <v>927746.55056567141</v>
      </c>
      <c r="T138" s="269" t="e">
        <f t="shared" ref="T138:AB138" ca="1" si="79">+T128+T129-T137</f>
        <v>#NAME?</v>
      </c>
      <c r="U138" s="269" t="e">
        <f t="shared" ca="1" si="79"/>
        <v>#NAME?</v>
      </c>
      <c r="V138" s="269" t="e">
        <f t="shared" ca="1" si="79"/>
        <v>#NAME?</v>
      </c>
      <c r="W138" s="269" t="e">
        <f t="shared" ca="1" si="79"/>
        <v>#NAME?</v>
      </c>
      <c r="X138" s="269" t="e">
        <f ca="1">+X128+X129-X137</f>
        <v>#NAME?</v>
      </c>
      <c r="Y138" s="269" t="e">
        <f ca="1">+Y128+Y129-Y137</f>
        <v>#NAME?</v>
      </c>
      <c r="Z138" s="269" t="e">
        <f ca="1">+Z128+Z129-Z137</f>
        <v>#NAME?</v>
      </c>
      <c r="AA138" s="269" t="e">
        <f ca="1">+AA128+AA129-AA137</f>
        <v>#NAME?</v>
      </c>
      <c r="AB138" s="269" t="e">
        <f t="shared" ca="1" si="79"/>
        <v>#NAME?</v>
      </c>
      <c r="AC138" s="252"/>
    </row>
    <row r="139" spans="1:29" s="50" customFormat="1" outlineLevel="1">
      <c r="A139" s="106"/>
      <c r="B139" s="2"/>
      <c r="C139" s="257" t="s">
        <v>867</v>
      </c>
      <c r="D139" s="270"/>
      <c r="E139" s="270"/>
      <c r="F139" s="270"/>
      <c r="G139" s="270"/>
      <c r="H139" s="270"/>
      <c r="I139" s="270"/>
      <c r="J139" s="270"/>
      <c r="K139" s="270"/>
      <c r="L139" s="270"/>
      <c r="M139" s="270"/>
      <c r="N139" s="271"/>
      <c r="O139" s="271"/>
      <c r="P139" s="271"/>
      <c r="Q139" s="271"/>
      <c r="R139" s="269">
        <f>+Q110</f>
        <v>10140104.75</v>
      </c>
      <c r="S139" s="269" t="e">
        <f ca="1">S132-S137</f>
        <v>#NAME?</v>
      </c>
      <c r="T139" s="269" t="e">
        <f t="shared" ref="T139:AB139" ca="1" si="80">T132-T137</f>
        <v>#NAME?</v>
      </c>
      <c r="U139" s="269" t="e">
        <f t="shared" ca="1" si="80"/>
        <v>#NAME?</v>
      </c>
      <c r="V139" s="269" t="e">
        <f t="shared" ca="1" si="80"/>
        <v>#NAME?</v>
      </c>
      <c r="W139" s="269" t="e">
        <f t="shared" ca="1" si="80"/>
        <v>#NAME?</v>
      </c>
      <c r="X139" s="269" t="e">
        <f ca="1">X132-X137</f>
        <v>#NAME?</v>
      </c>
      <c r="Y139" s="269" t="e">
        <f ca="1">Y132-Y137</f>
        <v>#NAME?</v>
      </c>
      <c r="Z139" s="269" t="e">
        <f ca="1">Z132-Z137</f>
        <v>#NAME?</v>
      </c>
      <c r="AA139" s="269" t="e">
        <f ca="1">AA132-AA137</f>
        <v>#NAME?</v>
      </c>
      <c r="AB139" s="269" t="e">
        <f t="shared" ca="1" si="80"/>
        <v>#NAME?</v>
      </c>
      <c r="AC139" s="252"/>
    </row>
    <row r="140" spans="1:29" s="50" customFormat="1" outlineLevel="1">
      <c r="A140" s="106"/>
      <c r="B140" s="2"/>
      <c r="C140" s="204" t="s">
        <v>857</v>
      </c>
      <c r="D140" s="234"/>
      <c r="E140" s="234"/>
      <c r="F140" s="234"/>
      <c r="G140" s="234"/>
      <c r="H140" s="234"/>
      <c r="I140" s="234"/>
      <c r="J140" s="234"/>
      <c r="K140" s="234"/>
      <c r="L140" s="234"/>
      <c r="M140" s="234"/>
      <c r="N140" s="272"/>
      <c r="O140" s="272"/>
      <c r="P140" s="272"/>
      <c r="Q140" s="272"/>
      <c r="R140" s="273"/>
      <c r="S140" s="98"/>
      <c r="T140" s="274"/>
      <c r="U140" s="274"/>
      <c r="V140" s="274"/>
      <c r="W140" s="9"/>
      <c r="X140" s="9"/>
      <c r="Y140" s="9"/>
      <c r="Z140" s="9"/>
      <c r="AA140" s="9"/>
      <c r="AB140" s="9"/>
      <c r="AC140" s="252"/>
    </row>
    <row r="141" spans="1:29" s="50" customFormat="1" outlineLevel="1">
      <c r="A141" s="106"/>
      <c r="B141" s="2"/>
      <c r="C141" s="204" t="s">
        <v>845</v>
      </c>
      <c r="D141" s="250"/>
      <c r="E141" s="250"/>
      <c r="F141" s="250"/>
      <c r="G141" s="250"/>
      <c r="H141" s="250"/>
      <c r="I141" s="250"/>
      <c r="J141" s="250"/>
      <c r="K141" s="250"/>
      <c r="L141" s="250"/>
      <c r="M141" s="250"/>
      <c r="N141" s="250"/>
      <c r="O141" s="250"/>
      <c r="P141" s="250"/>
      <c r="Q141" s="250"/>
      <c r="R141" s="250"/>
      <c r="S141" s="250"/>
      <c r="T141" s="250"/>
      <c r="U141" s="250"/>
      <c r="V141" s="250"/>
      <c r="W141" s="251"/>
      <c r="X141" s="251"/>
      <c r="Y141" s="251"/>
      <c r="Z141" s="251"/>
      <c r="AA141" s="251"/>
      <c r="AB141" s="251"/>
      <c r="AC141" s="252"/>
    </row>
    <row r="142" spans="1:29" s="50" customFormat="1" ht="30.25" customHeight="1" outlineLevel="1">
      <c r="A142" s="275"/>
      <c r="B142" s="276"/>
      <c r="C142" s="204" t="s">
        <v>846</v>
      </c>
      <c r="D142" s="277"/>
      <c r="E142" s="277"/>
      <c r="F142" s="277"/>
      <c r="G142" s="277"/>
      <c r="H142" s="277"/>
      <c r="I142" s="277"/>
      <c r="J142" s="277"/>
      <c r="K142" s="277"/>
      <c r="L142" s="277"/>
      <c r="M142" s="277"/>
      <c r="N142" s="278"/>
      <c r="O142" s="278"/>
      <c r="P142" s="278"/>
      <c r="Q142" s="278"/>
      <c r="R142" s="279"/>
      <c r="S142" s="250"/>
      <c r="T142" s="250"/>
      <c r="U142" s="250"/>
      <c r="V142" s="250"/>
      <c r="W142" s="251"/>
      <c r="X142" s="251"/>
      <c r="Y142" s="251"/>
      <c r="Z142" s="251"/>
      <c r="AA142" s="251"/>
      <c r="AB142" s="251"/>
      <c r="AC142" s="280"/>
    </row>
    <row r="143" spans="1:29" s="50" customFormat="1" outlineLevel="1">
      <c r="A143" s="106"/>
      <c r="B143" s="2"/>
      <c r="C143" s="264" t="s">
        <v>847</v>
      </c>
      <c r="D143" s="281"/>
      <c r="E143" s="281"/>
      <c r="F143" s="281"/>
      <c r="G143" s="281"/>
      <c r="H143" s="281"/>
      <c r="I143" s="281"/>
      <c r="J143" s="281"/>
      <c r="K143" s="281"/>
      <c r="L143" s="281"/>
      <c r="M143" s="281"/>
      <c r="N143" s="281"/>
      <c r="O143" s="281"/>
      <c r="P143" s="281"/>
      <c r="Q143" s="281"/>
      <c r="R143" s="281"/>
      <c r="S143" s="281"/>
      <c r="T143" s="281"/>
      <c r="U143" s="281"/>
      <c r="V143" s="281"/>
      <c r="W143" s="282"/>
      <c r="X143" s="282"/>
      <c r="Y143" s="282"/>
      <c r="Z143" s="282"/>
      <c r="AA143" s="282"/>
      <c r="AB143" s="282"/>
      <c r="AC143" s="247"/>
    </row>
    <row r="144" spans="1:29" s="50" customFormat="1" outlineLevel="1">
      <c r="A144" s="106"/>
      <c r="B144" s="2"/>
      <c r="C144" s="9" t="s">
        <v>848</v>
      </c>
      <c r="D144" s="283"/>
      <c r="E144" s="283"/>
      <c r="F144" s="283"/>
      <c r="G144" s="283"/>
      <c r="H144" s="283"/>
      <c r="I144" s="283"/>
      <c r="J144" s="283"/>
      <c r="K144" s="283"/>
      <c r="L144" s="283"/>
      <c r="M144" s="283"/>
      <c r="N144" s="283"/>
      <c r="O144" s="283"/>
      <c r="P144" s="283"/>
      <c r="Q144" s="283"/>
      <c r="R144" s="283"/>
      <c r="S144" s="284">
        <f t="shared" ref="S144:AB144" si="81">R144+S141-S133</f>
        <v>0</v>
      </c>
      <c r="T144" s="284">
        <f t="shared" si="81"/>
        <v>0</v>
      </c>
      <c r="U144" s="284">
        <f t="shared" si="81"/>
        <v>0</v>
      </c>
      <c r="V144" s="284">
        <f t="shared" si="81"/>
        <v>0</v>
      </c>
      <c r="W144" s="285">
        <f t="shared" si="81"/>
        <v>0</v>
      </c>
      <c r="X144" s="285">
        <f>W144+X141-X133</f>
        <v>0</v>
      </c>
      <c r="Y144" s="285">
        <f>X144+Y141-Y133</f>
        <v>0</v>
      </c>
      <c r="Z144" s="285">
        <f>Y144+Z141-Z133</f>
        <v>0</v>
      </c>
      <c r="AA144" s="285">
        <f>Z144+AA141-AA133</f>
        <v>0</v>
      </c>
      <c r="AB144" s="285">
        <f t="shared" si="81"/>
        <v>0</v>
      </c>
      <c r="AC144" s="247"/>
    </row>
    <row r="145" spans="1:29" s="50" customFormat="1" ht="30.25" customHeight="1" outlineLevel="1">
      <c r="A145" s="286"/>
      <c r="B145" s="7"/>
      <c r="C145" s="287" t="s">
        <v>849</v>
      </c>
      <c r="D145" s="288"/>
      <c r="E145" s="288"/>
      <c r="F145" s="288"/>
      <c r="G145" s="288"/>
      <c r="H145" s="288"/>
      <c r="I145" s="288"/>
      <c r="J145" s="288"/>
      <c r="K145" s="288"/>
      <c r="L145" s="288"/>
      <c r="M145" s="288"/>
      <c r="N145" s="289"/>
      <c r="O145" s="289"/>
      <c r="P145" s="289"/>
      <c r="Q145" s="289"/>
      <c r="R145" s="289"/>
      <c r="S145" s="289"/>
      <c r="T145" s="289"/>
      <c r="U145" s="289"/>
      <c r="V145" s="289"/>
      <c r="W145" s="290"/>
      <c r="X145" s="290"/>
      <c r="Y145" s="290"/>
      <c r="Z145" s="290"/>
      <c r="AA145" s="290"/>
      <c r="AB145" s="290"/>
      <c r="AC145" s="291"/>
    </row>
    <row r="146" spans="1:29" s="50" customFormat="1" outlineLevel="1">
      <c r="A146" s="106"/>
      <c r="B146" s="2"/>
      <c r="C146" s="257" t="s">
        <v>850</v>
      </c>
      <c r="D146" s="292">
        <f t="shared" ref="D146:M146" si="82">D145+D144</f>
        <v>0</v>
      </c>
      <c r="E146" s="292">
        <f t="shared" si="82"/>
        <v>0</v>
      </c>
      <c r="F146" s="292">
        <f t="shared" si="82"/>
        <v>0</v>
      </c>
      <c r="G146" s="292">
        <f t="shared" si="82"/>
        <v>0</v>
      </c>
      <c r="H146" s="292">
        <f t="shared" si="82"/>
        <v>0</v>
      </c>
      <c r="I146" s="292">
        <f t="shared" si="82"/>
        <v>0</v>
      </c>
      <c r="J146" s="292">
        <f t="shared" si="82"/>
        <v>0</v>
      </c>
      <c r="K146" s="292">
        <f t="shared" si="82"/>
        <v>0</v>
      </c>
      <c r="L146" s="292">
        <f t="shared" si="82"/>
        <v>0</v>
      </c>
      <c r="M146" s="292">
        <f t="shared" si="82"/>
        <v>0</v>
      </c>
      <c r="N146" s="292">
        <f>N145+N144</f>
        <v>0</v>
      </c>
      <c r="O146" s="292">
        <f>O145+O144</f>
        <v>0</v>
      </c>
      <c r="P146" s="292">
        <f>P145+P144</f>
        <v>0</v>
      </c>
      <c r="Q146" s="292">
        <f>Q145+Q144</f>
        <v>0</v>
      </c>
      <c r="R146" s="292">
        <f>R145+R144</f>
        <v>0</v>
      </c>
      <c r="S146" s="292">
        <f t="shared" ref="S146:AB146" si="83">S145+S144</f>
        <v>0</v>
      </c>
      <c r="T146" s="292">
        <f t="shared" si="83"/>
        <v>0</v>
      </c>
      <c r="U146" s="292">
        <f t="shared" si="83"/>
        <v>0</v>
      </c>
      <c r="V146" s="292">
        <f t="shared" si="83"/>
        <v>0</v>
      </c>
      <c r="W146" s="293">
        <f t="shared" si="83"/>
        <v>0</v>
      </c>
      <c r="X146" s="293">
        <f t="shared" si="83"/>
        <v>0</v>
      </c>
      <c r="Y146" s="293">
        <f t="shared" si="83"/>
        <v>0</v>
      </c>
      <c r="Z146" s="293">
        <f t="shared" si="83"/>
        <v>0</v>
      </c>
      <c r="AA146" s="293">
        <f t="shared" si="83"/>
        <v>0</v>
      </c>
      <c r="AB146" s="293">
        <f t="shared" si="83"/>
        <v>0</v>
      </c>
      <c r="AC146" s="247"/>
    </row>
    <row r="147" spans="1:29" s="50" customFormat="1" ht="30.25" customHeight="1" outlineLevel="1">
      <c r="A147" s="106"/>
      <c r="B147" s="2"/>
      <c r="C147" s="9" t="s">
        <v>1076</v>
      </c>
      <c r="D147" s="294" t="e">
        <f t="shared" ref="D147:AB147" si="84">D144/D55</f>
        <v>#DIV/0!</v>
      </c>
      <c r="E147" s="294" t="e">
        <f t="shared" si="84"/>
        <v>#DIV/0!</v>
      </c>
      <c r="F147" s="294" t="e">
        <f t="shared" si="84"/>
        <v>#DIV/0!</v>
      </c>
      <c r="G147" s="294" t="e">
        <f t="shared" si="84"/>
        <v>#DIV/0!</v>
      </c>
      <c r="H147" s="294" t="e">
        <f t="shared" si="84"/>
        <v>#DIV/0!</v>
      </c>
      <c r="I147" s="294" t="e">
        <f t="shared" si="84"/>
        <v>#DIV/0!</v>
      </c>
      <c r="J147" s="294" t="e">
        <f t="shared" si="84"/>
        <v>#DIV/0!</v>
      </c>
      <c r="K147" s="294" t="e">
        <f t="shared" si="84"/>
        <v>#DIV/0!</v>
      </c>
      <c r="L147" s="294" t="e">
        <f t="shared" si="84"/>
        <v>#DIV/0!</v>
      </c>
      <c r="M147" s="294">
        <f t="shared" si="84"/>
        <v>0</v>
      </c>
      <c r="N147" s="294">
        <f t="shared" si="84"/>
        <v>0</v>
      </c>
      <c r="O147" s="294">
        <f t="shared" si="84"/>
        <v>0</v>
      </c>
      <c r="P147" s="294">
        <f t="shared" si="84"/>
        <v>0</v>
      </c>
      <c r="Q147" s="294">
        <f t="shared" si="84"/>
        <v>0</v>
      </c>
      <c r="R147" s="294">
        <f t="shared" si="84"/>
        <v>0</v>
      </c>
      <c r="S147" s="294">
        <f t="shared" ca="1" si="84"/>
        <v>0</v>
      </c>
      <c r="T147" s="294" t="e">
        <f t="shared" ca="1" si="84"/>
        <v>#NAME?</v>
      </c>
      <c r="U147" s="294" t="e">
        <f t="shared" ca="1" si="84"/>
        <v>#NAME?</v>
      </c>
      <c r="V147" s="294" t="e">
        <f t="shared" ca="1" si="84"/>
        <v>#NAME?</v>
      </c>
      <c r="W147" s="295" t="e">
        <f t="shared" ca="1" si="84"/>
        <v>#NAME?</v>
      </c>
      <c r="X147" s="295" t="e">
        <f t="shared" ca="1" si="84"/>
        <v>#NAME?</v>
      </c>
      <c r="Y147" s="295" t="e">
        <f t="shared" ca="1" si="84"/>
        <v>#NAME?</v>
      </c>
      <c r="Z147" s="295" t="e">
        <f t="shared" ca="1" si="84"/>
        <v>#NAME?</v>
      </c>
      <c r="AA147" s="295" t="e">
        <f t="shared" ca="1" si="84"/>
        <v>#NAME?</v>
      </c>
      <c r="AB147" s="295" t="e">
        <f t="shared" ca="1" si="84"/>
        <v>#NAME?</v>
      </c>
      <c r="AC147" s="247"/>
    </row>
    <row r="148" spans="1:29" s="50" customFormat="1" ht="30.25" customHeight="1" outlineLevel="1">
      <c r="A148" s="106"/>
      <c r="B148" s="2"/>
      <c r="C148" s="296" t="s">
        <v>1077</v>
      </c>
      <c r="D148" s="297" t="e">
        <f t="shared" ref="D148:AB148" si="85">(D144-D143)/D55</f>
        <v>#DIV/0!</v>
      </c>
      <c r="E148" s="297" t="e">
        <f t="shared" si="85"/>
        <v>#DIV/0!</v>
      </c>
      <c r="F148" s="297" t="e">
        <f t="shared" si="85"/>
        <v>#DIV/0!</v>
      </c>
      <c r="G148" s="297" t="e">
        <f t="shared" si="85"/>
        <v>#DIV/0!</v>
      </c>
      <c r="H148" s="297" t="e">
        <f t="shared" si="85"/>
        <v>#DIV/0!</v>
      </c>
      <c r="I148" s="297" t="e">
        <f t="shared" si="85"/>
        <v>#DIV/0!</v>
      </c>
      <c r="J148" s="297" t="e">
        <f t="shared" si="85"/>
        <v>#DIV/0!</v>
      </c>
      <c r="K148" s="297" t="e">
        <f t="shared" si="85"/>
        <v>#DIV/0!</v>
      </c>
      <c r="L148" s="297" t="e">
        <f t="shared" si="85"/>
        <v>#DIV/0!</v>
      </c>
      <c r="M148" s="297">
        <f t="shared" si="85"/>
        <v>0</v>
      </c>
      <c r="N148" s="297">
        <f t="shared" si="85"/>
        <v>0</v>
      </c>
      <c r="O148" s="297">
        <f t="shared" si="85"/>
        <v>0</v>
      </c>
      <c r="P148" s="297">
        <f t="shared" si="85"/>
        <v>0</v>
      </c>
      <c r="Q148" s="297">
        <f t="shared" si="85"/>
        <v>0</v>
      </c>
      <c r="R148" s="297">
        <f t="shared" si="85"/>
        <v>0</v>
      </c>
      <c r="S148" s="297">
        <f t="shared" ca="1" si="85"/>
        <v>0</v>
      </c>
      <c r="T148" s="297" t="e">
        <f t="shared" ca="1" si="85"/>
        <v>#NAME?</v>
      </c>
      <c r="U148" s="297" t="e">
        <f t="shared" ca="1" si="85"/>
        <v>#NAME?</v>
      </c>
      <c r="V148" s="297" t="e">
        <f t="shared" ca="1" si="85"/>
        <v>#NAME?</v>
      </c>
      <c r="W148" s="298" t="e">
        <f t="shared" ca="1" si="85"/>
        <v>#NAME?</v>
      </c>
      <c r="X148" s="298" t="e">
        <f t="shared" ca="1" si="85"/>
        <v>#NAME?</v>
      </c>
      <c r="Y148" s="298" t="e">
        <f t="shared" ca="1" si="85"/>
        <v>#NAME?</v>
      </c>
      <c r="Z148" s="298" t="e">
        <f t="shared" ca="1" si="85"/>
        <v>#NAME?</v>
      </c>
      <c r="AA148" s="298" t="e">
        <f t="shared" ca="1" si="85"/>
        <v>#NAME?</v>
      </c>
      <c r="AB148" s="298" t="e">
        <f t="shared" ca="1" si="85"/>
        <v>#NAME?</v>
      </c>
      <c r="AC148" s="247"/>
    </row>
    <row r="149" spans="1:29" s="50" customFormat="1" outlineLevel="1">
      <c r="A149" s="106"/>
      <c r="B149" s="2"/>
      <c r="C149" s="9" t="s">
        <v>851</v>
      </c>
      <c r="D149" s="299" t="e">
        <f t="shared" ref="D149:AB149" si="86">(D144+D145)/(D55+D134+D135)</f>
        <v>#DIV/0!</v>
      </c>
      <c r="E149" s="299" t="e">
        <f t="shared" si="86"/>
        <v>#DIV/0!</v>
      </c>
      <c r="F149" s="299" t="e">
        <f t="shared" si="86"/>
        <v>#DIV/0!</v>
      </c>
      <c r="G149" s="299" t="e">
        <f t="shared" si="86"/>
        <v>#DIV/0!</v>
      </c>
      <c r="H149" s="299" t="e">
        <f t="shared" si="86"/>
        <v>#DIV/0!</v>
      </c>
      <c r="I149" s="299" t="e">
        <f t="shared" si="86"/>
        <v>#DIV/0!</v>
      </c>
      <c r="J149" s="299" t="e">
        <f t="shared" si="86"/>
        <v>#DIV/0!</v>
      </c>
      <c r="K149" s="299" t="e">
        <f t="shared" si="86"/>
        <v>#DIV/0!</v>
      </c>
      <c r="L149" s="299" t="e">
        <f t="shared" si="86"/>
        <v>#DIV/0!</v>
      </c>
      <c r="M149" s="299">
        <f t="shared" si="86"/>
        <v>0</v>
      </c>
      <c r="N149" s="299">
        <f t="shared" si="86"/>
        <v>0</v>
      </c>
      <c r="O149" s="299">
        <f t="shared" si="86"/>
        <v>0</v>
      </c>
      <c r="P149" s="299">
        <f t="shared" si="86"/>
        <v>0</v>
      </c>
      <c r="Q149" s="299">
        <f t="shared" si="86"/>
        <v>0</v>
      </c>
      <c r="R149" s="299">
        <f t="shared" si="86"/>
        <v>0</v>
      </c>
      <c r="S149" s="299">
        <f t="shared" ca="1" si="86"/>
        <v>0</v>
      </c>
      <c r="T149" s="299" t="e">
        <f t="shared" ca="1" si="86"/>
        <v>#NAME?</v>
      </c>
      <c r="U149" s="299" t="e">
        <f t="shared" ca="1" si="86"/>
        <v>#NAME?</v>
      </c>
      <c r="V149" s="299" t="e">
        <f t="shared" ca="1" si="86"/>
        <v>#NAME?</v>
      </c>
      <c r="W149" s="300" t="e">
        <f t="shared" ca="1" si="86"/>
        <v>#NAME?</v>
      </c>
      <c r="X149" s="300" t="e">
        <f t="shared" ca="1" si="86"/>
        <v>#NAME?</v>
      </c>
      <c r="Y149" s="300" t="e">
        <f t="shared" ca="1" si="86"/>
        <v>#NAME?</v>
      </c>
      <c r="Z149" s="300" t="e">
        <f t="shared" ca="1" si="86"/>
        <v>#NAME?</v>
      </c>
      <c r="AA149" s="300" t="e">
        <f t="shared" ca="1" si="86"/>
        <v>#NAME?</v>
      </c>
      <c r="AB149" s="300" t="e">
        <f t="shared" ca="1" si="86"/>
        <v>#NAME?</v>
      </c>
      <c r="AC149" s="247"/>
    </row>
    <row r="150" spans="1:29" s="50" customFormat="1" outlineLevel="1">
      <c r="A150" s="106"/>
      <c r="B150" s="2"/>
      <c r="C150" s="9" t="s">
        <v>852</v>
      </c>
      <c r="D150" s="299" t="e">
        <f t="shared" ref="D150:AB150" si="87">(D144+D145-D143)/(D55+D134+D135)</f>
        <v>#DIV/0!</v>
      </c>
      <c r="E150" s="299" t="e">
        <f t="shared" si="87"/>
        <v>#DIV/0!</v>
      </c>
      <c r="F150" s="299" t="e">
        <f t="shared" si="87"/>
        <v>#DIV/0!</v>
      </c>
      <c r="G150" s="299" t="e">
        <f t="shared" si="87"/>
        <v>#DIV/0!</v>
      </c>
      <c r="H150" s="299" t="e">
        <f t="shared" si="87"/>
        <v>#DIV/0!</v>
      </c>
      <c r="I150" s="299" t="e">
        <f t="shared" si="87"/>
        <v>#DIV/0!</v>
      </c>
      <c r="J150" s="299" t="e">
        <f t="shared" si="87"/>
        <v>#DIV/0!</v>
      </c>
      <c r="K150" s="299" t="e">
        <f t="shared" si="87"/>
        <v>#DIV/0!</v>
      </c>
      <c r="L150" s="299" t="e">
        <f t="shared" si="87"/>
        <v>#DIV/0!</v>
      </c>
      <c r="M150" s="299">
        <f t="shared" si="87"/>
        <v>0</v>
      </c>
      <c r="N150" s="299">
        <f t="shared" si="87"/>
        <v>0</v>
      </c>
      <c r="O150" s="299">
        <f t="shared" si="87"/>
        <v>0</v>
      </c>
      <c r="P150" s="299">
        <f t="shared" si="87"/>
        <v>0</v>
      </c>
      <c r="Q150" s="299">
        <f t="shared" si="87"/>
        <v>0</v>
      </c>
      <c r="R150" s="299">
        <f t="shared" si="87"/>
        <v>0</v>
      </c>
      <c r="S150" s="299">
        <f t="shared" ca="1" si="87"/>
        <v>0</v>
      </c>
      <c r="T150" s="299" t="e">
        <f t="shared" ca="1" si="87"/>
        <v>#NAME?</v>
      </c>
      <c r="U150" s="299" t="e">
        <f t="shared" ca="1" si="87"/>
        <v>#NAME?</v>
      </c>
      <c r="V150" s="299" t="e">
        <f t="shared" ca="1" si="87"/>
        <v>#NAME?</v>
      </c>
      <c r="W150" s="300" t="e">
        <f t="shared" ca="1" si="87"/>
        <v>#NAME?</v>
      </c>
      <c r="X150" s="300" t="e">
        <f t="shared" ca="1" si="87"/>
        <v>#NAME?</v>
      </c>
      <c r="Y150" s="300" t="e">
        <f t="shared" ca="1" si="87"/>
        <v>#NAME?</v>
      </c>
      <c r="Z150" s="300" t="e">
        <f t="shared" ca="1" si="87"/>
        <v>#NAME?</v>
      </c>
      <c r="AA150" s="300" t="e">
        <f t="shared" ca="1" si="87"/>
        <v>#NAME?</v>
      </c>
      <c r="AB150" s="300" t="e">
        <f t="shared" ca="1" si="87"/>
        <v>#NAME?</v>
      </c>
      <c r="AC150" s="58"/>
    </row>
    <row r="151" spans="1:29" s="50" customFormat="1">
      <c r="A151" s="106"/>
      <c r="B151" s="2"/>
      <c r="C151" s="235" t="s">
        <v>742</v>
      </c>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58"/>
    </row>
    <row r="152" spans="1:29" s="50" customFormat="1" ht="45" customHeight="1" outlineLevel="1">
      <c r="A152" s="106"/>
      <c r="B152" s="2"/>
      <c r="C152" s="235" t="s">
        <v>68</v>
      </c>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58"/>
    </row>
    <row r="153" spans="1:29" s="50" customFormat="1" outlineLevel="1">
      <c r="A153" s="106"/>
      <c r="B153" s="2"/>
      <c r="C153" s="157" t="s">
        <v>981</v>
      </c>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58"/>
    </row>
    <row r="154" spans="1:29" s="50" customFormat="1" outlineLevel="1">
      <c r="A154" s="106"/>
      <c r="B154" s="2"/>
      <c r="C154" s="301" t="s">
        <v>982</v>
      </c>
      <c r="D154" s="98"/>
      <c r="E154" s="98"/>
      <c r="F154" s="98"/>
      <c r="G154" s="98"/>
      <c r="H154" s="98"/>
      <c r="I154" s="98"/>
      <c r="J154" s="98"/>
      <c r="K154" s="98"/>
      <c r="L154" s="98"/>
      <c r="M154" s="98"/>
      <c r="N154" s="98"/>
      <c r="O154" s="98"/>
      <c r="P154" s="301" t="s">
        <v>994</v>
      </c>
      <c r="Q154" s="98"/>
      <c r="R154" s="98"/>
      <c r="S154" s="98"/>
      <c r="T154" s="98"/>
      <c r="U154" s="98"/>
      <c r="V154" s="98"/>
      <c r="W154" s="98"/>
      <c r="X154" s="98"/>
      <c r="Y154" s="98"/>
      <c r="Z154" s="98"/>
      <c r="AA154" s="98"/>
      <c r="AB154" s="98"/>
      <c r="AC154" s="58"/>
    </row>
    <row r="155" spans="1:29" s="50" customFormat="1" outlineLevel="1">
      <c r="A155" s="106"/>
      <c r="B155" s="2"/>
      <c r="C155" s="98" t="s">
        <v>983</v>
      </c>
      <c r="D155" s="98"/>
      <c r="E155" s="98"/>
      <c r="F155" s="98"/>
      <c r="G155" s="98"/>
      <c r="H155" s="98"/>
      <c r="I155" s="98"/>
      <c r="J155" s="98"/>
      <c r="K155" s="98"/>
      <c r="L155" s="98"/>
      <c r="M155" s="98"/>
      <c r="N155" s="302">
        <f>+S156</f>
        <v>0</v>
      </c>
      <c r="O155" s="98"/>
      <c r="P155" s="98" t="s">
        <v>1017</v>
      </c>
      <c r="Q155" s="98"/>
      <c r="R155" s="98"/>
      <c r="S155" s="303"/>
      <c r="T155" s="98"/>
      <c r="U155" s="98"/>
      <c r="V155" s="98"/>
      <c r="W155" s="98"/>
      <c r="X155" s="98"/>
      <c r="Y155" s="98"/>
      <c r="Z155" s="98"/>
      <c r="AA155" s="98"/>
      <c r="AB155" s="98"/>
      <c r="AC155" s="58"/>
    </row>
    <row r="156" spans="1:29" s="50" customFormat="1" outlineLevel="1">
      <c r="A156" s="106"/>
      <c r="B156" s="2"/>
      <c r="C156" s="98" t="s">
        <v>984</v>
      </c>
      <c r="D156" s="98"/>
      <c r="E156" s="98"/>
      <c r="F156" s="98"/>
      <c r="G156" s="98"/>
      <c r="H156" s="98"/>
      <c r="I156" s="98"/>
      <c r="J156" s="98"/>
      <c r="K156" s="98"/>
      <c r="L156" s="98"/>
      <c r="M156" s="98"/>
      <c r="N156" s="234"/>
      <c r="O156" s="98"/>
      <c r="P156" s="98" t="s">
        <v>995</v>
      </c>
      <c r="Q156" s="98"/>
      <c r="R156" s="98"/>
      <c r="S156" s="303"/>
      <c r="T156" s="98"/>
      <c r="U156" s="98"/>
      <c r="V156" s="98"/>
      <c r="W156" s="98"/>
      <c r="X156" s="98"/>
      <c r="Y156" s="98"/>
      <c r="Z156" s="98"/>
      <c r="AA156" s="98"/>
      <c r="AB156" s="98"/>
      <c r="AC156" s="58"/>
    </row>
    <row r="157" spans="1:29" s="50" customFormat="1" outlineLevel="1">
      <c r="A157" s="106"/>
      <c r="B157" s="2"/>
      <c r="C157" s="98" t="s">
        <v>985</v>
      </c>
      <c r="D157" s="98"/>
      <c r="E157" s="98"/>
      <c r="F157" s="98"/>
      <c r="G157" s="98"/>
      <c r="H157" s="98"/>
      <c r="I157" s="98"/>
      <c r="J157" s="98"/>
      <c r="K157" s="98"/>
      <c r="L157" s="98"/>
      <c r="M157" s="98"/>
      <c r="N157" s="234"/>
      <c r="O157" s="98"/>
      <c r="P157" s="98" t="s">
        <v>1018</v>
      </c>
      <c r="Q157" s="98"/>
      <c r="R157" s="98"/>
      <c r="S157" s="303"/>
      <c r="T157" s="98"/>
      <c r="U157" s="98"/>
      <c r="V157" s="98"/>
      <c r="W157" s="98"/>
      <c r="X157" s="98"/>
      <c r="Y157" s="98"/>
      <c r="Z157" s="98"/>
      <c r="AA157" s="98"/>
      <c r="AB157" s="98"/>
      <c r="AC157" s="58"/>
    </row>
    <row r="158" spans="1:29" s="50" customFormat="1" outlineLevel="1">
      <c r="A158" s="106"/>
      <c r="B158" s="2"/>
      <c r="C158" s="98" t="s">
        <v>986</v>
      </c>
      <c r="D158" s="98"/>
      <c r="E158" s="98"/>
      <c r="F158" s="98"/>
      <c r="G158" s="98"/>
      <c r="H158" s="98"/>
      <c r="I158" s="98"/>
      <c r="J158" s="98"/>
      <c r="K158" s="98"/>
      <c r="L158" s="98"/>
      <c r="M158" s="98"/>
      <c r="N158" s="207"/>
      <c r="O158" s="98"/>
      <c r="P158" s="134" t="s">
        <v>993</v>
      </c>
      <c r="Q158" s="304"/>
      <c r="R158" s="304"/>
      <c r="S158" s="305">
        <f>IFERROR(-(S155*S156)+(S157*(1-Y112)),"")</f>
        <v>0</v>
      </c>
      <c r="T158" s="98"/>
      <c r="U158" s="98"/>
      <c r="V158" s="98"/>
      <c r="W158" s="98"/>
      <c r="X158" s="98"/>
      <c r="Y158" s="98"/>
      <c r="Z158" s="98"/>
      <c r="AA158" s="98"/>
      <c r="AB158" s="98"/>
      <c r="AC158" s="58"/>
    </row>
    <row r="159" spans="1:29" s="50" customFormat="1" outlineLevel="1">
      <c r="A159" s="106"/>
      <c r="B159" s="2"/>
      <c r="C159" s="98" t="s">
        <v>987</v>
      </c>
      <c r="D159" s="98"/>
      <c r="E159" s="98"/>
      <c r="F159" s="98"/>
      <c r="G159" s="98"/>
      <c r="H159" s="98"/>
      <c r="I159" s="98"/>
      <c r="J159" s="98"/>
      <c r="K159" s="98"/>
      <c r="L159" s="98"/>
      <c r="M159" s="98"/>
      <c r="N159" s="208"/>
      <c r="O159" s="98"/>
      <c r="P159" s="98"/>
      <c r="Q159" s="98"/>
      <c r="R159" s="98"/>
      <c r="S159" s="98"/>
      <c r="T159" s="98"/>
      <c r="U159" s="98"/>
      <c r="V159" s="98"/>
      <c r="W159" s="98"/>
      <c r="X159" s="98"/>
      <c r="Y159" s="98"/>
      <c r="Z159" s="98"/>
      <c r="AA159" s="98"/>
      <c r="AB159" s="98"/>
      <c r="AC159" s="58"/>
    </row>
    <row r="160" spans="1:29" s="50" customFormat="1" ht="23.75" customHeight="1" outlineLevel="1">
      <c r="A160" s="147"/>
      <c r="B160" s="148"/>
      <c r="C160" s="98" t="s">
        <v>988</v>
      </c>
      <c r="D160" s="98"/>
      <c r="E160" s="98"/>
      <c r="F160" s="98"/>
      <c r="G160" s="98"/>
      <c r="H160" s="98"/>
      <c r="I160" s="98"/>
      <c r="J160" s="98"/>
      <c r="K160" s="98"/>
      <c r="L160" s="98"/>
      <c r="M160" s="98"/>
      <c r="N160" s="208"/>
      <c r="O160" s="98"/>
      <c r="P160" s="98"/>
      <c r="Q160" s="98"/>
      <c r="R160" s="98"/>
      <c r="S160" s="98"/>
      <c r="T160" s="98"/>
      <c r="U160" s="98"/>
      <c r="V160" s="98"/>
      <c r="W160" s="98"/>
      <c r="X160" s="98"/>
      <c r="Y160" s="98"/>
      <c r="Z160" s="98"/>
      <c r="AA160" s="98"/>
      <c r="AB160" s="98"/>
      <c r="AC160" s="150"/>
    </row>
    <row r="161" spans="1:29" s="50" customFormat="1" outlineLevel="1">
      <c r="A161" s="106"/>
      <c r="B161" s="2"/>
      <c r="C161" s="270" t="s">
        <v>992</v>
      </c>
      <c r="D161" s="270"/>
      <c r="E161" s="270"/>
      <c r="F161" s="270"/>
      <c r="G161" s="270"/>
      <c r="H161" s="270"/>
      <c r="I161" s="270"/>
      <c r="J161" s="270"/>
      <c r="K161" s="270"/>
      <c r="L161" s="270"/>
      <c r="M161" s="270"/>
      <c r="N161" s="306" t="e">
        <f>(N155*EXP(-N160*N157)*N167)-(N156*EXP(-N159*N157)*N168)</f>
        <v>#VALUE!</v>
      </c>
      <c r="O161" s="270"/>
      <c r="P161" s="270"/>
      <c r="Q161" s="270"/>
      <c r="R161" s="270"/>
      <c r="S161" s="270"/>
      <c r="T161" s="270"/>
      <c r="U161" s="270"/>
      <c r="V161" s="270"/>
      <c r="W161" s="270"/>
      <c r="X161" s="270"/>
      <c r="Y161" s="270"/>
      <c r="Z161" s="270"/>
      <c r="AA161" s="270"/>
      <c r="AB161" s="270"/>
      <c r="AC161" s="58"/>
    </row>
    <row r="162" spans="1:29" s="50" customFormat="1" outlineLevel="1">
      <c r="A162" s="106"/>
      <c r="B162" s="2"/>
      <c r="C162" s="98" t="s">
        <v>1023</v>
      </c>
      <c r="D162" s="98"/>
      <c r="E162" s="98"/>
      <c r="F162" s="98"/>
      <c r="G162" s="98"/>
      <c r="H162" s="98"/>
      <c r="I162" s="98"/>
      <c r="J162" s="98"/>
      <c r="K162" s="98"/>
      <c r="L162" s="98"/>
      <c r="M162" s="98"/>
      <c r="N162" s="303">
        <v>0</v>
      </c>
      <c r="O162" s="98"/>
      <c r="P162" s="98"/>
      <c r="Q162" s="98"/>
      <c r="R162" s="98"/>
      <c r="S162" s="98"/>
      <c r="T162" s="98"/>
      <c r="U162" s="98"/>
      <c r="V162" s="98"/>
      <c r="W162" s="98"/>
      <c r="X162" s="98"/>
      <c r="Y162" s="98"/>
      <c r="Z162" s="98"/>
      <c r="AA162" s="98"/>
      <c r="AB162" s="98"/>
      <c r="AC162" s="58"/>
    </row>
    <row r="163" spans="1:29" s="50" customFormat="1" ht="30.25" customHeight="1" outlineLevel="1">
      <c r="A163" s="106"/>
      <c r="B163" s="2"/>
      <c r="C163" s="98" t="s">
        <v>1018</v>
      </c>
      <c r="D163" s="98"/>
      <c r="E163" s="98"/>
      <c r="F163" s="98"/>
      <c r="G163" s="98"/>
      <c r="H163" s="98"/>
      <c r="I163" s="98"/>
      <c r="J163" s="98"/>
      <c r="K163" s="98"/>
      <c r="L163" s="98"/>
      <c r="M163" s="98"/>
      <c r="N163" s="303">
        <v>0</v>
      </c>
      <c r="O163" s="98"/>
      <c r="P163" s="98"/>
      <c r="Q163" s="98"/>
      <c r="R163" s="98"/>
      <c r="S163" s="98"/>
      <c r="T163" s="98"/>
      <c r="U163" s="98"/>
      <c r="V163" s="98"/>
      <c r="W163" s="98"/>
      <c r="X163" s="98"/>
      <c r="Y163" s="98"/>
      <c r="Z163" s="98"/>
      <c r="AA163" s="98"/>
      <c r="AB163" s="98"/>
      <c r="AC163" s="58"/>
    </row>
    <row r="164" spans="1:29" s="50" customFormat="1" ht="23.75" customHeight="1" outlineLevel="1">
      <c r="A164" s="106"/>
      <c r="B164" s="2"/>
      <c r="C164" s="134" t="s">
        <v>993</v>
      </c>
      <c r="D164" s="304"/>
      <c r="E164" s="304"/>
      <c r="F164" s="304"/>
      <c r="G164" s="304"/>
      <c r="H164" s="304"/>
      <c r="I164" s="304"/>
      <c r="J164" s="304"/>
      <c r="K164" s="304"/>
      <c r="L164" s="304"/>
      <c r="M164" s="304"/>
      <c r="N164" s="307">
        <f>IFERROR(-N161*N162+(N163*(1-Y112)),0)</f>
        <v>0</v>
      </c>
      <c r="O164" s="98"/>
      <c r="P164" s="98"/>
      <c r="Q164" s="98"/>
      <c r="R164" s="98"/>
      <c r="S164" s="98"/>
      <c r="T164" s="98"/>
      <c r="U164" s="98"/>
      <c r="V164" s="98"/>
      <c r="W164" s="98"/>
      <c r="X164" s="98"/>
      <c r="Y164" s="98"/>
      <c r="Z164" s="98"/>
      <c r="AA164" s="98"/>
      <c r="AB164" s="98"/>
      <c r="AC164" s="58"/>
    </row>
    <row r="165" spans="1:29" s="50" customFormat="1" ht="30.25" customHeight="1" outlineLevel="1">
      <c r="A165" s="106"/>
      <c r="B165" s="2"/>
      <c r="C165" s="98"/>
      <c r="D165" s="98"/>
      <c r="E165" s="98"/>
      <c r="F165" s="98"/>
      <c r="G165" s="98"/>
      <c r="H165" s="98"/>
      <c r="I165" s="98"/>
      <c r="J165" s="98"/>
      <c r="K165" s="98"/>
      <c r="L165" s="98"/>
      <c r="M165" s="98"/>
      <c r="N165" s="308"/>
      <c r="O165" s="98"/>
      <c r="P165" s="98"/>
      <c r="Q165" s="98"/>
      <c r="R165" s="98"/>
      <c r="S165" s="98"/>
      <c r="T165" s="98"/>
      <c r="U165" s="98"/>
      <c r="V165" s="98"/>
      <c r="W165" s="98"/>
      <c r="X165" s="98"/>
      <c r="Y165" s="98"/>
      <c r="Z165" s="98"/>
      <c r="AA165" s="98"/>
      <c r="AB165" s="98"/>
      <c r="AC165" s="58"/>
    </row>
    <row r="166" spans="1:29" s="50" customFormat="1" outlineLevel="1">
      <c r="A166" s="106"/>
      <c r="B166" s="2"/>
      <c r="C166" s="301" t="s">
        <v>991</v>
      </c>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58"/>
    </row>
    <row r="167" spans="1:29" s="50" customFormat="1" outlineLevel="1">
      <c r="A167" s="106"/>
      <c r="B167" s="2"/>
      <c r="C167" s="98" t="s">
        <v>989</v>
      </c>
      <c r="D167" s="98"/>
      <c r="E167" s="98"/>
      <c r="F167" s="98"/>
      <c r="G167" s="98"/>
      <c r="H167" s="98"/>
      <c r="I167" s="98"/>
      <c r="J167" s="98"/>
      <c r="K167" s="98"/>
      <c r="L167" s="98"/>
      <c r="M167" s="98"/>
      <c r="N167" s="309" t="str">
        <f>+IFERROR(_xlfn.NORM.S.DIST((LN(N155/N156)+(N159-N160+((N158^2)/2)*N157))/(N158*SQRT(N157)),TRUE),"")</f>
        <v/>
      </c>
      <c r="O167" s="98"/>
      <c r="P167" s="98"/>
      <c r="Q167" s="98"/>
      <c r="R167" s="98"/>
      <c r="S167" s="98"/>
      <c r="T167" s="98"/>
      <c r="U167" s="98"/>
      <c r="V167" s="98"/>
      <c r="W167" s="98"/>
      <c r="X167" s="98"/>
      <c r="Y167" s="98"/>
      <c r="Z167" s="98"/>
      <c r="AA167" s="98"/>
      <c r="AB167" s="98"/>
      <c r="AC167" s="58"/>
    </row>
    <row r="168" spans="1:29" s="50" customFormat="1" outlineLevel="1">
      <c r="A168" s="106"/>
      <c r="B168" s="2"/>
      <c r="C168" s="98" t="s">
        <v>990</v>
      </c>
      <c r="D168" s="98"/>
      <c r="E168" s="98"/>
      <c r="F168" s="98"/>
      <c r="G168" s="98"/>
      <c r="H168" s="98"/>
      <c r="I168" s="98"/>
      <c r="J168" s="98"/>
      <c r="K168" s="98"/>
      <c r="L168" s="98"/>
      <c r="M168" s="98"/>
      <c r="N168" s="309" t="str">
        <f>+IFERROR(_xlfn.NORM.S.DIST((N167-(N158*SQRT(N157))),TRUE),"")</f>
        <v/>
      </c>
      <c r="O168" s="98"/>
      <c r="P168" s="98"/>
      <c r="Q168" s="98"/>
      <c r="R168" s="98"/>
      <c r="S168" s="98"/>
      <c r="T168" s="98"/>
      <c r="U168" s="98"/>
      <c r="V168" s="98"/>
      <c r="W168" s="98"/>
      <c r="X168" s="98"/>
      <c r="Y168" s="98"/>
      <c r="Z168" s="98"/>
      <c r="AA168" s="98"/>
      <c r="AB168" s="98"/>
      <c r="AC168" s="58"/>
    </row>
    <row r="169" spans="1:29" s="50" customFormat="1" outlineLevel="1">
      <c r="A169" s="106"/>
      <c r="B169" s="2"/>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58"/>
    </row>
    <row r="170" spans="1:29" s="50" customFormat="1" ht="45" customHeight="1">
      <c r="A170" s="106"/>
      <c r="B170" s="2"/>
      <c r="C170" s="58"/>
      <c r="D170" s="58"/>
      <c r="E170" s="58"/>
      <c r="F170" s="58"/>
      <c r="G170" s="58"/>
      <c r="H170" s="58"/>
      <c r="I170" s="58"/>
      <c r="J170" s="58"/>
      <c r="K170" s="58"/>
      <c r="L170" s="58"/>
      <c r="M170" s="58"/>
      <c r="N170" s="58"/>
      <c r="O170" s="58"/>
      <c r="P170" s="58"/>
      <c r="Q170" s="58"/>
      <c r="R170" s="58"/>
      <c r="S170" s="58"/>
      <c r="T170" s="58"/>
      <c r="U170" s="58"/>
      <c r="V170" s="58"/>
      <c r="W170" s="58"/>
      <c r="X170" s="58"/>
      <c r="Y170" s="58"/>
      <c r="Z170" s="58"/>
      <c r="AA170" s="58"/>
      <c r="AB170" s="58"/>
      <c r="AC170" s="58"/>
    </row>
    <row r="171" spans="1:29" s="50" customFormat="1" ht="14">
      <c r="A171" s="310"/>
      <c r="B171" s="247"/>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252"/>
    </row>
    <row r="172" spans="1:29" s="50" customFormat="1" ht="14">
      <c r="A172" s="310"/>
      <c r="B172" s="247"/>
      <c r="C172" s="58"/>
      <c r="D172" s="58"/>
      <c r="E172" s="58"/>
      <c r="F172" s="58"/>
      <c r="G172" s="58"/>
      <c r="H172" s="58"/>
      <c r="I172" s="58"/>
      <c r="J172" s="58"/>
      <c r="K172" s="58"/>
      <c r="L172" s="58"/>
      <c r="M172" s="58"/>
      <c r="N172" s="58"/>
      <c r="O172" s="58"/>
      <c r="P172" s="58"/>
      <c r="Q172" s="58"/>
      <c r="R172" s="58"/>
      <c r="S172" s="58"/>
      <c r="T172" s="58"/>
      <c r="U172" s="58"/>
      <c r="V172" s="58"/>
      <c r="W172" s="58"/>
      <c r="X172" s="58"/>
      <c r="Y172" s="58"/>
      <c r="Z172" s="58"/>
      <c r="AA172" s="58"/>
      <c r="AB172" s="58"/>
      <c r="AC172" s="252"/>
    </row>
    <row r="173" spans="1:29" s="50" customFormat="1" ht="14">
      <c r="A173" s="310"/>
      <c r="B173" s="247"/>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252"/>
    </row>
    <row r="174" spans="1:29" s="50" customFormat="1" ht="14">
      <c r="A174" s="310"/>
      <c r="B174" s="247"/>
      <c r="C174" s="58"/>
      <c r="D174" s="58"/>
      <c r="E174" s="58"/>
      <c r="F174" s="58"/>
      <c r="G174" s="58"/>
      <c r="H174" s="58"/>
      <c r="I174" s="58"/>
      <c r="J174" s="58"/>
      <c r="K174" s="58"/>
      <c r="L174" s="58"/>
      <c r="M174" s="58"/>
      <c r="N174" s="58"/>
      <c r="O174" s="58"/>
      <c r="P174" s="58"/>
      <c r="Q174" s="58"/>
      <c r="R174" s="58"/>
      <c r="S174" s="58"/>
      <c r="T174" s="58"/>
      <c r="U174" s="58"/>
      <c r="V174" s="58"/>
      <c r="W174" s="58"/>
      <c r="X174" s="58"/>
      <c r="Y174" s="58"/>
      <c r="Z174" s="58"/>
      <c r="AA174" s="58"/>
      <c r="AB174" s="58"/>
      <c r="AC174" s="252"/>
    </row>
    <row r="175" spans="1:29" s="50" customFormat="1" ht="14">
      <c r="A175" s="310"/>
      <c r="B175" s="247"/>
      <c r="C175" s="58"/>
      <c r="D175" s="58"/>
      <c r="E175" s="58"/>
      <c r="F175" s="58"/>
      <c r="G175" s="58"/>
      <c r="H175" s="58"/>
      <c r="I175" s="58"/>
      <c r="J175" s="58"/>
      <c r="K175" s="58"/>
      <c r="L175" s="58"/>
      <c r="M175" s="58"/>
      <c r="N175" s="58"/>
      <c r="O175" s="58"/>
      <c r="P175" s="58"/>
      <c r="Q175" s="58"/>
      <c r="R175" s="58"/>
      <c r="S175" s="58"/>
      <c r="T175" s="58"/>
      <c r="U175" s="58"/>
      <c r="V175" s="58"/>
      <c r="W175" s="58"/>
      <c r="X175" s="58"/>
      <c r="Y175" s="58"/>
      <c r="Z175" s="58"/>
      <c r="AA175" s="58"/>
      <c r="AB175" s="58"/>
      <c r="AC175" s="252"/>
    </row>
    <row r="176" spans="1:29" s="50" customFormat="1" ht="14">
      <c r="A176" s="310"/>
      <c r="B176" s="247"/>
      <c r="C176" s="58"/>
      <c r="D176" s="58"/>
      <c r="E176" s="58"/>
      <c r="F176" s="58"/>
      <c r="G176" s="58"/>
      <c r="H176" s="58"/>
      <c r="I176" s="58"/>
      <c r="J176" s="58"/>
      <c r="K176" s="58"/>
      <c r="L176" s="58"/>
      <c r="M176" s="58"/>
      <c r="N176" s="58"/>
      <c r="O176" s="58"/>
      <c r="P176" s="58"/>
      <c r="Q176" s="58"/>
      <c r="R176" s="58"/>
      <c r="S176" s="58"/>
      <c r="T176" s="58"/>
      <c r="U176" s="58"/>
      <c r="V176" s="58"/>
      <c r="W176" s="58"/>
      <c r="X176" s="58"/>
      <c r="Y176" s="58"/>
      <c r="Z176" s="58"/>
      <c r="AA176" s="58"/>
      <c r="AB176" s="58"/>
      <c r="AC176" s="252"/>
    </row>
    <row r="177" spans="1:29" s="50" customFormat="1" ht="14">
      <c r="A177" s="310"/>
      <c r="B177" s="247"/>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252"/>
    </row>
    <row r="178" spans="1:29" s="50" customFormat="1" ht="14">
      <c r="A178" s="310"/>
      <c r="B178" s="247"/>
      <c r="C178" s="58"/>
      <c r="D178" s="58"/>
      <c r="E178" s="58"/>
      <c r="F178" s="58"/>
      <c r="G178" s="58"/>
      <c r="H178" s="58"/>
      <c r="I178" s="58"/>
      <c r="J178" s="58"/>
      <c r="K178" s="58"/>
      <c r="L178" s="58"/>
      <c r="M178" s="58"/>
      <c r="N178" s="58"/>
      <c r="O178" s="58"/>
      <c r="P178" s="58"/>
      <c r="Q178" s="58"/>
      <c r="R178" s="58"/>
      <c r="S178" s="58"/>
      <c r="T178" s="58"/>
      <c r="U178" s="58"/>
      <c r="V178" s="58"/>
      <c r="W178" s="58"/>
      <c r="X178" s="58"/>
      <c r="Y178" s="58"/>
      <c r="Z178" s="58"/>
      <c r="AA178" s="58"/>
      <c r="AB178" s="58"/>
      <c r="AC178" s="252"/>
    </row>
    <row r="179" spans="1:29" s="50" customFormat="1" ht="14">
      <c r="A179" s="310"/>
      <c r="B179" s="247"/>
      <c r="C179" s="58"/>
      <c r="D179" s="58"/>
      <c r="E179" s="58"/>
      <c r="F179" s="58"/>
      <c r="G179" s="58"/>
      <c r="H179" s="58"/>
      <c r="I179" s="58"/>
      <c r="J179" s="58"/>
      <c r="K179" s="58"/>
      <c r="L179" s="58"/>
      <c r="M179" s="58"/>
      <c r="N179" s="58"/>
      <c r="O179" s="58"/>
      <c r="P179" s="58"/>
      <c r="Q179" s="58"/>
      <c r="R179" s="58"/>
      <c r="S179" s="58"/>
      <c r="T179" s="58"/>
      <c r="U179" s="58"/>
      <c r="V179" s="58"/>
      <c r="W179" s="58"/>
      <c r="X179" s="58"/>
      <c r="Y179" s="58"/>
      <c r="Z179" s="58"/>
      <c r="AA179" s="58"/>
      <c r="AB179" s="58"/>
      <c r="AC179" s="252"/>
    </row>
    <row r="180" spans="1:29" s="50" customFormat="1" ht="14">
      <c r="A180" s="310"/>
      <c r="B180" s="247"/>
      <c r="C180" s="58"/>
      <c r="D180" s="58"/>
      <c r="E180" s="58"/>
      <c r="F180" s="58"/>
      <c r="G180" s="58"/>
      <c r="H180" s="58"/>
      <c r="I180" s="58"/>
      <c r="J180" s="58"/>
      <c r="K180" s="58"/>
      <c r="L180" s="58"/>
      <c r="M180" s="58"/>
      <c r="N180" s="58"/>
      <c r="O180" s="58"/>
      <c r="P180" s="58"/>
      <c r="Q180" s="58"/>
      <c r="R180" s="58"/>
      <c r="S180" s="58"/>
      <c r="T180" s="58"/>
      <c r="U180" s="58"/>
      <c r="V180" s="58"/>
      <c r="W180" s="58"/>
      <c r="X180" s="58"/>
      <c r="Y180" s="58"/>
      <c r="Z180" s="58"/>
      <c r="AA180" s="58"/>
      <c r="AB180" s="58"/>
      <c r="AC180" s="252"/>
    </row>
    <row r="181" spans="1:29" s="50" customFormat="1" ht="14">
      <c r="A181" s="310"/>
      <c r="B181" s="247"/>
      <c r="C181" s="58"/>
      <c r="D181" s="58"/>
      <c r="E181" s="58"/>
      <c r="F181" s="58"/>
      <c r="G181" s="58"/>
      <c r="H181" s="58"/>
      <c r="I181" s="58"/>
      <c r="J181" s="58"/>
      <c r="K181" s="58"/>
      <c r="L181" s="58"/>
      <c r="M181" s="58"/>
      <c r="N181" s="58"/>
      <c r="O181" s="58"/>
      <c r="P181" s="58"/>
      <c r="Q181" s="58"/>
      <c r="R181" s="58"/>
      <c r="S181" s="58"/>
      <c r="T181" s="58"/>
      <c r="U181" s="58"/>
      <c r="V181" s="58"/>
      <c r="W181" s="58"/>
      <c r="X181" s="58"/>
      <c r="Y181" s="58"/>
      <c r="Z181" s="58"/>
      <c r="AA181" s="58"/>
      <c r="AB181" s="58"/>
      <c r="AC181" s="252"/>
    </row>
    <row r="182" spans="1:29" s="50" customFormat="1" ht="14">
      <c r="A182" s="310"/>
      <c r="B182" s="247"/>
      <c r="C182" s="58"/>
      <c r="D182" s="58"/>
      <c r="E182" s="58"/>
      <c r="F182" s="58"/>
      <c r="G182" s="58"/>
      <c r="H182" s="58"/>
      <c r="I182" s="58"/>
      <c r="J182" s="58"/>
      <c r="K182" s="58"/>
      <c r="L182" s="58"/>
      <c r="M182" s="58"/>
      <c r="N182" s="58"/>
      <c r="O182" s="58"/>
      <c r="P182" s="58"/>
      <c r="Q182" s="58"/>
      <c r="R182" s="58"/>
      <c r="S182" s="58"/>
      <c r="T182" s="58"/>
      <c r="U182" s="58"/>
      <c r="V182" s="58"/>
      <c r="W182" s="58"/>
      <c r="X182" s="58"/>
      <c r="Y182" s="58"/>
      <c r="Z182" s="58"/>
      <c r="AA182" s="58"/>
      <c r="AB182" s="58"/>
      <c r="AC182" s="252"/>
    </row>
    <row r="183" spans="1:29" s="50" customFormat="1" ht="14">
      <c r="A183" s="310"/>
      <c r="B183" s="247"/>
      <c r="C183" s="58"/>
      <c r="D183" s="58"/>
      <c r="E183" s="58"/>
      <c r="F183" s="58"/>
      <c r="G183" s="58"/>
      <c r="H183" s="58"/>
      <c r="I183" s="58"/>
      <c r="J183" s="58"/>
      <c r="K183" s="58"/>
      <c r="L183" s="58"/>
      <c r="M183" s="58"/>
      <c r="N183" s="58"/>
      <c r="O183" s="58"/>
      <c r="P183" s="58"/>
      <c r="Q183" s="58"/>
      <c r="R183" s="58"/>
      <c r="S183" s="58"/>
      <c r="T183" s="58"/>
      <c r="U183" s="58"/>
      <c r="V183" s="58"/>
      <c r="W183" s="58"/>
      <c r="X183" s="58"/>
      <c r="Y183" s="58"/>
      <c r="Z183" s="58"/>
      <c r="AA183" s="58"/>
      <c r="AB183" s="58"/>
      <c r="AC183" s="252"/>
    </row>
    <row r="184" spans="1:29" s="50" customFormat="1" ht="14">
      <c r="A184" s="310"/>
      <c r="B184" s="247"/>
      <c r="C184" s="58"/>
      <c r="D184" s="58"/>
      <c r="E184" s="58"/>
      <c r="F184" s="58"/>
      <c r="G184" s="58"/>
      <c r="H184" s="58"/>
      <c r="I184" s="58"/>
      <c r="J184" s="58"/>
      <c r="K184" s="58"/>
      <c r="L184" s="58"/>
      <c r="M184" s="58"/>
      <c r="N184" s="58"/>
      <c r="O184" s="58"/>
      <c r="P184" s="58"/>
      <c r="Q184" s="58"/>
      <c r="R184" s="58"/>
      <c r="S184" s="58"/>
      <c r="T184" s="58"/>
      <c r="U184" s="58"/>
      <c r="V184" s="58"/>
      <c r="W184" s="58"/>
      <c r="X184" s="58"/>
      <c r="Y184" s="58"/>
      <c r="Z184" s="58"/>
      <c r="AA184" s="58"/>
      <c r="AB184" s="58"/>
      <c r="AC184" s="252"/>
    </row>
    <row r="185" spans="1:29" s="50" customFormat="1" ht="14">
      <c r="A185" s="310"/>
      <c r="B185" s="247"/>
      <c r="C185" s="58"/>
      <c r="D185" s="58"/>
      <c r="E185" s="58"/>
      <c r="F185" s="58"/>
      <c r="G185" s="58"/>
      <c r="H185" s="58"/>
      <c r="I185" s="58"/>
      <c r="J185" s="58"/>
      <c r="K185" s="58"/>
      <c r="L185" s="58"/>
      <c r="M185" s="58"/>
      <c r="N185" s="58"/>
      <c r="O185" s="58"/>
      <c r="P185" s="58"/>
      <c r="Q185" s="58"/>
      <c r="R185" s="58"/>
      <c r="S185" s="58"/>
      <c r="T185" s="58"/>
      <c r="U185" s="58"/>
      <c r="V185" s="58"/>
      <c r="W185" s="58"/>
      <c r="X185" s="58"/>
      <c r="Y185" s="58"/>
      <c r="Z185" s="58"/>
      <c r="AA185" s="58"/>
      <c r="AB185" s="58"/>
      <c r="AC185" s="252"/>
    </row>
    <row r="186" spans="1:29" s="50" customFormat="1" ht="14">
      <c r="A186" s="310"/>
      <c r="B186" s="247"/>
      <c r="C186" s="58"/>
      <c r="D186" s="58"/>
      <c r="E186" s="58"/>
      <c r="F186" s="58"/>
      <c r="G186" s="58"/>
      <c r="H186" s="58"/>
      <c r="I186" s="58"/>
      <c r="J186" s="58"/>
      <c r="K186" s="58"/>
      <c r="L186" s="58"/>
      <c r="M186" s="58"/>
      <c r="N186" s="58"/>
      <c r="O186" s="58"/>
      <c r="P186" s="58"/>
      <c r="Q186" s="58"/>
      <c r="R186" s="58"/>
      <c r="S186" s="58"/>
      <c r="T186" s="58"/>
      <c r="U186" s="58"/>
      <c r="V186" s="58"/>
      <c r="W186" s="58"/>
      <c r="X186" s="58"/>
      <c r="Y186" s="58"/>
      <c r="Z186" s="58"/>
      <c r="AA186" s="58"/>
      <c r="AB186" s="58"/>
      <c r="AC186" s="252"/>
    </row>
    <row r="187" spans="1:29" s="50" customFormat="1" ht="14">
      <c r="A187" s="310"/>
      <c r="B187" s="247"/>
      <c r="C187" s="58"/>
      <c r="D187" s="58"/>
      <c r="E187" s="58"/>
      <c r="F187" s="58"/>
      <c r="G187" s="58"/>
      <c r="H187" s="58"/>
      <c r="I187" s="58"/>
      <c r="J187" s="58"/>
      <c r="K187" s="58"/>
      <c r="L187" s="58"/>
      <c r="M187" s="58"/>
      <c r="N187" s="58"/>
      <c r="O187" s="58"/>
      <c r="P187" s="58"/>
      <c r="Q187" s="58"/>
      <c r="R187" s="58"/>
      <c r="S187" s="58"/>
      <c r="T187" s="58"/>
      <c r="U187" s="58"/>
      <c r="V187" s="58"/>
      <c r="W187" s="58"/>
      <c r="X187" s="58"/>
      <c r="Y187" s="58"/>
      <c r="Z187" s="58"/>
      <c r="AA187" s="58"/>
      <c r="AB187" s="58"/>
      <c r="AC187" s="252"/>
    </row>
    <row r="188" spans="1:29" s="50" customFormat="1" ht="14">
      <c r="A188" s="310"/>
      <c r="B188" s="247"/>
      <c r="C188" s="58"/>
      <c r="D188" s="58"/>
      <c r="E188" s="58"/>
      <c r="F188" s="58"/>
      <c r="G188" s="58"/>
      <c r="H188" s="58"/>
      <c r="I188" s="58"/>
      <c r="J188" s="58"/>
      <c r="K188" s="58"/>
      <c r="L188" s="58"/>
      <c r="M188" s="58"/>
      <c r="N188" s="58"/>
      <c r="O188" s="58"/>
      <c r="P188" s="58"/>
      <c r="Q188" s="58"/>
      <c r="R188" s="58"/>
      <c r="S188" s="58"/>
      <c r="T188" s="58"/>
      <c r="U188" s="58"/>
      <c r="V188" s="58"/>
      <c r="W188" s="58"/>
      <c r="X188" s="58"/>
      <c r="Y188" s="58"/>
      <c r="Z188" s="58"/>
      <c r="AA188" s="58"/>
      <c r="AB188" s="58"/>
      <c r="AC188" s="252"/>
    </row>
    <row r="189" spans="1:29" s="50" customFormat="1" ht="14">
      <c r="A189" s="310"/>
      <c r="B189" s="247"/>
      <c r="C189" s="58"/>
      <c r="D189" s="58"/>
      <c r="E189" s="58"/>
      <c r="F189" s="58"/>
      <c r="G189" s="58"/>
      <c r="H189" s="58"/>
      <c r="I189" s="58"/>
      <c r="J189" s="58"/>
      <c r="K189" s="58"/>
      <c r="L189" s="58"/>
      <c r="M189" s="58"/>
      <c r="N189" s="58"/>
      <c r="O189" s="58"/>
      <c r="P189" s="58"/>
      <c r="Q189" s="58"/>
      <c r="R189" s="58"/>
      <c r="S189" s="58"/>
      <c r="T189" s="58"/>
      <c r="U189" s="58"/>
      <c r="V189" s="58"/>
      <c r="W189" s="58"/>
      <c r="X189" s="58"/>
      <c r="Y189" s="58"/>
      <c r="Z189" s="58"/>
      <c r="AA189" s="58"/>
      <c r="AB189" s="58"/>
      <c r="AC189" s="252"/>
    </row>
    <row r="190" spans="1:29" s="50" customFormat="1" ht="14">
      <c r="A190" s="310"/>
      <c r="B190" s="247"/>
      <c r="C190" s="58"/>
      <c r="D190" s="58"/>
      <c r="E190" s="58"/>
      <c r="F190" s="58"/>
      <c r="G190" s="58"/>
      <c r="H190" s="58"/>
      <c r="I190" s="58"/>
      <c r="J190" s="58"/>
      <c r="K190" s="58"/>
      <c r="L190" s="58"/>
      <c r="M190" s="58"/>
      <c r="N190" s="58"/>
      <c r="O190" s="58"/>
      <c r="P190" s="58"/>
      <c r="Q190" s="58"/>
      <c r="R190" s="58"/>
      <c r="S190" s="58"/>
      <c r="T190" s="58"/>
      <c r="U190" s="58"/>
      <c r="V190" s="58"/>
      <c r="W190" s="58"/>
      <c r="X190" s="58"/>
      <c r="Y190" s="58"/>
      <c r="Z190" s="58"/>
      <c r="AA190" s="58"/>
      <c r="AB190" s="58"/>
      <c r="AC190" s="252"/>
    </row>
    <row r="191" spans="1:29" s="50" customFormat="1" ht="14">
      <c r="A191" s="310"/>
      <c r="B191" s="247"/>
      <c r="C191" s="58"/>
      <c r="D191" s="58"/>
      <c r="E191" s="58"/>
      <c r="F191" s="58"/>
      <c r="G191" s="58"/>
      <c r="H191" s="58"/>
      <c r="I191" s="58"/>
      <c r="J191" s="58"/>
      <c r="K191" s="58"/>
      <c r="L191" s="58"/>
      <c r="M191" s="58"/>
      <c r="N191" s="58"/>
      <c r="O191" s="58"/>
      <c r="P191" s="58"/>
      <c r="Q191" s="58"/>
      <c r="R191" s="58"/>
      <c r="S191" s="58"/>
      <c r="T191" s="58"/>
      <c r="U191" s="58"/>
      <c r="V191" s="58"/>
      <c r="W191" s="58"/>
      <c r="X191" s="58"/>
      <c r="Y191" s="58"/>
      <c r="Z191" s="58"/>
      <c r="AA191" s="58"/>
      <c r="AB191" s="58"/>
      <c r="AC191" s="252"/>
    </row>
    <row r="192" spans="1:29" s="50" customFormat="1" ht="14">
      <c r="A192" s="310"/>
      <c r="B192" s="247"/>
      <c r="C192" s="58"/>
      <c r="D192" s="58"/>
      <c r="E192" s="58"/>
      <c r="F192" s="58"/>
      <c r="G192" s="58"/>
      <c r="H192" s="58"/>
      <c r="I192" s="58"/>
      <c r="J192" s="58"/>
      <c r="K192" s="58"/>
      <c r="L192" s="58"/>
      <c r="M192" s="58"/>
      <c r="N192" s="58"/>
      <c r="O192" s="58"/>
      <c r="P192" s="58"/>
      <c r="Q192" s="58"/>
      <c r="R192" s="58"/>
      <c r="S192" s="58"/>
      <c r="T192" s="58"/>
      <c r="U192" s="58"/>
      <c r="V192" s="58"/>
      <c r="W192" s="58"/>
      <c r="X192" s="58"/>
      <c r="Y192" s="58"/>
      <c r="Z192" s="58"/>
      <c r="AA192" s="58"/>
      <c r="AB192" s="58"/>
      <c r="AC192" s="252"/>
    </row>
    <row r="193" spans="1:29" s="50" customFormat="1" ht="14">
      <c r="A193" s="310"/>
      <c r="B193" s="247"/>
      <c r="C193" s="58"/>
      <c r="D193" s="58"/>
      <c r="E193" s="58"/>
      <c r="F193" s="58"/>
      <c r="G193" s="58"/>
      <c r="H193" s="58"/>
      <c r="I193" s="58"/>
      <c r="J193" s="58"/>
      <c r="K193" s="58"/>
      <c r="L193" s="58"/>
      <c r="M193" s="58"/>
      <c r="N193" s="58"/>
      <c r="O193" s="58"/>
      <c r="P193" s="58"/>
      <c r="Q193" s="58"/>
      <c r="R193" s="58"/>
      <c r="S193" s="58"/>
      <c r="T193" s="58"/>
      <c r="U193" s="58"/>
      <c r="V193" s="58"/>
      <c r="W193" s="58"/>
      <c r="X193" s="58"/>
      <c r="Y193" s="58"/>
      <c r="Z193" s="58"/>
      <c r="AA193" s="58"/>
      <c r="AB193" s="58"/>
      <c r="AC193" s="252"/>
    </row>
    <row r="194" spans="1:29" s="50" customFormat="1" ht="14">
      <c r="A194" s="310"/>
      <c r="B194" s="247"/>
      <c r="C194" s="58"/>
      <c r="D194" s="58"/>
      <c r="E194" s="58"/>
      <c r="F194" s="58"/>
      <c r="G194" s="58"/>
      <c r="H194" s="58"/>
      <c r="I194" s="58"/>
      <c r="J194" s="58"/>
      <c r="K194" s="58"/>
      <c r="L194" s="58"/>
      <c r="M194" s="58"/>
      <c r="N194" s="58"/>
      <c r="O194" s="58"/>
      <c r="P194" s="58"/>
      <c r="Q194" s="58"/>
      <c r="R194" s="58"/>
      <c r="S194" s="58"/>
      <c r="T194" s="58"/>
      <c r="U194" s="58"/>
      <c r="V194" s="58"/>
      <c r="W194" s="58"/>
      <c r="X194" s="58"/>
      <c r="Y194" s="58"/>
      <c r="Z194" s="58"/>
      <c r="AA194" s="58"/>
      <c r="AB194" s="58"/>
      <c r="AC194" s="252"/>
    </row>
    <row r="195" spans="1:29" s="50" customFormat="1" ht="14">
      <c r="A195" s="310"/>
      <c r="B195" s="247"/>
      <c r="C195" s="58"/>
      <c r="D195" s="58"/>
      <c r="E195" s="58"/>
      <c r="F195" s="58"/>
      <c r="G195" s="58"/>
      <c r="H195" s="58"/>
      <c r="I195" s="58"/>
      <c r="J195" s="58"/>
      <c r="K195" s="58"/>
      <c r="L195" s="58"/>
      <c r="M195" s="58"/>
      <c r="N195" s="58"/>
      <c r="O195" s="58"/>
      <c r="P195" s="58"/>
      <c r="Q195" s="58"/>
      <c r="R195" s="58"/>
      <c r="S195" s="58"/>
      <c r="T195" s="58"/>
      <c r="U195" s="58"/>
      <c r="V195" s="58"/>
      <c r="W195" s="58"/>
      <c r="X195" s="58"/>
      <c r="Y195" s="58"/>
      <c r="Z195" s="58"/>
      <c r="AA195" s="58"/>
      <c r="AB195" s="58"/>
      <c r="AC195" s="252"/>
    </row>
    <row r="196" spans="1:29" s="50" customFormat="1" ht="14">
      <c r="A196" s="310"/>
      <c r="B196" s="247"/>
      <c r="C196" s="58"/>
      <c r="D196" s="58"/>
      <c r="E196" s="58"/>
      <c r="F196" s="58"/>
      <c r="G196" s="58"/>
      <c r="H196" s="58"/>
      <c r="I196" s="58"/>
      <c r="J196" s="58"/>
      <c r="K196" s="58"/>
      <c r="L196" s="58"/>
      <c r="M196" s="58"/>
      <c r="N196" s="58"/>
      <c r="O196" s="58"/>
      <c r="P196" s="58"/>
      <c r="Q196" s="58"/>
      <c r="R196" s="58"/>
      <c r="S196" s="58"/>
      <c r="T196" s="58"/>
      <c r="U196" s="58"/>
      <c r="V196" s="58"/>
      <c r="W196" s="58"/>
      <c r="X196" s="58"/>
      <c r="Y196" s="58"/>
      <c r="Z196" s="58"/>
      <c r="AA196" s="58"/>
      <c r="AB196" s="58"/>
      <c r="AC196" s="252"/>
    </row>
    <row r="197" spans="1:29" s="50" customFormat="1" ht="14">
      <c r="A197" s="310"/>
      <c r="B197" s="247"/>
      <c r="C197" s="58"/>
      <c r="D197" s="58"/>
      <c r="E197" s="58"/>
      <c r="F197" s="58"/>
      <c r="G197" s="58"/>
      <c r="H197" s="58"/>
      <c r="I197" s="58"/>
      <c r="J197" s="58"/>
      <c r="K197" s="58"/>
      <c r="L197" s="58"/>
      <c r="M197" s="58"/>
      <c r="N197" s="58"/>
      <c r="O197" s="58"/>
      <c r="P197" s="58"/>
      <c r="Q197" s="58"/>
      <c r="R197" s="58"/>
      <c r="S197" s="58"/>
      <c r="T197" s="58"/>
      <c r="U197" s="58"/>
      <c r="V197" s="58"/>
      <c r="W197" s="58"/>
      <c r="X197" s="58"/>
      <c r="Y197" s="58"/>
      <c r="Z197" s="58"/>
      <c r="AA197" s="58"/>
      <c r="AB197" s="58"/>
      <c r="AC197" s="252"/>
    </row>
    <row r="198" spans="1:29" s="50" customFormat="1">
      <c r="A198" s="106"/>
      <c r="B198" s="2"/>
      <c r="C198" s="58"/>
      <c r="D198" s="58"/>
      <c r="E198" s="58"/>
      <c r="F198" s="58"/>
      <c r="G198" s="58"/>
      <c r="H198" s="58"/>
      <c r="I198" s="58"/>
      <c r="J198" s="58"/>
      <c r="K198" s="58"/>
      <c r="L198" s="58"/>
      <c r="M198" s="58"/>
      <c r="N198" s="58"/>
      <c r="O198" s="58"/>
      <c r="P198" s="58"/>
      <c r="Q198" s="58"/>
      <c r="R198" s="58"/>
      <c r="S198" s="58"/>
      <c r="T198" s="58"/>
      <c r="U198" s="58"/>
      <c r="V198" s="58"/>
      <c r="W198" s="58"/>
      <c r="X198" s="58"/>
      <c r="Y198" s="58"/>
      <c r="Z198" s="58"/>
      <c r="AA198" s="58"/>
      <c r="AB198" s="58"/>
      <c r="AC198" s="58"/>
    </row>
    <row r="199" spans="1:29" s="50" customFormat="1">
      <c r="A199" s="106"/>
      <c r="B199" s="2"/>
      <c r="C199" s="58"/>
      <c r="D199" s="58"/>
      <c r="E199" s="58"/>
      <c r="F199" s="58"/>
      <c r="G199" s="58"/>
      <c r="H199" s="58"/>
      <c r="I199" s="58"/>
      <c r="J199" s="58"/>
      <c r="K199" s="58"/>
      <c r="L199" s="58"/>
      <c r="M199" s="58"/>
      <c r="N199" s="58"/>
      <c r="O199" s="58"/>
      <c r="P199" s="58"/>
      <c r="Q199" s="58"/>
      <c r="R199" s="58"/>
      <c r="S199" s="58"/>
      <c r="T199" s="58"/>
      <c r="U199" s="58"/>
      <c r="V199" s="58"/>
      <c r="W199" s="58"/>
      <c r="X199" s="58"/>
      <c r="Y199" s="58"/>
      <c r="Z199" s="58"/>
      <c r="AA199" s="58"/>
      <c r="AB199" s="58"/>
      <c r="AC199" s="58"/>
    </row>
    <row r="200" spans="1:29" s="50" customFormat="1">
      <c r="A200" s="106"/>
      <c r="B200" s="2"/>
      <c r="C200" s="58"/>
      <c r="D200" s="58"/>
      <c r="E200" s="58"/>
      <c r="F200" s="58"/>
      <c r="G200" s="58"/>
      <c r="H200" s="58"/>
      <c r="I200" s="58"/>
      <c r="J200" s="58"/>
      <c r="K200" s="58"/>
      <c r="L200" s="58"/>
      <c r="M200" s="58"/>
      <c r="N200" s="58"/>
      <c r="O200" s="58"/>
      <c r="P200" s="58"/>
      <c r="Q200" s="58"/>
      <c r="R200" s="58"/>
      <c r="S200" s="58"/>
      <c r="T200" s="58"/>
      <c r="U200" s="58"/>
      <c r="V200" s="58"/>
      <c r="W200" s="58"/>
      <c r="X200" s="58"/>
      <c r="Y200" s="58"/>
      <c r="Z200" s="58"/>
      <c r="AA200" s="58"/>
      <c r="AB200" s="58"/>
      <c r="AC200" s="58"/>
    </row>
    <row r="201" spans="1:29" s="50" customFormat="1">
      <c r="A201" s="106"/>
      <c r="B201" s="2"/>
      <c r="C201" s="58"/>
      <c r="D201" s="58"/>
      <c r="E201" s="58"/>
      <c r="F201" s="58"/>
      <c r="G201" s="58"/>
      <c r="H201" s="58"/>
      <c r="I201" s="58"/>
      <c r="J201" s="58"/>
      <c r="K201" s="58"/>
      <c r="L201" s="58"/>
      <c r="M201" s="58"/>
      <c r="N201" s="58"/>
      <c r="O201" s="58"/>
      <c r="P201" s="58"/>
      <c r="Q201" s="58"/>
      <c r="R201" s="58"/>
      <c r="S201" s="58"/>
      <c r="T201" s="58"/>
      <c r="U201" s="58"/>
      <c r="V201" s="58"/>
      <c r="W201" s="58"/>
      <c r="X201" s="58"/>
      <c r="Y201" s="58"/>
      <c r="Z201" s="58"/>
      <c r="AA201" s="58"/>
      <c r="AB201" s="58"/>
      <c r="AC201" s="58"/>
    </row>
    <row r="202" spans="1:29" s="50" customFormat="1">
      <c r="A202" s="106"/>
      <c r="B202" s="2"/>
      <c r="C202" s="58"/>
      <c r="D202" s="58"/>
      <c r="E202" s="58"/>
      <c r="F202" s="58"/>
      <c r="G202" s="58"/>
      <c r="H202" s="58"/>
      <c r="I202" s="58"/>
      <c r="J202" s="58"/>
      <c r="K202" s="58"/>
      <c r="L202" s="58"/>
      <c r="M202" s="58"/>
      <c r="N202" s="58"/>
      <c r="O202" s="58"/>
      <c r="P202" s="58"/>
      <c r="Q202" s="58"/>
      <c r="R202" s="58"/>
      <c r="S202" s="58"/>
      <c r="T202" s="58"/>
      <c r="U202" s="58"/>
      <c r="V202" s="58"/>
      <c r="W202" s="58"/>
      <c r="X202" s="58"/>
      <c r="Y202" s="58"/>
      <c r="Z202" s="58"/>
      <c r="AA202" s="58"/>
      <c r="AB202" s="58"/>
      <c r="AC202" s="58"/>
    </row>
    <row r="203" spans="1:29" s="50" customFormat="1">
      <c r="A203" s="106"/>
      <c r="B203" s="2"/>
      <c r="C203" s="58"/>
      <c r="D203" s="58"/>
      <c r="E203" s="58"/>
      <c r="F203" s="58"/>
      <c r="G203" s="58"/>
      <c r="H203" s="58"/>
      <c r="I203" s="58"/>
      <c r="J203" s="58"/>
      <c r="K203" s="58"/>
      <c r="L203" s="58"/>
      <c r="M203" s="58"/>
      <c r="N203" s="58"/>
      <c r="O203" s="58"/>
      <c r="P203" s="58"/>
      <c r="Q203" s="58"/>
      <c r="R203" s="58"/>
      <c r="S203" s="58"/>
      <c r="T203" s="58"/>
      <c r="U203" s="58"/>
      <c r="V203" s="58"/>
      <c r="W203" s="58"/>
      <c r="X203" s="58"/>
      <c r="Y203" s="58"/>
      <c r="Z203" s="58"/>
      <c r="AA203" s="58"/>
      <c r="AB203" s="58"/>
      <c r="AC203" s="58"/>
    </row>
    <row r="204" spans="1:29" s="50" customFormat="1">
      <c r="A204" s="106"/>
      <c r="B204" s="2"/>
      <c r="C204" s="58"/>
      <c r="D204" s="58"/>
      <c r="E204" s="58"/>
      <c r="F204" s="58"/>
      <c r="G204" s="58"/>
      <c r="H204" s="58"/>
      <c r="I204" s="58"/>
      <c r="J204" s="58"/>
      <c r="K204" s="58"/>
      <c r="L204" s="58"/>
      <c r="M204" s="58"/>
      <c r="N204" s="58"/>
      <c r="O204" s="58"/>
      <c r="P204" s="58"/>
      <c r="Q204" s="58"/>
      <c r="R204" s="58"/>
      <c r="S204" s="58"/>
      <c r="T204" s="58"/>
      <c r="U204" s="58"/>
      <c r="V204" s="58"/>
      <c r="W204" s="58"/>
      <c r="X204" s="58"/>
      <c r="Y204" s="58"/>
      <c r="Z204" s="58"/>
      <c r="AA204" s="58"/>
      <c r="AB204" s="58"/>
      <c r="AC204" s="58"/>
    </row>
    <row r="205" spans="1:29" s="50" customFormat="1">
      <c r="A205" s="106"/>
      <c r="B205" s="2"/>
      <c r="C205" s="58"/>
      <c r="D205" s="58"/>
      <c r="E205" s="58"/>
      <c r="F205" s="58"/>
      <c r="G205" s="58"/>
      <c r="H205" s="58"/>
      <c r="I205" s="58"/>
      <c r="J205" s="58"/>
      <c r="K205" s="58"/>
      <c r="L205" s="58"/>
      <c r="M205" s="58"/>
      <c r="N205" s="58"/>
      <c r="O205" s="58"/>
      <c r="P205" s="58"/>
      <c r="Q205" s="58"/>
      <c r="R205" s="58"/>
      <c r="S205" s="58"/>
      <c r="T205" s="58"/>
      <c r="U205" s="58"/>
      <c r="V205" s="58"/>
      <c r="W205" s="58"/>
      <c r="X205" s="58"/>
      <c r="Y205" s="58"/>
      <c r="Z205" s="58"/>
      <c r="AA205" s="58"/>
      <c r="AB205" s="58"/>
      <c r="AC205" s="58"/>
    </row>
    <row r="206" spans="1:29" s="50" customFormat="1">
      <c r="A206" s="106"/>
      <c r="B206" s="2"/>
      <c r="C206" s="58"/>
      <c r="D206" s="58"/>
      <c r="E206" s="58"/>
      <c r="F206" s="58"/>
      <c r="G206" s="58"/>
      <c r="H206" s="58"/>
      <c r="I206" s="58"/>
      <c r="J206" s="58"/>
      <c r="K206" s="58"/>
      <c r="L206" s="58"/>
      <c r="M206" s="58"/>
      <c r="N206" s="58"/>
      <c r="O206" s="58"/>
      <c r="P206" s="58"/>
      <c r="Q206" s="58"/>
      <c r="R206" s="58"/>
      <c r="S206" s="58"/>
      <c r="T206" s="58"/>
      <c r="U206" s="58"/>
      <c r="V206" s="58"/>
      <c r="W206" s="58"/>
      <c r="X206" s="58"/>
      <c r="Y206" s="58"/>
      <c r="Z206" s="58"/>
      <c r="AA206" s="58"/>
      <c r="AB206" s="58"/>
      <c r="AC206" s="58"/>
    </row>
    <row r="207" spans="1:29" s="50" customFormat="1">
      <c r="A207" s="106"/>
      <c r="B207" s="2"/>
      <c r="C207" s="58"/>
      <c r="D207" s="58"/>
      <c r="E207" s="58"/>
      <c r="F207" s="58"/>
      <c r="G207" s="58"/>
      <c r="H207" s="58"/>
      <c r="I207" s="58"/>
      <c r="J207" s="58"/>
      <c r="K207" s="58"/>
      <c r="L207" s="58"/>
      <c r="M207" s="58"/>
      <c r="N207" s="58"/>
      <c r="O207" s="58"/>
      <c r="P207" s="58"/>
      <c r="Q207" s="58"/>
      <c r="R207" s="58"/>
      <c r="S207" s="58"/>
      <c r="T207" s="58"/>
      <c r="U207" s="58"/>
      <c r="V207" s="58"/>
      <c r="W207" s="58"/>
      <c r="X207" s="58"/>
      <c r="Y207" s="58"/>
      <c r="Z207" s="58"/>
      <c r="AA207" s="58"/>
      <c r="AB207" s="58"/>
      <c r="AC207" s="58"/>
    </row>
    <row r="208" spans="1:29" s="50" customFormat="1">
      <c r="A208" s="106"/>
      <c r="B208" s="2"/>
      <c r="C208" s="58"/>
      <c r="D208" s="58"/>
      <c r="E208" s="58"/>
      <c r="F208" s="58"/>
      <c r="G208" s="58"/>
      <c r="H208" s="58"/>
      <c r="I208" s="58"/>
      <c r="J208" s="58"/>
      <c r="K208" s="58"/>
      <c r="L208" s="58"/>
      <c r="M208" s="58"/>
      <c r="N208" s="58"/>
      <c r="O208" s="58"/>
      <c r="P208" s="58"/>
      <c r="Q208" s="58"/>
      <c r="R208" s="58"/>
      <c r="S208" s="58"/>
      <c r="T208" s="58"/>
      <c r="U208" s="58"/>
      <c r="V208" s="58"/>
      <c r="W208" s="58"/>
      <c r="X208" s="58"/>
      <c r="Y208" s="58"/>
      <c r="Z208" s="58"/>
      <c r="AA208" s="58"/>
      <c r="AB208" s="58"/>
      <c r="AC208" s="58"/>
    </row>
    <row r="209" spans="1:29" s="50" customFormat="1">
      <c r="A209" s="106"/>
      <c r="B209" s="2"/>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row>
    <row r="210" spans="1:29" s="50" customFormat="1">
      <c r="A210" s="106"/>
      <c r="B210" s="2"/>
      <c r="C210" s="58"/>
      <c r="D210" s="58"/>
      <c r="E210" s="58"/>
      <c r="F210" s="58"/>
      <c r="G210" s="58"/>
      <c r="H210" s="58"/>
      <c r="I210" s="58"/>
      <c r="J210" s="58"/>
      <c r="K210" s="58"/>
      <c r="L210" s="58"/>
      <c r="M210" s="58"/>
      <c r="N210" s="58"/>
      <c r="O210" s="58"/>
      <c r="P210" s="58"/>
      <c r="Q210" s="58"/>
      <c r="R210" s="58"/>
      <c r="S210" s="58"/>
      <c r="T210" s="58"/>
      <c r="U210" s="58"/>
      <c r="V210" s="58"/>
      <c r="W210" s="58"/>
      <c r="X210" s="58"/>
      <c r="Y210" s="58"/>
      <c r="Z210" s="58"/>
      <c r="AA210" s="58"/>
      <c r="AB210" s="58"/>
      <c r="AC210" s="58"/>
    </row>
    <row r="211" spans="1:29" s="50" customFormat="1">
      <c r="A211" s="106"/>
      <c r="B211" s="2"/>
      <c r="C211" s="58"/>
      <c r="D211" s="58"/>
      <c r="E211" s="58"/>
      <c r="F211" s="58"/>
      <c r="G211" s="58"/>
      <c r="H211" s="58"/>
      <c r="I211" s="58"/>
      <c r="J211" s="58"/>
      <c r="K211" s="58"/>
      <c r="L211" s="58"/>
      <c r="M211" s="58"/>
      <c r="N211" s="58"/>
      <c r="O211" s="58"/>
      <c r="P211" s="58"/>
      <c r="Q211" s="58"/>
      <c r="R211" s="58"/>
      <c r="S211" s="58"/>
      <c r="T211" s="58"/>
      <c r="U211" s="58"/>
      <c r="V211" s="58"/>
      <c r="W211" s="58"/>
      <c r="X211" s="58"/>
      <c r="Y211" s="58"/>
      <c r="Z211" s="58"/>
      <c r="AA211" s="58"/>
      <c r="AB211" s="58"/>
      <c r="AC211" s="58"/>
    </row>
    <row r="212" spans="1:29" s="50" customFormat="1">
      <c r="A212" s="106"/>
      <c r="B212" s="2"/>
      <c r="C212" s="58"/>
      <c r="D212" s="58"/>
      <c r="E212" s="58"/>
      <c r="F212" s="58"/>
      <c r="G212" s="58"/>
      <c r="H212" s="58"/>
      <c r="I212" s="58"/>
      <c r="J212" s="58"/>
      <c r="K212" s="58"/>
      <c r="L212" s="58"/>
      <c r="M212" s="58"/>
      <c r="N212" s="58"/>
      <c r="O212" s="58"/>
      <c r="P212" s="58"/>
      <c r="Q212" s="58"/>
      <c r="R212" s="58"/>
      <c r="S212" s="58"/>
      <c r="T212" s="58"/>
      <c r="U212" s="58"/>
      <c r="V212" s="58"/>
      <c r="W212" s="58"/>
      <c r="X212" s="58"/>
      <c r="Y212" s="58"/>
      <c r="Z212" s="58"/>
      <c r="AA212" s="58"/>
      <c r="AB212" s="58"/>
      <c r="AC212" s="58"/>
    </row>
    <row r="213" spans="1:29" s="50" customFormat="1">
      <c r="A213" s="106"/>
      <c r="B213" s="2"/>
      <c r="C213" s="58"/>
      <c r="D213" s="58"/>
      <c r="E213" s="58"/>
      <c r="F213" s="58"/>
      <c r="G213" s="58"/>
      <c r="H213" s="58"/>
      <c r="I213" s="58"/>
      <c r="J213" s="58"/>
      <c r="K213" s="58"/>
      <c r="L213" s="58"/>
      <c r="M213" s="58"/>
      <c r="N213" s="58"/>
      <c r="O213" s="58"/>
      <c r="P213" s="58"/>
      <c r="Q213" s="58"/>
      <c r="R213" s="58"/>
      <c r="S213" s="58"/>
      <c r="T213" s="58"/>
      <c r="U213" s="58"/>
      <c r="V213" s="58"/>
      <c r="W213" s="58"/>
      <c r="X213" s="58"/>
      <c r="Y213" s="58"/>
      <c r="Z213" s="58"/>
      <c r="AA213" s="58"/>
      <c r="AB213" s="58"/>
      <c r="AC213" s="58"/>
    </row>
    <row r="214" spans="1:29" s="50" customFormat="1">
      <c r="A214" s="106"/>
      <c r="B214" s="2"/>
      <c r="C214" s="58"/>
      <c r="D214" s="58"/>
      <c r="E214" s="58"/>
      <c r="F214" s="58"/>
      <c r="G214" s="58"/>
      <c r="H214" s="58"/>
      <c r="I214" s="58"/>
      <c r="J214" s="58"/>
      <c r="K214" s="58"/>
      <c r="L214" s="58"/>
      <c r="M214" s="58"/>
      <c r="N214" s="58"/>
      <c r="O214" s="58"/>
      <c r="P214" s="58"/>
      <c r="Q214" s="58"/>
      <c r="R214" s="58"/>
      <c r="S214" s="58"/>
      <c r="T214" s="58"/>
      <c r="U214" s="58"/>
      <c r="V214" s="58"/>
      <c r="W214" s="58"/>
      <c r="X214" s="58"/>
      <c r="Y214" s="58"/>
      <c r="Z214" s="58"/>
      <c r="AA214" s="58"/>
      <c r="AB214" s="58"/>
      <c r="AC214" s="58"/>
    </row>
    <row r="215" spans="1:29" s="50" customFormat="1">
      <c r="A215" s="106"/>
      <c r="B215" s="2"/>
      <c r="C215" s="58"/>
      <c r="D215" s="58"/>
      <c r="E215" s="58"/>
      <c r="F215" s="58"/>
      <c r="G215" s="58"/>
      <c r="H215" s="58"/>
      <c r="I215" s="58"/>
      <c r="J215" s="58"/>
      <c r="K215" s="58"/>
      <c r="L215" s="58"/>
      <c r="M215" s="58"/>
      <c r="N215" s="58"/>
      <c r="O215" s="58"/>
      <c r="P215" s="58"/>
      <c r="Q215" s="58"/>
      <c r="R215" s="58"/>
      <c r="S215" s="58"/>
      <c r="T215" s="58"/>
      <c r="U215" s="58"/>
      <c r="V215" s="58"/>
      <c r="W215" s="58"/>
      <c r="X215" s="58"/>
      <c r="Y215" s="58"/>
      <c r="Z215" s="58"/>
      <c r="AA215" s="58"/>
      <c r="AB215" s="58"/>
      <c r="AC215" s="58"/>
    </row>
    <row r="216" spans="1:29" s="50" customFormat="1">
      <c r="A216" s="106"/>
      <c r="B216" s="2"/>
      <c r="C216" s="58"/>
      <c r="D216" s="58"/>
      <c r="E216" s="58"/>
      <c r="F216" s="58"/>
      <c r="G216" s="58"/>
      <c r="H216" s="58"/>
      <c r="I216" s="58"/>
      <c r="J216" s="58"/>
      <c r="K216" s="58"/>
      <c r="L216" s="58"/>
      <c r="M216" s="58"/>
      <c r="N216" s="58"/>
      <c r="O216" s="58"/>
      <c r="P216" s="58"/>
      <c r="Q216" s="58"/>
      <c r="R216" s="58"/>
      <c r="S216" s="58"/>
      <c r="T216" s="58"/>
      <c r="U216" s="58"/>
      <c r="V216" s="58"/>
      <c r="W216" s="58"/>
      <c r="X216" s="58"/>
      <c r="Y216" s="58"/>
      <c r="Z216" s="58"/>
      <c r="AA216" s="58"/>
      <c r="AB216" s="58"/>
      <c r="AC216" s="58"/>
    </row>
    <row r="217" spans="1:29" s="50" customFormat="1">
      <c r="A217" s="106"/>
      <c r="B217" s="2"/>
      <c r="C217" s="58"/>
      <c r="D217" s="58"/>
      <c r="E217" s="58"/>
      <c r="F217" s="58"/>
      <c r="G217" s="58"/>
      <c r="H217" s="58"/>
      <c r="I217" s="58"/>
      <c r="J217" s="58"/>
      <c r="K217" s="58"/>
      <c r="L217" s="58"/>
      <c r="M217" s="58"/>
      <c r="N217" s="58"/>
      <c r="O217" s="58"/>
      <c r="P217" s="58"/>
      <c r="Q217" s="58"/>
      <c r="R217" s="58"/>
      <c r="S217" s="58"/>
      <c r="T217" s="58"/>
      <c r="U217" s="58"/>
      <c r="V217" s="58"/>
      <c r="W217" s="58"/>
      <c r="X217" s="58"/>
      <c r="Y217" s="58"/>
      <c r="Z217" s="58"/>
      <c r="AA217" s="58"/>
      <c r="AB217" s="58"/>
      <c r="AC217" s="58"/>
    </row>
    <row r="218" spans="1:29" s="50" customFormat="1">
      <c r="A218" s="106"/>
      <c r="B218" s="2"/>
      <c r="C218" s="58"/>
      <c r="D218" s="58"/>
      <c r="E218" s="58"/>
      <c r="F218" s="58"/>
      <c r="G218" s="58"/>
      <c r="H218" s="58"/>
      <c r="I218" s="58"/>
      <c r="J218" s="58"/>
      <c r="K218" s="58"/>
      <c r="L218" s="58"/>
      <c r="M218" s="58"/>
      <c r="N218" s="58"/>
      <c r="O218" s="58"/>
      <c r="P218" s="58"/>
      <c r="Q218" s="58"/>
      <c r="R218" s="58"/>
      <c r="S218" s="58"/>
      <c r="T218" s="58"/>
      <c r="U218" s="58"/>
      <c r="V218" s="58"/>
      <c r="W218" s="58"/>
      <c r="X218" s="58"/>
      <c r="Y218" s="58"/>
      <c r="Z218" s="58"/>
      <c r="AA218" s="58"/>
      <c r="AB218" s="58"/>
      <c r="AC218" s="58"/>
    </row>
    <row r="219" spans="1:29" s="50" customFormat="1">
      <c r="A219" s="106"/>
      <c r="B219" s="2"/>
      <c r="C219" s="58"/>
      <c r="D219" s="58"/>
      <c r="E219" s="58"/>
      <c r="F219" s="58"/>
      <c r="G219" s="58"/>
      <c r="H219" s="58"/>
      <c r="I219" s="58"/>
      <c r="J219" s="58"/>
      <c r="K219" s="58"/>
      <c r="L219" s="58"/>
      <c r="M219" s="58"/>
      <c r="N219" s="58"/>
      <c r="O219" s="58"/>
      <c r="P219" s="58"/>
      <c r="Q219" s="58"/>
      <c r="R219" s="58"/>
      <c r="S219" s="58"/>
      <c r="T219" s="58"/>
      <c r="U219" s="58"/>
      <c r="V219" s="58"/>
      <c r="W219" s="58"/>
      <c r="X219" s="58"/>
      <c r="Y219" s="58"/>
      <c r="Z219" s="58"/>
      <c r="AA219" s="58"/>
      <c r="AB219" s="58"/>
      <c r="AC219" s="58"/>
    </row>
    <row r="220" spans="1:29" s="50" customFormat="1">
      <c r="A220" s="106"/>
      <c r="B220" s="2"/>
      <c r="C220" s="58"/>
      <c r="D220" s="58"/>
      <c r="E220" s="58"/>
      <c r="F220" s="58"/>
      <c r="G220" s="58"/>
      <c r="H220" s="58"/>
      <c r="I220" s="58"/>
      <c r="J220" s="58"/>
      <c r="K220" s="58"/>
      <c r="L220" s="58"/>
      <c r="M220" s="58"/>
      <c r="N220" s="58"/>
      <c r="O220" s="58"/>
      <c r="P220" s="58"/>
      <c r="Q220" s="58"/>
      <c r="R220" s="58"/>
      <c r="S220" s="58"/>
      <c r="T220" s="58"/>
      <c r="U220" s="58"/>
      <c r="V220" s="58"/>
      <c r="W220" s="58"/>
      <c r="X220" s="58"/>
      <c r="Y220" s="58"/>
      <c r="Z220" s="58"/>
      <c r="AA220" s="58"/>
      <c r="AB220" s="58"/>
      <c r="AC220" s="58"/>
    </row>
    <row r="221" spans="1:29" s="50" customFormat="1">
      <c r="A221" s="106"/>
      <c r="B221" s="2"/>
      <c r="C221" s="58"/>
      <c r="D221" s="58"/>
      <c r="E221" s="58"/>
      <c r="F221" s="58"/>
      <c r="G221" s="58"/>
      <c r="H221" s="58"/>
      <c r="I221" s="58"/>
      <c r="J221" s="58"/>
      <c r="K221" s="58"/>
      <c r="L221" s="58"/>
      <c r="M221" s="58"/>
      <c r="N221" s="58"/>
      <c r="O221" s="58"/>
      <c r="P221" s="58"/>
      <c r="Q221" s="58"/>
      <c r="R221" s="58"/>
      <c r="S221" s="58"/>
      <c r="T221" s="58"/>
      <c r="U221" s="58"/>
      <c r="V221" s="58"/>
      <c r="W221" s="58"/>
      <c r="X221" s="58"/>
      <c r="Y221" s="58"/>
      <c r="Z221" s="58"/>
      <c r="AA221" s="58"/>
      <c r="AB221" s="58"/>
      <c r="AC221" s="58"/>
    </row>
    <row r="222" spans="1:29" s="50" customFormat="1">
      <c r="A222" s="106"/>
      <c r="B222" s="2"/>
      <c r="C222" s="58"/>
      <c r="D222" s="58"/>
      <c r="E222" s="58"/>
      <c r="F222" s="58"/>
      <c r="G222" s="58"/>
      <c r="H222" s="58"/>
      <c r="I222" s="58"/>
      <c r="J222" s="58"/>
      <c r="K222" s="58"/>
      <c r="L222" s="58"/>
      <c r="M222" s="58"/>
      <c r="N222" s="58"/>
      <c r="O222" s="58"/>
      <c r="P222" s="58"/>
      <c r="Q222" s="58"/>
      <c r="R222" s="58"/>
      <c r="S222" s="58"/>
      <c r="T222" s="58"/>
      <c r="U222" s="58"/>
      <c r="V222" s="58"/>
      <c r="W222" s="58"/>
      <c r="X222" s="58"/>
      <c r="Y222" s="58"/>
      <c r="Z222" s="58"/>
      <c r="AA222" s="58"/>
      <c r="AB222" s="58"/>
      <c r="AC222" s="58"/>
    </row>
    <row r="223" spans="1:29" s="50" customFormat="1">
      <c r="A223" s="106"/>
      <c r="B223" s="2"/>
      <c r="C223" s="58"/>
      <c r="D223" s="58"/>
      <c r="E223" s="58"/>
      <c r="F223" s="58"/>
      <c r="G223" s="58"/>
      <c r="H223" s="58"/>
      <c r="I223" s="58"/>
      <c r="J223" s="58"/>
      <c r="K223" s="58"/>
      <c r="L223" s="58"/>
      <c r="M223" s="58"/>
      <c r="N223" s="58"/>
      <c r="O223" s="58"/>
      <c r="P223" s="58"/>
      <c r="Q223" s="58"/>
      <c r="R223" s="58"/>
      <c r="S223" s="58"/>
      <c r="T223" s="58"/>
      <c r="U223" s="58"/>
      <c r="V223" s="58"/>
      <c r="W223" s="58"/>
      <c r="X223" s="58"/>
      <c r="Y223" s="58"/>
      <c r="Z223" s="58"/>
      <c r="AA223" s="58"/>
      <c r="AB223" s="58"/>
      <c r="AC223" s="58"/>
    </row>
    <row r="224" spans="1:29" s="50" customFormat="1">
      <c r="A224" s="106"/>
      <c r="B224" s="2"/>
      <c r="C224" s="58"/>
      <c r="D224" s="58"/>
      <c r="E224" s="58"/>
      <c r="F224" s="58"/>
      <c r="G224" s="58"/>
      <c r="H224" s="58"/>
      <c r="I224" s="58"/>
      <c r="J224" s="58"/>
      <c r="K224" s="58"/>
      <c r="L224" s="58"/>
      <c r="M224" s="58"/>
      <c r="N224" s="58"/>
      <c r="O224" s="58"/>
      <c r="P224" s="58"/>
      <c r="Q224" s="58"/>
      <c r="R224" s="58"/>
      <c r="S224" s="58"/>
      <c r="T224" s="58"/>
      <c r="U224" s="58"/>
      <c r="V224" s="58"/>
      <c r="W224" s="58"/>
      <c r="X224" s="58"/>
      <c r="Y224" s="58"/>
      <c r="Z224" s="58"/>
      <c r="AA224" s="58"/>
      <c r="AB224" s="58"/>
      <c r="AC224" s="58"/>
    </row>
    <row r="225" spans="1:29" s="50" customFormat="1">
      <c r="A225" s="106"/>
      <c r="B225" s="2"/>
      <c r="C225" s="58"/>
      <c r="D225" s="58"/>
      <c r="E225" s="58"/>
      <c r="F225" s="58"/>
      <c r="G225" s="58"/>
      <c r="H225" s="58"/>
      <c r="I225" s="58"/>
      <c r="J225" s="58"/>
      <c r="K225" s="58"/>
      <c r="L225" s="58"/>
      <c r="M225" s="58"/>
      <c r="N225" s="58"/>
      <c r="O225" s="58"/>
      <c r="P225" s="58"/>
      <c r="Q225" s="58"/>
      <c r="R225" s="58"/>
      <c r="S225" s="58"/>
      <c r="T225" s="58"/>
      <c r="U225" s="58"/>
      <c r="V225" s="58"/>
      <c r="W225" s="58"/>
      <c r="X225" s="58"/>
      <c r="Y225" s="58"/>
      <c r="Z225" s="58"/>
      <c r="AA225" s="58"/>
      <c r="AB225" s="58"/>
      <c r="AC225" s="58"/>
    </row>
    <row r="226" spans="1:29" s="50" customFormat="1">
      <c r="A226" s="106"/>
      <c r="B226" s="2"/>
      <c r="C226" s="58"/>
      <c r="D226" s="58"/>
      <c r="E226" s="58"/>
      <c r="F226" s="58"/>
      <c r="G226" s="58"/>
      <c r="H226" s="58"/>
      <c r="I226" s="58"/>
      <c r="J226" s="58"/>
      <c r="K226" s="58"/>
      <c r="L226" s="58"/>
      <c r="M226" s="58"/>
      <c r="N226" s="58"/>
      <c r="O226" s="58"/>
      <c r="P226" s="58"/>
      <c r="Q226" s="58"/>
      <c r="R226" s="58"/>
      <c r="S226" s="58"/>
      <c r="T226" s="58"/>
      <c r="U226" s="58"/>
      <c r="V226" s="58"/>
      <c r="W226" s="58"/>
      <c r="X226" s="58"/>
      <c r="Y226" s="58"/>
      <c r="Z226" s="58"/>
      <c r="AA226" s="58"/>
      <c r="AB226" s="58"/>
      <c r="AC226" s="58"/>
    </row>
    <row r="227" spans="1:29" s="50" customFormat="1">
      <c r="A227" s="106"/>
      <c r="B227" s="2"/>
      <c r="C227" s="58"/>
      <c r="D227" s="58"/>
      <c r="E227" s="58"/>
      <c r="F227" s="58"/>
      <c r="G227" s="58"/>
      <c r="H227" s="58"/>
      <c r="I227" s="58"/>
      <c r="J227" s="58"/>
      <c r="K227" s="58"/>
      <c r="L227" s="58"/>
      <c r="M227" s="58"/>
      <c r="N227" s="58"/>
      <c r="O227" s="58"/>
      <c r="P227" s="58"/>
      <c r="Q227" s="58"/>
      <c r="R227" s="58"/>
      <c r="S227" s="58"/>
      <c r="T227" s="58"/>
      <c r="U227" s="58"/>
      <c r="V227" s="58"/>
      <c r="W227" s="58"/>
      <c r="X227" s="58"/>
      <c r="Y227" s="58"/>
      <c r="Z227" s="58"/>
      <c r="AA227" s="58"/>
      <c r="AB227" s="58"/>
      <c r="AC227" s="58"/>
    </row>
    <row r="228" spans="1:29" s="50" customFormat="1">
      <c r="A228" s="106"/>
      <c r="B228" s="2"/>
      <c r="C228" s="58"/>
      <c r="D228" s="58"/>
      <c r="E228" s="58"/>
      <c r="F228" s="58"/>
      <c r="G228" s="58"/>
      <c r="H228" s="58"/>
      <c r="I228" s="58"/>
      <c r="J228" s="58"/>
      <c r="K228" s="58"/>
      <c r="L228" s="58"/>
      <c r="M228" s="58"/>
      <c r="N228" s="58"/>
      <c r="O228" s="58"/>
      <c r="P228" s="58"/>
      <c r="Q228" s="58"/>
      <c r="R228" s="58"/>
      <c r="S228" s="58"/>
      <c r="T228" s="58"/>
      <c r="U228" s="58"/>
      <c r="V228" s="58"/>
      <c r="W228" s="58"/>
      <c r="X228" s="58"/>
      <c r="Y228" s="58"/>
      <c r="Z228" s="58"/>
      <c r="AA228" s="58"/>
      <c r="AB228" s="58"/>
      <c r="AC228" s="58"/>
    </row>
    <row r="229" spans="1:29" s="50" customFormat="1">
      <c r="A229" s="106"/>
      <c r="B229" s="2"/>
      <c r="C229" s="58"/>
      <c r="D229" s="58"/>
      <c r="E229" s="58"/>
      <c r="F229" s="58"/>
      <c r="G229" s="58"/>
      <c r="H229" s="58"/>
      <c r="I229" s="58"/>
      <c r="J229" s="58"/>
      <c r="K229" s="58"/>
      <c r="L229" s="58"/>
      <c r="M229" s="58"/>
      <c r="N229" s="58"/>
      <c r="O229" s="58"/>
      <c r="P229" s="58"/>
      <c r="Q229" s="58"/>
      <c r="R229" s="58"/>
      <c r="S229" s="58"/>
      <c r="T229" s="58"/>
      <c r="U229" s="58"/>
      <c r="V229" s="58"/>
      <c r="W229" s="58"/>
      <c r="X229" s="58"/>
      <c r="Y229" s="58"/>
      <c r="Z229" s="58"/>
      <c r="AA229" s="58"/>
      <c r="AB229" s="58"/>
      <c r="AC229" s="58"/>
    </row>
    <row r="230" spans="1:29" s="50" customFormat="1">
      <c r="A230" s="106"/>
      <c r="B230" s="2"/>
      <c r="C230" s="58"/>
      <c r="D230" s="58"/>
      <c r="E230" s="58"/>
      <c r="F230" s="58"/>
      <c r="G230" s="58"/>
      <c r="H230" s="58"/>
      <c r="I230" s="58"/>
      <c r="J230" s="58"/>
      <c r="K230" s="58"/>
      <c r="L230" s="58"/>
      <c r="M230" s="58"/>
      <c r="N230" s="58"/>
      <c r="O230" s="58"/>
      <c r="P230" s="58"/>
      <c r="Q230" s="58"/>
      <c r="R230" s="58"/>
      <c r="S230" s="58"/>
      <c r="T230" s="58"/>
      <c r="U230" s="58"/>
      <c r="V230" s="58"/>
      <c r="W230" s="58"/>
      <c r="X230" s="58"/>
      <c r="Y230" s="58"/>
      <c r="Z230" s="58"/>
      <c r="AA230" s="58"/>
      <c r="AB230" s="58"/>
      <c r="AC230" s="58"/>
    </row>
    <row r="231" spans="1:29" s="50" customFormat="1">
      <c r="A231" s="106"/>
      <c r="B231" s="2"/>
      <c r="C231" s="58"/>
      <c r="D231" s="58"/>
      <c r="E231" s="58"/>
      <c r="F231" s="58"/>
      <c r="G231" s="58"/>
      <c r="H231" s="58"/>
      <c r="I231" s="58"/>
      <c r="J231" s="58"/>
      <c r="K231" s="58"/>
      <c r="L231" s="58"/>
      <c r="M231" s="58"/>
      <c r="N231" s="58"/>
      <c r="O231" s="58"/>
      <c r="P231" s="58"/>
      <c r="Q231" s="58"/>
      <c r="R231" s="58"/>
      <c r="S231" s="58"/>
      <c r="T231" s="58"/>
      <c r="U231" s="58"/>
      <c r="V231" s="58"/>
      <c r="W231" s="58"/>
      <c r="X231" s="58"/>
      <c r="Y231" s="58"/>
      <c r="Z231" s="58"/>
      <c r="AA231" s="58"/>
      <c r="AB231" s="58"/>
      <c r="AC231" s="58"/>
    </row>
    <row r="232" spans="1:29" s="50" customFormat="1">
      <c r="A232" s="106"/>
      <c r="B232" s="2"/>
      <c r="C232" s="58"/>
      <c r="D232" s="58"/>
      <c r="E232" s="58"/>
      <c r="F232" s="58"/>
      <c r="G232" s="58"/>
      <c r="H232" s="58"/>
      <c r="I232" s="58"/>
      <c r="J232" s="58"/>
      <c r="K232" s="58"/>
      <c r="L232" s="58"/>
      <c r="M232" s="58"/>
      <c r="N232" s="58"/>
      <c r="O232" s="58"/>
      <c r="P232" s="58"/>
      <c r="Q232" s="58"/>
      <c r="R232" s="58"/>
      <c r="S232" s="58"/>
      <c r="T232" s="58"/>
      <c r="U232" s="58"/>
      <c r="V232" s="58"/>
      <c r="W232" s="58"/>
      <c r="X232" s="58"/>
      <c r="Y232" s="58"/>
      <c r="Z232" s="58"/>
      <c r="AA232" s="58"/>
      <c r="AB232" s="58"/>
      <c r="AC232" s="58"/>
    </row>
    <row r="233" spans="1:29" s="50" customFormat="1">
      <c r="A233" s="106"/>
      <c r="B233" s="2"/>
      <c r="C233" s="58"/>
      <c r="D233" s="58"/>
      <c r="E233" s="58"/>
      <c r="F233" s="58"/>
      <c r="G233" s="58"/>
      <c r="H233" s="58"/>
      <c r="I233" s="58"/>
      <c r="J233" s="58"/>
      <c r="K233" s="58"/>
      <c r="L233" s="58"/>
      <c r="M233" s="58"/>
      <c r="N233" s="58"/>
      <c r="O233" s="58"/>
      <c r="P233" s="58"/>
      <c r="Q233" s="58"/>
      <c r="R233" s="58"/>
      <c r="S233" s="58"/>
      <c r="T233" s="58"/>
      <c r="U233" s="58"/>
      <c r="V233" s="58"/>
      <c r="W233" s="58"/>
      <c r="X233" s="58"/>
      <c r="Y233" s="58"/>
      <c r="Z233" s="58"/>
      <c r="AA233" s="58"/>
      <c r="AB233" s="58"/>
      <c r="AC233" s="58"/>
    </row>
    <row r="234" spans="1:29" s="50" customFormat="1">
      <c r="A234" s="106"/>
      <c r="B234" s="2"/>
      <c r="C234" s="58"/>
      <c r="D234" s="58"/>
      <c r="E234" s="58"/>
      <c r="F234" s="58"/>
      <c r="G234" s="58"/>
      <c r="H234" s="58"/>
      <c r="I234" s="58"/>
      <c r="J234" s="58"/>
      <c r="K234" s="58"/>
      <c r="L234" s="58"/>
      <c r="M234" s="58"/>
      <c r="N234" s="58"/>
      <c r="O234" s="58"/>
      <c r="P234" s="58"/>
      <c r="Q234" s="58"/>
      <c r="R234" s="58"/>
      <c r="S234" s="58"/>
      <c r="T234" s="58"/>
      <c r="U234" s="58"/>
      <c r="V234" s="58"/>
      <c r="W234" s="58"/>
      <c r="X234" s="58"/>
      <c r="Y234" s="58"/>
      <c r="Z234" s="58"/>
      <c r="AA234" s="58"/>
      <c r="AB234" s="58"/>
      <c r="AC234" s="58"/>
    </row>
    <row r="235" spans="1:29" s="50" customFormat="1">
      <c r="A235" s="106"/>
      <c r="B235" s="2"/>
      <c r="C235" s="58"/>
      <c r="D235" s="58"/>
      <c r="E235" s="58"/>
      <c r="F235" s="58"/>
      <c r="G235" s="58"/>
      <c r="H235" s="58"/>
      <c r="I235" s="58"/>
      <c r="J235" s="58"/>
      <c r="K235" s="58"/>
      <c r="L235" s="58"/>
      <c r="M235" s="58"/>
      <c r="N235" s="58"/>
      <c r="O235" s="58"/>
      <c r="P235" s="58"/>
      <c r="Q235" s="58"/>
      <c r="R235" s="58"/>
      <c r="S235" s="58"/>
      <c r="T235" s="58"/>
      <c r="U235" s="58"/>
      <c r="V235" s="58"/>
      <c r="W235" s="58"/>
      <c r="X235" s="58"/>
      <c r="Y235" s="58"/>
      <c r="Z235" s="58"/>
      <c r="AA235" s="58"/>
      <c r="AB235" s="58"/>
      <c r="AC235" s="58"/>
    </row>
    <row r="236" spans="1:29" s="50" customFormat="1">
      <c r="A236" s="106"/>
      <c r="B236" s="2"/>
      <c r="C236" s="58"/>
      <c r="D236" s="58"/>
      <c r="E236" s="58"/>
      <c r="F236" s="58"/>
      <c r="G236" s="58"/>
      <c r="H236" s="58"/>
      <c r="I236" s="58"/>
      <c r="J236" s="58"/>
      <c r="K236" s="58"/>
      <c r="L236" s="58"/>
      <c r="M236" s="58"/>
      <c r="N236" s="58"/>
      <c r="O236" s="58"/>
      <c r="P236" s="58"/>
      <c r="Q236" s="58"/>
      <c r="R236" s="58"/>
      <c r="S236" s="58"/>
      <c r="T236" s="58"/>
      <c r="U236" s="58"/>
      <c r="V236" s="58"/>
      <c r="W236" s="58"/>
      <c r="X236" s="58"/>
      <c r="Y236" s="58"/>
      <c r="Z236" s="58"/>
      <c r="AA236" s="58"/>
      <c r="AB236" s="58"/>
      <c r="AC236" s="58"/>
    </row>
    <row r="237" spans="1:29" s="50" customFormat="1">
      <c r="A237" s="106"/>
      <c r="B237" s="2"/>
      <c r="C237" s="58"/>
      <c r="D237" s="58"/>
      <c r="E237" s="58"/>
      <c r="F237" s="58"/>
      <c r="G237" s="58"/>
      <c r="H237" s="58"/>
      <c r="I237" s="58"/>
      <c r="J237" s="58"/>
      <c r="K237" s="58"/>
      <c r="L237" s="58"/>
      <c r="M237" s="58"/>
      <c r="N237" s="58"/>
      <c r="O237" s="58"/>
      <c r="P237" s="58"/>
      <c r="Q237" s="58"/>
      <c r="R237" s="58"/>
      <c r="S237" s="58"/>
      <c r="T237" s="58"/>
      <c r="U237" s="58"/>
      <c r="V237" s="58"/>
      <c r="W237" s="58"/>
      <c r="X237" s="58"/>
      <c r="Y237" s="58"/>
      <c r="Z237" s="58"/>
      <c r="AA237" s="58"/>
      <c r="AB237" s="58"/>
      <c r="AC237" s="58"/>
    </row>
    <row r="238" spans="1:29" s="50" customFormat="1">
      <c r="A238" s="106"/>
      <c r="B238" s="2"/>
      <c r="C238" s="58"/>
      <c r="D238" s="58"/>
      <c r="E238" s="58"/>
      <c r="F238" s="58"/>
      <c r="G238" s="58"/>
      <c r="H238" s="58"/>
      <c r="I238" s="58"/>
      <c r="J238" s="58"/>
      <c r="K238" s="58"/>
      <c r="L238" s="58"/>
      <c r="M238" s="58"/>
      <c r="N238" s="58"/>
      <c r="O238" s="58"/>
      <c r="P238" s="58"/>
      <c r="Q238" s="58"/>
      <c r="R238" s="58"/>
      <c r="S238" s="58"/>
      <c r="T238" s="58"/>
      <c r="U238" s="58"/>
      <c r="V238" s="58"/>
      <c r="W238" s="58"/>
      <c r="X238" s="58"/>
      <c r="Y238" s="58"/>
      <c r="Z238" s="58"/>
      <c r="AA238" s="58"/>
      <c r="AB238" s="58"/>
      <c r="AC238" s="58"/>
    </row>
  </sheetData>
  <sheetProtection algorithmName="SHA-512" hashValue="Jl4kmW1SBpW0lVx6/36FD1cQMzvjd3jH1UU54DhaA1C4A2jQJ7gy40xtkJQxTivaPosylb717MA+Hp4K3bTTkw==" saltValue="9PfjSKajJjpj6xCAfpJ/AQ==" spinCount="100000" sheet="1" objects="1" scenarios="1"/>
  <mergeCells count="14">
    <mergeCell ref="P122:Q126"/>
    <mergeCell ref="U4:V4"/>
    <mergeCell ref="U5:V5"/>
    <mergeCell ref="R4:S4"/>
    <mergeCell ref="R5:S5"/>
    <mergeCell ref="R6:S6"/>
    <mergeCell ref="P119:Q119"/>
    <mergeCell ref="P120:Q120"/>
    <mergeCell ref="P121:Q121"/>
    <mergeCell ref="N107:O107"/>
    <mergeCell ref="N108:O108"/>
    <mergeCell ref="N109:O109"/>
    <mergeCell ref="V113:V114"/>
    <mergeCell ref="S113:T114"/>
  </mergeCells>
  <conditionalFormatting sqref="V112 S112:T112">
    <cfRule type="expression" dxfId="15" priority="330">
      <formula>$V$110&lt;&gt;"Standard"</formula>
    </cfRule>
  </conditionalFormatting>
  <conditionalFormatting sqref="S111">
    <cfRule type="expression" dxfId="14" priority="413">
      <formula>$V$110&lt;&gt;"Standard"</formula>
    </cfRule>
  </conditionalFormatting>
  <conditionalFormatting sqref="S113 V113">
    <cfRule type="expression" dxfId="13" priority="60">
      <formula>$V$110="Standard"</formula>
    </cfRule>
  </conditionalFormatting>
  <conditionalFormatting sqref="Y4">
    <cfRule type="expression" dxfId="12" priority="5">
      <formula>$Z$118=0</formula>
    </cfRule>
  </conditionalFormatting>
  <conditionalFormatting sqref="Y6:Y7">
    <cfRule type="expression" dxfId="11" priority="4">
      <formula>$Z$119=0</formula>
    </cfRule>
  </conditionalFormatting>
  <conditionalFormatting sqref="Y5">
    <cfRule type="expression" dxfId="10" priority="3">
      <formula>$Z$118=0</formula>
    </cfRule>
  </conditionalFormatting>
  <conditionalFormatting sqref="X8:AB102">
    <cfRule type="expression" dxfId="9" priority="416">
      <formula>$V$108=5</formula>
    </cfRule>
  </conditionalFormatting>
  <dataValidations disablePrompts="1" count="6">
    <dataValidation type="list" allowBlank="1" showInputMessage="1" showErrorMessage="1" sqref="V108" xr:uid="{278AE61C-4E53-4328-B3BE-C2B91FB6D9A9}">
      <formula1>$Q$117:$Q$118</formula1>
    </dataValidation>
    <dataValidation type="list" allowBlank="1" showInputMessage="1" showErrorMessage="1" sqref="V110" xr:uid="{29724614-CE15-4CAA-8456-DF6A38B6D670}">
      <formula1>"Standard,EV / Sales,EV / EBI,EV / EBITDA,NAV"</formula1>
    </dataValidation>
    <dataValidation type="list" allowBlank="1" showInputMessage="1" showErrorMessage="1" sqref="V109" xr:uid="{926CEEFB-D922-4310-8441-40A822752862}">
      <formula1>"1,5,10,15,20,25,30,40"</formula1>
    </dataValidation>
    <dataValidation type="list" allowBlank="1" showInputMessage="1" showErrorMessage="1" sqref="V122" xr:uid="{9DD5C4A8-0E5B-42CA-8AE2-556DD416C462}">
      <formula1>"Thousands, Millions, Billions"</formula1>
    </dataValidation>
    <dataValidation type="list" allowBlank="1" showInputMessage="1" showErrorMessage="1" sqref="X116" xr:uid="{8BFEF630-5F52-4F2E-BFE9-337472A59BE3}">
      <formula1>$X$117:$X$122</formula1>
    </dataValidation>
    <dataValidation type="list" allowBlank="1" showInputMessage="1" showErrorMessage="1" sqref="V123" xr:uid="{47FA8C2D-78E2-468E-AFC0-0E19EB0B1649}">
      <formula1>"Quarters,Halves"</formula1>
    </dataValidation>
  </dataValidations>
  <pageMargins left="0.7" right="0.7" top="0.75" bottom="0.75" header="0.3" footer="0.3"/>
  <pageSetup scale="19" fitToHeight="0" orientation="landscape" r:id="rId1"/>
  <drawing r:id="rId2"/>
  <legacyDrawing r:id="rId3"/>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6FB5B30A-111C-4EC5-85DB-80073FFA9A8C}">
          <x14:formula1>
            <xm:f>'Hidden Formulas'!$Q$2:$Q$4</xm:f>
          </x14:formula1>
          <xm:sqref>R5:S5</xm:sqref>
        </x14:dataValidation>
        <x14:dataValidation type="list" allowBlank="1" showInputMessage="1" showErrorMessage="1" xr:uid="{E5ADE9AC-4F21-4665-8802-2F2B784AF448}">
          <x14:formula1>
            <xm:f>'Hidden Formulas'!$Q$6:$Q$10</xm:f>
          </x14:formula1>
          <xm:sqref>U5:V5</xm:sqref>
        </x14:dataValidation>
        <x14:dataValidation type="list" allowBlank="1" showInputMessage="1" showErrorMessage="1" xr:uid="{C13B74FB-9A32-4EEA-9FE5-AA00B207166E}">
          <x14:formula1>
            <xm:f>'Hidden Formulas'!$W$2:$W$4</xm:f>
          </x14:formula1>
          <xm:sqref>T5</xm:sqref>
        </x14:dataValidation>
        <x14:dataValidation type="list" allowBlank="1" showInputMessage="1" showErrorMessage="1" xr:uid="{CDEF0FB5-A795-4C83-BD29-8F2E657F9206}">
          <x14:formula1>
            <xm:f>'Hidden Formulas'!$T$7:$T$10</xm:f>
          </x14:formula1>
          <xm:sqref>Y104</xm:sqref>
        </x14:dataValidation>
        <x14:dataValidation type="list" allowBlank="1" showInputMessage="1" showErrorMessage="1" xr:uid="{145C84EE-2B61-4960-8134-FBB78C2E3865}">
          <x14:formula1>
            <xm:f>'Hidden Formulas'!$T$12:$T$37</xm:f>
          </x14:formula1>
          <xm:sqref>Y105</xm:sqref>
        </x14:dataValidation>
        <x14:dataValidation type="list" allowBlank="1" showInputMessage="1" showErrorMessage="1" xr:uid="{BED60A34-EA91-4564-84CB-9F13A177BBAD}">
          <x14:formula1>
            <xm:f>'Hidden Formulas'!$Q$12:$Q$18</xm:f>
          </x14:formula1>
          <xm:sqref>AB104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54ADE-8B5D-4821-9DE3-E4361FC9D188}">
  <sheetPr codeName="Sheet12"/>
  <dimension ref="A1:BN370"/>
  <sheetViews>
    <sheetView showOutlineSymbols="0" workbookViewId="0">
      <selection activeCell="S114" sqref="S114:AC114"/>
    </sheetView>
  </sheetViews>
  <sheetFormatPr baseColWidth="10" defaultColWidth="8.6640625" defaultRowHeight="13"/>
  <cols>
    <col min="1" max="1" width="3.1640625" style="10" customWidth="1"/>
    <col min="2" max="2" width="29.5" style="10" customWidth="1"/>
    <col min="3" max="3" width="12" style="10" customWidth="1"/>
    <col min="4" max="4" width="10.5" style="10" customWidth="1"/>
    <col min="5" max="6" width="12.5" style="10" hidden="1" customWidth="1"/>
    <col min="7" max="7" width="10.33203125" style="10" hidden="1" customWidth="1"/>
    <col min="8" max="8" width="12.5" style="10" hidden="1" customWidth="1"/>
    <col min="9" max="9" width="12.5" style="10" customWidth="1"/>
    <col min="10" max="29" width="10.5" style="10" customWidth="1"/>
    <col min="30" max="30" width="11.83203125" style="10" customWidth="1"/>
    <col min="31" max="32" width="10.83203125" style="10" bestFit="1" customWidth="1"/>
    <col min="33" max="33" width="13.83203125" style="10" bestFit="1" customWidth="1"/>
    <col min="34" max="66" width="8.83203125" style="10" bestFit="1" customWidth="1"/>
    <col min="67" max="16384" width="8.6640625" style="10"/>
  </cols>
  <sheetData>
    <row r="1" spans="1:31" s="311" customFormat="1" ht="19.25" customHeight="1">
      <c r="A1" s="10"/>
    </row>
    <row r="2" spans="1:31" s="311" customFormat="1" ht="26" customHeight="1">
      <c r="A2" s="10"/>
      <c r="B2" s="312" t="e">
        <f>Valuation!C3</f>
        <v>#NAME?</v>
      </c>
      <c r="C2" s="313"/>
      <c r="D2" s="313"/>
      <c r="E2" s="314"/>
      <c r="F2" s="202"/>
      <c r="G2" s="314"/>
      <c r="H2" s="314"/>
      <c r="I2" s="314"/>
      <c r="J2" s="314"/>
      <c r="K2" s="314"/>
      <c r="L2" s="314"/>
      <c r="M2" s="314"/>
      <c r="N2" s="314"/>
      <c r="O2" s="314"/>
      <c r="P2" s="314"/>
      <c r="Q2" s="314"/>
      <c r="R2" s="314"/>
      <c r="S2" s="314"/>
      <c r="T2" s="314"/>
      <c r="U2" s="314"/>
      <c r="V2" s="314"/>
      <c r="W2" s="314"/>
      <c r="X2" s="314"/>
      <c r="Y2" s="314"/>
      <c r="Z2" s="314"/>
      <c r="AA2" s="314"/>
      <c r="AB2" s="314"/>
      <c r="AC2" s="314"/>
      <c r="AD2" s="314"/>
    </row>
    <row r="3" spans="1:31" s="311" customFormat="1">
      <c r="A3" s="10"/>
      <c r="B3" s="315" t="s">
        <v>69</v>
      </c>
      <c r="C3" s="735" t="s">
        <v>795</v>
      </c>
      <c r="D3" s="736"/>
      <c r="E3" s="314"/>
      <c r="F3" s="314"/>
      <c r="G3" s="314"/>
      <c r="H3" s="314"/>
      <c r="I3" s="314"/>
      <c r="J3" s="314"/>
      <c r="K3" s="314"/>
      <c r="L3" s="314"/>
      <c r="M3" s="314"/>
      <c r="N3" s="314"/>
      <c r="O3" s="314"/>
      <c r="P3" s="314"/>
      <c r="Q3" s="314"/>
      <c r="R3" s="314"/>
      <c r="S3" s="314"/>
      <c r="T3" s="314"/>
      <c r="U3" s="314"/>
      <c r="V3" s="314"/>
      <c r="W3" s="314"/>
      <c r="X3" s="314"/>
      <c r="Y3" s="314"/>
      <c r="Z3" s="314"/>
      <c r="AA3" s="314"/>
      <c r="AB3" s="314"/>
      <c r="AC3" s="314"/>
      <c r="AD3" s="314"/>
    </row>
    <row r="4" spans="1:31" s="311" customFormat="1">
      <c r="A4" s="10"/>
      <c r="B4" s="316" t="str">
        <f ca="1">Valuation!C5</f>
        <v/>
      </c>
      <c r="C4" s="737" t="e">
        <f ca="1">Valuation!N3</f>
        <v>#NAME?</v>
      </c>
      <c r="D4" s="738"/>
      <c r="E4" s="314"/>
      <c r="F4" s="202"/>
      <c r="G4" s="314"/>
      <c r="H4" s="314"/>
      <c r="I4" s="314"/>
      <c r="J4" s="314"/>
      <c r="K4" s="314"/>
      <c r="L4" s="314"/>
      <c r="M4" s="314"/>
      <c r="N4" s="314"/>
      <c r="O4" s="314"/>
      <c r="P4" s="314"/>
      <c r="Q4" s="314"/>
      <c r="R4" s="314"/>
      <c r="S4" s="314"/>
      <c r="T4" s="314"/>
      <c r="U4" s="314"/>
      <c r="V4" s="314"/>
      <c r="W4" s="314"/>
      <c r="X4" s="314"/>
      <c r="Y4" s="314"/>
      <c r="Z4" s="314"/>
      <c r="AA4" s="314"/>
      <c r="AB4" s="314"/>
      <c r="AC4" s="314"/>
      <c r="AD4" s="314"/>
    </row>
    <row r="5" spans="1:31" s="311" customFormat="1">
      <c r="A5" s="10"/>
      <c r="B5" s="14"/>
      <c r="C5" s="317"/>
      <c r="D5" s="318"/>
      <c r="E5" s="314"/>
      <c r="F5" s="314"/>
      <c r="G5" s="314"/>
      <c r="H5" s="314"/>
      <c r="I5" s="314"/>
      <c r="J5" s="314"/>
      <c r="K5" s="314"/>
      <c r="L5" s="314"/>
      <c r="M5" s="314"/>
      <c r="N5" s="314"/>
      <c r="O5" s="314"/>
      <c r="P5" s="314"/>
      <c r="Q5" s="314"/>
      <c r="R5" s="314"/>
      <c r="S5" s="314"/>
      <c r="T5" s="314"/>
      <c r="U5" s="314"/>
      <c r="V5" s="314"/>
      <c r="W5" s="314"/>
      <c r="X5" s="314"/>
      <c r="Y5" s="314"/>
      <c r="Z5" s="314"/>
      <c r="AA5" s="314"/>
      <c r="AB5" s="314"/>
      <c r="AC5" s="314"/>
      <c r="AD5" s="314"/>
    </row>
    <row r="6" spans="1:31" s="311" customFormat="1">
      <c r="A6" s="10"/>
      <c r="B6" s="319" t="s">
        <v>796</v>
      </c>
      <c r="C6" s="14" t="s">
        <v>794</v>
      </c>
      <c r="D6" s="14"/>
      <c r="E6" s="314"/>
      <c r="F6" s="314"/>
      <c r="G6" s="314"/>
      <c r="H6" s="314"/>
      <c r="I6" s="314"/>
      <c r="J6" s="314"/>
      <c r="K6" s="314"/>
      <c r="L6" s="314"/>
      <c r="M6" s="314"/>
      <c r="N6" s="314"/>
      <c r="O6" s="314"/>
      <c r="P6" s="314"/>
      <c r="Q6" s="314"/>
      <c r="R6" s="314"/>
      <c r="S6" s="314"/>
      <c r="T6" s="314"/>
      <c r="U6" s="314"/>
      <c r="V6" s="314"/>
      <c r="W6" s="314"/>
      <c r="X6" s="314"/>
      <c r="Y6" s="314"/>
      <c r="Z6" s="314"/>
      <c r="AA6" s="314"/>
      <c r="AB6" s="314"/>
      <c r="AC6" s="314"/>
      <c r="AD6" s="314"/>
    </row>
    <row r="7" spans="1:31" s="311" customFormat="1">
      <c r="A7" s="10"/>
      <c r="B7" s="320" t="e">
        <f>Valuation!Q5</f>
        <v>#NAME?</v>
      </c>
      <c r="C7" s="739" t="e">
        <f>Valuation!P5</f>
        <v>#NAME?</v>
      </c>
      <c r="D7" s="740"/>
      <c r="E7" s="314"/>
      <c r="F7" s="314"/>
      <c r="G7" s="314"/>
      <c r="H7" s="314"/>
      <c r="I7" s="314"/>
      <c r="J7" s="314"/>
      <c r="K7" s="314"/>
      <c r="L7" s="314"/>
      <c r="M7" s="314"/>
      <c r="N7" s="314"/>
      <c r="O7" s="314"/>
      <c r="P7" s="314"/>
      <c r="Q7" s="314"/>
      <c r="R7" s="314"/>
      <c r="S7" s="314"/>
      <c r="T7" s="321"/>
      <c r="U7" s="314"/>
      <c r="V7" s="314"/>
      <c r="W7" s="314"/>
      <c r="X7" s="314"/>
      <c r="Y7" s="314"/>
      <c r="Z7" s="314"/>
      <c r="AA7" s="314"/>
      <c r="AB7" s="314"/>
      <c r="AC7" s="314"/>
      <c r="AD7" s="314"/>
    </row>
    <row r="8" spans="1:31" s="311" customFormat="1">
      <c r="A8" s="10"/>
      <c r="B8" s="322" t="str">
        <f>Valuation!Q6</f>
        <v>USD Thousands</v>
      </c>
      <c r="C8" s="741">
        <f>Valuation!P6</f>
        <v>46090</v>
      </c>
      <c r="D8" s="740"/>
      <c r="E8" s="314"/>
      <c r="F8" s="314"/>
      <c r="G8" s="314"/>
      <c r="H8" s="314"/>
      <c r="I8" s="314"/>
      <c r="J8" s="314"/>
      <c r="K8" s="314"/>
      <c r="L8" s="314"/>
      <c r="M8" s="314"/>
      <c r="N8" s="314"/>
      <c r="O8" s="314"/>
      <c r="P8" s="314"/>
      <c r="Q8" s="314"/>
      <c r="R8" s="314"/>
      <c r="S8" s="314"/>
      <c r="T8" s="321"/>
      <c r="U8" s="314"/>
      <c r="V8" s="314"/>
      <c r="W8" s="314"/>
      <c r="X8" s="314"/>
      <c r="Y8" s="314"/>
      <c r="Z8" s="314"/>
      <c r="AA8" s="314"/>
      <c r="AB8" s="314"/>
      <c r="AC8" s="314"/>
      <c r="AD8" s="314"/>
    </row>
    <row r="9" spans="1:31" s="311" customFormat="1">
      <c r="A9" s="10"/>
      <c r="B9" s="314"/>
      <c r="C9" s="314"/>
      <c r="D9" s="314"/>
      <c r="E9" s="314"/>
      <c r="F9" s="314"/>
      <c r="G9" s="314"/>
      <c r="H9" s="314"/>
      <c r="I9" s="314"/>
      <c r="J9" s="314"/>
      <c r="K9" s="314"/>
      <c r="L9" s="314"/>
      <c r="M9" s="314"/>
      <c r="N9" s="314"/>
      <c r="O9" s="314"/>
      <c r="P9" s="314"/>
      <c r="Q9" s="314"/>
      <c r="R9" s="314"/>
      <c r="S9" s="314"/>
      <c r="T9" s="317"/>
      <c r="U9" s="317"/>
      <c r="V9" s="314"/>
      <c r="W9" s="314"/>
      <c r="X9" s="314"/>
      <c r="Y9" s="314"/>
      <c r="Z9" s="314"/>
      <c r="AA9" s="314"/>
      <c r="AB9" s="314"/>
      <c r="AC9" s="314"/>
      <c r="AD9" s="314"/>
    </row>
    <row r="10" spans="1:31" s="311" customFormat="1">
      <c r="A10" s="10"/>
      <c r="B10" s="315" t="s">
        <v>797</v>
      </c>
      <c r="C10" s="323" t="s">
        <v>806</v>
      </c>
      <c r="D10" s="324"/>
      <c r="E10" s="314"/>
      <c r="F10" s="314"/>
      <c r="G10" s="314"/>
      <c r="H10" s="314"/>
      <c r="I10" s="314"/>
      <c r="J10" s="314"/>
      <c r="K10" s="314"/>
      <c r="L10" s="314"/>
      <c r="M10" s="314"/>
      <c r="N10" s="314"/>
      <c r="O10" s="314"/>
      <c r="P10" s="314"/>
      <c r="Q10" s="314"/>
      <c r="R10" s="314"/>
      <c r="S10" s="314"/>
      <c r="T10" s="317"/>
      <c r="U10" s="317"/>
      <c r="V10" s="314"/>
      <c r="W10" s="314"/>
      <c r="X10" s="314"/>
      <c r="Y10" s="314"/>
      <c r="Z10" s="314"/>
      <c r="AA10" s="314"/>
      <c r="AB10" s="314"/>
      <c r="AC10" s="314"/>
      <c r="AD10" s="314"/>
    </row>
    <row r="11" spans="1:31" s="311" customFormat="1">
      <c r="A11" s="10"/>
      <c r="B11" s="9" t="str">
        <f>Valuation!R5</f>
        <v>None</v>
      </c>
      <c r="C11" s="325" t="str">
        <f>Valuation!T5</f>
        <v>Standard</v>
      </c>
      <c r="D11" s="325"/>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row>
    <row r="12" spans="1:31" s="311" customFormat="1">
      <c r="A12" s="10"/>
      <c r="B12" s="314"/>
      <c r="C12" s="314"/>
      <c r="D12" s="314"/>
      <c r="E12" s="314"/>
      <c r="F12" s="314"/>
      <c r="G12" s="314"/>
      <c r="H12" s="314"/>
      <c r="I12" s="314"/>
      <c r="J12" s="314"/>
      <c r="K12" s="314"/>
      <c r="L12" s="314"/>
      <c r="M12" s="314"/>
      <c r="N12" s="314"/>
      <c r="O12" s="314"/>
      <c r="P12" s="314"/>
      <c r="Q12" s="314"/>
      <c r="R12" s="314"/>
      <c r="S12" s="314"/>
      <c r="T12" s="314"/>
      <c r="U12" s="314"/>
      <c r="V12" s="314"/>
      <c r="W12" s="314"/>
      <c r="X12" s="314"/>
      <c r="Y12" s="314"/>
      <c r="Z12" s="314"/>
      <c r="AA12" s="314"/>
      <c r="AB12" s="314"/>
      <c r="AC12" s="314"/>
      <c r="AD12" s="314"/>
    </row>
    <row r="13" spans="1:31">
      <c r="B13" s="326" t="s">
        <v>807</v>
      </c>
      <c r="C13" s="15"/>
      <c r="D13" s="326"/>
      <c r="E13" s="9"/>
      <c r="F13" s="327"/>
      <c r="G13" s="327"/>
      <c r="H13" s="327"/>
      <c r="I13" s="327"/>
      <c r="J13" s="327"/>
      <c r="K13" s="327"/>
      <c r="L13" s="327"/>
      <c r="M13" s="327"/>
      <c r="N13" s="327"/>
      <c r="O13" s="327"/>
      <c r="P13" s="327"/>
      <c r="Q13" s="327"/>
      <c r="R13" s="327"/>
      <c r="S13" s="327"/>
      <c r="T13" s="314"/>
      <c r="U13" s="314"/>
      <c r="V13" s="314"/>
      <c r="W13" s="314"/>
      <c r="X13" s="314"/>
      <c r="Y13" s="314"/>
      <c r="Z13" s="314"/>
      <c r="AA13" s="314"/>
      <c r="AB13" s="314"/>
      <c r="AC13" s="314"/>
      <c r="AD13" s="9"/>
      <c r="AE13" s="328"/>
    </row>
    <row r="14" spans="1:31">
      <c r="B14" s="9" t="str">
        <f>Valuation!U5</f>
        <v>Very High</v>
      </c>
      <c r="C14" s="15"/>
      <c r="D14" s="325"/>
      <c r="E14" s="9"/>
      <c r="F14" s="327"/>
      <c r="G14" s="327"/>
      <c r="H14" s="327"/>
      <c r="I14" s="327"/>
      <c r="J14" s="327"/>
      <c r="K14" s="327"/>
      <c r="L14" s="327"/>
      <c r="M14" s="327"/>
      <c r="N14" s="327"/>
      <c r="O14" s="327"/>
      <c r="P14" s="327"/>
      <c r="Q14" s="327"/>
      <c r="R14" s="327"/>
      <c r="S14" s="327"/>
      <c r="T14" s="314"/>
      <c r="U14" s="314"/>
      <c r="V14" s="314"/>
      <c r="W14" s="314"/>
      <c r="X14" s="314"/>
      <c r="Y14" s="314"/>
      <c r="Z14" s="314"/>
      <c r="AA14" s="314"/>
      <c r="AB14" s="314"/>
      <c r="AC14" s="314"/>
      <c r="AD14" s="9"/>
      <c r="AE14" s="328"/>
    </row>
    <row r="15" spans="1:31" s="311" customFormat="1">
      <c r="A15" s="10"/>
      <c r="B15" s="314"/>
      <c r="C15" s="314"/>
      <c r="D15" s="314"/>
      <c r="E15" s="314"/>
      <c r="F15" s="314"/>
      <c r="G15" s="314"/>
      <c r="H15" s="314"/>
      <c r="I15" s="314"/>
      <c r="J15" s="314"/>
      <c r="K15" s="314"/>
      <c r="L15" s="314"/>
      <c r="M15" s="314"/>
      <c r="N15" s="314"/>
      <c r="O15" s="314"/>
      <c r="P15" s="314"/>
      <c r="Q15" s="314"/>
      <c r="R15" s="314"/>
      <c r="S15" s="314"/>
      <c r="T15" s="314"/>
      <c r="U15" s="314"/>
      <c r="V15" s="314"/>
      <c r="W15" s="314"/>
      <c r="X15" s="314"/>
      <c r="Y15" s="314"/>
      <c r="Z15" s="314"/>
      <c r="AA15" s="314"/>
      <c r="AB15" s="314"/>
      <c r="AC15" s="314"/>
      <c r="AD15" s="314"/>
    </row>
    <row r="16" spans="1:31" s="311" customFormat="1">
      <c r="A16" s="10"/>
      <c r="B16" s="315" t="s">
        <v>869</v>
      </c>
      <c r="C16" s="315" t="s">
        <v>828</v>
      </c>
      <c r="D16" s="315"/>
      <c r="E16" s="314"/>
      <c r="F16" s="314"/>
      <c r="G16" s="314"/>
      <c r="H16" s="314"/>
      <c r="I16" s="314"/>
      <c r="J16" s="314"/>
      <c r="K16" s="314"/>
      <c r="L16" s="314"/>
      <c r="M16" s="314"/>
      <c r="N16" s="314"/>
      <c r="O16" s="314"/>
      <c r="P16" s="314"/>
      <c r="Q16" s="314"/>
      <c r="R16" s="314"/>
      <c r="S16" s="314"/>
      <c r="T16" s="314"/>
      <c r="U16" s="314"/>
      <c r="V16" s="314"/>
      <c r="W16" s="314"/>
      <c r="X16" s="314"/>
      <c r="Y16" s="314"/>
      <c r="Z16" s="314"/>
      <c r="AA16" s="314"/>
      <c r="AB16" s="314"/>
      <c r="AC16" s="314"/>
      <c r="AD16" s="314"/>
    </row>
    <row r="17" spans="1:30" s="311" customFormat="1">
      <c r="A17" s="10"/>
      <c r="B17" s="314" t="str">
        <f>Valuation!P119</f>
        <v>Michael Miller</v>
      </c>
      <c r="C17" s="325" t="str">
        <f>Valuation!X116</f>
        <v>Base</v>
      </c>
      <c r="D17" s="325"/>
      <c r="E17" s="314"/>
      <c r="F17" s="314"/>
      <c r="G17" s="314"/>
      <c r="H17" s="314"/>
      <c r="I17" s="314"/>
      <c r="J17" s="314"/>
      <c r="K17" s="314"/>
      <c r="L17" s="314"/>
      <c r="M17" s="314"/>
      <c r="N17" s="314"/>
      <c r="O17" s="314"/>
      <c r="P17" s="314"/>
      <c r="Q17" s="314"/>
      <c r="R17" s="314"/>
      <c r="S17" s="314"/>
      <c r="T17" s="314"/>
      <c r="U17" s="314"/>
      <c r="V17" s="314"/>
      <c r="W17" s="314"/>
      <c r="X17" s="314"/>
      <c r="Y17" s="314"/>
      <c r="Z17" s="314"/>
      <c r="AA17" s="314"/>
      <c r="AB17" s="314"/>
      <c r="AC17" s="314"/>
      <c r="AD17" s="314"/>
    </row>
    <row r="18" spans="1:30" s="311" customFormat="1">
      <c r="A18" s="10"/>
      <c r="B18" s="314"/>
      <c r="C18" s="314"/>
      <c r="D18" s="314"/>
      <c r="E18" s="314"/>
      <c r="F18" s="314"/>
      <c r="G18" s="314"/>
      <c r="H18" s="314"/>
      <c r="I18" s="314"/>
      <c r="J18" s="314"/>
      <c r="K18" s="314"/>
      <c r="L18" s="314"/>
      <c r="M18" s="314"/>
      <c r="N18" s="314"/>
      <c r="O18" s="314"/>
      <c r="P18" s="314"/>
      <c r="Q18" s="314"/>
      <c r="R18" s="314"/>
      <c r="S18" s="314"/>
      <c r="T18" s="314"/>
      <c r="U18" s="314"/>
      <c r="V18" s="314"/>
      <c r="W18" s="314"/>
      <c r="X18" s="314"/>
      <c r="Y18" s="314"/>
      <c r="Z18" s="314"/>
      <c r="AA18" s="314"/>
      <c r="AB18" s="314"/>
      <c r="AC18" s="314"/>
      <c r="AD18" s="314"/>
    </row>
    <row r="19" spans="1:30" s="311" customFormat="1">
      <c r="A19" s="10"/>
      <c r="B19" s="315" t="s">
        <v>870</v>
      </c>
      <c r="C19" s="315"/>
      <c r="D19" s="315"/>
      <c r="E19" s="314"/>
      <c r="F19" s="314"/>
      <c r="G19" s="314"/>
      <c r="H19" s="314"/>
      <c r="I19" s="314"/>
      <c r="J19" s="314"/>
      <c r="K19" s="314"/>
      <c r="L19" s="314"/>
      <c r="M19" s="314"/>
      <c r="N19" s="314"/>
      <c r="O19" s="314"/>
      <c r="P19" s="314"/>
      <c r="Q19" s="314"/>
      <c r="R19" s="314"/>
      <c r="S19" s="314"/>
      <c r="T19" s="314"/>
      <c r="U19" s="314"/>
      <c r="V19" s="314"/>
      <c r="W19" s="314"/>
      <c r="X19" s="314"/>
      <c r="Y19" s="314"/>
      <c r="Z19" s="314"/>
      <c r="AA19" s="314"/>
      <c r="AB19" s="314"/>
      <c r="AC19" s="314"/>
      <c r="AD19" s="314"/>
    </row>
    <row r="20" spans="1:30" s="311" customFormat="1">
      <c r="A20" s="10"/>
      <c r="B20" s="314"/>
      <c r="C20" s="314"/>
      <c r="D20" s="314"/>
      <c r="E20" s="314"/>
      <c r="F20" s="314"/>
      <c r="G20" s="314"/>
      <c r="H20" s="314"/>
      <c r="I20" s="314"/>
      <c r="J20" s="314"/>
      <c r="K20" s="314"/>
      <c r="L20" s="314"/>
      <c r="M20" s="314"/>
      <c r="N20" s="314"/>
      <c r="O20" s="314"/>
      <c r="P20" s="314"/>
      <c r="Q20" s="314"/>
      <c r="R20" s="314"/>
      <c r="S20" s="314"/>
      <c r="T20" s="314"/>
      <c r="U20" s="314"/>
      <c r="V20" s="314"/>
      <c r="W20" s="314"/>
      <c r="X20" s="314"/>
      <c r="Y20" s="314"/>
      <c r="Z20" s="314"/>
      <c r="AA20" s="314"/>
      <c r="AB20" s="314"/>
      <c r="AC20" s="314"/>
      <c r="AD20" s="314"/>
    </row>
    <row r="21" spans="1:30" s="311" customFormat="1">
      <c r="A21" s="10"/>
      <c r="B21" s="314" t="s">
        <v>871</v>
      </c>
      <c r="C21" s="211" t="s">
        <v>872</v>
      </c>
      <c r="D21" s="14"/>
      <c r="E21" s="314"/>
      <c r="F21" s="314"/>
      <c r="G21" s="314"/>
      <c r="H21" s="314"/>
      <c r="I21" s="314"/>
      <c r="J21" s="314"/>
      <c r="K21" s="314"/>
      <c r="L21" s="314"/>
      <c r="M21" s="314"/>
      <c r="N21" s="314"/>
      <c r="O21" s="314"/>
      <c r="P21" s="314"/>
      <c r="Q21" s="314"/>
      <c r="R21" s="314"/>
      <c r="S21" s="314"/>
      <c r="T21" s="314"/>
      <c r="U21" s="314"/>
      <c r="V21" s="314"/>
      <c r="W21" s="314"/>
      <c r="X21" s="314"/>
      <c r="Y21" s="314"/>
      <c r="Z21" s="314"/>
      <c r="AA21" s="314"/>
      <c r="AB21" s="314"/>
      <c r="AC21" s="314"/>
      <c r="AD21" s="314"/>
    </row>
    <row r="22" spans="1:30" s="311" customFormat="1">
      <c r="A22" s="10"/>
      <c r="B22" s="314"/>
      <c r="C22" s="329">
        <v>0.02</v>
      </c>
      <c r="D22" s="14"/>
      <c r="E22" s="314"/>
      <c r="F22" s="314"/>
      <c r="G22" s="314"/>
      <c r="H22" s="314"/>
      <c r="I22" s="314"/>
      <c r="J22" s="314"/>
      <c r="K22" s="314"/>
      <c r="L22" s="314"/>
      <c r="M22" s="314"/>
      <c r="N22" s="314"/>
      <c r="O22" s="314"/>
      <c r="P22" s="314"/>
      <c r="Q22" s="314"/>
      <c r="R22" s="314"/>
      <c r="S22" s="314"/>
      <c r="T22" s="314"/>
      <c r="U22" s="314"/>
      <c r="V22" s="314"/>
      <c r="W22" s="314"/>
      <c r="X22" s="314"/>
      <c r="Y22" s="314"/>
      <c r="Z22" s="314"/>
      <c r="AA22" s="314"/>
      <c r="AB22" s="314"/>
      <c r="AC22" s="314"/>
      <c r="AD22" s="314"/>
    </row>
    <row r="23" spans="1:30" s="311" customFormat="1">
      <c r="A23" s="10"/>
      <c r="B23" s="314"/>
      <c r="C23" s="202"/>
      <c r="D23" s="14"/>
      <c r="E23" s="314"/>
      <c r="F23" s="314"/>
      <c r="G23" s="314"/>
      <c r="H23" s="314"/>
      <c r="I23" s="314"/>
      <c r="J23" s="314"/>
      <c r="K23" s="314"/>
      <c r="L23" s="314"/>
      <c r="M23" s="314"/>
      <c r="N23" s="314"/>
      <c r="O23" s="314"/>
      <c r="P23" s="314"/>
      <c r="Q23" s="314"/>
      <c r="R23" s="314"/>
      <c r="S23" s="314"/>
      <c r="T23" s="314"/>
      <c r="U23" s="314"/>
      <c r="V23" s="314"/>
      <c r="W23" s="314"/>
      <c r="X23" s="314"/>
      <c r="Y23" s="314"/>
      <c r="Z23" s="314"/>
      <c r="AA23" s="314"/>
      <c r="AB23" s="314"/>
      <c r="AC23" s="314"/>
      <c r="AD23" s="314"/>
    </row>
    <row r="24" spans="1:30" s="311" customFormat="1">
      <c r="A24" s="10"/>
      <c r="B24" s="314" t="s">
        <v>873</v>
      </c>
      <c r="C24" s="330">
        <v>7</v>
      </c>
      <c r="D24" s="14"/>
      <c r="E24" s="314"/>
      <c r="F24" s="314"/>
      <c r="G24" s="314"/>
      <c r="H24" s="314"/>
      <c r="I24" s="314"/>
      <c r="J24" s="314"/>
      <c r="K24" s="314"/>
      <c r="L24" s="314"/>
      <c r="M24" s="314"/>
      <c r="N24" s="314"/>
      <c r="O24" s="314"/>
      <c r="P24" s="314"/>
      <c r="Q24" s="314"/>
      <c r="R24" s="314"/>
      <c r="S24" s="314"/>
      <c r="T24" s="314"/>
      <c r="U24" s="314"/>
      <c r="V24" s="314"/>
      <c r="W24" s="314"/>
      <c r="X24" s="314"/>
      <c r="Y24" s="314"/>
      <c r="Z24" s="314"/>
      <c r="AA24" s="314"/>
      <c r="AB24" s="314"/>
      <c r="AC24" s="314"/>
      <c r="AD24" s="314"/>
    </row>
    <row r="25" spans="1:30" s="311" customFormat="1">
      <c r="A25" s="10"/>
      <c r="B25" s="314"/>
      <c r="C25" s="314"/>
      <c r="D25" s="14"/>
      <c r="E25" s="314"/>
      <c r="F25" s="314"/>
      <c r="G25" s="314"/>
      <c r="H25" s="314"/>
      <c r="I25" s="314"/>
      <c r="J25" s="314"/>
      <c r="K25" s="314"/>
      <c r="L25" s="314"/>
      <c r="M25" s="314"/>
      <c r="N25" s="314"/>
      <c r="O25" s="314"/>
      <c r="P25" s="314"/>
      <c r="Q25" s="314"/>
      <c r="R25" s="314"/>
      <c r="S25" s="314"/>
      <c r="T25" s="314"/>
      <c r="U25" s="314"/>
      <c r="V25" s="314"/>
      <c r="W25" s="314"/>
      <c r="X25" s="314"/>
      <c r="Y25" s="314"/>
      <c r="Z25" s="314"/>
      <c r="AA25" s="314"/>
      <c r="AB25" s="314"/>
      <c r="AC25" s="314"/>
      <c r="AD25" s="314"/>
    </row>
    <row r="26" spans="1:30" s="311" customFormat="1">
      <c r="A26" s="10"/>
      <c r="B26" s="314" t="s">
        <v>874</v>
      </c>
      <c r="C26" s="211" t="s">
        <v>907</v>
      </c>
      <c r="D26" s="14"/>
      <c r="E26" s="314"/>
      <c r="F26" s="314"/>
      <c r="G26" s="314"/>
      <c r="H26" s="314"/>
      <c r="I26" s="314"/>
      <c r="J26" s="314"/>
      <c r="K26" s="314"/>
      <c r="L26" s="314"/>
      <c r="M26" s="314"/>
      <c r="N26" s="314"/>
      <c r="O26" s="314"/>
      <c r="P26" s="314"/>
      <c r="Q26" s="314"/>
      <c r="R26" s="314"/>
      <c r="S26" s="314"/>
      <c r="T26" s="314"/>
      <c r="U26" s="314"/>
      <c r="V26" s="314"/>
      <c r="W26" s="314"/>
      <c r="X26" s="314"/>
      <c r="Y26" s="314"/>
      <c r="Z26" s="314"/>
      <c r="AA26" s="314"/>
      <c r="AB26" s="314"/>
      <c r="AC26" s="314"/>
      <c r="AD26" s="314"/>
    </row>
    <row r="27" spans="1:30" s="311" customFormat="1" ht="21.25" customHeight="1">
      <c r="A27" s="10"/>
      <c r="B27" s="314"/>
      <c r="C27" s="314"/>
      <c r="D27" s="14"/>
      <c r="E27" s="314"/>
      <c r="F27" s="314"/>
      <c r="G27" s="314"/>
      <c r="H27" s="314"/>
      <c r="I27" s="314"/>
      <c r="J27" s="314"/>
      <c r="K27" s="314"/>
      <c r="L27" s="314"/>
      <c r="M27" s="314"/>
      <c r="N27" s="314"/>
      <c r="O27" s="314"/>
      <c r="P27" s="314"/>
      <c r="Q27" s="314"/>
      <c r="R27" s="314"/>
      <c r="S27" s="314"/>
      <c r="T27" s="314"/>
      <c r="U27" s="314"/>
      <c r="V27" s="314"/>
      <c r="W27" s="314"/>
      <c r="X27" s="314"/>
      <c r="Y27" s="314"/>
      <c r="Z27" s="314"/>
      <c r="AA27" s="314"/>
      <c r="AB27" s="314"/>
      <c r="AC27" s="314"/>
      <c r="AD27" s="314"/>
    </row>
    <row r="28" spans="1:30" s="311" customFormat="1">
      <c r="A28" s="10"/>
      <c r="B28" s="314" t="s">
        <v>876</v>
      </c>
      <c r="C28" s="211" t="s">
        <v>877</v>
      </c>
      <c r="D28" s="14"/>
      <c r="E28" s="314"/>
      <c r="F28" s="314"/>
      <c r="G28" s="314"/>
      <c r="H28" s="314"/>
      <c r="I28" s="314"/>
      <c r="J28" s="314"/>
      <c r="K28" s="314"/>
      <c r="L28" s="314"/>
      <c r="M28" s="314"/>
      <c r="N28" s="314"/>
      <c r="O28" s="314"/>
      <c r="P28" s="314"/>
      <c r="Q28" s="314"/>
      <c r="R28" s="314"/>
      <c r="S28" s="314"/>
      <c r="T28" s="314"/>
      <c r="U28" s="314"/>
      <c r="V28" s="314"/>
      <c r="W28" s="314"/>
      <c r="X28" s="314"/>
      <c r="Y28" s="314"/>
      <c r="Z28" s="314"/>
      <c r="AA28" s="314"/>
      <c r="AB28" s="314"/>
      <c r="AC28" s="314"/>
      <c r="AD28" s="314"/>
    </row>
    <row r="29" spans="1:30" s="311" customFormat="1">
      <c r="A29" s="10"/>
      <c r="B29" s="314"/>
      <c r="C29" s="202"/>
      <c r="D29" s="14"/>
      <c r="E29" s="314"/>
      <c r="F29" s="314"/>
      <c r="G29" s="314"/>
      <c r="H29" s="314"/>
      <c r="I29" s="314"/>
      <c r="J29" s="314"/>
      <c r="K29" s="314"/>
      <c r="L29" s="314"/>
      <c r="M29" s="314"/>
      <c r="N29" s="314"/>
      <c r="O29" s="314"/>
      <c r="P29" s="314"/>
      <c r="Q29" s="314"/>
      <c r="R29" s="314"/>
      <c r="S29" s="314"/>
      <c r="T29" s="314"/>
      <c r="U29" s="314"/>
      <c r="V29" s="314"/>
      <c r="W29" s="314"/>
      <c r="X29" s="314"/>
      <c r="Y29" s="314"/>
      <c r="Z29" s="314"/>
      <c r="AA29" s="314"/>
      <c r="AB29" s="314"/>
      <c r="AC29" s="314"/>
      <c r="AD29" s="314"/>
    </row>
    <row r="30" spans="1:30" s="311" customFormat="1">
      <c r="A30" s="10"/>
      <c r="B30" s="314" t="s">
        <v>878</v>
      </c>
      <c r="C30" s="330">
        <v>10</v>
      </c>
      <c r="D30" s="14"/>
      <c r="E30" s="314"/>
      <c r="F30" s="314"/>
      <c r="G30" s="314"/>
      <c r="H30" s="314"/>
      <c r="I30" s="314"/>
      <c r="J30" s="314"/>
      <c r="K30" s="314"/>
      <c r="L30" s="314"/>
      <c r="M30" s="314"/>
      <c r="N30" s="314"/>
      <c r="O30" s="314"/>
      <c r="P30" s="314"/>
      <c r="Q30" s="314"/>
      <c r="R30" s="314"/>
      <c r="S30" s="314"/>
      <c r="T30" s="314"/>
      <c r="U30" s="314"/>
      <c r="V30" s="314"/>
      <c r="W30" s="314"/>
      <c r="X30" s="314"/>
      <c r="Y30" s="314"/>
      <c r="Z30" s="314"/>
      <c r="AA30" s="314"/>
      <c r="AB30" s="314"/>
      <c r="AC30" s="314"/>
      <c r="AD30" s="314"/>
    </row>
    <row r="31" spans="1:30" s="311" customFormat="1">
      <c r="A31" s="10"/>
      <c r="B31" s="314" t="s">
        <v>879</v>
      </c>
      <c r="C31" s="331">
        <v>1</v>
      </c>
      <c r="D31" s="14"/>
      <c r="E31" s="314"/>
      <c r="F31" s="314"/>
      <c r="G31" s="314"/>
      <c r="H31" s="314"/>
      <c r="I31" s="314"/>
      <c r="J31" s="314"/>
      <c r="K31" s="314"/>
      <c r="L31" s="314"/>
      <c r="M31" s="314"/>
      <c r="N31" s="314"/>
      <c r="O31" s="314"/>
      <c r="P31" s="314"/>
      <c r="Q31" s="314"/>
      <c r="R31" s="314"/>
      <c r="S31" s="314"/>
      <c r="T31" s="314"/>
      <c r="U31" s="314"/>
      <c r="V31" s="314"/>
      <c r="W31" s="314"/>
      <c r="X31" s="314"/>
      <c r="Y31" s="314"/>
      <c r="Z31" s="314"/>
      <c r="AA31" s="314"/>
      <c r="AB31" s="314"/>
      <c r="AC31" s="314"/>
      <c r="AD31" s="314"/>
    </row>
    <row r="32" spans="1:30" s="311" customFormat="1">
      <c r="A32" s="10"/>
      <c r="B32" s="314"/>
      <c r="C32" s="314"/>
      <c r="D32" s="14"/>
      <c r="E32" s="314"/>
      <c r="F32" s="314"/>
      <c r="G32" s="314"/>
      <c r="H32" s="314"/>
      <c r="I32" s="314"/>
      <c r="J32" s="314"/>
      <c r="K32" s="314"/>
      <c r="L32" s="314"/>
      <c r="M32" s="314"/>
      <c r="N32" s="314"/>
      <c r="O32" s="314"/>
      <c r="P32" s="314"/>
      <c r="Q32" s="314"/>
      <c r="R32" s="314"/>
      <c r="S32" s="314"/>
      <c r="T32" s="314"/>
      <c r="U32" s="314"/>
      <c r="V32" s="314"/>
      <c r="W32" s="314"/>
      <c r="X32" s="314"/>
      <c r="Y32" s="314"/>
      <c r="Z32" s="314"/>
      <c r="AA32" s="314"/>
      <c r="AB32" s="314"/>
      <c r="AC32" s="314"/>
      <c r="AD32" s="314"/>
    </row>
    <row r="33" spans="1:30" s="311" customFormat="1">
      <c r="A33" s="10"/>
      <c r="B33" s="314" t="s">
        <v>880</v>
      </c>
      <c r="C33" s="330">
        <v>5</v>
      </c>
      <c r="D33" s="14"/>
      <c r="E33" s="314"/>
      <c r="F33" s="314"/>
      <c r="G33" s="314"/>
      <c r="H33" s="314"/>
      <c r="I33" s="314"/>
      <c r="J33" s="314"/>
      <c r="K33" s="314"/>
      <c r="L33" s="314"/>
      <c r="M33" s="314"/>
      <c r="N33" s="314"/>
      <c r="O33" s="314"/>
      <c r="P33" s="314"/>
      <c r="Q33" s="314"/>
      <c r="R33" s="314"/>
      <c r="S33" s="314"/>
      <c r="T33" s="314"/>
      <c r="U33" s="314"/>
      <c r="V33" s="314"/>
      <c r="W33" s="314"/>
      <c r="X33" s="314"/>
      <c r="Y33" s="314"/>
      <c r="Z33" s="314"/>
      <c r="AA33" s="314"/>
      <c r="AB33" s="314"/>
      <c r="AC33" s="314"/>
      <c r="AD33" s="314"/>
    </row>
    <row r="34" spans="1:30" s="311" customFormat="1">
      <c r="A34" s="10"/>
      <c r="B34" s="314" t="s">
        <v>881</v>
      </c>
      <c r="C34" s="331">
        <v>1</v>
      </c>
      <c r="D34" s="14"/>
      <c r="E34" s="314"/>
      <c r="F34" s="314"/>
      <c r="G34" s="314"/>
      <c r="H34" s="314"/>
      <c r="I34" s="314"/>
      <c r="J34" s="314"/>
      <c r="K34" s="314"/>
      <c r="L34" s="314"/>
      <c r="M34" s="314"/>
      <c r="N34" s="314"/>
      <c r="O34" s="314"/>
      <c r="P34" s="314"/>
      <c r="Q34" s="314"/>
      <c r="R34" s="314"/>
      <c r="S34" s="314"/>
      <c r="T34" s="314"/>
      <c r="U34" s="314"/>
      <c r="V34" s="314"/>
      <c r="W34" s="314"/>
      <c r="X34" s="314"/>
      <c r="Y34" s="314"/>
      <c r="Z34" s="314"/>
      <c r="AA34" s="314"/>
      <c r="AB34" s="314"/>
      <c r="AC34" s="314"/>
      <c r="AD34" s="314"/>
    </row>
    <row r="35" spans="1:30" s="311" customFormat="1">
      <c r="A35" s="10"/>
      <c r="B35" s="314"/>
      <c r="C35" s="314"/>
      <c r="D35" s="14"/>
      <c r="E35" s="314"/>
      <c r="F35" s="314"/>
      <c r="G35" s="314"/>
      <c r="H35" s="314"/>
      <c r="I35" s="314"/>
      <c r="J35" s="314"/>
      <c r="K35" s="314"/>
      <c r="L35" s="314"/>
      <c r="M35" s="314"/>
      <c r="N35" s="314"/>
      <c r="O35" s="314"/>
      <c r="P35" s="314"/>
      <c r="Q35" s="314"/>
      <c r="R35" s="314"/>
      <c r="S35" s="314"/>
      <c r="T35" s="314"/>
      <c r="U35" s="314"/>
      <c r="V35" s="314"/>
      <c r="W35" s="314"/>
      <c r="X35" s="314"/>
      <c r="Y35" s="314"/>
      <c r="Z35" s="314"/>
      <c r="AA35" s="314"/>
      <c r="AB35" s="314"/>
      <c r="AC35" s="314"/>
      <c r="AD35" s="314"/>
    </row>
    <row r="36" spans="1:30" s="311" customFormat="1">
      <c r="A36" s="10"/>
      <c r="B36" s="314" t="s">
        <v>882</v>
      </c>
      <c r="C36" s="330">
        <v>10</v>
      </c>
      <c r="D36" s="14"/>
      <c r="E36" s="314"/>
      <c r="F36" s="314"/>
      <c r="G36" s="314"/>
      <c r="H36" s="314"/>
      <c r="I36" s="314"/>
      <c r="J36" s="314"/>
      <c r="K36" s="314"/>
      <c r="L36" s="314"/>
      <c r="M36" s="314"/>
      <c r="N36" s="314"/>
      <c r="O36" s="314"/>
      <c r="P36" s="314"/>
      <c r="Q36" s="314"/>
      <c r="R36" s="314"/>
      <c r="S36" s="314"/>
      <c r="T36" s="314"/>
      <c r="U36" s="314"/>
      <c r="V36" s="314"/>
      <c r="W36" s="314"/>
      <c r="X36" s="314"/>
      <c r="Y36" s="314"/>
      <c r="Z36" s="314"/>
      <c r="AA36" s="314"/>
      <c r="AB36" s="314"/>
      <c r="AC36" s="314"/>
      <c r="AD36" s="314"/>
    </row>
    <row r="37" spans="1:30" s="311" customFormat="1">
      <c r="A37" s="10"/>
      <c r="B37" s="314" t="s">
        <v>883</v>
      </c>
      <c r="C37" s="331">
        <v>1</v>
      </c>
      <c r="D37" s="14"/>
      <c r="E37" s="314"/>
      <c r="F37" s="314"/>
      <c r="G37" s="314"/>
      <c r="H37" s="314"/>
      <c r="I37" s="314"/>
      <c r="J37" s="314"/>
      <c r="K37" s="314"/>
      <c r="L37" s="314"/>
      <c r="M37" s="314"/>
      <c r="N37" s="314"/>
      <c r="O37" s="314"/>
      <c r="P37" s="314"/>
      <c r="Q37" s="314"/>
      <c r="R37" s="314"/>
      <c r="S37" s="314"/>
      <c r="T37" s="314"/>
      <c r="U37" s="314"/>
      <c r="V37" s="314"/>
      <c r="W37" s="314"/>
      <c r="X37" s="314"/>
      <c r="Y37" s="314"/>
      <c r="Z37" s="314"/>
      <c r="AA37" s="314"/>
      <c r="AB37" s="314"/>
      <c r="AC37" s="314"/>
      <c r="AD37" s="314"/>
    </row>
    <row r="38" spans="1:30" s="311" customFormat="1">
      <c r="A38" s="10"/>
      <c r="B38" s="314"/>
      <c r="C38" s="314"/>
      <c r="D38" s="14"/>
      <c r="E38" s="314"/>
      <c r="F38" s="314"/>
      <c r="G38" s="314"/>
      <c r="H38" s="314"/>
      <c r="I38" s="314"/>
      <c r="J38" s="314"/>
      <c r="K38" s="314"/>
      <c r="L38" s="314"/>
      <c r="M38" s="314"/>
      <c r="N38" s="314"/>
      <c r="O38" s="314"/>
      <c r="P38" s="314"/>
      <c r="Q38" s="314"/>
      <c r="R38" s="314"/>
      <c r="S38" s="314"/>
      <c r="T38" s="314"/>
      <c r="U38" s="314"/>
      <c r="V38" s="314"/>
      <c r="W38" s="314"/>
      <c r="X38" s="314"/>
      <c r="Y38" s="314"/>
      <c r="Z38" s="314"/>
      <c r="AA38" s="314"/>
      <c r="AB38" s="314"/>
      <c r="AC38" s="314"/>
      <c r="AD38" s="314"/>
    </row>
    <row r="39" spans="1:30" s="311" customFormat="1">
      <c r="A39" s="10"/>
      <c r="B39" s="314" t="s">
        <v>884</v>
      </c>
      <c r="C39" s="330">
        <v>10</v>
      </c>
      <c r="D39" s="14"/>
      <c r="E39" s="314"/>
      <c r="F39" s="314"/>
      <c r="G39" s="314"/>
      <c r="H39" s="314"/>
      <c r="I39" s="314"/>
      <c r="J39" s="314"/>
      <c r="K39" s="314"/>
      <c r="L39" s="314"/>
      <c r="M39" s="314"/>
      <c r="N39" s="314"/>
      <c r="O39" s="314"/>
      <c r="P39" s="314"/>
      <c r="Q39" s="314"/>
      <c r="R39" s="314"/>
      <c r="S39" s="314"/>
      <c r="T39" s="314"/>
      <c r="U39" s="314"/>
      <c r="V39" s="314"/>
      <c r="W39" s="314"/>
      <c r="X39" s="314"/>
      <c r="Y39" s="314"/>
      <c r="Z39" s="314"/>
      <c r="AA39" s="314"/>
      <c r="AB39" s="314"/>
      <c r="AC39" s="314"/>
      <c r="AD39" s="314"/>
    </row>
    <row r="40" spans="1:30" s="311" customFormat="1">
      <c r="A40" s="10"/>
      <c r="B40" s="314" t="s">
        <v>885</v>
      </c>
      <c r="C40" s="331">
        <v>0</v>
      </c>
      <c r="D40" s="14"/>
      <c r="E40" s="314"/>
      <c r="F40" s="314"/>
      <c r="G40" s="314"/>
      <c r="H40" s="314"/>
      <c r="I40" s="314"/>
      <c r="J40" s="314"/>
      <c r="K40" s="314"/>
      <c r="L40" s="314"/>
      <c r="M40" s="314"/>
      <c r="N40" s="314"/>
      <c r="O40" s="314"/>
      <c r="P40" s="314"/>
      <c r="Q40" s="314"/>
      <c r="R40" s="314"/>
      <c r="S40" s="314"/>
      <c r="T40" s="314"/>
      <c r="U40" s="314"/>
      <c r="V40" s="314"/>
      <c r="W40" s="314"/>
      <c r="X40" s="314"/>
      <c r="Y40" s="314"/>
      <c r="Z40" s="314"/>
      <c r="AA40" s="314"/>
      <c r="AB40" s="314"/>
      <c r="AC40" s="314"/>
      <c r="AD40" s="314"/>
    </row>
    <row r="41" spans="1:30" s="311" customFormat="1">
      <c r="A41" s="10"/>
      <c r="B41" s="314"/>
      <c r="C41" s="314"/>
      <c r="D41" s="314"/>
      <c r="E41" s="314"/>
      <c r="F41" s="314"/>
      <c r="G41" s="314"/>
      <c r="H41" s="314"/>
      <c r="I41" s="314"/>
      <c r="J41" s="314"/>
      <c r="K41" s="314"/>
      <c r="L41" s="314"/>
      <c r="M41" s="314"/>
      <c r="N41" s="314"/>
      <c r="O41" s="314"/>
      <c r="P41" s="314"/>
      <c r="Q41" s="314"/>
      <c r="R41" s="314"/>
      <c r="S41" s="314"/>
      <c r="T41" s="314"/>
      <c r="U41" s="314"/>
      <c r="V41" s="314"/>
      <c r="W41" s="314"/>
      <c r="X41" s="314"/>
      <c r="Y41" s="314"/>
      <c r="Z41" s="314"/>
      <c r="AA41" s="314"/>
      <c r="AB41" s="314"/>
      <c r="AC41" s="314"/>
      <c r="AD41" s="314"/>
    </row>
    <row r="42" spans="1:30" s="311" customFormat="1">
      <c r="A42" s="10"/>
      <c r="B42" s="315"/>
      <c r="C42" s="315"/>
      <c r="D42" s="315"/>
      <c r="E42" s="314"/>
      <c r="F42" s="314"/>
      <c r="G42" s="314"/>
      <c r="H42" s="314"/>
      <c r="I42" s="314"/>
      <c r="J42" s="314"/>
      <c r="K42" s="314"/>
      <c r="L42" s="314"/>
      <c r="M42" s="314"/>
      <c r="N42" s="314"/>
      <c r="O42" s="314"/>
      <c r="P42" s="314"/>
      <c r="Q42" s="314"/>
      <c r="R42" s="314"/>
      <c r="S42" s="314"/>
      <c r="T42" s="314"/>
      <c r="U42" s="314"/>
      <c r="V42" s="314"/>
      <c r="W42" s="314"/>
      <c r="X42" s="314"/>
      <c r="Y42" s="314"/>
      <c r="Z42" s="314"/>
      <c r="AA42" s="314"/>
      <c r="AB42" s="314"/>
      <c r="AC42" s="314"/>
      <c r="AD42" s="314"/>
    </row>
    <row r="43" spans="1:30" s="311" customFormat="1">
      <c r="A43" s="10"/>
      <c r="B43" s="326" t="s">
        <v>886</v>
      </c>
      <c r="C43" s="326" t="s">
        <v>887</v>
      </c>
      <c r="D43" s="314"/>
      <c r="E43" s="314"/>
      <c r="F43" s="314"/>
      <c r="G43" s="314"/>
      <c r="H43" s="314"/>
      <c r="I43" s="314"/>
      <c r="J43" s="314"/>
      <c r="K43" s="314"/>
      <c r="L43" s="314"/>
      <c r="M43" s="314"/>
      <c r="N43" s="314"/>
      <c r="O43" s="314"/>
      <c r="P43" s="314"/>
      <c r="Q43" s="314"/>
      <c r="R43" s="314"/>
      <c r="S43" s="314"/>
      <c r="T43" s="314"/>
      <c r="U43" s="314"/>
      <c r="V43" s="314"/>
      <c r="W43" s="314"/>
      <c r="X43" s="314"/>
      <c r="Y43" s="314"/>
      <c r="Z43" s="314"/>
      <c r="AA43" s="314"/>
      <c r="AB43" s="314"/>
      <c r="AC43" s="314"/>
      <c r="AD43" s="314"/>
    </row>
    <row r="44" spans="1:30" s="311" customFormat="1">
      <c r="A44" s="10"/>
      <c r="B44" s="332" t="e">
        <f ca="1">"  Trailing   5-Year:  "&amp;TEXT(SUM(O318:S318), "#,###;[Red](#,###)")</f>
        <v>#NAME?</v>
      </c>
      <c r="C44" s="333" t="e">
        <f ca="1">SUM(O318:S318)/B7</f>
        <v>#NAME?</v>
      </c>
      <c r="D44" s="314"/>
      <c r="E44" s="314"/>
      <c r="F44" s="314"/>
      <c r="G44" s="314"/>
      <c r="H44" s="314"/>
      <c r="I44" s="314"/>
      <c r="J44" s="314"/>
      <c r="K44" s="314"/>
      <c r="L44" s="314"/>
      <c r="M44" s="314"/>
      <c r="N44" s="314"/>
      <c r="O44" s="314"/>
      <c r="P44" s="314"/>
      <c r="Q44" s="314"/>
      <c r="R44" s="314"/>
      <c r="S44" s="314"/>
      <c r="T44" s="314"/>
      <c r="U44" s="314"/>
      <c r="V44" s="314"/>
      <c r="W44" s="314"/>
      <c r="X44" s="314"/>
      <c r="Y44" s="314"/>
      <c r="Z44" s="314"/>
      <c r="AA44" s="314"/>
      <c r="AB44" s="314"/>
      <c r="AC44" s="314"/>
      <c r="AD44" s="314"/>
    </row>
    <row r="45" spans="1:30" s="311" customFormat="1">
      <c r="A45" s="10"/>
      <c r="B45" s="332" t="e">
        <f ca="1">"  Forward 5-Year:  "&amp;TEXT(SUM(T318:X318), "#,###);[Red](#,###)")</f>
        <v>#NAME?</v>
      </c>
      <c r="C45" s="333" t="e">
        <f ca="1">SUM(T318:X318)/B7</f>
        <v>#NAME?</v>
      </c>
      <c r="D45" s="314"/>
      <c r="E45" s="314"/>
      <c r="F45" s="314"/>
      <c r="G45" s="314"/>
      <c r="H45" s="314"/>
      <c r="I45" s="314"/>
      <c r="J45" s="314"/>
      <c r="K45" s="314"/>
      <c r="L45" s="314"/>
      <c r="M45" s="314"/>
      <c r="N45" s="314"/>
      <c r="O45" s="314"/>
      <c r="P45" s="314"/>
      <c r="Q45" s="314"/>
      <c r="R45" s="314"/>
      <c r="S45" s="314"/>
      <c r="T45" s="314"/>
      <c r="U45" s="314"/>
      <c r="V45" s="314"/>
      <c r="W45" s="314"/>
      <c r="X45" s="314"/>
      <c r="Y45" s="334"/>
      <c r="Z45" s="335"/>
      <c r="AA45" s="314"/>
      <c r="AB45" s="314"/>
      <c r="AC45" s="314"/>
      <c r="AD45" s="314"/>
    </row>
    <row r="46" spans="1:30" s="311" customFormat="1">
      <c r="A46" s="10"/>
      <c r="B46" s="314"/>
      <c r="C46" s="314"/>
      <c r="D46" s="314"/>
      <c r="E46" s="314"/>
      <c r="F46" s="314"/>
      <c r="G46" s="314"/>
      <c r="H46" s="314"/>
      <c r="I46" s="314"/>
      <c r="J46" s="314"/>
      <c r="K46" s="314"/>
      <c r="L46" s="314"/>
      <c r="M46" s="314"/>
      <c r="N46" s="314"/>
      <c r="O46" s="314"/>
      <c r="P46" s="314"/>
      <c r="Q46" s="314"/>
      <c r="R46" s="314"/>
      <c r="S46" s="314"/>
      <c r="T46" s="314"/>
      <c r="U46" s="314"/>
      <c r="V46" s="314"/>
      <c r="W46" s="314"/>
      <c r="X46" s="314"/>
      <c r="Y46" s="314"/>
      <c r="Z46" s="314"/>
      <c r="AA46" s="314"/>
      <c r="AB46" s="314"/>
      <c r="AC46" s="314"/>
      <c r="AD46" s="314"/>
    </row>
    <row r="47" spans="1:30" s="311" customFormat="1">
      <c r="A47" s="10"/>
      <c r="B47" s="314"/>
      <c r="C47" s="314"/>
      <c r="D47" s="314"/>
      <c r="E47" s="314"/>
      <c r="F47" s="314"/>
      <c r="G47" s="314"/>
      <c r="H47" s="314"/>
      <c r="I47" s="314"/>
      <c r="J47" s="314"/>
      <c r="K47" s="314"/>
      <c r="L47" s="314"/>
      <c r="M47" s="314"/>
      <c r="N47" s="314"/>
      <c r="O47" s="314"/>
      <c r="P47" s="314"/>
      <c r="Q47" s="314"/>
      <c r="R47" s="314"/>
      <c r="S47" s="314"/>
      <c r="T47" s="314"/>
      <c r="U47" s="314"/>
      <c r="V47" s="314"/>
      <c r="W47" s="314"/>
      <c r="X47" s="314"/>
      <c r="Y47" s="314"/>
      <c r="Z47" s="314"/>
      <c r="AA47" s="314"/>
      <c r="AB47" s="314"/>
      <c r="AC47" s="314"/>
      <c r="AD47" s="314"/>
    </row>
    <row r="48" spans="1:30" s="311" customFormat="1">
      <c r="A48" s="10"/>
      <c r="B48" s="314"/>
      <c r="C48" s="314"/>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314"/>
      <c r="AD48" s="314"/>
    </row>
    <row r="49" spans="1:30" s="311" customFormat="1">
      <c r="A49" s="10"/>
      <c r="B49" s="314"/>
      <c r="C49" s="314"/>
      <c r="D49" s="314"/>
      <c r="E49" s="314"/>
      <c r="F49" s="314"/>
      <c r="G49" s="314"/>
      <c r="H49" s="314"/>
      <c r="I49" s="314"/>
      <c r="J49" s="314"/>
      <c r="K49" s="314"/>
      <c r="L49" s="314"/>
      <c r="M49" s="314"/>
      <c r="N49" s="314"/>
      <c r="O49" s="314"/>
      <c r="P49" s="314"/>
      <c r="Q49" s="314"/>
      <c r="R49" s="314"/>
      <c r="S49" s="314"/>
      <c r="T49" s="314"/>
      <c r="U49" s="314"/>
      <c r="V49" s="314"/>
      <c r="W49" s="314"/>
      <c r="X49" s="314"/>
      <c r="Y49" s="314"/>
      <c r="Z49" s="314"/>
      <c r="AA49" s="314"/>
      <c r="AB49" s="314"/>
      <c r="AC49" s="314"/>
      <c r="AD49" s="314"/>
    </row>
    <row r="50" spans="1:30" s="311" customFormat="1">
      <c r="A50" s="10"/>
      <c r="B50" s="314"/>
      <c r="C50" s="314"/>
      <c r="D50" s="314"/>
      <c r="E50" s="314"/>
      <c r="F50" s="314"/>
      <c r="G50" s="314"/>
      <c r="H50" s="314"/>
      <c r="I50" s="314"/>
      <c r="J50" s="314"/>
      <c r="K50" s="314"/>
      <c r="L50" s="314"/>
      <c r="M50" s="314"/>
      <c r="N50" s="314"/>
      <c r="O50" s="314"/>
      <c r="P50" s="314"/>
      <c r="Q50" s="314"/>
      <c r="R50" s="314"/>
      <c r="S50" s="314"/>
      <c r="T50" s="314"/>
      <c r="U50" s="314"/>
      <c r="V50" s="314"/>
      <c r="W50" s="314"/>
      <c r="X50" s="314"/>
      <c r="Y50" s="314"/>
      <c r="Z50" s="314"/>
      <c r="AA50" s="314"/>
      <c r="AB50" s="314"/>
      <c r="AC50" s="314"/>
      <c r="AD50" s="314"/>
    </row>
    <row r="51" spans="1:30" s="311" customFormat="1">
      <c r="A51" s="10"/>
      <c r="B51" s="314"/>
      <c r="C51" s="314"/>
      <c r="D51" s="314"/>
      <c r="E51" s="314"/>
      <c r="F51" s="314"/>
      <c r="G51" s="314"/>
      <c r="H51" s="314"/>
      <c r="I51" s="314"/>
      <c r="J51" s="314"/>
      <c r="K51" s="314"/>
      <c r="L51" s="314"/>
      <c r="M51" s="314"/>
      <c r="N51" s="314"/>
      <c r="O51" s="314"/>
      <c r="P51" s="314"/>
      <c r="Q51" s="314"/>
      <c r="R51" s="314"/>
      <c r="S51" s="314"/>
      <c r="T51" s="314"/>
      <c r="U51" s="314"/>
      <c r="V51" s="314"/>
      <c r="W51" s="314"/>
      <c r="X51" s="314"/>
      <c r="Y51" s="314"/>
      <c r="Z51" s="314"/>
      <c r="AA51" s="314"/>
      <c r="AB51" s="314"/>
      <c r="AC51" s="314"/>
      <c r="AD51" s="314"/>
    </row>
    <row r="52" spans="1:30" s="311" customFormat="1">
      <c r="A52" s="10"/>
      <c r="B52" s="314"/>
      <c r="C52" s="314"/>
      <c r="D52" s="314"/>
      <c r="E52" s="314"/>
      <c r="F52" s="314"/>
      <c r="G52" s="314"/>
      <c r="H52" s="314"/>
      <c r="I52" s="314"/>
      <c r="J52" s="314"/>
      <c r="K52" s="314"/>
      <c r="L52" s="314"/>
      <c r="M52" s="314"/>
      <c r="N52" s="314"/>
      <c r="O52" s="314"/>
      <c r="P52" s="314"/>
      <c r="Q52" s="314"/>
      <c r="R52" s="314"/>
      <c r="S52" s="314"/>
      <c r="T52" s="314"/>
      <c r="U52" s="314"/>
      <c r="V52" s="314"/>
      <c r="W52" s="314"/>
      <c r="X52" s="314"/>
      <c r="Y52" s="314"/>
      <c r="Z52" s="314"/>
      <c r="AA52" s="314"/>
      <c r="AB52" s="314"/>
      <c r="AC52" s="314"/>
      <c r="AD52" s="314"/>
    </row>
    <row r="53" spans="1:30" s="311" customFormat="1">
      <c r="A53" s="10"/>
      <c r="B53" s="314"/>
      <c r="C53" s="314"/>
      <c r="D53" s="314"/>
      <c r="E53" s="314"/>
      <c r="F53" s="314"/>
      <c r="G53" s="314"/>
      <c r="H53" s="314"/>
      <c r="I53" s="314"/>
      <c r="J53" s="314"/>
      <c r="K53" s="314"/>
      <c r="L53" s="314"/>
      <c r="M53" s="314"/>
      <c r="N53" s="314"/>
      <c r="O53" s="314"/>
      <c r="P53" s="314"/>
      <c r="Q53" s="314"/>
      <c r="R53" s="314"/>
      <c r="S53" s="314"/>
      <c r="T53" s="314"/>
      <c r="U53" s="314"/>
      <c r="V53" s="314"/>
      <c r="W53" s="314"/>
      <c r="X53" s="314"/>
      <c r="Y53" s="314"/>
      <c r="Z53" s="314"/>
      <c r="AA53" s="314"/>
      <c r="AB53" s="314"/>
      <c r="AC53" s="314"/>
      <c r="AD53" s="314"/>
    </row>
    <row r="54" spans="1:30" s="311" customFormat="1" ht="9" customHeight="1">
      <c r="A54" s="10"/>
      <c r="B54" s="314"/>
      <c r="C54" s="314"/>
      <c r="D54" s="314"/>
      <c r="E54" s="314"/>
      <c r="F54" s="314"/>
      <c r="G54" s="314"/>
      <c r="H54" s="314"/>
      <c r="I54" s="314"/>
      <c r="J54" s="314"/>
      <c r="K54" s="314"/>
      <c r="L54" s="314"/>
      <c r="M54" s="314"/>
      <c r="N54" s="314"/>
      <c r="O54" s="314"/>
      <c r="P54" s="314"/>
      <c r="Q54" s="314"/>
      <c r="R54" s="314"/>
      <c r="S54" s="314"/>
      <c r="T54" s="314"/>
      <c r="U54" s="314"/>
      <c r="V54" s="314"/>
      <c r="W54" s="314"/>
      <c r="X54" s="314"/>
      <c r="Y54" s="314"/>
      <c r="Z54" s="314"/>
      <c r="AA54" s="314"/>
      <c r="AB54" s="314"/>
      <c r="AC54" s="314"/>
      <c r="AD54" s="314"/>
    </row>
    <row r="55" spans="1:30" s="311" customFormat="1">
      <c r="A55" s="10"/>
      <c r="B55" s="314"/>
      <c r="C55" s="314"/>
      <c r="D55" s="314"/>
      <c r="E55" s="314"/>
      <c r="F55" s="314"/>
      <c r="G55" s="314"/>
      <c r="H55" s="314"/>
      <c r="I55" s="314"/>
      <c r="J55" s="314"/>
      <c r="K55" s="314"/>
      <c r="L55" s="314"/>
      <c r="M55" s="314"/>
      <c r="N55" s="314"/>
      <c r="O55" s="314"/>
      <c r="P55" s="314"/>
      <c r="Q55" s="314"/>
      <c r="R55" s="314"/>
      <c r="S55" s="314"/>
      <c r="T55" s="314"/>
      <c r="U55" s="314"/>
      <c r="V55" s="314"/>
      <c r="W55" s="314"/>
      <c r="X55" s="314"/>
      <c r="Y55" s="314"/>
      <c r="Z55" s="314"/>
      <c r="AA55" s="314"/>
      <c r="AB55" s="314"/>
      <c r="AC55" s="314"/>
      <c r="AD55" s="314"/>
    </row>
    <row r="56" spans="1:30" s="311" customFormat="1">
      <c r="A56" s="10"/>
      <c r="B56" s="314"/>
      <c r="C56" s="314"/>
      <c r="D56" s="314"/>
      <c r="E56" s="314"/>
      <c r="F56" s="314"/>
      <c r="G56" s="314"/>
      <c r="H56" s="314"/>
      <c r="I56" s="314"/>
      <c r="J56" s="314"/>
      <c r="K56" s="314"/>
      <c r="L56" s="314"/>
      <c r="M56" s="314"/>
      <c r="N56" s="314"/>
      <c r="O56" s="314"/>
      <c r="P56" s="314"/>
      <c r="Q56" s="314"/>
      <c r="R56" s="314"/>
      <c r="S56" s="314"/>
      <c r="T56" s="314"/>
      <c r="U56" s="314"/>
      <c r="V56" s="314"/>
      <c r="W56" s="314"/>
      <c r="X56" s="314"/>
      <c r="Y56" s="314"/>
      <c r="Z56" s="314"/>
      <c r="AA56" s="314"/>
      <c r="AB56" s="314"/>
      <c r="AC56" s="314"/>
      <c r="AD56" s="314"/>
    </row>
    <row r="57" spans="1:30" s="311" customFormat="1">
      <c r="A57" s="10"/>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row>
    <row r="58" spans="1:30" s="311" customFormat="1">
      <c r="A58" s="10"/>
      <c r="B58" s="314"/>
      <c r="C58" s="314"/>
      <c r="D58" s="314"/>
      <c r="E58" s="314"/>
      <c r="F58" s="314"/>
      <c r="G58" s="314"/>
      <c r="H58" s="314"/>
      <c r="I58" s="314"/>
      <c r="J58" s="314"/>
      <c r="K58" s="314"/>
      <c r="L58" s="314"/>
      <c r="M58" s="314"/>
      <c r="N58" s="314"/>
      <c r="O58" s="314"/>
      <c r="P58" s="314"/>
      <c r="Q58" s="314"/>
      <c r="R58" s="314"/>
      <c r="S58" s="314"/>
      <c r="T58" s="314"/>
      <c r="U58" s="314"/>
      <c r="V58" s="314"/>
      <c r="W58" s="314"/>
      <c r="X58" s="314"/>
      <c r="Y58" s="314"/>
      <c r="Z58" s="314"/>
      <c r="AA58" s="314"/>
      <c r="AB58" s="314"/>
      <c r="AC58" s="314"/>
      <c r="AD58" s="314"/>
    </row>
    <row r="59" spans="1:30" s="311" customFormat="1">
      <c r="A59" s="10"/>
      <c r="B59" s="314"/>
      <c r="C59" s="314"/>
      <c r="D59" s="314"/>
      <c r="E59" s="314"/>
      <c r="F59" s="314"/>
      <c r="G59" s="314"/>
      <c r="H59" s="314"/>
      <c r="I59" s="314"/>
      <c r="J59" s="314"/>
      <c r="K59" s="314"/>
      <c r="L59" s="314"/>
      <c r="M59" s="314"/>
      <c r="N59" s="314"/>
      <c r="O59" s="314"/>
      <c r="P59" s="314"/>
      <c r="Q59" s="314"/>
      <c r="R59" s="314"/>
      <c r="S59" s="314"/>
      <c r="T59" s="314"/>
      <c r="U59" s="314"/>
      <c r="V59" s="314"/>
      <c r="W59" s="314"/>
      <c r="X59" s="314"/>
      <c r="Y59" s="314"/>
      <c r="Z59" s="314"/>
      <c r="AA59" s="314"/>
      <c r="AB59" s="314"/>
      <c r="AC59" s="314"/>
      <c r="AD59" s="314"/>
    </row>
    <row r="60" spans="1:30" s="311" customFormat="1">
      <c r="A60" s="10"/>
      <c r="B60" s="314"/>
      <c r="C60" s="314"/>
      <c r="D60" s="314"/>
      <c r="E60" s="314"/>
      <c r="F60" s="314"/>
      <c r="G60" s="314"/>
      <c r="H60" s="314"/>
      <c r="I60" s="314"/>
      <c r="J60" s="314"/>
      <c r="K60" s="314"/>
      <c r="L60" s="314"/>
      <c r="M60" s="314"/>
      <c r="N60" s="314"/>
      <c r="O60" s="314"/>
      <c r="P60" s="314"/>
      <c r="Q60" s="314"/>
      <c r="R60" s="314"/>
      <c r="S60" s="314"/>
      <c r="T60" s="314"/>
      <c r="U60" s="314"/>
      <c r="V60" s="314"/>
      <c r="W60" s="314"/>
      <c r="X60" s="314"/>
      <c r="Y60" s="314"/>
      <c r="Z60" s="314"/>
      <c r="AA60" s="314"/>
      <c r="AB60" s="314"/>
      <c r="AC60" s="314"/>
      <c r="AD60" s="314"/>
    </row>
    <row r="61" spans="1:30" s="311" customFormat="1">
      <c r="A61" s="10"/>
      <c r="B61" s="314"/>
      <c r="C61" s="314"/>
      <c r="D61" s="314"/>
      <c r="E61" s="314"/>
      <c r="F61" s="314"/>
      <c r="G61" s="314"/>
      <c r="H61" s="314"/>
      <c r="I61" s="314"/>
      <c r="J61" s="314"/>
      <c r="K61" s="314"/>
      <c r="L61" s="314"/>
      <c r="M61" s="314"/>
      <c r="N61" s="314"/>
      <c r="O61" s="314"/>
      <c r="P61" s="314"/>
      <c r="Q61" s="314"/>
      <c r="R61" s="314"/>
      <c r="S61" s="314"/>
      <c r="T61" s="314"/>
      <c r="U61" s="314"/>
      <c r="V61" s="314"/>
      <c r="W61" s="314"/>
      <c r="X61" s="314"/>
      <c r="Y61" s="314"/>
      <c r="Z61" s="314"/>
      <c r="AA61" s="314"/>
      <c r="AB61" s="314"/>
      <c r="AC61" s="314"/>
      <c r="AD61" s="314"/>
    </row>
    <row r="62" spans="1:30" s="311" customFormat="1">
      <c r="A62" s="10"/>
      <c r="B62" s="314"/>
      <c r="C62" s="314"/>
      <c r="D62" s="314"/>
      <c r="E62" s="314"/>
      <c r="F62" s="314"/>
      <c r="G62" s="314"/>
      <c r="H62" s="314"/>
      <c r="I62" s="314"/>
      <c r="J62" s="314"/>
      <c r="K62" s="314"/>
      <c r="L62" s="314"/>
      <c r="M62" s="314"/>
      <c r="N62" s="314"/>
      <c r="O62" s="314"/>
      <c r="P62" s="314"/>
      <c r="Q62" s="314"/>
      <c r="R62" s="314"/>
      <c r="S62" s="314"/>
      <c r="T62" s="314"/>
      <c r="U62" s="314"/>
      <c r="V62" s="314"/>
      <c r="W62" s="314"/>
      <c r="X62" s="314"/>
      <c r="Y62" s="314"/>
      <c r="Z62" s="314"/>
      <c r="AA62" s="314"/>
      <c r="AB62" s="314"/>
      <c r="AC62" s="314"/>
      <c r="AD62" s="314"/>
    </row>
    <row r="63" spans="1:30" s="311" customFormat="1">
      <c r="A63" s="10"/>
      <c r="B63" s="314"/>
      <c r="C63" s="314"/>
      <c r="D63" s="314"/>
      <c r="E63" s="314"/>
      <c r="F63" s="314"/>
      <c r="G63" s="314"/>
      <c r="H63" s="314"/>
      <c r="I63" s="314"/>
      <c r="J63" s="314"/>
      <c r="K63" s="314"/>
      <c r="L63" s="314"/>
      <c r="M63" s="314"/>
      <c r="N63" s="314"/>
      <c r="O63" s="314"/>
      <c r="P63" s="314"/>
      <c r="Q63" s="314"/>
      <c r="R63" s="314"/>
      <c r="S63" s="314"/>
      <c r="T63" s="314"/>
      <c r="U63" s="314"/>
      <c r="V63" s="314"/>
      <c r="W63" s="314"/>
      <c r="X63" s="314"/>
      <c r="Y63" s="314"/>
      <c r="Z63" s="314"/>
      <c r="AA63" s="314"/>
      <c r="AB63" s="314"/>
      <c r="AC63" s="314"/>
      <c r="AD63" s="314"/>
    </row>
    <row r="64" spans="1:30" s="311" customFormat="1">
      <c r="A64" s="10"/>
      <c r="B64" s="314"/>
      <c r="C64" s="314"/>
      <c r="D64" s="314"/>
      <c r="E64" s="314"/>
      <c r="F64" s="314"/>
      <c r="G64" s="314"/>
      <c r="H64" s="314"/>
      <c r="I64" s="314"/>
      <c r="J64" s="314"/>
      <c r="K64" s="314"/>
      <c r="L64" s="314"/>
      <c r="M64" s="314"/>
      <c r="N64" s="314"/>
      <c r="O64" s="314"/>
      <c r="P64" s="314"/>
      <c r="Q64" s="314"/>
      <c r="R64" s="314"/>
      <c r="S64" s="314"/>
      <c r="T64" s="314"/>
      <c r="U64" s="314"/>
      <c r="V64" s="314"/>
      <c r="W64" s="314"/>
      <c r="X64" s="314"/>
      <c r="Y64" s="314"/>
      <c r="Z64" s="314"/>
      <c r="AA64" s="314"/>
      <c r="AB64" s="314"/>
      <c r="AC64" s="314"/>
      <c r="AD64" s="314"/>
    </row>
    <row r="65" spans="1:30" s="311" customFormat="1">
      <c r="A65" s="10"/>
      <c r="B65" s="314"/>
      <c r="C65" s="314"/>
      <c r="D65" s="314"/>
      <c r="E65" s="314"/>
      <c r="F65" s="314"/>
      <c r="G65" s="314"/>
      <c r="H65" s="314"/>
      <c r="I65" s="314"/>
      <c r="J65" s="314"/>
      <c r="K65" s="314"/>
      <c r="L65" s="314"/>
      <c r="M65" s="314"/>
      <c r="N65" s="314"/>
      <c r="O65" s="314"/>
      <c r="P65" s="314"/>
      <c r="Q65" s="314"/>
      <c r="R65" s="314"/>
      <c r="S65" s="314"/>
      <c r="T65" s="314"/>
      <c r="U65" s="314"/>
      <c r="V65" s="314"/>
      <c r="W65" s="314"/>
      <c r="X65" s="314"/>
      <c r="Y65" s="314"/>
      <c r="Z65" s="314"/>
      <c r="AA65" s="314"/>
      <c r="AB65" s="314"/>
      <c r="AC65" s="314"/>
      <c r="AD65" s="314"/>
    </row>
    <row r="66" spans="1:30" s="311" customFormat="1">
      <c r="A66" s="10"/>
      <c r="B66" s="314"/>
      <c r="C66" s="314"/>
      <c r="D66" s="314"/>
      <c r="E66" s="314"/>
      <c r="F66" s="314"/>
      <c r="G66" s="314"/>
      <c r="H66" s="314"/>
      <c r="I66" s="314"/>
      <c r="J66" s="314"/>
      <c r="K66" s="314"/>
      <c r="L66" s="314"/>
      <c r="M66" s="314"/>
      <c r="N66" s="314"/>
      <c r="O66" s="314"/>
      <c r="P66" s="314"/>
      <c r="Q66" s="314"/>
      <c r="R66" s="314"/>
      <c r="S66" s="314"/>
      <c r="T66" s="314"/>
      <c r="U66" s="314"/>
      <c r="V66" s="314"/>
      <c r="W66" s="314"/>
      <c r="X66" s="314"/>
      <c r="Y66" s="314"/>
      <c r="Z66" s="314"/>
      <c r="AA66" s="314"/>
      <c r="AB66" s="314"/>
      <c r="AC66" s="314"/>
      <c r="AD66" s="314"/>
    </row>
    <row r="67" spans="1:30" s="311" customFormat="1">
      <c r="A67" s="10"/>
      <c r="B67" s="314"/>
      <c r="C67" s="314"/>
      <c r="D67" s="314"/>
      <c r="E67" s="314"/>
      <c r="F67" s="314"/>
      <c r="G67" s="314"/>
      <c r="H67" s="314"/>
      <c r="I67" s="314"/>
      <c r="J67" s="314"/>
      <c r="K67" s="314"/>
      <c r="L67" s="314"/>
      <c r="M67" s="314"/>
      <c r="N67" s="314"/>
      <c r="O67" s="314"/>
      <c r="P67" s="314"/>
      <c r="Q67" s="314"/>
      <c r="R67" s="314"/>
      <c r="S67" s="314"/>
      <c r="T67" s="314"/>
      <c r="U67" s="314"/>
      <c r="V67" s="314"/>
      <c r="W67" s="314"/>
      <c r="X67" s="314"/>
      <c r="Y67" s="314"/>
      <c r="Z67" s="314"/>
      <c r="AA67" s="314"/>
      <c r="AB67" s="314"/>
      <c r="AC67" s="314"/>
      <c r="AD67" s="314"/>
    </row>
    <row r="68" spans="1:30" s="311" customFormat="1">
      <c r="A68" s="10"/>
      <c r="B68" s="314"/>
      <c r="C68" s="314"/>
      <c r="D68" s="314"/>
      <c r="E68" s="314"/>
      <c r="F68" s="314"/>
      <c r="G68" s="314"/>
      <c r="H68" s="314"/>
      <c r="I68" s="314"/>
      <c r="J68" s="314"/>
      <c r="K68" s="314"/>
      <c r="L68" s="314"/>
      <c r="M68" s="314"/>
      <c r="N68" s="314"/>
      <c r="O68" s="314"/>
      <c r="P68" s="314"/>
      <c r="Q68" s="314"/>
      <c r="R68" s="314"/>
      <c r="S68" s="314"/>
      <c r="T68" s="314"/>
      <c r="U68" s="314"/>
      <c r="V68" s="314"/>
      <c r="W68" s="314"/>
      <c r="X68" s="314"/>
      <c r="Y68" s="314"/>
      <c r="Z68" s="314"/>
      <c r="AA68" s="314"/>
      <c r="AB68" s="314"/>
      <c r="AC68" s="314"/>
      <c r="AD68" s="314"/>
    </row>
    <row r="69" spans="1:30" s="311" customFormat="1">
      <c r="A69" s="10"/>
      <c r="B69" s="314"/>
      <c r="C69" s="314"/>
      <c r="D69" s="314"/>
      <c r="E69" s="314"/>
      <c r="F69" s="314"/>
      <c r="G69" s="314"/>
      <c r="H69" s="314"/>
      <c r="I69" s="314"/>
      <c r="J69" s="314"/>
      <c r="K69" s="314"/>
      <c r="L69" s="314"/>
      <c r="M69" s="314"/>
      <c r="N69" s="314"/>
      <c r="O69" s="314"/>
      <c r="P69" s="314"/>
      <c r="Q69" s="314"/>
      <c r="R69" s="314"/>
      <c r="S69" s="314"/>
      <c r="T69" s="314"/>
      <c r="U69" s="314"/>
      <c r="V69" s="314"/>
      <c r="W69" s="314"/>
      <c r="X69" s="314"/>
      <c r="Y69" s="314"/>
      <c r="Z69" s="314"/>
      <c r="AA69" s="314"/>
      <c r="AB69" s="314"/>
      <c r="AC69" s="314"/>
      <c r="AD69" s="314"/>
    </row>
    <row r="70" spans="1:30" s="311" customFormat="1">
      <c r="A70" s="10"/>
      <c r="B70" s="314"/>
      <c r="C70" s="314"/>
      <c r="D70" s="314"/>
      <c r="E70" s="314"/>
      <c r="F70" s="314"/>
      <c r="G70" s="314"/>
      <c r="H70" s="314"/>
      <c r="I70" s="314"/>
      <c r="J70" s="314"/>
      <c r="K70" s="314"/>
      <c r="L70" s="314"/>
      <c r="M70" s="314"/>
      <c r="N70" s="314"/>
      <c r="O70" s="314"/>
      <c r="P70" s="314"/>
      <c r="Q70" s="314"/>
      <c r="R70" s="314"/>
      <c r="S70" s="314"/>
      <c r="T70" s="314"/>
      <c r="U70" s="314"/>
      <c r="V70" s="314"/>
      <c r="W70" s="314"/>
      <c r="X70" s="314"/>
      <c r="Y70" s="314"/>
      <c r="Z70" s="314"/>
      <c r="AA70" s="314"/>
      <c r="AB70" s="314"/>
      <c r="AC70" s="314"/>
      <c r="AD70" s="314"/>
    </row>
    <row r="71" spans="1:30" s="311" customFormat="1">
      <c r="A71" s="10"/>
      <c r="B71" s="314"/>
      <c r="C71" s="314"/>
      <c r="D71" s="314"/>
      <c r="E71" s="314"/>
      <c r="F71" s="314"/>
      <c r="G71" s="314"/>
      <c r="H71" s="314"/>
      <c r="I71" s="314"/>
      <c r="J71" s="314"/>
      <c r="K71" s="314"/>
      <c r="L71" s="314"/>
      <c r="M71" s="314"/>
      <c r="N71" s="314"/>
      <c r="O71" s="314"/>
      <c r="P71" s="314"/>
      <c r="Q71" s="314"/>
      <c r="R71" s="314"/>
      <c r="S71" s="314"/>
      <c r="T71" s="314"/>
      <c r="U71" s="314"/>
      <c r="V71" s="314"/>
      <c r="W71" s="314"/>
      <c r="X71" s="314"/>
      <c r="Y71" s="314"/>
      <c r="Z71" s="314"/>
      <c r="AA71" s="314"/>
      <c r="AB71" s="314"/>
      <c r="AC71" s="314"/>
      <c r="AD71" s="314"/>
    </row>
    <row r="72" spans="1:30" s="311" customFormat="1">
      <c r="A72" s="10"/>
      <c r="B72" s="315" t="s">
        <v>888</v>
      </c>
      <c r="C72" s="315"/>
      <c r="D72" s="315"/>
      <c r="E72" s="314"/>
      <c r="F72" s="314"/>
      <c r="G72" s="314"/>
      <c r="H72" s="314"/>
      <c r="I72" s="314"/>
      <c r="J72" s="314"/>
      <c r="K72" s="314"/>
      <c r="L72" s="314"/>
      <c r="M72" s="314"/>
      <c r="N72" s="314"/>
      <c r="O72" s="314"/>
      <c r="P72" s="314"/>
      <c r="Q72" s="314"/>
      <c r="R72" s="314"/>
      <c r="S72" s="314"/>
      <c r="T72" s="314"/>
      <c r="U72" s="314"/>
      <c r="V72" s="314"/>
      <c r="W72" s="314"/>
      <c r="X72" s="314"/>
      <c r="Y72" s="314"/>
      <c r="Z72" s="314"/>
      <c r="AA72" s="314"/>
      <c r="AB72" s="314"/>
      <c r="AC72" s="314"/>
      <c r="AD72" s="314"/>
    </row>
    <row r="73" spans="1:30" s="311" customFormat="1">
      <c r="A73" s="10"/>
      <c r="B73" s="336" t="s">
        <v>889</v>
      </c>
      <c r="C73" s="333" t="e">
        <f>S335/Valuation!$Y$124</f>
        <v>#NAME?</v>
      </c>
      <c r="D73" s="314"/>
      <c r="E73" s="314"/>
      <c r="F73" s="314"/>
      <c r="G73" s="314"/>
      <c r="H73" s="314"/>
      <c r="I73" s="314"/>
      <c r="J73" s="314"/>
      <c r="K73" s="314"/>
      <c r="L73" s="314"/>
      <c r="M73" s="314"/>
      <c r="N73" s="314"/>
      <c r="O73" s="314"/>
      <c r="P73" s="314"/>
      <c r="Q73" s="314"/>
      <c r="R73" s="314"/>
      <c r="S73" s="314"/>
      <c r="T73" s="314"/>
      <c r="U73" s="314"/>
      <c r="V73" s="314"/>
      <c r="W73" s="314"/>
      <c r="X73" s="314"/>
      <c r="Y73" s="314"/>
      <c r="Z73" s="314"/>
      <c r="AA73" s="314"/>
      <c r="AB73" s="314"/>
      <c r="AC73" s="314"/>
      <c r="AD73" s="314"/>
    </row>
    <row r="74" spans="1:30" s="311" customFormat="1">
      <c r="A74" s="10"/>
      <c r="B74" s="336" t="s">
        <v>890</v>
      </c>
      <c r="C74" s="333" t="e">
        <f ca="1">S336/Valuation!$Y$124</f>
        <v>#NAME?</v>
      </c>
      <c r="D74" s="314"/>
      <c r="E74" s="314"/>
      <c r="F74" s="314"/>
      <c r="G74" s="314"/>
      <c r="H74" s="314"/>
      <c r="I74" s="314"/>
      <c r="J74" s="314"/>
      <c r="K74" s="314"/>
      <c r="L74" s="314"/>
      <c r="M74" s="314"/>
      <c r="N74" s="314"/>
      <c r="O74" s="314"/>
      <c r="P74" s="314"/>
      <c r="Q74" s="314"/>
      <c r="R74" s="314"/>
      <c r="S74" s="314"/>
      <c r="T74" s="314"/>
      <c r="U74" s="314"/>
      <c r="V74" s="314"/>
      <c r="W74" s="314"/>
      <c r="X74" s="314"/>
      <c r="Y74" s="314"/>
      <c r="Z74" s="314"/>
      <c r="AA74" s="314"/>
      <c r="AB74" s="314"/>
      <c r="AC74" s="314"/>
      <c r="AD74" s="314"/>
    </row>
    <row r="75" spans="1:30" s="311" customFormat="1">
      <c r="A75" s="10"/>
      <c r="B75" s="336" t="s">
        <v>891</v>
      </c>
      <c r="C75" s="333" t="e">
        <f ca="1">S337/Valuation!$Y$124</f>
        <v>#NAME?</v>
      </c>
      <c r="D75" s="314"/>
      <c r="E75" s="314"/>
      <c r="F75" s="314"/>
      <c r="G75" s="314"/>
      <c r="H75" s="314"/>
      <c r="I75" s="314"/>
      <c r="J75" s="314"/>
      <c r="K75" s="314"/>
      <c r="L75" s="314"/>
      <c r="M75" s="314"/>
      <c r="N75" s="314"/>
      <c r="O75" s="314"/>
      <c r="P75" s="314"/>
      <c r="Q75" s="314"/>
      <c r="R75" s="314"/>
      <c r="S75" s="314"/>
      <c r="T75" s="314"/>
      <c r="U75" s="314"/>
      <c r="V75" s="314"/>
      <c r="W75" s="314"/>
      <c r="X75" s="314"/>
      <c r="Y75" s="314"/>
      <c r="Z75" s="314"/>
      <c r="AA75" s="314"/>
      <c r="AB75" s="314"/>
      <c r="AC75" s="314"/>
      <c r="AD75" s="314"/>
    </row>
    <row r="76" spans="1:30" s="311" customFormat="1">
      <c r="A76" s="10"/>
      <c r="B76" s="314"/>
      <c r="C76" s="314"/>
      <c r="D76" s="314"/>
      <c r="E76" s="314"/>
      <c r="F76" s="314"/>
      <c r="G76" s="314"/>
      <c r="H76" s="314"/>
      <c r="I76" s="314"/>
      <c r="J76" s="314"/>
      <c r="K76" s="314"/>
      <c r="L76" s="314"/>
      <c r="M76" s="314"/>
      <c r="N76" s="314"/>
      <c r="O76" s="314"/>
      <c r="P76" s="314"/>
      <c r="Q76" s="314"/>
      <c r="R76" s="314"/>
      <c r="S76" s="314"/>
      <c r="T76" s="314"/>
      <c r="U76" s="314"/>
      <c r="V76" s="314"/>
      <c r="W76" s="314"/>
      <c r="X76" s="314"/>
      <c r="Y76" s="314"/>
      <c r="Z76" s="314"/>
      <c r="AA76" s="314"/>
      <c r="AB76" s="314"/>
      <c r="AC76" s="314"/>
      <c r="AD76" s="314"/>
    </row>
    <row r="77" spans="1:30" s="311" customFormat="1">
      <c r="A77" s="10"/>
      <c r="B77" s="314"/>
      <c r="C77" s="314"/>
      <c r="D77" s="314"/>
      <c r="E77" s="314"/>
      <c r="F77" s="314"/>
      <c r="G77" s="314"/>
      <c r="H77" s="314"/>
      <c r="I77" s="314"/>
      <c r="J77" s="314"/>
      <c r="K77" s="314"/>
      <c r="L77" s="314"/>
      <c r="M77" s="314"/>
      <c r="N77" s="314"/>
      <c r="O77" s="314"/>
      <c r="P77" s="314"/>
      <c r="Q77" s="314"/>
      <c r="R77" s="314"/>
      <c r="S77" s="314"/>
      <c r="T77" s="314"/>
      <c r="U77" s="314"/>
      <c r="V77" s="314"/>
      <c r="W77" s="314"/>
      <c r="X77" s="314"/>
      <c r="Y77" s="314"/>
      <c r="Z77" s="314"/>
      <c r="AA77" s="314"/>
      <c r="AB77" s="314"/>
      <c r="AC77" s="314"/>
      <c r="AD77" s="314"/>
    </row>
    <row r="78" spans="1:30" s="311" customFormat="1">
      <c r="A78" s="10"/>
      <c r="B78" s="314"/>
      <c r="C78" s="314"/>
      <c r="D78" s="314"/>
      <c r="E78" s="314"/>
      <c r="F78" s="314"/>
      <c r="G78" s="314"/>
      <c r="H78" s="314"/>
      <c r="I78" s="314"/>
      <c r="J78" s="314"/>
      <c r="K78" s="314"/>
      <c r="L78" s="314"/>
      <c r="M78" s="314"/>
      <c r="N78" s="314"/>
      <c r="O78" s="314"/>
      <c r="P78" s="314"/>
      <c r="Q78" s="314"/>
      <c r="R78" s="314"/>
      <c r="S78" s="314"/>
      <c r="T78" s="314"/>
      <c r="U78" s="314"/>
      <c r="V78" s="314"/>
      <c r="W78" s="314"/>
      <c r="X78" s="314"/>
      <c r="Y78" s="314"/>
      <c r="Z78" s="314"/>
      <c r="AA78" s="314"/>
      <c r="AB78" s="314"/>
      <c r="AC78" s="314"/>
      <c r="AD78" s="314"/>
    </row>
    <row r="79" spans="1:30" s="311" customFormat="1">
      <c r="A79" s="10"/>
      <c r="B79" s="314"/>
      <c r="C79" s="314"/>
      <c r="D79" s="314"/>
      <c r="E79" s="314"/>
      <c r="F79" s="314"/>
      <c r="G79" s="314"/>
      <c r="H79" s="314"/>
      <c r="I79" s="314"/>
      <c r="J79" s="314"/>
      <c r="K79" s="314"/>
      <c r="L79" s="314"/>
      <c r="M79" s="314"/>
      <c r="N79" s="314"/>
      <c r="O79" s="314"/>
      <c r="P79" s="314"/>
      <c r="Q79" s="314"/>
      <c r="R79" s="314"/>
      <c r="S79" s="314"/>
      <c r="T79" s="314"/>
      <c r="U79" s="314"/>
      <c r="V79" s="314"/>
      <c r="W79" s="314"/>
      <c r="X79" s="314"/>
      <c r="Y79" s="314"/>
      <c r="Z79" s="314"/>
      <c r="AA79" s="314"/>
      <c r="AB79" s="314"/>
      <c r="AC79" s="314"/>
      <c r="AD79" s="314"/>
    </row>
    <row r="80" spans="1:30" s="311" customFormat="1">
      <c r="A80" s="10"/>
      <c r="B80" s="314"/>
      <c r="C80" s="314"/>
      <c r="D80" s="314"/>
      <c r="E80" s="314"/>
      <c r="F80" s="314"/>
      <c r="G80" s="314"/>
      <c r="H80" s="314"/>
      <c r="I80" s="314"/>
      <c r="J80" s="314"/>
      <c r="K80" s="314"/>
      <c r="L80" s="314"/>
      <c r="M80" s="314"/>
      <c r="N80" s="314"/>
      <c r="O80" s="314"/>
      <c r="P80" s="314"/>
      <c r="Q80" s="314"/>
      <c r="R80" s="314"/>
      <c r="S80" s="314"/>
      <c r="T80" s="314"/>
      <c r="U80" s="314"/>
      <c r="V80" s="314"/>
      <c r="W80" s="314"/>
      <c r="X80" s="314"/>
      <c r="Y80" s="314"/>
      <c r="Z80" s="314"/>
      <c r="AA80" s="314"/>
      <c r="AB80" s="314"/>
      <c r="AC80" s="314"/>
      <c r="AD80" s="314"/>
    </row>
    <row r="81" spans="1:30" s="311" customFormat="1">
      <c r="A81" s="10"/>
      <c r="B81" s="314"/>
      <c r="C81" s="314"/>
      <c r="D81" s="314"/>
      <c r="E81" s="314"/>
      <c r="F81" s="314"/>
      <c r="G81" s="314"/>
      <c r="H81" s="314"/>
      <c r="I81" s="314"/>
      <c r="J81" s="314"/>
      <c r="K81" s="314"/>
      <c r="L81" s="314"/>
      <c r="M81" s="314"/>
      <c r="N81" s="314"/>
      <c r="O81" s="314"/>
      <c r="P81" s="314"/>
      <c r="Q81" s="314"/>
      <c r="R81" s="314"/>
      <c r="S81" s="314"/>
      <c r="T81" s="314"/>
      <c r="U81" s="314"/>
      <c r="V81" s="314"/>
      <c r="W81" s="314"/>
      <c r="X81" s="314"/>
      <c r="Y81" s="314"/>
      <c r="Z81" s="314"/>
      <c r="AA81" s="314"/>
      <c r="AB81" s="314"/>
      <c r="AC81" s="314"/>
      <c r="AD81" s="314"/>
    </row>
    <row r="82" spans="1:30" s="311" customFormat="1" ht="9" customHeight="1">
      <c r="A82" s="10"/>
      <c r="B82" s="314"/>
      <c r="C82" s="314"/>
      <c r="D82" s="314"/>
      <c r="E82" s="314"/>
      <c r="F82" s="314"/>
      <c r="G82" s="314"/>
      <c r="H82" s="314"/>
      <c r="I82" s="314"/>
      <c r="J82" s="314"/>
      <c r="K82" s="314"/>
      <c r="L82" s="314"/>
      <c r="M82" s="314"/>
      <c r="N82" s="314"/>
      <c r="O82" s="314"/>
      <c r="P82" s="314"/>
      <c r="Q82" s="314"/>
      <c r="R82" s="314"/>
      <c r="S82" s="314"/>
      <c r="T82" s="314"/>
      <c r="U82" s="314"/>
      <c r="V82" s="314"/>
      <c r="W82" s="314"/>
      <c r="X82" s="314"/>
      <c r="Y82" s="314"/>
      <c r="Z82" s="314"/>
      <c r="AA82" s="314"/>
      <c r="AB82" s="314"/>
      <c r="AC82" s="314"/>
      <c r="AD82" s="314"/>
    </row>
    <row r="83" spans="1:30" s="311" customFormat="1">
      <c r="A83" s="10"/>
      <c r="B83" s="314"/>
      <c r="C83" s="314"/>
      <c r="D83" s="314"/>
      <c r="E83" s="314"/>
      <c r="F83" s="314"/>
      <c r="G83" s="314"/>
      <c r="H83" s="314"/>
      <c r="I83" s="314"/>
      <c r="J83" s="314"/>
      <c r="K83" s="314"/>
      <c r="L83" s="314"/>
      <c r="M83" s="314"/>
      <c r="N83" s="314"/>
      <c r="O83" s="314"/>
      <c r="P83" s="314"/>
      <c r="Q83" s="314"/>
      <c r="R83" s="314"/>
      <c r="S83" s="314"/>
      <c r="T83" s="314"/>
      <c r="U83" s="314"/>
      <c r="V83" s="314"/>
      <c r="W83" s="314"/>
      <c r="X83" s="314"/>
      <c r="Y83" s="314"/>
      <c r="Z83" s="314"/>
      <c r="AA83" s="314"/>
      <c r="AB83" s="314"/>
      <c r="AC83" s="314"/>
      <c r="AD83" s="314"/>
    </row>
    <row r="84" spans="1:30" s="311" customFormat="1">
      <c r="A84" s="10"/>
      <c r="B84" s="314"/>
      <c r="C84" s="314"/>
      <c r="D84" s="314"/>
      <c r="E84" s="314"/>
      <c r="F84" s="314"/>
      <c r="G84" s="314"/>
      <c r="H84" s="314"/>
      <c r="I84" s="314"/>
      <c r="J84" s="314"/>
      <c r="K84" s="314"/>
      <c r="L84" s="314"/>
      <c r="M84" s="314"/>
      <c r="N84" s="314"/>
      <c r="O84" s="314"/>
      <c r="P84" s="314"/>
      <c r="Q84" s="314"/>
      <c r="R84" s="314"/>
      <c r="S84" s="314"/>
      <c r="T84" s="314"/>
      <c r="U84" s="314"/>
      <c r="V84" s="314"/>
      <c r="W84" s="314"/>
      <c r="X84" s="314"/>
      <c r="Y84" s="314"/>
      <c r="Z84" s="314"/>
      <c r="AA84" s="314"/>
      <c r="AB84" s="314"/>
      <c r="AC84" s="314"/>
      <c r="AD84" s="314"/>
    </row>
    <row r="85" spans="1:30" s="311" customFormat="1">
      <c r="A85" s="10"/>
      <c r="B85" s="314"/>
      <c r="C85" s="314"/>
      <c r="D85" s="314"/>
      <c r="E85" s="314"/>
      <c r="F85" s="314"/>
      <c r="G85" s="314"/>
      <c r="H85" s="314"/>
      <c r="I85" s="314"/>
      <c r="J85" s="314"/>
      <c r="K85" s="314"/>
      <c r="L85" s="314"/>
      <c r="M85" s="314"/>
      <c r="N85" s="314"/>
      <c r="O85" s="314"/>
      <c r="P85" s="314"/>
      <c r="Q85" s="314"/>
      <c r="R85" s="314"/>
      <c r="S85" s="314"/>
      <c r="T85" s="314"/>
      <c r="U85" s="314"/>
      <c r="V85" s="314"/>
      <c r="W85" s="314"/>
      <c r="X85" s="314"/>
      <c r="Y85" s="314"/>
      <c r="Z85" s="314"/>
      <c r="AA85" s="314"/>
      <c r="AB85" s="314"/>
      <c r="AC85" s="314"/>
      <c r="AD85" s="314"/>
    </row>
    <row r="86" spans="1:30" s="311" customFormat="1">
      <c r="A86" s="10"/>
      <c r="B86" s="314"/>
      <c r="C86" s="314"/>
      <c r="D86" s="314"/>
      <c r="E86" s="314"/>
      <c r="F86" s="314"/>
      <c r="G86" s="314"/>
      <c r="H86" s="314"/>
      <c r="I86" s="314"/>
      <c r="J86" s="314"/>
      <c r="K86" s="314"/>
      <c r="L86" s="314"/>
      <c r="M86" s="314"/>
      <c r="N86" s="314"/>
      <c r="O86" s="314"/>
      <c r="P86" s="314"/>
      <c r="Q86" s="314"/>
      <c r="R86" s="314"/>
      <c r="S86" s="314"/>
      <c r="T86" s="314"/>
      <c r="U86" s="314"/>
      <c r="V86" s="314"/>
      <c r="W86" s="314"/>
      <c r="X86" s="314"/>
      <c r="Y86" s="314"/>
      <c r="Z86" s="314"/>
      <c r="AA86" s="314"/>
      <c r="AB86" s="314"/>
      <c r="AC86" s="314"/>
      <c r="AD86" s="314"/>
    </row>
    <row r="87" spans="1:30" s="311" customFormat="1">
      <c r="A87" s="10"/>
      <c r="B87" s="314"/>
      <c r="C87" s="314"/>
      <c r="D87" s="314"/>
      <c r="E87" s="314"/>
      <c r="F87" s="314"/>
      <c r="G87" s="314"/>
      <c r="H87" s="314"/>
      <c r="I87" s="314"/>
      <c r="J87" s="314"/>
      <c r="K87" s="314"/>
      <c r="L87" s="314"/>
      <c r="M87" s="314"/>
      <c r="N87" s="314"/>
      <c r="O87" s="314"/>
      <c r="P87" s="314"/>
      <c r="Q87" s="314"/>
      <c r="R87" s="314"/>
      <c r="S87" s="314"/>
      <c r="T87" s="314"/>
      <c r="U87" s="314"/>
      <c r="V87" s="314"/>
      <c r="W87" s="314"/>
      <c r="X87" s="314"/>
      <c r="Y87" s="314"/>
      <c r="Z87" s="314"/>
      <c r="AA87" s="314"/>
      <c r="AB87" s="314"/>
      <c r="AC87" s="314"/>
      <c r="AD87" s="314"/>
    </row>
    <row r="88" spans="1:30" s="311" customFormat="1">
      <c r="A88" s="10"/>
      <c r="B88" s="314"/>
      <c r="C88" s="314"/>
      <c r="D88" s="314"/>
      <c r="E88" s="314"/>
      <c r="F88" s="314"/>
      <c r="G88" s="314"/>
      <c r="H88" s="314"/>
      <c r="I88" s="314"/>
      <c r="J88" s="314"/>
      <c r="K88" s="314"/>
      <c r="L88" s="314"/>
      <c r="M88" s="314"/>
      <c r="N88" s="314"/>
      <c r="O88" s="314"/>
      <c r="P88" s="314"/>
      <c r="Q88" s="314"/>
      <c r="R88" s="314"/>
      <c r="S88" s="314"/>
      <c r="T88" s="314"/>
      <c r="U88" s="314"/>
      <c r="V88" s="314"/>
      <c r="W88" s="314"/>
      <c r="X88" s="314"/>
      <c r="Y88" s="314"/>
      <c r="Z88" s="314"/>
      <c r="AA88" s="314"/>
      <c r="AB88" s="314"/>
      <c r="AC88" s="314"/>
      <c r="AD88" s="314"/>
    </row>
    <row r="89" spans="1:30" s="311" customFormat="1">
      <c r="A89" s="10"/>
      <c r="B89" s="314"/>
      <c r="C89" s="314"/>
      <c r="D89" s="314"/>
      <c r="E89" s="314"/>
      <c r="F89" s="314"/>
      <c r="G89" s="314"/>
      <c r="H89" s="314"/>
      <c r="I89" s="314"/>
      <c r="J89" s="314"/>
      <c r="K89" s="314"/>
      <c r="L89" s="314"/>
      <c r="M89" s="314"/>
      <c r="N89" s="314"/>
      <c r="O89" s="314"/>
      <c r="P89" s="314"/>
      <c r="Q89" s="314"/>
      <c r="R89" s="314"/>
      <c r="S89" s="314"/>
      <c r="T89" s="314"/>
      <c r="U89" s="314"/>
      <c r="V89" s="314"/>
      <c r="W89" s="314"/>
      <c r="X89" s="314"/>
      <c r="Y89" s="314"/>
      <c r="Z89" s="314"/>
      <c r="AA89" s="314"/>
      <c r="AB89" s="314"/>
      <c r="AC89" s="314"/>
      <c r="AD89" s="314"/>
    </row>
    <row r="90" spans="1:30" s="311" customFormat="1">
      <c r="A90" s="10"/>
      <c r="B90" s="314"/>
      <c r="C90" s="314"/>
      <c r="D90" s="314"/>
      <c r="E90" s="314"/>
      <c r="F90" s="314"/>
      <c r="G90" s="314"/>
      <c r="H90" s="314"/>
      <c r="I90" s="314"/>
      <c r="J90" s="314"/>
      <c r="K90" s="314"/>
      <c r="L90" s="314"/>
      <c r="M90" s="314"/>
      <c r="N90" s="314"/>
      <c r="O90" s="314"/>
      <c r="P90" s="314"/>
      <c r="Q90" s="314"/>
      <c r="R90" s="314"/>
      <c r="S90" s="314"/>
      <c r="T90" s="314"/>
      <c r="U90" s="314"/>
      <c r="V90" s="314"/>
      <c r="W90" s="314"/>
      <c r="X90" s="314"/>
      <c r="Y90" s="314"/>
      <c r="Z90" s="314"/>
      <c r="AA90" s="314"/>
      <c r="AB90" s="314"/>
      <c r="AC90" s="314"/>
      <c r="AD90" s="314"/>
    </row>
    <row r="91" spans="1:30" s="311" customFormat="1">
      <c r="A91" s="10"/>
      <c r="B91" s="314"/>
      <c r="C91" s="314"/>
      <c r="D91" s="314"/>
      <c r="E91" s="314"/>
      <c r="F91" s="314"/>
      <c r="G91" s="314"/>
      <c r="H91" s="314"/>
      <c r="I91" s="314"/>
      <c r="J91" s="314"/>
      <c r="K91" s="314"/>
      <c r="L91" s="314"/>
      <c r="M91" s="314"/>
      <c r="N91" s="314"/>
      <c r="O91" s="314"/>
      <c r="P91" s="314"/>
      <c r="Q91" s="314"/>
      <c r="R91" s="314"/>
      <c r="S91" s="314"/>
      <c r="T91" s="314"/>
      <c r="U91" s="314"/>
      <c r="V91" s="314"/>
      <c r="W91" s="314"/>
      <c r="X91" s="314"/>
      <c r="Y91" s="314"/>
      <c r="Z91" s="314"/>
      <c r="AA91" s="314"/>
      <c r="AB91" s="314"/>
      <c r="AC91" s="314"/>
      <c r="AD91" s="314"/>
    </row>
    <row r="92" spans="1:30" s="311" customFormat="1">
      <c r="A92" s="10"/>
      <c r="B92" s="314"/>
      <c r="C92" s="314"/>
      <c r="D92" s="314"/>
      <c r="E92" s="314"/>
      <c r="F92" s="314"/>
      <c r="G92" s="314"/>
      <c r="H92" s="314"/>
      <c r="I92" s="314"/>
      <c r="J92" s="314"/>
      <c r="K92" s="314"/>
      <c r="L92" s="314"/>
      <c r="M92" s="314"/>
      <c r="N92" s="314"/>
      <c r="O92" s="314"/>
      <c r="P92" s="314"/>
      <c r="Q92" s="314"/>
      <c r="R92" s="314"/>
      <c r="S92" s="314"/>
      <c r="T92" s="314"/>
      <c r="U92" s="314"/>
      <c r="V92" s="314"/>
      <c r="W92" s="314"/>
      <c r="X92" s="314"/>
      <c r="Y92" s="314"/>
      <c r="Z92" s="314"/>
      <c r="AA92" s="314"/>
      <c r="AB92" s="314"/>
      <c r="AC92" s="314"/>
      <c r="AD92" s="314"/>
    </row>
    <row r="93" spans="1:30" s="311" customFormat="1">
      <c r="A93" s="10"/>
      <c r="B93" s="314"/>
      <c r="C93" s="314"/>
      <c r="D93" s="314"/>
      <c r="E93" s="314"/>
      <c r="F93" s="314"/>
      <c r="G93" s="314"/>
      <c r="H93" s="314"/>
      <c r="I93" s="314"/>
      <c r="J93" s="314"/>
      <c r="K93" s="314"/>
      <c r="L93" s="314"/>
      <c r="M93" s="314"/>
      <c r="N93" s="314"/>
      <c r="O93" s="314"/>
      <c r="P93" s="314"/>
      <c r="Q93" s="314"/>
      <c r="R93" s="314"/>
      <c r="S93" s="314"/>
      <c r="T93" s="314"/>
      <c r="U93" s="314"/>
      <c r="V93" s="314"/>
      <c r="W93" s="314"/>
      <c r="X93" s="314"/>
      <c r="Y93" s="314"/>
      <c r="Z93" s="314"/>
      <c r="AA93" s="314"/>
      <c r="AB93" s="314"/>
      <c r="AC93" s="314"/>
      <c r="AD93" s="314"/>
    </row>
    <row r="94" spans="1:30" s="311" customFormat="1">
      <c r="A94" s="10"/>
      <c r="B94" s="314"/>
      <c r="C94" s="314"/>
      <c r="D94" s="314"/>
      <c r="E94" s="314"/>
      <c r="F94" s="314"/>
      <c r="G94" s="314"/>
      <c r="H94" s="314"/>
      <c r="I94" s="314"/>
      <c r="J94" s="314"/>
      <c r="K94" s="314"/>
      <c r="L94" s="314"/>
      <c r="M94" s="314"/>
      <c r="N94" s="314"/>
      <c r="O94" s="314"/>
      <c r="P94" s="314"/>
      <c r="Q94" s="314"/>
      <c r="R94" s="314"/>
      <c r="S94" s="314"/>
      <c r="T94" s="314"/>
      <c r="U94" s="314"/>
      <c r="V94" s="314"/>
      <c r="W94" s="314"/>
      <c r="X94" s="314"/>
      <c r="Y94" s="314"/>
      <c r="Z94" s="314"/>
      <c r="AA94" s="314"/>
      <c r="AB94" s="314"/>
      <c r="AC94" s="314"/>
      <c r="AD94" s="314"/>
    </row>
    <row r="95" spans="1:30" s="311" customFormat="1">
      <c r="A95" s="10"/>
      <c r="B95" s="314"/>
      <c r="C95" s="314"/>
      <c r="D95" s="314"/>
      <c r="E95" s="314"/>
      <c r="F95" s="314"/>
      <c r="G95" s="314"/>
      <c r="H95" s="314"/>
      <c r="I95" s="314"/>
      <c r="J95" s="314"/>
      <c r="K95" s="314"/>
      <c r="L95" s="314"/>
      <c r="M95" s="314"/>
      <c r="N95" s="314"/>
      <c r="O95" s="314"/>
      <c r="P95" s="314"/>
      <c r="Q95" s="314"/>
      <c r="R95" s="314"/>
      <c r="S95" s="314"/>
      <c r="T95" s="314"/>
      <c r="U95" s="314"/>
      <c r="V95" s="314"/>
      <c r="W95" s="314"/>
      <c r="X95" s="314"/>
      <c r="Y95" s="314"/>
      <c r="Z95" s="314"/>
      <c r="AA95" s="314"/>
      <c r="AB95" s="314"/>
      <c r="AC95" s="314"/>
      <c r="AD95" s="314"/>
    </row>
    <row r="96" spans="1:30" s="311" customFormat="1">
      <c r="A96" s="10"/>
      <c r="B96" s="314"/>
      <c r="C96" s="314"/>
      <c r="D96" s="314"/>
      <c r="E96" s="314"/>
      <c r="F96" s="314"/>
      <c r="G96" s="314"/>
      <c r="H96" s="314"/>
      <c r="I96" s="314"/>
      <c r="J96" s="314"/>
      <c r="K96" s="314"/>
      <c r="L96" s="314"/>
      <c r="M96" s="314"/>
      <c r="N96" s="314"/>
      <c r="O96" s="314"/>
      <c r="P96" s="314"/>
      <c r="Q96" s="314"/>
      <c r="R96" s="314"/>
      <c r="S96" s="314"/>
      <c r="T96" s="314"/>
      <c r="U96" s="314"/>
      <c r="V96" s="314"/>
      <c r="W96" s="314"/>
      <c r="X96" s="314"/>
      <c r="Y96" s="314"/>
      <c r="Z96" s="314"/>
      <c r="AA96" s="314"/>
      <c r="AB96" s="314"/>
      <c r="AC96" s="314"/>
      <c r="AD96" s="314"/>
    </row>
    <row r="97" spans="1:30" s="311" customFormat="1">
      <c r="A97" s="10"/>
      <c r="B97" s="314"/>
      <c r="C97" s="314"/>
      <c r="D97" s="314"/>
      <c r="E97" s="314"/>
      <c r="F97" s="314"/>
      <c r="G97" s="314"/>
      <c r="H97" s="314"/>
      <c r="I97" s="314"/>
      <c r="J97" s="314"/>
      <c r="K97" s="314"/>
      <c r="L97" s="314"/>
      <c r="M97" s="314"/>
      <c r="N97" s="314"/>
      <c r="O97" s="314"/>
      <c r="P97" s="314"/>
      <c r="Q97" s="314"/>
      <c r="R97" s="314"/>
      <c r="S97" s="314"/>
      <c r="T97" s="314"/>
      <c r="U97" s="314"/>
      <c r="V97" s="314"/>
      <c r="W97" s="314"/>
      <c r="X97" s="314"/>
      <c r="Y97" s="314"/>
      <c r="Z97" s="314"/>
      <c r="AA97" s="314"/>
      <c r="AB97" s="314"/>
      <c r="AC97" s="314"/>
      <c r="AD97" s="314"/>
    </row>
    <row r="98" spans="1:30" s="311" customFormat="1">
      <c r="A98" s="10"/>
      <c r="B98" s="314"/>
      <c r="C98" s="314"/>
      <c r="D98" s="314"/>
      <c r="E98" s="314"/>
      <c r="F98" s="314"/>
      <c r="G98" s="314"/>
      <c r="H98" s="314"/>
      <c r="I98" s="314"/>
      <c r="J98" s="314"/>
      <c r="K98" s="314"/>
      <c r="L98" s="314"/>
      <c r="M98" s="314"/>
      <c r="N98" s="314"/>
      <c r="O98" s="314"/>
      <c r="P98" s="314"/>
      <c r="Q98" s="314"/>
      <c r="R98" s="314"/>
      <c r="S98" s="314"/>
      <c r="T98" s="314"/>
      <c r="U98" s="314"/>
      <c r="V98" s="314"/>
      <c r="W98" s="314"/>
      <c r="X98" s="314"/>
      <c r="Y98" s="314"/>
      <c r="Z98" s="314"/>
      <c r="AA98" s="314"/>
      <c r="AB98" s="314"/>
      <c r="AC98" s="314"/>
      <c r="AD98" s="314"/>
    </row>
    <row r="99" spans="1:30" s="311" customFormat="1">
      <c r="A99" s="10"/>
      <c r="B99" s="314"/>
      <c r="C99" s="314"/>
      <c r="D99" s="314"/>
      <c r="E99" s="314"/>
      <c r="F99" s="314"/>
      <c r="G99" s="314"/>
      <c r="H99" s="314"/>
      <c r="I99" s="314"/>
      <c r="J99" s="314"/>
      <c r="K99" s="314"/>
      <c r="L99" s="314"/>
      <c r="M99" s="314"/>
      <c r="N99" s="314"/>
      <c r="O99" s="314"/>
      <c r="P99" s="314"/>
      <c r="Q99" s="314"/>
      <c r="R99" s="314"/>
      <c r="S99" s="314"/>
      <c r="T99" s="314"/>
      <c r="U99" s="314"/>
      <c r="V99" s="314"/>
      <c r="W99" s="314"/>
      <c r="X99" s="314"/>
      <c r="Y99" s="314"/>
      <c r="Z99" s="314"/>
      <c r="AA99" s="314"/>
      <c r="AB99" s="314"/>
      <c r="AC99" s="314"/>
      <c r="AD99" s="314"/>
    </row>
    <row r="100" spans="1:30" s="311" customFormat="1">
      <c r="A100" s="10"/>
      <c r="B100" s="314"/>
      <c r="C100" s="314"/>
      <c r="D100" s="314"/>
      <c r="E100" s="314"/>
      <c r="F100" s="314"/>
      <c r="G100" s="314"/>
      <c r="H100" s="314"/>
      <c r="I100" s="314"/>
      <c r="J100" s="314"/>
      <c r="K100" s="314"/>
      <c r="L100" s="314"/>
      <c r="M100" s="314"/>
      <c r="N100" s="314"/>
      <c r="O100" s="314"/>
      <c r="P100" s="314"/>
      <c r="Q100" s="314"/>
      <c r="R100" s="314"/>
      <c r="S100" s="314"/>
      <c r="T100" s="314"/>
      <c r="U100" s="314"/>
      <c r="V100" s="314"/>
      <c r="W100" s="314"/>
      <c r="X100" s="314"/>
      <c r="Y100" s="314"/>
      <c r="Z100" s="314"/>
      <c r="AA100" s="314"/>
      <c r="AB100" s="314"/>
      <c r="AC100" s="314"/>
      <c r="AD100" s="314"/>
    </row>
    <row r="101" spans="1:30" s="311" customFormat="1">
      <c r="A101" s="10"/>
      <c r="B101" s="314"/>
      <c r="C101" s="314"/>
      <c r="D101" s="314"/>
      <c r="E101" s="314"/>
      <c r="F101" s="314"/>
      <c r="G101" s="314"/>
      <c r="H101" s="314"/>
      <c r="I101" s="314"/>
      <c r="J101" s="314"/>
      <c r="K101" s="314"/>
      <c r="L101" s="314"/>
      <c r="M101" s="314"/>
      <c r="N101" s="314"/>
      <c r="O101" s="314"/>
      <c r="P101" s="314"/>
      <c r="Q101" s="314"/>
      <c r="R101" s="314"/>
      <c r="S101" s="314"/>
      <c r="T101" s="314"/>
      <c r="U101" s="314"/>
      <c r="V101" s="314"/>
      <c r="W101" s="314"/>
      <c r="X101" s="314"/>
      <c r="Y101" s="314"/>
      <c r="Z101" s="314"/>
      <c r="AA101" s="314"/>
      <c r="AB101" s="314"/>
      <c r="AC101" s="314"/>
      <c r="AD101" s="314"/>
    </row>
    <row r="102" spans="1:30" s="311" customFormat="1">
      <c r="A102" s="10"/>
      <c r="B102" s="314"/>
      <c r="C102" s="314"/>
      <c r="D102" s="314"/>
      <c r="E102" s="314"/>
      <c r="F102" s="314"/>
      <c r="G102" s="314"/>
      <c r="H102" s="314"/>
      <c r="I102" s="314"/>
      <c r="J102" s="314"/>
      <c r="K102" s="314"/>
      <c r="L102" s="314"/>
      <c r="M102" s="314"/>
      <c r="N102" s="314"/>
      <c r="O102" s="314"/>
      <c r="P102" s="314"/>
      <c r="Q102" s="314"/>
      <c r="R102" s="314"/>
      <c r="S102" s="314"/>
      <c r="T102" s="314"/>
      <c r="U102" s="314"/>
      <c r="V102" s="314"/>
      <c r="W102" s="314"/>
      <c r="X102" s="314"/>
      <c r="Y102" s="314"/>
      <c r="Z102" s="314"/>
      <c r="AA102" s="314"/>
      <c r="AB102" s="314"/>
      <c r="AC102" s="314"/>
      <c r="AD102" s="314"/>
    </row>
    <row r="103" spans="1:30" s="311" customFormat="1">
      <c r="A103" s="10"/>
      <c r="B103" s="314"/>
      <c r="C103" s="314"/>
      <c r="D103" s="314"/>
      <c r="E103" s="314"/>
      <c r="F103" s="314"/>
      <c r="G103" s="314"/>
      <c r="H103" s="314"/>
      <c r="I103" s="314"/>
      <c r="J103" s="314"/>
      <c r="K103" s="314"/>
      <c r="L103" s="314"/>
      <c r="M103" s="314"/>
      <c r="N103" s="314"/>
      <c r="O103" s="314"/>
      <c r="P103" s="314"/>
      <c r="Q103" s="314"/>
      <c r="R103" s="314"/>
      <c r="S103" s="314"/>
      <c r="T103" s="314"/>
      <c r="U103" s="314"/>
      <c r="V103" s="314"/>
      <c r="W103" s="314"/>
      <c r="X103" s="314"/>
      <c r="Y103" s="314"/>
      <c r="Z103" s="314"/>
      <c r="AA103" s="314"/>
      <c r="AB103" s="314"/>
      <c r="AC103" s="314"/>
      <c r="AD103" s="314"/>
    </row>
    <row r="104" spans="1:30" s="311" customFormat="1">
      <c r="A104" s="10"/>
      <c r="B104" s="314"/>
      <c r="C104" s="314"/>
      <c r="D104" s="314"/>
      <c r="E104" s="314"/>
      <c r="F104" s="314"/>
      <c r="G104" s="314"/>
      <c r="H104" s="314"/>
      <c r="I104" s="314"/>
      <c r="J104" s="314"/>
      <c r="K104" s="314"/>
      <c r="L104" s="314"/>
      <c r="M104" s="314"/>
      <c r="N104" s="314"/>
      <c r="O104" s="314"/>
      <c r="P104" s="314"/>
      <c r="Q104" s="314"/>
      <c r="R104" s="314"/>
      <c r="S104" s="314"/>
      <c r="T104" s="314"/>
      <c r="U104" s="314"/>
      <c r="V104" s="314"/>
      <c r="W104" s="314"/>
      <c r="X104" s="314"/>
      <c r="Y104" s="314"/>
      <c r="Z104" s="314"/>
      <c r="AA104" s="314"/>
      <c r="AB104" s="314"/>
      <c r="AC104" s="314"/>
      <c r="AD104" s="314"/>
    </row>
    <row r="105" spans="1:30" s="311" customFormat="1">
      <c r="A105" s="10"/>
      <c r="B105" s="314"/>
      <c r="C105" s="314"/>
      <c r="D105" s="314"/>
      <c r="E105" s="314"/>
      <c r="F105" s="314"/>
      <c r="G105" s="314"/>
      <c r="H105" s="314"/>
      <c r="I105" s="314"/>
      <c r="J105" s="314"/>
      <c r="K105" s="314"/>
      <c r="L105" s="314"/>
      <c r="M105" s="314"/>
      <c r="N105" s="314"/>
      <c r="O105" s="314"/>
      <c r="P105" s="314"/>
      <c r="Q105" s="314"/>
      <c r="R105" s="314"/>
      <c r="S105" s="314"/>
      <c r="T105" s="314"/>
      <c r="U105" s="314"/>
      <c r="V105" s="314"/>
      <c r="W105" s="314"/>
      <c r="X105" s="314"/>
      <c r="Y105" s="314"/>
      <c r="Z105" s="314"/>
      <c r="AA105" s="314"/>
      <c r="AB105" s="314"/>
      <c r="AC105" s="314"/>
      <c r="AD105" s="314"/>
    </row>
    <row r="106" spans="1:30" s="311" customFormat="1">
      <c r="A106" s="10"/>
      <c r="B106" s="314"/>
      <c r="C106" s="314"/>
      <c r="D106" s="314"/>
      <c r="E106" s="314"/>
      <c r="F106" s="314"/>
      <c r="G106" s="314"/>
      <c r="H106" s="314"/>
      <c r="I106" s="314"/>
      <c r="J106" s="314"/>
      <c r="K106" s="314"/>
      <c r="L106" s="314"/>
      <c r="M106" s="314"/>
      <c r="N106" s="314"/>
      <c r="O106" s="314"/>
      <c r="P106" s="314"/>
      <c r="Q106" s="314"/>
      <c r="R106" s="314"/>
      <c r="S106" s="314"/>
      <c r="T106" s="314"/>
      <c r="U106" s="314"/>
      <c r="V106" s="314"/>
      <c r="W106" s="314"/>
      <c r="X106" s="314"/>
      <c r="Y106" s="314"/>
      <c r="Z106" s="314"/>
      <c r="AA106" s="314"/>
      <c r="AB106" s="314"/>
      <c r="AC106" s="314"/>
      <c r="AD106" s="314"/>
    </row>
    <row r="107" spans="1:30" ht="45" customHeight="1">
      <c r="B107" s="32" t="s">
        <v>892</v>
      </c>
      <c r="C107" s="9"/>
      <c r="D107" s="9"/>
      <c r="E107" s="9"/>
      <c r="F107" s="9"/>
      <c r="G107" s="9"/>
      <c r="H107" s="9"/>
      <c r="I107" s="9"/>
      <c r="J107" s="9"/>
      <c r="K107" s="9"/>
      <c r="L107" s="9"/>
      <c r="M107" s="9"/>
      <c r="N107" s="9"/>
      <c r="O107" s="9"/>
      <c r="P107" s="9"/>
      <c r="Q107" s="9"/>
      <c r="R107" s="9"/>
      <c r="S107" s="9"/>
      <c r="T107" s="337" t="s">
        <v>793</v>
      </c>
      <c r="U107" s="338"/>
      <c r="V107" s="338"/>
      <c r="W107" s="338"/>
      <c r="X107" s="338"/>
      <c r="Y107" s="338"/>
      <c r="Z107" s="338"/>
      <c r="AA107" s="338"/>
      <c r="AB107" s="338"/>
      <c r="AC107" s="338"/>
      <c r="AD107" s="9"/>
    </row>
    <row r="108" spans="1:30">
      <c r="B108" s="9"/>
      <c r="C108" s="9"/>
      <c r="D108" s="9"/>
      <c r="E108" s="339">
        <f>Valuation!D9</f>
        <v>2011</v>
      </c>
      <c r="F108" s="339">
        <f>Valuation!E9</f>
        <v>2012</v>
      </c>
      <c r="G108" s="339">
        <f>Valuation!F9</f>
        <v>2013</v>
      </c>
      <c r="H108" s="339">
        <f>Valuation!G9</f>
        <v>2014</v>
      </c>
      <c r="I108" s="339">
        <f>Valuation!H9</f>
        <v>2015</v>
      </c>
      <c r="J108" s="339">
        <f>Valuation!I9</f>
        <v>2016</v>
      </c>
      <c r="K108" s="339">
        <f>Valuation!J9</f>
        <v>2017</v>
      </c>
      <c r="L108" s="339">
        <f>Valuation!K9</f>
        <v>2018</v>
      </c>
      <c r="M108" s="339">
        <f>Valuation!L9</f>
        <v>2019</v>
      </c>
      <c r="N108" s="339">
        <f>Valuation!M9</f>
        <v>2020</v>
      </c>
      <c r="O108" s="339">
        <f>Valuation!N9</f>
        <v>2021</v>
      </c>
      <c r="P108" s="339">
        <f>Valuation!O9</f>
        <v>2022</v>
      </c>
      <c r="Q108" s="339">
        <f>Valuation!P9</f>
        <v>2023</v>
      </c>
      <c r="R108" s="339">
        <f>Valuation!Q9</f>
        <v>2024</v>
      </c>
      <c r="S108" s="339">
        <f>Valuation!R9</f>
        <v>2025</v>
      </c>
      <c r="T108" s="340">
        <f>Valuation!S9</f>
        <v>2026</v>
      </c>
      <c r="U108" s="340">
        <f>Valuation!T9</f>
        <v>2027</v>
      </c>
      <c r="V108" s="340">
        <f>Valuation!U9</f>
        <v>2028</v>
      </c>
      <c r="W108" s="340">
        <f>Valuation!V9</f>
        <v>2029</v>
      </c>
      <c r="X108" s="340">
        <f>Valuation!W9</f>
        <v>2030</v>
      </c>
      <c r="Y108" s="340">
        <f>IF(Valuation!$V$108=5,"",Valuation!X9)</f>
        <v>2031</v>
      </c>
      <c r="Z108" s="340">
        <f>IF(Valuation!$V$108=5,"",Valuation!Y9)</f>
        <v>2032</v>
      </c>
      <c r="AA108" s="340">
        <f>IF(Valuation!$V$108=5,"",Valuation!Z9)</f>
        <v>2033</v>
      </c>
      <c r="AB108" s="340">
        <f>IF(Valuation!$V$108=5,"",Valuation!AA9)</f>
        <v>2034</v>
      </c>
      <c r="AC108" s="340">
        <f>IF(Valuation!$V$108=5,"",Valuation!AB9)</f>
        <v>2035</v>
      </c>
      <c r="AD108" s="154"/>
    </row>
    <row r="109" spans="1:30" s="311" customFormat="1">
      <c r="A109" s="10"/>
      <c r="B109" s="10" t="s">
        <v>44</v>
      </c>
      <c r="E109" s="341"/>
      <c r="F109" s="341"/>
      <c r="G109" s="341"/>
      <c r="H109" s="341"/>
      <c r="I109" s="251">
        <f>INDEX(Balance!$C$5:$BZ$450,MATCH($B109,Balance!$C$5:$C$450,0),MATCH(I$108,Balance!$C$5:$BZ$5,0))</f>
        <v>0</v>
      </c>
      <c r="J109" s="342">
        <f>INDEX(Balance!$C$5:$BZ$450,MATCH($B109,Balance!$C$5:$C$450,0),MATCH(J$108,Balance!$C$5:$BZ$5,0))</f>
        <v>0</v>
      </c>
      <c r="K109" s="342">
        <f>INDEX(Balance!$C$5:$BZ$450,MATCH($B109,Balance!$C$5:$C$450,0),MATCH(K$108,Balance!$C$5:$BZ$5,0))</f>
        <v>0</v>
      </c>
      <c r="L109" s="342">
        <f>INDEX(Balance!$C$5:$BZ$450,MATCH($B109,Balance!$C$5:$C$450,0),MATCH(L$108,Balance!$C$5:$BZ$5,0))</f>
        <v>0</v>
      </c>
      <c r="M109" s="342">
        <f>INDEX(Balance!$C$5:$BZ$450,MATCH($B109,Balance!$C$5:$C$450,0),MATCH(M$108,Balance!$C$5:$BZ$5,0))</f>
        <v>0</v>
      </c>
      <c r="N109" s="342">
        <f>Valuation!M76</f>
        <v>1141575</v>
      </c>
      <c r="O109" s="342">
        <f>Valuation!N76</f>
        <v>7254525</v>
      </c>
      <c r="P109" s="342">
        <f>Valuation!O76</f>
        <v>5312043</v>
      </c>
      <c r="Q109" s="342">
        <f>Valuation!P76</f>
        <v>5738371</v>
      </c>
      <c r="R109" s="342">
        <f>Valuation!Q76</f>
        <v>9824230</v>
      </c>
      <c r="S109" s="342">
        <f>Valuation!R76</f>
        <v>11929535</v>
      </c>
      <c r="T109" s="342" t="e">
        <f ca="1">Valuation!S76</f>
        <v>#NAME?</v>
      </c>
      <c r="U109" s="342" t="e">
        <f ca="1">Valuation!T76</f>
        <v>#NAME?</v>
      </c>
      <c r="V109" s="342" t="e">
        <f ca="1">Valuation!U76</f>
        <v>#NAME?</v>
      </c>
      <c r="W109" s="342" t="e">
        <f ca="1">Valuation!V76</f>
        <v>#NAME?</v>
      </c>
      <c r="X109" s="342" t="e">
        <f ca="1">Valuation!W76</f>
        <v>#NAME?</v>
      </c>
      <c r="Y109" s="342" t="e">
        <f ca="1">Valuation!X76</f>
        <v>#NAME?</v>
      </c>
      <c r="Z109" s="342" t="e">
        <f ca="1">Valuation!Y76</f>
        <v>#NAME?</v>
      </c>
      <c r="AA109" s="342" t="e">
        <f ca="1">Valuation!Z76</f>
        <v>#NAME?</v>
      </c>
      <c r="AB109" s="342" t="e">
        <f ca="1">Valuation!AA76</f>
        <v>#NAME?</v>
      </c>
      <c r="AC109" s="342" t="e">
        <f ca="1">Valuation!AB76</f>
        <v>#NAME?</v>
      </c>
      <c r="AD109" s="314"/>
    </row>
    <row r="110" spans="1:30" s="119" customFormat="1">
      <c r="A110" s="10"/>
      <c r="B110" s="343" t="s">
        <v>28</v>
      </c>
      <c r="C110" s="344"/>
      <c r="D110" s="344"/>
      <c r="E110" s="114" t="e">
        <f>E109/Valuation!D11</f>
        <v>#DIV/0!</v>
      </c>
      <c r="F110" s="114" t="e">
        <f>F109/Valuation!E11</f>
        <v>#DIV/0!</v>
      </c>
      <c r="G110" s="114" t="e">
        <f>G109/Valuation!F11</f>
        <v>#DIV/0!</v>
      </c>
      <c r="H110" s="114" t="e">
        <f>H109/Valuation!G11</f>
        <v>#DIV/0!</v>
      </c>
      <c r="I110" s="114" t="e">
        <f>I109/Valuation!H11</f>
        <v>#DIV/0!</v>
      </c>
      <c r="J110" s="114" t="e">
        <f>J109/Valuation!I11</f>
        <v>#DIV/0!</v>
      </c>
      <c r="K110" s="114" t="e">
        <f>K109/Valuation!J11</f>
        <v>#DIV/0!</v>
      </c>
      <c r="L110" s="114" t="e">
        <f>L109/Valuation!K11</f>
        <v>#DIV/0!</v>
      </c>
      <c r="M110" s="114" t="e">
        <f>M109/Valuation!L11</f>
        <v>#DIV/0!</v>
      </c>
      <c r="N110" s="114">
        <f>N109/Valuation!M11</f>
        <v>0.89361407332085563</v>
      </c>
      <c r="O110" s="114">
        <f>O109/Valuation!N11</f>
        <v>0.9253876933109032</v>
      </c>
      <c r="P110" s="114">
        <f>P109/Valuation!O11</f>
        <v>1.6630235100531963</v>
      </c>
      <c r="Q110" s="114">
        <f>Q109/Valuation!P11</f>
        <v>1.8460952205696659</v>
      </c>
      <c r="R110" s="114">
        <f>R109/Valuation!Q11</f>
        <v>1.4966770403782554</v>
      </c>
      <c r="S110" s="114">
        <f>S109/Valuation!R11</f>
        <v>1.661188568961856</v>
      </c>
      <c r="T110" s="114" t="e">
        <f ca="1">T109/Valuation!S11</f>
        <v>#NAME?</v>
      </c>
      <c r="U110" s="114" t="e">
        <f ca="1">U109/Valuation!T11</f>
        <v>#NAME?</v>
      </c>
      <c r="V110" s="114" t="e">
        <f ca="1">V109/Valuation!U11</f>
        <v>#NAME?</v>
      </c>
      <c r="W110" s="114" t="e">
        <f ca="1">W109/Valuation!V11</f>
        <v>#NAME?</v>
      </c>
      <c r="X110" s="114" t="e">
        <f ca="1">X109/Valuation!W11</f>
        <v>#NAME?</v>
      </c>
      <c r="Y110" s="114" t="e">
        <f ca="1">IF(Y$108="","",Y109/Valuation!X11)</f>
        <v>#NAME?</v>
      </c>
      <c r="Z110" s="114" t="e">
        <f ca="1">IF(Z$108="","",Z109/Valuation!Y11)</f>
        <v>#NAME?</v>
      </c>
      <c r="AA110" s="114" t="e">
        <f ca="1">IF(AA$108="","",AA109/Valuation!Z11)</f>
        <v>#NAME?</v>
      </c>
      <c r="AB110" s="114" t="e">
        <f ca="1">IF(AB$108="","",AB109/Valuation!AA11)</f>
        <v>#NAME?</v>
      </c>
      <c r="AC110" s="114" t="e">
        <f ca="1">IF(AC$108="","",AC109/Valuation!AB11)</f>
        <v>#NAME?</v>
      </c>
      <c r="AD110" s="114"/>
    </row>
    <row r="111" spans="1:30" s="311" customFormat="1">
      <c r="A111" s="10"/>
      <c r="B111" s="10" t="s">
        <v>893</v>
      </c>
      <c r="E111" s="341"/>
      <c r="F111" s="341"/>
      <c r="G111" s="341"/>
      <c r="H111" s="341"/>
      <c r="I111" s="251">
        <f>IF($C$21="All",I109,IF($C$21="% of Total",I109*$C$22,$C$22*Valuation!H11))</f>
        <v>0</v>
      </c>
      <c r="J111" s="342">
        <f>IF($C$21="All",J109,IF($C$21="% of Total",J109*$C$22,$C$22*Valuation!I11))</f>
        <v>0</v>
      </c>
      <c r="K111" s="342">
        <f>IF($C$21="All",K109,IF($C$21="% of Total",K109*$C$22,$C$22*Valuation!J11))</f>
        <v>0</v>
      </c>
      <c r="L111" s="342">
        <f>IF($C$21="All",L109,IF($C$21="% of Total",L109*$C$22,$C$22*Valuation!K11))</f>
        <v>0</v>
      </c>
      <c r="M111" s="342">
        <f>IF($C$21="All",M109,IF($C$21="% of Total",M109*$C$22,$C$22*Valuation!L11))</f>
        <v>0</v>
      </c>
      <c r="N111" s="342">
        <f t="shared" ref="N111:S111" si="0">N109*0.15</f>
        <v>171236.25</v>
      </c>
      <c r="O111" s="342">
        <f t="shared" si="0"/>
        <v>1088178.75</v>
      </c>
      <c r="P111" s="342">
        <f t="shared" si="0"/>
        <v>796806.45</v>
      </c>
      <c r="Q111" s="342">
        <f t="shared" si="0"/>
        <v>860755.65</v>
      </c>
      <c r="R111" s="342">
        <f t="shared" si="0"/>
        <v>1473634.5</v>
      </c>
      <c r="S111" s="342">
        <f t="shared" si="0"/>
        <v>1789430.25</v>
      </c>
      <c r="T111" s="342">
        <f ca="1">S111*(1+Valuation!S12)</f>
        <v>1695222.3042604418</v>
      </c>
      <c r="U111" s="342" t="e">
        <f ca="1">T111*(1+Valuation!T12)</f>
        <v>#VALUE!</v>
      </c>
      <c r="V111" s="342" t="e">
        <f ca="1">U111*(1+Valuation!U12)</f>
        <v>#VALUE!</v>
      </c>
      <c r="W111" s="342" t="e">
        <f ca="1">V111*(1+Valuation!V12)</f>
        <v>#VALUE!</v>
      </c>
      <c r="X111" s="342" t="e">
        <f ca="1">W111*(1+Valuation!W12)</f>
        <v>#VALUE!</v>
      </c>
      <c r="Y111" s="342" t="e">
        <f ca="1">X111*(1+Valuation!X12)</f>
        <v>#VALUE!</v>
      </c>
      <c r="Z111" s="342" t="e">
        <f ca="1">Y111*(1+Valuation!Y12)</f>
        <v>#VALUE!</v>
      </c>
      <c r="AA111" s="342" t="e">
        <f ca="1">Z111*(1+Valuation!Z12)</f>
        <v>#VALUE!</v>
      </c>
      <c r="AB111" s="342" t="e">
        <f ca="1">AA111*(1+Valuation!AA12)</f>
        <v>#VALUE!</v>
      </c>
      <c r="AC111" s="342" t="e">
        <f ca="1">AB111*(1+Valuation!AB12)</f>
        <v>#VALUE!</v>
      </c>
      <c r="AD111" s="314"/>
    </row>
    <row r="112" spans="1:30" s="311" customFormat="1">
      <c r="A112" s="10"/>
      <c r="B112" s="9"/>
      <c r="C112" s="314"/>
      <c r="D112" s="314"/>
      <c r="E112" s="314"/>
      <c r="F112" s="314"/>
      <c r="G112" s="345" t="s">
        <v>894</v>
      </c>
      <c r="H112" s="345" t="s">
        <v>895</v>
      </c>
      <c r="I112" s="345"/>
      <c r="J112" s="314"/>
      <c r="K112" s="314"/>
      <c r="L112" s="314"/>
      <c r="M112" s="314"/>
      <c r="N112" s="314"/>
      <c r="O112" s="314"/>
      <c r="P112" s="314"/>
      <c r="Q112" s="314"/>
      <c r="R112" s="314"/>
      <c r="S112" s="314"/>
      <c r="T112" s="314"/>
      <c r="U112" s="314"/>
      <c r="V112" s="314"/>
      <c r="W112" s="314"/>
      <c r="X112" s="314"/>
      <c r="Y112" s="314"/>
      <c r="Z112" s="314"/>
      <c r="AA112" s="314"/>
      <c r="AB112" s="314"/>
      <c r="AC112" s="314"/>
      <c r="AD112" s="314"/>
    </row>
    <row r="113" spans="1:30" s="311" customFormat="1">
      <c r="A113" s="10"/>
      <c r="B113" s="9"/>
      <c r="C113" s="314"/>
      <c r="D113" s="314"/>
      <c r="E113" s="314"/>
      <c r="F113" s="314"/>
      <c r="G113" s="314"/>
      <c r="H113" s="314"/>
      <c r="I113" s="314"/>
      <c r="J113" s="314"/>
      <c r="K113" s="314"/>
      <c r="L113" s="314"/>
      <c r="M113" s="314"/>
      <c r="N113" s="314"/>
      <c r="O113" s="314"/>
      <c r="P113" s="314"/>
      <c r="Q113" s="314"/>
      <c r="R113" s="314"/>
      <c r="S113" s="314"/>
      <c r="T113" s="314"/>
      <c r="U113" s="314"/>
      <c r="V113" s="314"/>
      <c r="W113" s="314"/>
      <c r="X113" s="314"/>
      <c r="Y113" s="314"/>
      <c r="Z113" s="314"/>
      <c r="AA113" s="314"/>
      <c r="AB113" s="314"/>
      <c r="AC113" s="314"/>
      <c r="AD113" s="314"/>
    </row>
    <row r="114" spans="1:30" s="311" customFormat="1">
      <c r="A114" s="10"/>
      <c r="B114" s="10" t="s">
        <v>896</v>
      </c>
      <c r="E114" s="341"/>
      <c r="F114" s="341"/>
      <c r="G114" s="341"/>
      <c r="H114" s="341"/>
      <c r="I114" s="251">
        <f>Valuation!H77+Valuation!H79+Valuation!H84-Valuation!H87-Valuation!H90</f>
        <v>0</v>
      </c>
      <c r="J114" s="342">
        <f>Valuation!I77+Valuation!I79+Valuation!I84-Valuation!I87-Valuation!I90</f>
        <v>0</v>
      </c>
      <c r="K114" s="342">
        <f>Valuation!J77+Valuation!J79+Valuation!J84-Valuation!J87-Valuation!J90</f>
        <v>0</v>
      </c>
      <c r="L114" s="342">
        <f>Valuation!K77+Valuation!K79+Valuation!K84-Valuation!K87-Valuation!K90</f>
        <v>0</v>
      </c>
      <c r="M114" s="342">
        <f>Valuation!L77+Valuation!L79+Valuation!L84-Valuation!L87-Valuation!L90</f>
        <v>0</v>
      </c>
      <c r="N114" s="342">
        <f>Valuation!M58-N111</f>
        <v>-293223.75</v>
      </c>
      <c r="O114" s="342">
        <f>Valuation!N58-O111</f>
        <v>5890956.25</v>
      </c>
      <c r="P114" s="342">
        <f>Valuation!O58-P111</f>
        <v>613794.14999999967</v>
      </c>
      <c r="Q114" s="342">
        <f>Valuation!P58-Q111</f>
        <v>309863.55000000016</v>
      </c>
      <c r="R114" s="342">
        <f>Valuation!Q58-R111</f>
        <v>1138424.5</v>
      </c>
      <c r="S114" s="342">
        <f>Valuation!R58-S111</f>
        <v>1479318</v>
      </c>
      <c r="T114" s="342">
        <f ca="1">Valuation!S58-T111</f>
        <v>1412994.1985890728</v>
      </c>
      <c r="U114" s="342" t="e">
        <f ca="1">Valuation!T58-U111</f>
        <v>#VALUE!</v>
      </c>
      <c r="V114" s="342" t="e">
        <f ca="1">Valuation!U58-V111</f>
        <v>#VALUE!</v>
      </c>
      <c r="W114" s="342" t="e">
        <f ca="1">Valuation!V58-W111</f>
        <v>#VALUE!</v>
      </c>
      <c r="X114" s="342" t="e">
        <f ca="1">Valuation!W58-X111</f>
        <v>#VALUE!</v>
      </c>
      <c r="Y114" s="342" t="e">
        <f ca="1">Valuation!X58-Y111</f>
        <v>#VALUE!</v>
      </c>
      <c r="Z114" s="342" t="e">
        <f ca="1">Valuation!Y58-Z111</f>
        <v>#VALUE!</v>
      </c>
      <c r="AA114" s="342" t="e">
        <f ca="1">Valuation!Z58-AA111</f>
        <v>#VALUE!</v>
      </c>
      <c r="AB114" s="342" t="e">
        <f ca="1">Valuation!AA58-AB111</f>
        <v>#VALUE!</v>
      </c>
      <c r="AC114" s="342" t="e">
        <f ca="1">Valuation!AB58-AC111</f>
        <v>#VALUE!</v>
      </c>
      <c r="AD114" s="9"/>
    </row>
    <row r="115" spans="1:30" s="311" customFormat="1">
      <c r="A115" s="10"/>
      <c r="B115" s="9"/>
      <c r="C115" s="314"/>
      <c r="D115" s="314"/>
      <c r="E115" s="314"/>
      <c r="F115" s="314"/>
      <c r="G115" s="314"/>
      <c r="H115" s="314"/>
      <c r="I115" s="314"/>
      <c r="J115" s="314"/>
      <c r="K115" s="314"/>
      <c r="L115" s="314"/>
      <c r="M115" s="314"/>
      <c r="N115" s="314"/>
      <c r="O115" s="314"/>
      <c r="P115" s="314"/>
      <c r="Q115" s="314"/>
      <c r="R115" s="314"/>
      <c r="S115" s="314"/>
      <c r="T115" s="314"/>
      <c r="U115" s="314"/>
      <c r="V115" s="314"/>
      <c r="W115" s="314"/>
      <c r="X115" s="314"/>
      <c r="Y115" s="314"/>
      <c r="Z115" s="314"/>
      <c r="AA115" s="314"/>
      <c r="AB115" s="314"/>
      <c r="AC115" s="314"/>
      <c r="AD115" s="9"/>
    </row>
    <row r="116" spans="1:30" s="311" customFormat="1">
      <c r="A116" s="10"/>
      <c r="B116" s="9"/>
      <c r="C116" s="314"/>
      <c r="D116" s="314"/>
      <c r="E116" s="314"/>
      <c r="F116" s="314"/>
      <c r="G116" s="314"/>
      <c r="H116" s="314"/>
      <c r="I116" s="314"/>
      <c r="J116" s="314"/>
      <c r="K116" s="314"/>
      <c r="L116" s="314"/>
      <c r="M116" s="314"/>
      <c r="N116" s="314"/>
      <c r="O116" s="314"/>
      <c r="P116" s="314"/>
      <c r="Q116" s="314"/>
      <c r="R116" s="314"/>
      <c r="S116" s="314"/>
      <c r="T116" s="314"/>
      <c r="U116" s="314"/>
      <c r="V116" s="314"/>
      <c r="W116" s="314"/>
      <c r="X116" s="314"/>
      <c r="Y116" s="314"/>
      <c r="Z116" s="314"/>
      <c r="AA116" s="314"/>
      <c r="AB116" s="314"/>
      <c r="AC116" s="314"/>
      <c r="AD116" s="9"/>
    </row>
    <row r="117" spans="1:30" s="311" customFormat="1">
      <c r="A117" s="10"/>
      <c r="B117" s="10" t="s">
        <v>194</v>
      </c>
      <c r="E117" s="341"/>
      <c r="F117" s="341"/>
      <c r="G117" s="341"/>
      <c r="H117" s="341"/>
      <c r="I117" s="251">
        <f>IF(INDEX(Balance!$C$5:$BZ$450,MATCH($B117,Balance!$C$5:$C$450,0),MATCH(I$108,Balance!$C$5:$BZ$5,0))=0,I128*$C$24,INDEX(Balance!$C$5:$BZ$450,MATCH($B117,Balance!$C$5:$C$450,0),MATCH(I$108,Balance!$C$5:$BZ$5,0)))</f>
        <v>0</v>
      </c>
      <c r="J117" s="342">
        <f>IF(INDEX(Balance!$C$5:$BZ$450,MATCH($B117,Balance!$C$5:$C$450,0),MATCH(J$108,Balance!$C$5:$BZ$5,0))=0,J128*$C$24,INDEX(Balance!$C$5:$BZ$450,MATCH($B117,Balance!$C$5:$C$450,0),MATCH(J$108,Balance!$C$5:$BZ$5,0)))</f>
        <v>0</v>
      </c>
      <c r="K117" s="342">
        <f>IF(INDEX(Balance!$C$5:$BZ$450,MATCH($B117,Balance!$C$5:$C$450,0),MATCH(K$108,Balance!$C$5:$BZ$5,0))=0,K128*$C$24,INDEX(Balance!$C$5:$BZ$450,MATCH($B117,Balance!$C$5:$C$450,0),MATCH(K$108,Balance!$C$5:$BZ$5,0)))</f>
        <v>0</v>
      </c>
      <c r="L117" s="342">
        <f>IF(INDEX(Balance!$C$5:$BZ$450,MATCH($B117,Balance!$C$5:$C$450,0),MATCH(L$108,Balance!$C$5:$BZ$5,0))=0,L128*$C$24,INDEX(Balance!$C$5:$BZ$450,MATCH($B117,Balance!$C$5:$C$450,0),MATCH(L$108,Balance!$C$5:$BZ$5,0)))</f>
        <v>0</v>
      </c>
      <c r="M117" s="342">
        <f>IF(INDEX(Balance!$C$5:$BZ$450,MATCH($B117,Balance!$C$5:$C$450,0),MATCH(M$108,Balance!$C$5:$BZ$5,0))=0,M128*$C$24,INDEX(Balance!$C$5:$BZ$450,MATCH($B117,Balance!$C$5:$C$450,0),MATCH(M$108,Balance!$C$5:$BZ$5,0)))</f>
        <v>0</v>
      </c>
      <c r="N117" s="342">
        <f>IF(INDEX(Balance!$C$5:$BZ$450,MATCH($B117,Balance!$C$5:$C$450,0),MATCH(N$108,Balance!$C$5:$BZ$5,0))=0,N128*$C$24,INDEX(Balance!$C$5:$BZ$450,MATCH($B117,Balance!$C$5:$C$450,0),MATCH(N$108,Balance!$C$5:$BZ$5,0)))</f>
        <v>0</v>
      </c>
      <c r="O117" s="342">
        <f>IF(INDEX(Balance!$C$5:$BZ$450,MATCH($B117,Balance!$C$5:$C$450,0),MATCH(O$108,Balance!$C$5:$BZ$5,0))=0,O128*$C$24,INDEX(Balance!$C$5:$BZ$450,MATCH($B117,Balance!$C$5:$C$450,0),MATCH(O$108,Balance!$C$5:$BZ$5,0)))</f>
        <v>0</v>
      </c>
      <c r="P117" s="342">
        <f>IF(INDEX(Balance!$C$5:$BZ$450,MATCH($B117,Balance!$C$5:$C$450,0),MATCH(P$108,Balance!$C$5:$BZ$5,0))=0,P128*$C$24,INDEX(Balance!$C$5:$BZ$450,MATCH($B117,Balance!$C$5:$C$450,0),MATCH(P$108,Balance!$C$5:$BZ$5,0)))</f>
        <v>123.386</v>
      </c>
      <c r="Q117" s="342">
        <f>IF(INDEX(Balance!$C$5:$BZ$450,MATCH($B117,Balance!$C$5:$C$450,0),MATCH(Q$108,Balance!$C$5:$BZ$5,0))=0,Q128*$C$24,INDEX(Balance!$C$5:$BZ$450,MATCH($B117,Balance!$C$5:$C$450,0),MATCH(Q$108,Balance!$C$5:$BZ$5,0)))</f>
        <v>100.845</v>
      </c>
      <c r="R117" s="342">
        <f>IF(INDEX(Balance!$C$5:$BZ$450,MATCH($B117,Balance!$C$5:$C$450,0),MATCH(R$108,Balance!$C$5:$BZ$5,0))=0,R128*$C$24,INDEX(Balance!$C$5:$BZ$450,MATCH($B117,Balance!$C$5:$C$450,0),MATCH(R$108,Balance!$C$5:$BZ$5,0)))</f>
        <v>98.385000000000005</v>
      </c>
      <c r="S117" s="342">
        <f>IF(INDEX(Balance!$C$5:$BZ$450,MATCH($B117,Balance!$C$5:$C$450,0),MATCH(S$108,Balance!$C$5:$BZ$5,0))=0,S128*$C$24,INDEX(Balance!$C$5:$BZ$450,MATCH($B117,Balance!$C$5:$C$450,0),MATCH(S$108,Balance!$C$5:$BZ$5,0)))</f>
        <v>69.356999999999999</v>
      </c>
      <c r="T117" s="251">
        <f>+T121</f>
        <v>69.356999999999999</v>
      </c>
      <c r="U117" s="251">
        <f>+U121</f>
        <v>69.356999999999999</v>
      </c>
      <c r="V117" s="251">
        <f>+V121</f>
        <v>69.356999999999999</v>
      </c>
      <c r="W117" s="251">
        <f>+W121</f>
        <v>69.356999999999999</v>
      </c>
      <c r="X117" s="251">
        <f>+X121</f>
        <v>69.356999999999999</v>
      </c>
      <c r="Y117" s="251">
        <f>IF(Y108="","",+Y121)</f>
        <v>69.356999999999999</v>
      </c>
      <c r="Z117" s="251">
        <f>IF(Z108="","",+Z121)</f>
        <v>69.356999999999999</v>
      </c>
      <c r="AA117" s="251">
        <f>IF(AA108="","",+AA121)</f>
        <v>69.356999999999999</v>
      </c>
      <c r="AB117" s="251">
        <f>IF(AB108="","",+AB121)</f>
        <v>69.356999999999999</v>
      </c>
      <c r="AC117" s="251">
        <f>IF(AC108="","",+AC121)</f>
        <v>69.356999999999999</v>
      </c>
      <c r="AD117" s="9"/>
    </row>
    <row r="118" spans="1:30" s="311" customFormat="1">
      <c r="A118" s="10"/>
      <c r="B118" s="346" t="s">
        <v>979</v>
      </c>
      <c r="C118" s="347"/>
      <c r="D118" s="347"/>
      <c r="E118" s="348"/>
      <c r="F118" s="348"/>
      <c r="G118" s="348"/>
      <c r="H118" s="348"/>
      <c r="I118" s="349">
        <f>INDEX(Balance!$C$5:$BZ$450,MATCH("Gross Property, Plant and Equipment",Balance!$C$5:$C$450,0),MATCH(I$108,Balance!$C$5:$BZ$5,0))+INDEX(Balance!$C$5:$BZ$450,MATCH("Gross Mineral Property Interests and Exploration Assets",Balance!$C$5:$C$450,0),MATCH(I$108,Balance!$C$5:$BZ$5,0))+INDEX(Balance!$C$5:$BZ$450,MATCH("Gross Investment Properties and Properties Held for Development",Balance!$C$5:$C$450,0),MATCH(I$108,Balance!$C$5:$BZ$5,0))-INDEX(Balance!$C$5:$BZ$450,MATCH($B117,Balance!$C$5:$C$450,0),MATCH(I$108,Balance!$C$5:$BZ$5,0))</f>
        <v>0</v>
      </c>
      <c r="J118" s="349">
        <f>INDEX(Balance!$C$5:$BZ$450,MATCH("Gross Property, Plant and Equipment",Balance!$C$5:$C$450,0),MATCH(J$108,Balance!$C$5:$BZ$5,0))+INDEX(Balance!$C$5:$BZ$450,MATCH("Gross Mineral Property Interests and Exploration Assets",Balance!$C$5:$C$450,0),MATCH(J$108,Balance!$C$5:$BZ$5,0))+INDEX(Balance!$C$5:$BZ$450,MATCH("Gross Investment Properties and Properties Held for Development",Balance!$C$5:$C$450,0),MATCH(J$108,Balance!$C$5:$BZ$5,0))-INDEX(Balance!$C$5:$BZ$450,MATCH($B117,Balance!$C$5:$C$450,0),MATCH(J$108,Balance!$C$5:$BZ$5,0))</f>
        <v>0</v>
      </c>
      <c r="K118" s="349">
        <f>INDEX(Balance!$C$5:$BZ$450,MATCH("Gross Property, Plant and Equipment",Balance!$C$5:$C$450,0),MATCH(K$108,Balance!$C$5:$BZ$5,0))+INDEX(Balance!$C$5:$BZ$450,MATCH("Gross Mineral Property Interests and Exploration Assets",Balance!$C$5:$C$450,0),MATCH(K$108,Balance!$C$5:$BZ$5,0))+INDEX(Balance!$C$5:$BZ$450,MATCH("Gross Investment Properties and Properties Held for Development",Balance!$C$5:$C$450,0),MATCH(K$108,Balance!$C$5:$BZ$5,0))-INDEX(Balance!$C$5:$BZ$450,MATCH($B117,Balance!$C$5:$C$450,0),MATCH(K$108,Balance!$C$5:$BZ$5,0))</f>
        <v>0</v>
      </c>
      <c r="L118" s="349">
        <f>INDEX(Balance!$C$5:$BZ$450,MATCH("Gross Property, Plant and Equipment",Balance!$C$5:$C$450,0),MATCH(L$108,Balance!$C$5:$BZ$5,0))+INDEX(Balance!$C$5:$BZ$450,MATCH("Gross Mineral Property Interests and Exploration Assets",Balance!$C$5:$C$450,0),MATCH(L$108,Balance!$C$5:$BZ$5,0))+INDEX(Balance!$C$5:$BZ$450,MATCH("Gross Investment Properties and Properties Held for Development",Balance!$C$5:$C$450,0),MATCH(L$108,Balance!$C$5:$BZ$5,0))-INDEX(Balance!$C$5:$BZ$450,MATCH($B117,Balance!$C$5:$C$450,0),MATCH(L$108,Balance!$C$5:$BZ$5,0))</f>
        <v>0</v>
      </c>
      <c r="M118" s="349">
        <f>INDEX(Balance!$C$5:$BZ$450,MATCH("Gross Property, Plant and Equipment",Balance!$C$5:$C$450,0),MATCH(M$108,Balance!$C$5:$BZ$5,0))+INDEX(Balance!$C$5:$BZ$450,MATCH("Gross Mineral Property Interests and Exploration Assets",Balance!$C$5:$C$450,0),MATCH(M$108,Balance!$C$5:$BZ$5,0))+INDEX(Balance!$C$5:$BZ$450,MATCH("Gross Investment Properties and Properties Held for Development",Balance!$C$5:$C$450,0),MATCH(M$108,Balance!$C$5:$BZ$5,0))-INDEX(Balance!$C$5:$BZ$450,MATCH($B117,Balance!$C$5:$C$450,0),MATCH(M$108,Balance!$C$5:$BZ$5,0))</f>
        <v>0</v>
      </c>
      <c r="N118" s="349">
        <f>INDEX(Balance!$C$5:$BZ$450,MATCH("Gross Property, Plant and Equipment",Balance!$C$5:$C$450,0),MATCH(N$108,Balance!$C$5:$BZ$5,0))+INDEX(Balance!$C$5:$BZ$450,MATCH("Gross Mineral Property Interests and Exploration Assets",Balance!$C$5:$C$450,0),MATCH(N$108,Balance!$C$5:$BZ$5,0))+INDEX(Balance!$C$5:$BZ$450,MATCH("Gross Investment Properties and Properties Held for Development",Balance!$C$5:$C$450,0),MATCH(N$108,Balance!$C$5:$BZ$5,0))-INDEX(Balance!$C$5:$BZ$450,MATCH($B117,Balance!$C$5:$C$450,0),MATCH(N$108,Balance!$C$5:$BZ$5,0))</f>
        <v>0</v>
      </c>
      <c r="O118" s="349">
        <f>INDEX(Balance!$C$5:$BZ$450,MATCH("Gross Property, Plant and Equipment",Balance!$C$5:$C$450,0),MATCH(O$108,Balance!$C$5:$BZ$5,0))+INDEX(Balance!$C$5:$BZ$450,MATCH("Gross Mineral Property Interests and Exploration Assets",Balance!$C$5:$C$450,0),MATCH(O$108,Balance!$C$5:$BZ$5,0))+INDEX(Balance!$C$5:$BZ$450,MATCH("Gross Investment Properties and Properties Held for Development",Balance!$C$5:$C$450,0),MATCH(O$108,Balance!$C$5:$BZ$5,0))-INDEX(Balance!$C$5:$BZ$450,MATCH($B117,Balance!$C$5:$C$450,0),MATCH(O$108,Balance!$C$5:$BZ$5,0))</f>
        <v>0</v>
      </c>
      <c r="P118" s="349">
        <f>INDEX(Balance!$C$5:$BZ$450,MATCH("Gross Property, Plant and Equipment",Balance!$C$5:$C$450,0),MATCH(P$108,Balance!$C$5:$BZ$5,0))+INDEX(Balance!$C$5:$BZ$450,MATCH("Gross Mineral Property Interests and Exploration Assets",Balance!$C$5:$C$450,0),MATCH(P$108,Balance!$C$5:$BZ$5,0))+INDEX(Balance!$C$5:$BZ$450,MATCH("Gross Investment Properties and Properties Held for Development",Balance!$C$5:$C$450,0),MATCH(P$108,Balance!$C$5:$BZ$5,0))-INDEX(Balance!$C$5:$BZ$450,MATCH($B117,Balance!$C$5:$C$450,0),MATCH(P$108,Balance!$C$5:$BZ$5,0))</f>
        <v>57.525000000000006</v>
      </c>
      <c r="Q118" s="349">
        <f>INDEX(Balance!$C$5:$BZ$450,MATCH("Gross Property, Plant and Equipment",Balance!$C$5:$C$450,0),MATCH(Q$108,Balance!$C$5:$BZ$5,0))+INDEX(Balance!$C$5:$BZ$450,MATCH("Gross Mineral Property Interests and Exploration Assets",Balance!$C$5:$C$450,0),MATCH(Q$108,Balance!$C$5:$BZ$5,0))+INDEX(Balance!$C$5:$BZ$450,MATCH("Gross Investment Properties and Properties Held for Development",Balance!$C$5:$C$450,0),MATCH(Q$108,Balance!$C$5:$BZ$5,0))-INDEX(Balance!$C$5:$BZ$450,MATCH($B117,Balance!$C$5:$C$450,0),MATCH(Q$108,Balance!$C$5:$BZ$5,0))</f>
        <v>73.738</v>
      </c>
      <c r="R118" s="349">
        <f>INDEX(Balance!$C$5:$BZ$450,MATCH("Gross Property, Plant and Equipment",Balance!$C$5:$C$450,0),MATCH(R$108,Balance!$C$5:$BZ$5,0))+INDEX(Balance!$C$5:$BZ$450,MATCH("Gross Mineral Property Interests and Exploration Assets",Balance!$C$5:$C$450,0),MATCH(R$108,Balance!$C$5:$BZ$5,0))+INDEX(Balance!$C$5:$BZ$450,MATCH("Gross Investment Properties and Properties Held for Development",Balance!$C$5:$C$450,0),MATCH(R$108,Balance!$C$5:$BZ$5,0))-INDEX(Balance!$C$5:$BZ$450,MATCH($B117,Balance!$C$5:$C$450,0),MATCH(R$108,Balance!$C$5:$BZ$5,0))</f>
        <v>101.47599999999998</v>
      </c>
      <c r="S118" s="349">
        <f>INDEX(Balance!$C$5:$BZ$450,MATCH("Gross Property, Plant and Equipment",Balance!$C$5:$C$450,0),MATCH(S$108,Balance!$C$5:$BZ$5,0))+INDEX(Balance!$C$5:$BZ$450,MATCH("Gross Mineral Property Interests and Exploration Assets",Balance!$C$5:$C$450,0),MATCH(S$108,Balance!$C$5:$BZ$5,0))+INDEX(Balance!$C$5:$BZ$450,MATCH("Gross Investment Properties and Properties Held for Development",Balance!$C$5:$C$450,0),MATCH(S$108,Balance!$C$5:$BZ$5,0))-INDEX(Balance!$C$5:$BZ$450,MATCH($B117,Balance!$C$5:$C$450,0),MATCH(S$108,Balance!$C$5:$BZ$5,0))</f>
        <v>256.86800000000005</v>
      </c>
      <c r="T118" s="349"/>
      <c r="U118" s="349"/>
      <c r="V118" s="349"/>
      <c r="W118" s="349"/>
      <c r="X118" s="349"/>
      <c r="Y118" s="349"/>
      <c r="Z118" s="349"/>
      <c r="AA118" s="349"/>
      <c r="AB118" s="349"/>
      <c r="AC118" s="349"/>
      <c r="AD118" s="9"/>
    </row>
    <row r="119" spans="1:30">
      <c r="B119" s="9" t="s">
        <v>177</v>
      </c>
      <c r="C119" s="314"/>
      <c r="D119" s="314"/>
      <c r="E119" s="327"/>
      <c r="F119" s="327"/>
      <c r="G119" s="327"/>
      <c r="H119" s="327"/>
      <c r="I119" s="350">
        <f>+I118+I117</f>
        <v>0</v>
      </c>
      <c r="J119" s="350">
        <f>+J118+J117</f>
        <v>0</v>
      </c>
      <c r="K119" s="350">
        <f t="shared" ref="K119:X119" si="1">+K118+K117</f>
        <v>0</v>
      </c>
      <c r="L119" s="350">
        <f t="shared" si="1"/>
        <v>0</v>
      </c>
      <c r="M119" s="350">
        <f t="shared" si="1"/>
        <v>0</v>
      </c>
      <c r="N119" s="350">
        <f t="shared" si="1"/>
        <v>0</v>
      </c>
      <c r="O119" s="350">
        <f t="shared" si="1"/>
        <v>0</v>
      </c>
      <c r="P119" s="350">
        <f t="shared" si="1"/>
        <v>180.911</v>
      </c>
      <c r="Q119" s="350">
        <f t="shared" si="1"/>
        <v>174.583</v>
      </c>
      <c r="R119" s="350">
        <f t="shared" si="1"/>
        <v>199.86099999999999</v>
      </c>
      <c r="S119" s="350">
        <f t="shared" si="1"/>
        <v>326.22500000000002</v>
      </c>
      <c r="T119" s="350">
        <f t="shared" si="1"/>
        <v>69.356999999999999</v>
      </c>
      <c r="U119" s="350">
        <f t="shared" si="1"/>
        <v>69.356999999999999</v>
      </c>
      <c r="V119" s="350">
        <f t="shared" si="1"/>
        <v>69.356999999999999</v>
      </c>
      <c r="W119" s="350">
        <f t="shared" si="1"/>
        <v>69.356999999999999</v>
      </c>
      <c r="X119" s="350">
        <f t="shared" si="1"/>
        <v>69.356999999999999</v>
      </c>
      <c r="Y119" s="350">
        <f>IF(Y108="","",Y118+Y117)</f>
        <v>69.356999999999999</v>
      </c>
      <c r="Z119" s="350">
        <f>IF(Z108="","",Z118+Z117)</f>
        <v>69.356999999999999</v>
      </c>
      <c r="AA119" s="350">
        <f>IF(AA108="","",AA118+AA117)</f>
        <v>69.356999999999999</v>
      </c>
      <c r="AB119" s="350">
        <f>IF(AB108="","",AB118+AB117)</f>
        <v>69.356999999999999</v>
      </c>
      <c r="AC119" s="350">
        <f>IF(AC108="","",AC118+AC117)</f>
        <v>69.356999999999999</v>
      </c>
      <c r="AD119" s="9"/>
    </row>
    <row r="120" spans="1:30">
      <c r="B120" s="9"/>
      <c r="C120" s="314"/>
      <c r="D120" s="314"/>
      <c r="E120" s="327"/>
      <c r="F120" s="327"/>
      <c r="G120" s="327"/>
      <c r="H120" s="327"/>
      <c r="I120" s="327"/>
      <c r="J120" s="327"/>
      <c r="K120" s="327"/>
      <c r="L120" s="327"/>
      <c r="M120" s="327"/>
      <c r="N120" s="327"/>
      <c r="O120" s="327"/>
      <c r="P120" s="327"/>
      <c r="Q120" s="327"/>
      <c r="R120" s="327"/>
      <c r="S120" s="327"/>
      <c r="T120" s="9"/>
      <c r="U120" s="9"/>
      <c r="V120" s="9"/>
      <c r="W120" s="9"/>
      <c r="X120" s="9"/>
      <c r="Y120" s="9"/>
      <c r="Z120" s="9"/>
      <c r="AA120" s="9"/>
      <c r="AB120" s="9"/>
      <c r="AC120" s="9"/>
      <c r="AD120" s="9"/>
    </row>
    <row r="121" spans="1:30">
      <c r="B121" s="10" t="s">
        <v>194</v>
      </c>
      <c r="C121" s="311"/>
      <c r="D121" s="311"/>
      <c r="E121" s="341"/>
      <c r="F121" s="341"/>
      <c r="G121" s="341"/>
      <c r="H121" s="341"/>
      <c r="I121" s="251">
        <f>+I117</f>
        <v>0</v>
      </c>
      <c r="J121" s="251">
        <f t="shared" ref="J121:R121" si="2">+J117</f>
        <v>0</v>
      </c>
      <c r="K121" s="251">
        <f t="shared" si="2"/>
        <v>0</v>
      </c>
      <c r="L121" s="251">
        <f t="shared" si="2"/>
        <v>0</v>
      </c>
      <c r="M121" s="251">
        <f t="shared" si="2"/>
        <v>0</v>
      </c>
      <c r="N121" s="251">
        <f t="shared" si="2"/>
        <v>0</v>
      </c>
      <c r="O121" s="251">
        <f t="shared" si="2"/>
        <v>0</v>
      </c>
      <c r="P121" s="251">
        <f t="shared" si="2"/>
        <v>123.386</v>
      </c>
      <c r="Q121" s="251">
        <f t="shared" si="2"/>
        <v>100.845</v>
      </c>
      <c r="R121" s="251">
        <f t="shared" si="2"/>
        <v>98.385000000000005</v>
      </c>
      <c r="S121" s="251">
        <f>+S117</f>
        <v>69.356999999999999</v>
      </c>
      <c r="T121" s="251">
        <f>S121*(1+T129)</f>
        <v>69.356999999999999</v>
      </c>
      <c r="U121" s="251">
        <f>T121*(1+U129)</f>
        <v>69.356999999999999</v>
      </c>
      <c r="V121" s="251">
        <f>U121*(1+V129)</f>
        <v>69.356999999999999</v>
      </c>
      <c r="W121" s="251">
        <f>V121*(1+W129)</f>
        <v>69.356999999999999</v>
      </c>
      <c r="X121" s="251">
        <f>W121*(1+X129)</f>
        <v>69.356999999999999</v>
      </c>
      <c r="Y121" s="251">
        <f>IF(Y108="","",X121*(1+Y129))</f>
        <v>69.356999999999999</v>
      </c>
      <c r="Z121" s="251">
        <f>IF(Z108="","",Y121*(1+Z129))</f>
        <v>69.356999999999999</v>
      </c>
      <c r="AA121" s="251">
        <f>IF(AA108="","",Z121*(1+AA129))</f>
        <v>69.356999999999999</v>
      </c>
      <c r="AB121" s="251">
        <f>IF(AB108="","",AA121*(1+AB129))</f>
        <v>69.356999999999999</v>
      </c>
      <c r="AC121" s="251">
        <f>IF(AC108="","",AB121*(1+AC129))</f>
        <v>69.356999999999999</v>
      </c>
      <c r="AD121" s="9"/>
    </row>
    <row r="122" spans="1:30">
      <c r="B122" s="351" t="s">
        <v>980</v>
      </c>
      <c r="C122" s="352"/>
      <c r="D122" s="352"/>
      <c r="E122" s="353"/>
      <c r="F122" s="353"/>
      <c r="G122" s="353"/>
      <c r="H122" s="353"/>
      <c r="I122" s="354">
        <f>INDEX(Balance!$C$5:$BZ$450,MATCH("Net Property, Plant and Equipment",Balance!$C$5:$C$450,0),MATCH(I$108,Balance!$C$5:$BZ$5,0))+INDEX(Balance!$C$5:$BZ$450,MATCH("Net Mineral Property Interests and Exploration Assets",Balance!$C$5:$C$450,0),MATCH(I$108,Balance!$C$5:$BZ$5,0))+INDEX(Balance!$C$5:$BZ$450,MATCH("Investment Properties and Properties Held for Development",Balance!$C$5:$C$450,0),MATCH(I$108,Balance!$C$5:$BZ$5,0))-INDEX(Balance!$C$5:$BZ$450,MATCH($B117,Balance!$C$5:$C$450,0),MATCH(I$108,Balance!$C$5:$BZ$5,0))</f>
        <v>0</v>
      </c>
      <c r="J122" s="354">
        <f>INDEX(Balance!$C$5:$BZ$450,MATCH("Net Property, Plant and Equipment",Balance!$C$5:$C$450,0),MATCH(J$108,Balance!$C$5:$BZ$5,0))+INDEX(Balance!$C$5:$BZ$450,MATCH("Net Mineral Property Interests and Exploration Assets",Balance!$C$5:$C$450,0),MATCH(J$108,Balance!$C$5:$BZ$5,0))+INDEX(Balance!$C$5:$BZ$450,MATCH("Investment Properties and Properties Held for Development",Balance!$C$5:$C$450,0),MATCH(J$108,Balance!$C$5:$BZ$5,0))-INDEX(Balance!$C$5:$BZ$450,MATCH($B117,Balance!$C$5:$C$450,0),MATCH(J$108,Balance!$C$5:$BZ$5,0))</f>
        <v>0</v>
      </c>
      <c r="K122" s="354">
        <f>INDEX(Balance!$C$5:$BZ$450,MATCH("Net Property, Plant and Equipment",Balance!$C$5:$C$450,0),MATCH(K$108,Balance!$C$5:$BZ$5,0))+INDEX(Balance!$C$5:$BZ$450,MATCH("Net Mineral Property Interests and Exploration Assets",Balance!$C$5:$C$450,0),MATCH(K$108,Balance!$C$5:$BZ$5,0))+INDEX(Balance!$C$5:$BZ$450,MATCH("Investment Properties and Properties Held for Development",Balance!$C$5:$C$450,0),MATCH(K$108,Balance!$C$5:$BZ$5,0))-INDEX(Balance!$C$5:$BZ$450,MATCH($B117,Balance!$C$5:$C$450,0),MATCH(K$108,Balance!$C$5:$BZ$5,0))</f>
        <v>0</v>
      </c>
      <c r="L122" s="354">
        <f>INDEX(Balance!$C$5:$BZ$450,MATCH("Net Property, Plant and Equipment",Balance!$C$5:$C$450,0),MATCH(L$108,Balance!$C$5:$BZ$5,0))+INDEX(Balance!$C$5:$BZ$450,MATCH("Net Mineral Property Interests and Exploration Assets",Balance!$C$5:$C$450,0),MATCH(L$108,Balance!$C$5:$BZ$5,0))+INDEX(Balance!$C$5:$BZ$450,MATCH("Investment Properties and Properties Held for Development",Balance!$C$5:$C$450,0),MATCH(L$108,Balance!$C$5:$BZ$5,0))-INDEX(Balance!$C$5:$BZ$450,MATCH($B117,Balance!$C$5:$C$450,0),MATCH(L$108,Balance!$C$5:$BZ$5,0))</f>
        <v>0</v>
      </c>
      <c r="M122" s="354">
        <f>INDEX(Balance!$C$5:$BZ$450,MATCH("Net Property, Plant and Equipment",Balance!$C$5:$C$450,0),MATCH(M$108,Balance!$C$5:$BZ$5,0))+INDEX(Balance!$C$5:$BZ$450,MATCH("Net Mineral Property Interests and Exploration Assets",Balance!$C$5:$C$450,0),MATCH(M$108,Balance!$C$5:$BZ$5,0))+INDEX(Balance!$C$5:$BZ$450,MATCH("Investment Properties and Properties Held for Development",Balance!$C$5:$C$450,0),MATCH(M$108,Balance!$C$5:$BZ$5,0))-INDEX(Balance!$C$5:$BZ$450,MATCH($B117,Balance!$C$5:$C$450,0),MATCH(M$108,Balance!$C$5:$BZ$5,0))</f>
        <v>0</v>
      </c>
      <c r="N122" s="354">
        <f>INDEX(Balance!$C$5:$BZ$450,MATCH("Net Property, Plant and Equipment",Balance!$C$5:$C$450,0),MATCH(N$108,Balance!$C$5:$BZ$5,0))+INDEX(Balance!$C$5:$BZ$450,MATCH("Net Mineral Property Interests and Exploration Assets",Balance!$C$5:$C$450,0),MATCH(N$108,Balance!$C$5:$BZ$5,0))+INDEX(Balance!$C$5:$BZ$450,MATCH("Investment Properties and Properties Held for Development",Balance!$C$5:$C$450,0),MATCH(N$108,Balance!$C$5:$BZ$5,0))-INDEX(Balance!$C$5:$BZ$450,MATCH($B117,Balance!$C$5:$C$450,0),MATCH(N$108,Balance!$C$5:$BZ$5,0))</f>
        <v>0</v>
      </c>
      <c r="O122" s="354">
        <f>INDEX(Balance!$C$5:$BZ$450,MATCH("Net Property, Plant and Equipment",Balance!$C$5:$C$450,0),MATCH(O$108,Balance!$C$5:$BZ$5,0))+INDEX(Balance!$C$5:$BZ$450,MATCH("Net Mineral Property Interests and Exploration Assets",Balance!$C$5:$C$450,0),MATCH(O$108,Balance!$C$5:$BZ$5,0))+INDEX(Balance!$C$5:$BZ$450,MATCH("Investment Properties and Properties Held for Development",Balance!$C$5:$C$450,0),MATCH(O$108,Balance!$C$5:$BZ$5,0))-INDEX(Balance!$C$5:$BZ$450,MATCH($B117,Balance!$C$5:$C$450,0),MATCH(O$108,Balance!$C$5:$BZ$5,0))</f>
        <v>0</v>
      </c>
      <c r="P122" s="354">
        <f>INDEX(Balance!$C$5:$BZ$450,MATCH("Net Property, Plant and Equipment",Balance!$C$5:$C$450,0),MATCH(P$108,Balance!$C$5:$BZ$5,0))+INDEX(Balance!$C$5:$BZ$450,MATCH("Net Mineral Property Interests and Exploration Assets",Balance!$C$5:$C$450,0),MATCH(P$108,Balance!$C$5:$BZ$5,0))+INDEX(Balance!$C$5:$BZ$450,MATCH("Investment Properties and Properties Held for Development",Balance!$C$5:$C$450,0),MATCH(P$108,Balance!$C$5:$BZ$5,0))-INDEX(Balance!$C$5:$BZ$450,MATCH($B117,Balance!$C$5:$C$450,0),MATCH(P$108,Balance!$C$5:$BZ$5,0))</f>
        <v>47.11699999999999</v>
      </c>
      <c r="Q122" s="354">
        <f>INDEX(Balance!$C$5:$BZ$450,MATCH("Net Property, Plant and Equipment",Balance!$C$5:$C$450,0),MATCH(Q$108,Balance!$C$5:$BZ$5,0))+INDEX(Balance!$C$5:$BZ$450,MATCH("Net Mineral Property Interests and Exploration Assets",Balance!$C$5:$C$450,0),MATCH(Q$108,Balance!$C$5:$BZ$5,0))+INDEX(Balance!$C$5:$BZ$450,MATCH("Investment Properties and Properties Held for Development",Balance!$C$5:$C$450,0),MATCH(Q$108,Balance!$C$5:$BZ$5,0))-INDEX(Balance!$C$5:$BZ$450,MATCH($B117,Balance!$C$5:$C$450,0),MATCH(Q$108,Balance!$C$5:$BZ$5,0))</f>
        <v>49.25</v>
      </c>
      <c r="R122" s="354">
        <f>INDEX(Balance!$C$5:$BZ$450,MATCH("Net Property, Plant and Equipment",Balance!$C$5:$C$450,0),MATCH(R$108,Balance!$C$5:$BZ$5,0))+INDEX(Balance!$C$5:$BZ$450,MATCH("Net Mineral Property Interests and Exploration Assets",Balance!$C$5:$C$450,0),MATCH(R$108,Balance!$C$5:$BZ$5,0))+INDEX(Balance!$C$5:$BZ$450,MATCH("Investment Properties and Properties Held for Development",Balance!$C$5:$C$450,0),MATCH(R$108,Balance!$C$5:$BZ$5,0))-INDEX(Balance!$C$5:$BZ$450,MATCH($B117,Balance!$C$5:$C$450,0),MATCH(R$108,Balance!$C$5:$BZ$5,0))</f>
        <v>59.230000000000004</v>
      </c>
      <c r="S122" s="354">
        <f>INDEX(Balance!$C$5:$BZ$450,MATCH("Net Property, Plant and Equipment",Balance!$C$5:$C$450,0),MATCH(S$108,Balance!$C$5:$BZ$5,0))+INDEX(Balance!$C$5:$BZ$450,MATCH("Net Mineral Property Interests and Exploration Assets",Balance!$C$5:$C$450,0),MATCH(S$108,Balance!$C$5:$BZ$5,0))+INDEX(Balance!$C$5:$BZ$450,MATCH("Investment Properties and Properties Held for Development",Balance!$C$5:$C$450,0),MATCH(S$108,Balance!$C$5:$BZ$5,0))-INDEX(Balance!$C$5:$BZ$450,MATCH($B117,Balance!$C$5:$C$450,0),MATCH(S$108,Balance!$C$5:$BZ$5,0))</f>
        <v>171.85300000000001</v>
      </c>
      <c r="T122" s="354">
        <f ca="1">S122-Valuation!S63-Valuation!S61-Valuation!S68*ROIC!T130</f>
        <v>28124.287941571689</v>
      </c>
      <c r="U122" s="354" t="e">
        <f ca="1">T122-Valuation!T63-Valuation!T61-Valuation!T68*ROIC!U130</f>
        <v>#NAME?</v>
      </c>
      <c r="V122" s="354" t="e">
        <f ca="1">U122-Valuation!U63-Valuation!U61-Valuation!U68*ROIC!V130</f>
        <v>#NAME?</v>
      </c>
      <c r="W122" s="354" t="e">
        <f ca="1">V122-Valuation!V63-Valuation!V61-Valuation!V68*ROIC!W130</f>
        <v>#NAME?</v>
      </c>
      <c r="X122" s="354" t="e">
        <f ca="1">W122-Valuation!W63-Valuation!W61-Valuation!W68*ROIC!X130</f>
        <v>#NAME?</v>
      </c>
      <c r="Y122" s="354" t="e">
        <f ca="1">IF(Y108="","",X122-Valuation!X63-Valuation!X61-Valuation!X68*ROIC!Y130)</f>
        <v>#NAME?</v>
      </c>
      <c r="Z122" s="354" t="e">
        <f ca="1">IF(Z108="","",Y122-Valuation!Y63-Valuation!Y61-Valuation!Y68*ROIC!Z130)</f>
        <v>#NAME?</v>
      </c>
      <c r="AA122" s="354" t="e">
        <f ca="1">IF(AA108="","",Z122-Valuation!Z63-Valuation!Z61-Valuation!Z68*ROIC!AA130)</f>
        <v>#NAME?</v>
      </c>
      <c r="AB122" s="354" t="e">
        <f ca="1">IF(AB108="","",AA122-Valuation!AA63-Valuation!AA61-Valuation!AA68*ROIC!AB130)</f>
        <v>#NAME?</v>
      </c>
      <c r="AC122" s="354" t="e">
        <f ca="1">IF(AC108="","",AB122-Valuation!AB63-Valuation!AB61-Valuation!AB68*ROIC!AC130)</f>
        <v>#NAME?</v>
      </c>
      <c r="AD122" s="9"/>
    </row>
    <row r="123" spans="1:30" s="311" customFormat="1">
      <c r="A123" s="10"/>
      <c r="B123" s="9" t="s">
        <v>897</v>
      </c>
      <c r="C123" s="314"/>
      <c r="D123" s="314"/>
      <c r="E123" s="327"/>
      <c r="F123" s="327"/>
      <c r="G123" s="327"/>
      <c r="H123" s="327"/>
      <c r="I123" s="350">
        <f>+I122+I121</f>
        <v>0</v>
      </c>
      <c r="J123" s="355">
        <f t="shared" ref="J123:X123" si="3">+J122+J121</f>
        <v>0</v>
      </c>
      <c r="K123" s="355">
        <f t="shared" si="3"/>
        <v>0</v>
      </c>
      <c r="L123" s="355">
        <f t="shared" si="3"/>
        <v>0</v>
      </c>
      <c r="M123" s="355">
        <f t="shared" si="3"/>
        <v>0</v>
      </c>
      <c r="N123" s="355">
        <f t="shared" si="3"/>
        <v>0</v>
      </c>
      <c r="O123" s="355">
        <f t="shared" si="3"/>
        <v>0</v>
      </c>
      <c r="P123" s="355">
        <f t="shared" si="3"/>
        <v>170.50299999999999</v>
      </c>
      <c r="Q123" s="355">
        <f t="shared" si="3"/>
        <v>150.095</v>
      </c>
      <c r="R123" s="355">
        <f t="shared" si="3"/>
        <v>157.61500000000001</v>
      </c>
      <c r="S123" s="355">
        <f t="shared" si="3"/>
        <v>241.21</v>
      </c>
      <c r="T123" s="355">
        <f t="shared" ca="1" si="3"/>
        <v>28193.644941571689</v>
      </c>
      <c r="U123" s="355" t="e">
        <f t="shared" ca="1" si="3"/>
        <v>#NAME?</v>
      </c>
      <c r="V123" s="355" t="e">
        <f t="shared" ca="1" si="3"/>
        <v>#NAME?</v>
      </c>
      <c r="W123" s="355" t="e">
        <f t="shared" ca="1" si="3"/>
        <v>#NAME?</v>
      </c>
      <c r="X123" s="355" t="e">
        <f t="shared" ca="1" si="3"/>
        <v>#NAME?</v>
      </c>
      <c r="Y123" s="355" t="e">
        <f ca="1">IF(Y108="","",Y122+Y121)</f>
        <v>#NAME?</v>
      </c>
      <c r="Z123" s="355" t="e">
        <f ca="1">IF(Z108="","",Z122+Z121)</f>
        <v>#NAME?</v>
      </c>
      <c r="AA123" s="355" t="e">
        <f ca="1">IF(AA108="","",AA122+AA121)</f>
        <v>#NAME?</v>
      </c>
      <c r="AB123" s="355" t="e">
        <f ca="1">IF(AB108="","",AB122+AB121)</f>
        <v>#NAME?</v>
      </c>
      <c r="AC123" s="355" t="e">
        <f ca="1">IF(AC108="","",AC122+AC121)</f>
        <v>#NAME?</v>
      </c>
      <c r="AD123" s="314"/>
    </row>
    <row r="124" spans="1:30" s="359" customFormat="1">
      <c r="A124" s="10"/>
      <c r="B124" s="356"/>
      <c r="C124" s="344"/>
      <c r="D124" s="344"/>
      <c r="E124" s="357"/>
      <c r="F124" s="357"/>
      <c r="G124" s="357"/>
      <c r="H124" s="357"/>
      <c r="I124" s="357"/>
      <c r="J124" s="357"/>
      <c r="K124" s="357"/>
      <c r="L124" s="357"/>
      <c r="M124" s="357"/>
      <c r="N124" s="357"/>
      <c r="O124" s="357"/>
      <c r="P124" s="357"/>
      <c r="Q124" s="357"/>
      <c r="R124" s="357"/>
      <c r="S124" s="357"/>
      <c r="T124" s="357"/>
      <c r="U124" s="357"/>
      <c r="V124" s="357"/>
      <c r="W124" s="357"/>
      <c r="X124" s="357"/>
      <c r="Y124" s="357"/>
      <c r="Z124" s="357"/>
      <c r="AA124" s="357"/>
      <c r="AB124" s="357"/>
      <c r="AC124" s="357"/>
      <c r="AD124" s="358"/>
    </row>
    <row r="125" spans="1:30" s="359" customFormat="1">
      <c r="A125" s="10"/>
      <c r="B125" s="343" t="s">
        <v>898</v>
      </c>
      <c r="C125" s="360"/>
      <c r="D125" s="360"/>
      <c r="E125" s="361"/>
      <c r="F125" s="361"/>
      <c r="G125" s="361"/>
      <c r="H125" s="361"/>
      <c r="I125" s="362" t="e">
        <f>(I123-I121)/Valuation!H63</f>
        <v>#DIV/0!</v>
      </c>
      <c r="J125" s="363" t="e">
        <f>(J123-J121)/Valuation!I63</f>
        <v>#DIV/0!</v>
      </c>
      <c r="K125" s="363" t="e">
        <f>(K123-K121)/Valuation!J63</f>
        <v>#DIV/0!</v>
      </c>
      <c r="L125" s="363" t="e">
        <f>(L123-L121)/Valuation!K63</f>
        <v>#DIV/0!</v>
      </c>
      <c r="M125" s="363" t="e">
        <f>(M123-M121)/Valuation!L63</f>
        <v>#DIV/0!</v>
      </c>
      <c r="N125" s="363" t="e">
        <f>(N123-N121)/Valuation!M63</f>
        <v>#DIV/0!</v>
      </c>
      <c r="O125" s="363">
        <f>(O123-O121)/Valuation!N63</f>
        <v>0</v>
      </c>
      <c r="P125" s="363">
        <f>(P123-P121)/Valuation!O63</f>
        <v>4.3318408737783737E-4</v>
      </c>
      <c r="Q125" s="363">
        <f>(Q123-Q121)/Valuation!P63</f>
        <v>1.4683083894818437E-3</v>
      </c>
      <c r="R125" s="363">
        <f>(R123-R121)/Valuation!Q63</f>
        <v>1.0226527159086986E-3</v>
      </c>
      <c r="S125" s="363">
        <f>(S123-S121)/Valuation!R63</f>
        <v>1.4167367397075069E-3</v>
      </c>
      <c r="T125" s="363">
        <f ca="1">(T122)/Valuation!S63</f>
        <v>0.24473816030689452</v>
      </c>
      <c r="U125" s="363" t="e">
        <f ca="1">(U122)/Valuation!T63</f>
        <v>#NAME?</v>
      </c>
      <c r="V125" s="363" t="e">
        <f ca="1">(V122)/Valuation!U63</f>
        <v>#NAME?</v>
      </c>
      <c r="W125" s="363" t="e">
        <f ca="1">(W122)/Valuation!V63</f>
        <v>#NAME?</v>
      </c>
      <c r="X125" s="363" t="e">
        <f ca="1">(X122)/Valuation!W63</f>
        <v>#NAME?</v>
      </c>
      <c r="Y125" s="363" t="e">
        <f ca="1">IF(Y108="","",(Y122)/Valuation!X63)</f>
        <v>#NAME?</v>
      </c>
      <c r="Z125" s="363" t="e">
        <f ca="1">IF(Z108="","",(Z122)/Valuation!Y63)</f>
        <v>#NAME?</v>
      </c>
      <c r="AA125" s="363" t="e">
        <f ca="1">IF(AA108="","",(AA122)/Valuation!Z63)</f>
        <v>#NAME?</v>
      </c>
      <c r="AB125" s="363" t="e">
        <f ca="1">IF(AB108="","",(AB122)/Valuation!AA63)</f>
        <v>#NAME?</v>
      </c>
      <c r="AC125" s="363" t="e">
        <f ca="1">IF(AC108="","",(AC122)/Valuation!AB63)</f>
        <v>#NAME?</v>
      </c>
      <c r="AD125" s="358"/>
    </row>
    <row r="126" spans="1:30" s="359" customFormat="1">
      <c r="A126" s="10"/>
      <c r="B126" s="343" t="s">
        <v>899</v>
      </c>
      <c r="C126" s="344"/>
      <c r="D126" s="344"/>
      <c r="E126" s="364"/>
      <c r="F126" s="364"/>
      <c r="G126" s="364"/>
      <c r="H126" s="364"/>
      <c r="I126" s="364" t="e">
        <f>I122/I118</f>
        <v>#DIV/0!</v>
      </c>
      <c r="J126" s="364" t="e">
        <f t="shared" ref="J126:X126" si="4">J122/J118</f>
        <v>#DIV/0!</v>
      </c>
      <c r="K126" s="364" t="e">
        <f t="shared" si="4"/>
        <v>#DIV/0!</v>
      </c>
      <c r="L126" s="364" t="e">
        <f t="shared" si="4"/>
        <v>#DIV/0!</v>
      </c>
      <c r="M126" s="364" t="e">
        <f t="shared" si="4"/>
        <v>#DIV/0!</v>
      </c>
      <c r="N126" s="364" t="e">
        <f t="shared" si="4"/>
        <v>#DIV/0!</v>
      </c>
      <c r="O126" s="364" t="e">
        <f t="shared" si="4"/>
        <v>#DIV/0!</v>
      </c>
      <c r="P126" s="364">
        <f t="shared" si="4"/>
        <v>0.81906996957844391</v>
      </c>
      <c r="Q126" s="364">
        <f t="shared" si="4"/>
        <v>0.66790528628386991</v>
      </c>
      <c r="R126" s="364">
        <f t="shared" si="4"/>
        <v>0.58368481217233648</v>
      </c>
      <c r="S126" s="364">
        <f t="shared" si="4"/>
        <v>0.66903234346045426</v>
      </c>
      <c r="T126" s="364" t="e">
        <f t="shared" ca="1" si="4"/>
        <v>#DIV/0!</v>
      </c>
      <c r="U126" s="364" t="e">
        <f t="shared" ca="1" si="4"/>
        <v>#NAME?</v>
      </c>
      <c r="V126" s="364" t="e">
        <f t="shared" ca="1" si="4"/>
        <v>#NAME?</v>
      </c>
      <c r="W126" s="364" t="e">
        <f t="shared" ca="1" si="4"/>
        <v>#NAME?</v>
      </c>
      <c r="X126" s="364" t="e">
        <f t="shared" ca="1" si="4"/>
        <v>#NAME?</v>
      </c>
      <c r="Y126" s="364" t="e">
        <f ca="1">IF(Y108="","",Y122/Y118)</f>
        <v>#NAME?</v>
      </c>
      <c r="Z126" s="364" t="e">
        <f ca="1">IF(Z108="","",Z122/Z118)</f>
        <v>#NAME?</v>
      </c>
      <c r="AA126" s="364" t="e">
        <f ca="1">IF(AA108="","",AA122/AA118)</f>
        <v>#NAME?</v>
      </c>
      <c r="AB126" s="364" t="e">
        <f ca="1">IF(AB108="","",AB122/AB118)</f>
        <v>#NAME?</v>
      </c>
      <c r="AC126" s="364" t="e">
        <f ca="1">IF(AC108="","",AC122/AC118)</f>
        <v>#NAME?</v>
      </c>
      <c r="AD126" s="358"/>
    </row>
    <row r="127" spans="1:30">
      <c r="B127" s="9"/>
      <c r="C127" s="9"/>
      <c r="D127" s="9"/>
      <c r="E127" s="9"/>
      <c r="F127" s="9"/>
      <c r="G127" s="9"/>
      <c r="H127" s="9"/>
      <c r="I127" s="9"/>
      <c r="J127" s="154"/>
      <c r="K127" s="154"/>
      <c r="L127" s="154"/>
      <c r="M127" s="154"/>
      <c r="N127" s="154"/>
      <c r="O127" s="154"/>
      <c r="P127" s="154"/>
      <c r="Q127" s="154"/>
      <c r="R127" s="154"/>
      <c r="S127" s="154"/>
      <c r="T127" s="154"/>
      <c r="U127" s="154"/>
      <c r="V127" s="154"/>
      <c r="W127" s="154"/>
      <c r="X127" s="154"/>
      <c r="Y127" s="9"/>
      <c r="Z127" s="9"/>
      <c r="AA127" s="9"/>
      <c r="AB127" s="9"/>
      <c r="AC127" s="9"/>
      <c r="AD127" s="9"/>
    </row>
    <row r="128" spans="1:30" s="311" customFormat="1">
      <c r="A128" s="10"/>
      <c r="B128" s="10" t="s">
        <v>900</v>
      </c>
      <c r="E128" s="341"/>
      <c r="F128" s="341"/>
      <c r="G128" s="341"/>
      <c r="H128" s="341"/>
      <c r="I128" s="251"/>
      <c r="J128" s="342"/>
      <c r="K128" s="342"/>
      <c r="L128" s="342"/>
      <c r="M128" s="342"/>
      <c r="N128" s="342"/>
      <c r="O128" s="342"/>
      <c r="P128" s="342"/>
      <c r="Q128" s="342"/>
      <c r="R128" s="342"/>
      <c r="S128" s="342"/>
      <c r="T128" s="314"/>
      <c r="U128" s="314"/>
      <c r="V128" s="314"/>
      <c r="W128" s="314"/>
      <c r="X128" s="314"/>
      <c r="Y128" s="314"/>
      <c r="Z128" s="314"/>
      <c r="AA128" s="314"/>
      <c r="AB128" s="314"/>
      <c r="AC128" s="314"/>
      <c r="AD128" s="314"/>
    </row>
    <row r="129" spans="1:30">
      <c r="B129" s="9" t="s">
        <v>901</v>
      </c>
      <c r="C129" s="314"/>
      <c r="D129" s="314"/>
      <c r="E129" s="9"/>
      <c r="F129" s="9"/>
      <c r="G129" s="9"/>
      <c r="H129" s="9"/>
      <c r="I129" s="9"/>
      <c r="J129" s="9"/>
      <c r="K129" s="9"/>
      <c r="L129" s="9"/>
      <c r="M129" s="9"/>
      <c r="N129" s="9"/>
      <c r="O129" s="9"/>
      <c r="P129" s="9"/>
      <c r="Q129" s="9"/>
      <c r="R129" s="9"/>
      <c r="S129" s="9"/>
      <c r="T129" s="365"/>
      <c r="U129" s="365"/>
      <c r="V129" s="365"/>
      <c r="W129" s="365"/>
      <c r="X129" s="365"/>
      <c r="Y129" s="365"/>
      <c r="Z129" s="365"/>
      <c r="AA129" s="365"/>
      <c r="AB129" s="365"/>
      <c r="AC129" s="365"/>
      <c r="AD129" s="9"/>
    </row>
    <row r="130" spans="1:30">
      <c r="B130" s="9" t="s">
        <v>902</v>
      </c>
      <c r="C130" s="314"/>
      <c r="D130" s="314"/>
      <c r="E130" s="9"/>
      <c r="F130" s="9"/>
      <c r="G130" s="9"/>
      <c r="H130" s="9"/>
      <c r="I130" s="9"/>
      <c r="J130" s="9"/>
      <c r="K130" s="9"/>
      <c r="L130" s="9"/>
      <c r="M130" s="9"/>
      <c r="N130" s="9"/>
      <c r="O130" s="9"/>
      <c r="P130" s="9"/>
      <c r="Q130" s="9"/>
      <c r="R130" s="9"/>
      <c r="S130" s="9"/>
      <c r="T130" s="365"/>
      <c r="U130" s="365"/>
      <c r="V130" s="365"/>
      <c r="W130" s="365"/>
      <c r="X130" s="365"/>
      <c r="Y130" s="365"/>
      <c r="Z130" s="365"/>
      <c r="AA130" s="365"/>
      <c r="AB130" s="365"/>
      <c r="AC130" s="365"/>
      <c r="AD130" s="9"/>
    </row>
    <row r="131" spans="1:30">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row>
    <row r="132" spans="1:30">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row>
    <row r="133" spans="1:30">
      <c r="B133" s="230" t="s">
        <v>46</v>
      </c>
      <c r="C133" s="393"/>
      <c r="D133" s="393"/>
      <c r="E133" s="390"/>
      <c r="F133" s="390"/>
      <c r="G133" s="390"/>
      <c r="H133" s="390"/>
      <c r="I133" s="371">
        <f>INDEX(Balance!$C$5:$BZ$450,MATCH($B133,Balance!$C$5:$C$450,0),MATCH(I$108,Balance!$C$5:$BZ$5,0))</f>
        <v>0</v>
      </c>
      <c r="J133" s="371">
        <f>INDEX(Balance!$C$5:$BZ$450,MATCH($B133,Balance!$C$5:$C$450,0),MATCH(J$108,Balance!$C$5:$BZ$5,0))</f>
        <v>0</v>
      </c>
      <c r="K133" s="371">
        <f>INDEX(Balance!$C$5:$BZ$450,MATCH($B133,Balance!$C$5:$C$450,0),MATCH(K$108,Balance!$C$5:$BZ$5,0))</f>
        <v>0</v>
      </c>
      <c r="L133" s="371">
        <f>INDEX(Balance!$C$5:$BZ$450,MATCH($B133,Balance!$C$5:$C$450,0),MATCH(L$108,Balance!$C$5:$BZ$5,0))</f>
        <v>0</v>
      </c>
      <c r="M133" s="371">
        <f>INDEX(Balance!$C$5:$BZ$450,MATCH($B133,Balance!$C$5:$C$450,0),MATCH(M$108,Balance!$C$5:$BZ$5,0))</f>
        <v>0</v>
      </c>
      <c r="N133" s="371">
        <f>INDEX(Balance!$C$5:$BZ$450,MATCH($B133,Balance!$C$5:$C$450,0),MATCH(N$108,Balance!$C$5:$BZ$5,0))</f>
        <v>0</v>
      </c>
      <c r="O133" s="371">
        <f>INDEX(Balance!$C$5:$BZ$450,MATCH($B133,Balance!$C$5:$C$450,0),MATCH(O$108,Balance!$C$5:$BZ$5,0))</f>
        <v>0</v>
      </c>
      <c r="P133" s="371">
        <f>INDEX(Balance!$C$5:$BZ$450,MATCH($B133,Balance!$C$5:$C$450,0),MATCH(P$108,Balance!$C$5:$BZ$5,0))</f>
        <v>83.381</v>
      </c>
      <c r="Q133" s="371">
        <f>INDEX(Balance!$C$5:$BZ$450,MATCH($B133,Balance!$C$5:$C$450,0),MATCH(Q$108,Balance!$C$5:$BZ$5,0))</f>
        <v>406.42500000000001</v>
      </c>
      <c r="R133" s="371">
        <f>INDEX(Balance!$C$5:$BZ$450,MATCH($B133,Balance!$C$5:$C$450,0),MATCH(R$108,Balance!$C$5:$BZ$5,0))</f>
        <v>249.84800000000001</v>
      </c>
      <c r="S133" s="371">
        <f>INDEX(Balance!$C$5:$BZ$450,MATCH($B133,Balance!$C$5:$C$450,0),MATCH(S$108,Balance!$C$5:$BZ$5,0))</f>
        <v>312.00900000000001</v>
      </c>
      <c r="T133" s="371">
        <f>+S133-Valuation!S68*ROIC!T137</f>
        <v>312.00900000000001</v>
      </c>
      <c r="U133" s="371">
        <f>+T133-Valuation!T68*ROIC!U137</f>
        <v>312.00900000000001</v>
      </c>
      <c r="V133" s="371">
        <f>+U133-Valuation!U68*ROIC!V137</f>
        <v>312.00900000000001</v>
      </c>
      <c r="W133" s="371">
        <f>+V133-Valuation!V68*ROIC!W137</f>
        <v>312.00900000000001</v>
      </c>
      <c r="X133" s="371">
        <f>+W133-Valuation!W68*ROIC!X137</f>
        <v>312.00900000000001</v>
      </c>
      <c r="Y133" s="371">
        <f>IF(Y108="","",X133-Valuation!X68*ROIC!Y137)</f>
        <v>312.00900000000001</v>
      </c>
      <c r="Z133" s="371">
        <f>IF(Z108="","",Y133-Valuation!Y68*ROIC!Z137)</f>
        <v>312.00900000000001</v>
      </c>
      <c r="AA133" s="371">
        <f>IF(AA108="","",Z133-Valuation!Z68*ROIC!AA137)</f>
        <v>312.00900000000001</v>
      </c>
      <c r="AB133" s="371">
        <f>IF(AB108="","",AA133-Valuation!AA68*ROIC!AB137)</f>
        <v>312.00900000000001</v>
      </c>
      <c r="AC133" s="371">
        <f>IF(AC108="","",AB133-Valuation!AB68*ROIC!AC137)</f>
        <v>312.00900000000001</v>
      </c>
      <c r="AD133" s="9"/>
    </row>
    <row r="134" spans="1:30" s="311" customFormat="1">
      <c r="A134" s="10"/>
      <c r="B134" s="10" t="s">
        <v>903</v>
      </c>
      <c r="E134" s="341"/>
      <c r="F134" s="341"/>
      <c r="G134" s="341"/>
      <c r="H134" s="341"/>
      <c r="I134" s="251">
        <f>I133+INDEX(Balance!$C$5:$BZ$450,MATCH("Accumulated Amortization of Intangibles other than Goodwill",Balance!$C$5:$C$450,0),MATCH(I$108,Balance!$C$5:$BZ$5,0))</f>
        <v>0</v>
      </c>
      <c r="J134" s="342">
        <f>J133+INDEX(Balance!$C$5:$BZ$450,MATCH("Accumulated Amortization of Intangibles other than Goodwill",Balance!$C$5:$C$450,0),MATCH(J$108,Balance!$C$5:$BZ$5,0))</f>
        <v>0</v>
      </c>
      <c r="K134" s="342">
        <f>K133+INDEX(Balance!$C$5:$BZ$450,MATCH("Accumulated Amortization of Intangibles other than Goodwill",Balance!$C$5:$C$450,0),MATCH(K$108,Balance!$C$5:$BZ$5,0))</f>
        <v>0</v>
      </c>
      <c r="L134" s="342">
        <f>L133+INDEX(Balance!$C$5:$BZ$450,MATCH("Accumulated Amortization of Intangibles other than Goodwill",Balance!$C$5:$C$450,0),MATCH(L$108,Balance!$C$5:$BZ$5,0))</f>
        <v>0</v>
      </c>
      <c r="M134" s="342">
        <f>M133+INDEX(Balance!$C$5:$BZ$450,MATCH("Accumulated Amortization of Intangibles other than Goodwill",Balance!$C$5:$C$450,0),MATCH(M$108,Balance!$C$5:$BZ$5,0))</f>
        <v>0</v>
      </c>
      <c r="N134" s="342">
        <f>N133+INDEX(Balance!$C$5:$BZ$450,MATCH("Accumulated Amortization of Intangibles other than Goodwill",Balance!$C$5:$C$450,0),MATCH(N$108,Balance!$C$5:$BZ$5,0))</f>
        <v>0</v>
      </c>
      <c r="O134" s="342">
        <f>O133+INDEX(Balance!$C$5:$BZ$450,MATCH("Accumulated Amortization of Intangibles other than Goodwill",Balance!$C$5:$C$450,0),MATCH(O$108,Balance!$C$5:$BZ$5,0))</f>
        <v>0</v>
      </c>
      <c r="P134" s="342">
        <f>P133+INDEX(Balance!$C$5:$BZ$450,MATCH("Accumulated Amortization of Intangibles other than Goodwill",Balance!$C$5:$C$450,0),MATCH(P$108,Balance!$C$5:$BZ$5,0))</f>
        <v>70.137</v>
      </c>
      <c r="Q134" s="342">
        <f>Q133+INDEX(Balance!$C$5:$BZ$450,MATCH("Accumulated Amortization of Intangibles other than Goodwill",Balance!$C$5:$C$450,0),MATCH(Q$108,Balance!$C$5:$BZ$5,0))</f>
        <v>376.91899999999998</v>
      </c>
      <c r="R134" s="342">
        <f>R133+INDEX(Balance!$C$5:$BZ$450,MATCH("Accumulated Amortization of Intangibles other than Goodwill",Balance!$C$5:$C$450,0),MATCH(R$108,Balance!$C$5:$BZ$5,0))</f>
        <v>176.68900000000002</v>
      </c>
      <c r="S134" s="342">
        <f>S133+INDEX(Balance!$C$5:$BZ$450,MATCH("Accumulated Amortization of Intangibles other than Goodwill",Balance!$C$5:$C$450,0),MATCH(S$108,Balance!$C$5:$BZ$5,0))</f>
        <v>135.429</v>
      </c>
      <c r="T134" s="342">
        <f>+S134-Valuation!S68*ROIC!T137-Valuation!S64</f>
        <v>-138095.571</v>
      </c>
      <c r="U134" s="342">
        <f>+T134-Valuation!T68*ROIC!U137-Valuation!T64</f>
        <v>-268436.571</v>
      </c>
      <c r="V134" s="342">
        <f>+U134-Valuation!U68*ROIC!V137-Valuation!U64</f>
        <v>-395917.571</v>
      </c>
      <c r="W134" s="342">
        <f>+V134-Valuation!V68*ROIC!W137-Valuation!V64</f>
        <v>-519960.571</v>
      </c>
      <c r="X134" s="342">
        <f>+W134-Valuation!W68*ROIC!X137-Valuation!W64</f>
        <v>-643484.571</v>
      </c>
      <c r="Y134" s="342">
        <f>IF(Y108="","",X134-Valuation!X68*ROIC!Y137-Valuation!X64)</f>
        <v>-760832.37100000004</v>
      </c>
      <c r="Z134" s="342">
        <f>IF(Z108="","",Y134-Valuation!Y68*ROIC!Z137-Valuation!Y64)</f>
        <v>-872312.78100000008</v>
      </c>
      <c r="AA134" s="342">
        <f>IF(AA108="","",Z134-Valuation!Z68*ROIC!AA137-Valuation!Z64)</f>
        <v>-978219.17050000001</v>
      </c>
      <c r="AB134" s="342">
        <f>IF(AB108="","",AA134-Valuation!AA68*ROIC!AB137-Valuation!AA64)</f>
        <v>-1078830.240525</v>
      </c>
      <c r="AC134" s="342">
        <f>IF(AC108="","",AB134-Valuation!AB68*ROIC!AC137-Valuation!AB64)</f>
        <v>-1174410.7570487501</v>
      </c>
      <c r="AD134" s="314"/>
    </row>
    <row r="135" spans="1:30" s="359" customFormat="1">
      <c r="A135" s="10"/>
      <c r="B135" s="343" t="s">
        <v>904</v>
      </c>
      <c r="C135" s="344"/>
      <c r="D135" s="344"/>
      <c r="E135" s="357"/>
      <c r="F135" s="357"/>
      <c r="G135" s="357"/>
      <c r="H135" s="357"/>
      <c r="I135" s="366" t="e">
        <f>I134/Valuation!H64</f>
        <v>#DIV/0!</v>
      </c>
      <c r="J135" s="367" t="e">
        <f>J134/Valuation!I64</f>
        <v>#DIV/0!</v>
      </c>
      <c r="K135" s="367" t="e">
        <f>K134/Valuation!J64</f>
        <v>#DIV/0!</v>
      </c>
      <c r="L135" s="367" t="e">
        <f>L134/Valuation!K64</f>
        <v>#DIV/0!</v>
      </c>
      <c r="M135" s="367" t="e">
        <f>M134/Valuation!L64</f>
        <v>#DIV/0!</v>
      </c>
      <c r="N135" s="367" t="e">
        <f>N134/Valuation!M64</f>
        <v>#DIV/0!</v>
      </c>
      <c r="O135" s="367" t="e">
        <f>O134/Valuation!N64</f>
        <v>#DIV/0!</v>
      </c>
      <c r="P135" s="367">
        <f>P134/Valuation!O64</f>
        <v>1.5482781456953643E-3</v>
      </c>
      <c r="Q135" s="367">
        <f>Q134/Valuation!P64</f>
        <v>3.5524882186616399E-3</v>
      </c>
      <c r="R135" s="367">
        <f>R134/Valuation!Q64</f>
        <v>2.5386350574712647E-3</v>
      </c>
      <c r="S135" s="367">
        <f>S134/Valuation!R64</f>
        <v>2.0175341894347943E-3</v>
      </c>
      <c r="T135" s="367">
        <f>T134/Valuation!S64</f>
        <v>-0.99902027041691077</v>
      </c>
      <c r="U135" s="367">
        <f>U134/Valuation!T64</f>
        <v>-2.0594944875365386</v>
      </c>
      <c r="V135" s="367">
        <f>V134/Valuation!U64</f>
        <v>-3.1056986609769299</v>
      </c>
      <c r="W135" s="367">
        <f>W134/Valuation!V64</f>
        <v>-4.1917768112670606</v>
      </c>
      <c r="X135" s="367">
        <f>X134/Valuation!W64</f>
        <v>-5.2093890337100479</v>
      </c>
      <c r="Y135" s="367">
        <f>IF(Y108="","",Y134/Valuation!X64)</f>
        <v>-6.4835674039053153</v>
      </c>
      <c r="Z135" s="367">
        <f>IF(Z108="","",Z134/Valuation!Y64)</f>
        <v>-7.8248077935845428</v>
      </c>
      <c r="AA135" s="367">
        <f>IF(AA108="","",AA134/Valuation!Z64)</f>
        <v>-9.2366397827205695</v>
      </c>
      <c r="AB135" s="367">
        <f>IF(AB108="","",AB134/Valuation!AA64)</f>
        <v>-10.722778718653233</v>
      </c>
      <c r="AC135" s="367">
        <f>IF(AC108="","",AC134/Valuation!AB64)</f>
        <v>-12.287135493319195</v>
      </c>
      <c r="AD135" s="358"/>
    </row>
    <row r="136" spans="1:30" s="359" customFormat="1">
      <c r="A136" s="10"/>
      <c r="B136" s="343" t="s">
        <v>905</v>
      </c>
      <c r="C136" s="344"/>
      <c r="D136" s="344"/>
      <c r="E136" s="368"/>
      <c r="F136" s="368"/>
      <c r="G136" s="368"/>
      <c r="H136" s="368"/>
      <c r="I136" s="368" t="str">
        <f>IFERROR(I134/I133,"")</f>
        <v/>
      </c>
      <c r="J136" s="368" t="str">
        <f>IFERROR(J134/J133,"")</f>
        <v/>
      </c>
      <c r="K136" s="368" t="str">
        <f t="shared" ref="K136:AC136" si="5">IFERROR(K134/K133,"")</f>
        <v/>
      </c>
      <c r="L136" s="368" t="str">
        <f t="shared" si="5"/>
        <v/>
      </c>
      <c r="M136" s="368" t="str">
        <f t="shared" si="5"/>
        <v/>
      </c>
      <c r="N136" s="368" t="str">
        <f t="shared" si="5"/>
        <v/>
      </c>
      <c r="O136" s="368" t="str">
        <f t="shared" si="5"/>
        <v/>
      </c>
      <c r="P136" s="368">
        <f t="shared" si="5"/>
        <v>0.84116285484702746</v>
      </c>
      <c r="Q136" s="368">
        <f t="shared" si="5"/>
        <v>0.92740111951774618</v>
      </c>
      <c r="R136" s="368">
        <f t="shared" si="5"/>
        <v>0.70718596906919406</v>
      </c>
      <c r="S136" s="368">
        <f t="shared" si="5"/>
        <v>0.43405478688114763</v>
      </c>
      <c r="T136" s="368">
        <f t="shared" si="5"/>
        <v>-442.60124227185753</v>
      </c>
      <c r="U136" s="368">
        <f t="shared" si="5"/>
        <v>-860.34880724594473</v>
      </c>
      <c r="V136" s="368">
        <f t="shared" si="5"/>
        <v>-1268.9299699688149</v>
      </c>
      <c r="W136" s="368">
        <f t="shared" si="5"/>
        <v>-1666.4922197757114</v>
      </c>
      <c r="X136" s="368">
        <f t="shared" si="5"/>
        <v>-2062.3910560272298</v>
      </c>
      <c r="Y136" s="368">
        <f t="shared" si="5"/>
        <v>-2438.4949504661727</v>
      </c>
      <c r="Z136" s="368">
        <f t="shared" si="5"/>
        <v>-2795.7936501831678</v>
      </c>
      <c r="AA136" s="368">
        <f t="shared" si="5"/>
        <v>-3135.2274149143132</v>
      </c>
      <c r="AB136" s="368">
        <f t="shared" si="5"/>
        <v>-3457.6894914089016</v>
      </c>
      <c r="AC136" s="368">
        <f t="shared" si="5"/>
        <v>-3764.0284640787604</v>
      </c>
      <c r="AD136" s="358"/>
    </row>
    <row r="137" spans="1:30">
      <c r="B137" s="98" t="s">
        <v>906</v>
      </c>
      <c r="C137" s="202"/>
      <c r="D137" s="202"/>
      <c r="E137" s="237" t="s">
        <v>875</v>
      </c>
      <c r="F137" s="237" t="s">
        <v>907</v>
      </c>
      <c r="G137" s="98"/>
      <c r="H137" s="9"/>
      <c r="I137" s="9"/>
      <c r="J137" s="9"/>
      <c r="K137" s="9"/>
      <c r="L137" s="9"/>
      <c r="M137" s="9"/>
      <c r="N137" s="9"/>
      <c r="O137" s="9"/>
      <c r="P137" s="9"/>
      <c r="Q137" s="9"/>
      <c r="R137" s="9"/>
      <c r="S137" s="9"/>
      <c r="T137" s="365"/>
      <c r="U137" s="365"/>
      <c r="V137" s="365"/>
      <c r="W137" s="365"/>
      <c r="X137" s="365"/>
      <c r="Y137" s="365"/>
      <c r="Z137" s="365"/>
      <c r="AA137" s="365"/>
      <c r="AB137" s="365"/>
      <c r="AC137" s="365"/>
      <c r="AD137" s="9"/>
    </row>
    <row r="138" spans="1:30">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row>
    <row r="139" spans="1:30">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row>
    <row r="140" spans="1:30" s="311" customFormat="1">
      <c r="A140" s="10"/>
      <c r="B140" s="10" t="s">
        <v>47</v>
      </c>
      <c r="E140" s="341"/>
      <c r="F140" s="341"/>
      <c r="G140" s="341"/>
      <c r="H140" s="341"/>
      <c r="I140" s="251">
        <f>INDEX(Balance!$C$5:$BZ$450,MATCH($B140,Balance!$C$5:$C$450,0),MATCH(I$108,Balance!$C$5:$BZ$5,0))+INDEX(Balance!$C$5:$BZ$450,MATCH("Accumulated Amortization of Goodwill",Balance!$C$5:$C$450,0),MATCH(I$108,Balance!$C$5:$BZ$5,0))</f>
        <v>0</v>
      </c>
      <c r="J140" s="342">
        <f>INDEX(Balance!$C$5:$BZ$450,MATCH($B140,Balance!$C$5:$C$450,0),MATCH(J$108,Balance!$C$5:$BZ$5,0))+INDEX(Balance!$C$5:$BZ$450,MATCH("Accumulated Amortization of Goodwill",Balance!$C$5:$C$450,0),MATCH(J$108,Balance!$C$5:$BZ$5,0))</f>
        <v>0</v>
      </c>
      <c r="K140" s="342">
        <f>INDEX(Balance!$C$5:$BZ$450,MATCH($B140,Balance!$C$5:$C$450,0),MATCH(K$108,Balance!$C$5:$BZ$5,0))+INDEX(Balance!$C$5:$BZ$450,MATCH("Accumulated Amortization of Goodwill",Balance!$C$5:$C$450,0),MATCH(K$108,Balance!$C$5:$BZ$5,0))</f>
        <v>0</v>
      </c>
      <c r="L140" s="342">
        <f>INDEX(Balance!$C$5:$BZ$450,MATCH($B140,Balance!$C$5:$C$450,0),MATCH(L$108,Balance!$C$5:$BZ$5,0))+INDEX(Balance!$C$5:$BZ$450,MATCH("Accumulated Amortization of Goodwill",Balance!$C$5:$C$450,0),MATCH(L$108,Balance!$C$5:$BZ$5,0))</f>
        <v>0</v>
      </c>
      <c r="M140" s="342">
        <f>INDEX(Balance!$C$5:$BZ$450,MATCH($B140,Balance!$C$5:$C$450,0),MATCH(M$108,Balance!$C$5:$BZ$5,0))+INDEX(Balance!$C$5:$BZ$450,MATCH("Accumulated Amortization of Goodwill",Balance!$C$5:$C$450,0),MATCH(M$108,Balance!$C$5:$BZ$5,0))</f>
        <v>0</v>
      </c>
      <c r="N140" s="342">
        <f>INDEX(Balance!$C$5:$BZ$450,MATCH($B140,Balance!$C$5:$C$450,0),MATCH(N$108,Balance!$C$5:$BZ$5,0))+INDEX(Balance!$C$5:$BZ$450,MATCH("Accumulated Amortization of Goodwill",Balance!$C$5:$C$450,0),MATCH(N$108,Balance!$C$5:$BZ$5,0))</f>
        <v>0</v>
      </c>
      <c r="O140" s="342">
        <f>INDEX(Balance!$C$5:$BZ$450,MATCH($B140,Balance!$C$5:$C$450,0),MATCH(O$108,Balance!$C$5:$BZ$5,0))+INDEX(Balance!$C$5:$BZ$450,MATCH("Accumulated Amortization of Goodwill",Balance!$C$5:$C$450,0),MATCH(O$108,Balance!$C$5:$BZ$5,0))</f>
        <v>0</v>
      </c>
      <c r="P140" s="342">
        <f>INDEX(Balance!$C$5:$BZ$450,MATCH($B140,Balance!$C$5:$C$450,0),MATCH(P$108,Balance!$C$5:$BZ$5,0))+INDEX(Balance!$C$5:$BZ$450,MATCH("Accumulated Amortization of Goodwill",Balance!$C$5:$C$450,0),MATCH(P$108,Balance!$C$5:$BZ$5,0))</f>
        <v>54.695999999999998</v>
      </c>
      <c r="Q140" s="342">
        <f>INDEX(Balance!$C$5:$BZ$450,MATCH($B140,Balance!$C$5:$C$450,0),MATCH(Q$108,Balance!$C$5:$BZ$5,0))+INDEX(Balance!$C$5:$BZ$450,MATCH("Accumulated Amortization of Goodwill",Balance!$C$5:$C$450,0),MATCH(Q$108,Balance!$C$5:$BZ$5,0))</f>
        <v>77.212000000000003</v>
      </c>
      <c r="R140" s="342">
        <f>INDEX(Balance!$C$5:$BZ$450,MATCH($B140,Balance!$C$5:$C$450,0),MATCH(R$108,Balance!$C$5:$BZ$5,0))+INDEX(Balance!$C$5:$BZ$450,MATCH("Accumulated Amortization of Goodwill",Balance!$C$5:$C$450,0),MATCH(R$108,Balance!$C$5:$BZ$5,0))</f>
        <v>625.75800000000004</v>
      </c>
      <c r="S140" s="342">
        <f>INDEX(Balance!$C$5:$BZ$450,MATCH($B140,Balance!$C$5:$C$450,0),MATCH(S$108,Balance!$C$5:$BZ$5,0))+INDEX(Balance!$C$5:$BZ$450,MATCH("Accumulated Amortization of Goodwill",Balance!$C$5:$C$450,0),MATCH(S$108,Balance!$C$5:$BZ$5,0))</f>
        <v>1073.9059999999999</v>
      </c>
      <c r="T140" s="342"/>
      <c r="U140" s="342"/>
      <c r="V140" s="342"/>
      <c r="W140" s="342"/>
      <c r="X140" s="342"/>
      <c r="Y140" s="342"/>
      <c r="Z140" s="342"/>
      <c r="AA140" s="342"/>
      <c r="AB140" s="342"/>
      <c r="AC140" s="342"/>
      <c r="AD140" s="314"/>
    </row>
    <row r="141" spans="1:30">
      <c r="B141" s="9" t="s">
        <v>908</v>
      </c>
      <c r="C141" s="314"/>
      <c r="D141" s="314"/>
      <c r="E141" s="9" t="s">
        <v>877</v>
      </c>
      <c r="F141" s="9" t="s">
        <v>909</v>
      </c>
      <c r="G141" s="9"/>
      <c r="H141" s="9"/>
      <c r="I141" s="9"/>
      <c r="J141" s="9"/>
      <c r="K141" s="9"/>
      <c r="L141" s="9"/>
      <c r="M141" s="9"/>
      <c r="N141" s="9"/>
      <c r="O141" s="9"/>
      <c r="P141" s="9"/>
      <c r="Q141" s="9"/>
      <c r="R141" s="9"/>
      <c r="S141" s="9"/>
      <c r="T141" s="365"/>
      <c r="U141" s="365"/>
      <c r="V141" s="365"/>
      <c r="W141" s="365"/>
      <c r="X141" s="365"/>
      <c r="Y141" s="365"/>
      <c r="Z141" s="365"/>
      <c r="AA141" s="365"/>
      <c r="AB141" s="365"/>
      <c r="AC141" s="365"/>
      <c r="AD141" s="9"/>
    </row>
    <row r="142" spans="1:30">
      <c r="B142" s="9"/>
      <c r="C142" s="9"/>
      <c r="D142" s="9"/>
      <c r="E142" s="9"/>
      <c r="F142" s="9"/>
      <c r="G142" s="9"/>
      <c r="H142" s="9"/>
      <c r="I142" s="9"/>
      <c r="J142" s="9"/>
      <c r="K142" s="9"/>
      <c r="L142" s="9"/>
      <c r="M142" s="9"/>
      <c r="N142" s="9"/>
      <c r="O142" s="9"/>
      <c r="P142" s="9"/>
      <c r="Q142" s="9"/>
      <c r="R142" s="9"/>
      <c r="S142" s="9"/>
      <c r="T142" s="369" t="str">
        <f t="shared" ref="T142:AC142" si="6">IF(T141+T130+T137&gt;1,"Alloc.&gt;100%!","")</f>
        <v/>
      </c>
      <c r="U142" s="369" t="str">
        <f t="shared" si="6"/>
        <v/>
      </c>
      <c r="V142" s="369" t="str">
        <f t="shared" si="6"/>
        <v/>
      </c>
      <c r="W142" s="369" t="str">
        <f t="shared" si="6"/>
        <v/>
      </c>
      <c r="X142" s="369" t="str">
        <f t="shared" si="6"/>
        <v/>
      </c>
      <c r="Y142" s="369" t="str">
        <f t="shared" si="6"/>
        <v/>
      </c>
      <c r="Z142" s="369" t="str">
        <f t="shared" si="6"/>
        <v/>
      </c>
      <c r="AA142" s="369" t="str">
        <f t="shared" si="6"/>
        <v/>
      </c>
      <c r="AB142" s="369" t="str">
        <f t="shared" si="6"/>
        <v/>
      </c>
      <c r="AC142" s="369" t="str">
        <f t="shared" si="6"/>
        <v/>
      </c>
      <c r="AD142" s="9"/>
    </row>
    <row r="143" spans="1:30">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row>
    <row r="144" spans="1:30">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row>
    <row r="145" spans="1:32" s="311" customFormat="1">
      <c r="A145" s="10"/>
      <c r="B145" s="10" t="s">
        <v>104</v>
      </c>
      <c r="E145" s="341"/>
      <c r="F145" s="341"/>
      <c r="G145" s="341"/>
      <c r="H145" s="341"/>
      <c r="I145" s="251">
        <f>INDEX(Income!$C$5:$BZ$450,MATCH($B145,Income!$C$5:$C$450,0),MATCH(I$108,Income!$C$5:$BZ$5,0))</f>
        <v>0</v>
      </c>
      <c r="J145" s="342">
        <f>INDEX(Income!$C$5:$BZ$450,MATCH($B145,Income!$C$5:$C$450,0),MATCH(J$108,Income!$C$5:$BZ$5,0))</f>
        <v>0</v>
      </c>
      <c r="K145" s="342">
        <f>INDEX(Income!$C$5:$BZ$450,MATCH($B145,Income!$C$5:$C$450,0),MATCH(K$108,Income!$C$5:$BZ$5,0))</f>
        <v>0</v>
      </c>
      <c r="L145" s="342">
        <f>INDEX(Income!$C$5:$BZ$450,MATCH($B145,Income!$C$5:$C$450,0),MATCH(L$108,Income!$C$5:$BZ$5,0))</f>
        <v>0</v>
      </c>
      <c r="M145" s="342">
        <f>INDEX(Income!$C$5:$BZ$450,MATCH($B145,Income!$C$5:$C$450,0),MATCH(M$108,Income!$C$5:$BZ$5,0))</f>
        <v>0</v>
      </c>
      <c r="N145" s="342">
        <f>INDEX(Income!$C$5:$BZ$450,MATCH($B145,Income!$C$5:$C$450,0),MATCH(N$108,Income!$C$5:$BZ$5,0))</f>
        <v>0</v>
      </c>
      <c r="O145" s="342">
        <f>INDEX(Income!$C$5:$BZ$450,MATCH($B145,Income!$C$5:$C$450,0),MATCH(O$108,Income!$C$5:$BZ$5,0))</f>
        <v>0</v>
      </c>
      <c r="P145" s="342">
        <f>INDEX(Income!$C$5:$BZ$450,MATCH($B145,Income!$C$5:$C$450,0),MATCH(P$108,Income!$C$5:$BZ$5,0))</f>
        <v>185.04400000000001</v>
      </c>
      <c r="Q145" s="342">
        <f>INDEX(Income!$C$5:$BZ$450,MATCH($B145,Income!$C$5:$C$450,0),MATCH(Q$108,Income!$C$5:$BZ$5,0))</f>
        <v>271.73200000000003</v>
      </c>
      <c r="R145" s="342">
        <f>INDEX(Income!$C$5:$BZ$450,MATCH($B145,Income!$C$5:$C$450,0),MATCH(R$108,Income!$C$5:$BZ$5,0))</f>
        <v>1291.5609999999999</v>
      </c>
      <c r="S145" s="342">
        <f>INDEX(Income!$C$5:$BZ$450,MATCH($B145,Income!$C$5:$C$450,0),MATCH(S$108,Income!$C$5:$BZ$5,0))</f>
        <v>2326.3539999999998</v>
      </c>
      <c r="T145" s="342"/>
      <c r="U145" s="342"/>
      <c r="V145" s="342"/>
      <c r="W145" s="342"/>
      <c r="X145" s="342"/>
      <c r="Y145" s="342"/>
      <c r="Z145" s="342"/>
      <c r="AA145" s="342"/>
      <c r="AB145" s="342"/>
      <c r="AC145" s="342"/>
      <c r="AD145" s="314"/>
    </row>
    <row r="146" spans="1:32" s="311" customFormat="1">
      <c r="A146" s="10"/>
      <c r="B146" s="356"/>
      <c r="C146" s="344"/>
      <c r="D146" s="344"/>
      <c r="E146" s="370"/>
      <c r="F146" s="327"/>
      <c r="G146" s="327"/>
      <c r="H146" s="327"/>
      <c r="I146" s="327"/>
      <c r="J146" s="327"/>
      <c r="K146" s="327"/>
      <c r="L146" s="327"/>
      <c r="M146" s="327"/>
      <c r="N146" s="327"/>
      <c r="O146" s="327"/>
      <c r="P146" s="327"/>
      <c r="Q146" s="327"/>
      <c r="R146" s="327"/>
      <c r="S146" s="327"/>
      <c r="T146" s="314"/>
      <c r="U146" s="314"/>
      <c r="V146" s="314"/>
      <c r="W146" s="314"/>
      <c r="X146" s="314"/>
      <c r="Y146" s="314"/>
      <c r="Z146" s="314"/>
      <c r="AA146" s="314"/>
      <c r="AB146" s="314"/>
      <c r="AC146" s="314"/>
      <c r="AD146" s="314"/>
    </row>
    <row r="147" spans="1:32" s="311" customFormat="1">
      <c r="A147" s="10"/>
      <c r="B147" s="9" t="s">
        <v>910</v>
      </c>
      <c r="C147" s="41"/>
      <c r="D147" s="41"/>
      <c r="E147" s="327"/>
      <c r="F147" s="327"/>
      <c r="G147" s="327"/>
      <c r="H147" s="327"/>
      <c r="I147" s="371">
        <f>H150</f>
        <v>0</v>
      </c>
      <c r="J147" s="372">
        <f t="shared" ref="J147:X147" si="7">I150</f>
        <v>0</v>
      </c>
      <c r="K147" s="350">
        <f t="shared" si="7"/>
        <v>0</v>
      </c>
      <c r="L147" s="350">
        <f t="shared" si="7"/>
        <v>0</v>
      </c>
      <c r="M147" s="350">
        <f t="shared" si="7"/>
        <v>0</v>
      </c>
      <c r="N147" s="350">
        <f t="shared" si="7"/>
        <v>0</v>
      </c>
      <c r="O147" s="350">
        <f t="shared" si="7"/>
        <v>0</v>
      </c>
      <c r="P147" s="350">
        <f t="shared" si="7"/>
        <v>0</v>
      </c>
      <c r="Q147" s="350">
        <f t="shared" si="7"/>
        <v>185.04400000000001</v>
      </c>
      <c r="R147" s="350">
        <f t="shared" si="7"/>
        <v>438.27160000000003</v>
      </c>
      <c r="S147" s="350">
        <f t="shared" si="7"/>
        <v>1684.155</v>
      </c>
      <c r="T147" s="350">
        <f t="shared" si="7"/>
        <v>3835.6752999999999</v>
      </c>
      <c r="U147" s="350">
        <f t="shared" si="7"/>
        <v>3428.2061999999996</v>
      </c>
      <c r="V147" s="350">
        <f t="shared" si="7"/>
        <v>3020.7371000000003</v>
      </c>
      <c r="W147" s="350">
        <f t="shared" si="7"/>
        <v>2613.268</v>
      </c>
      <c r="X147" s="350">
        <f t="shared" si="7"/>
        <v>2205.7989000000002</v>
      </c>
      <c r="Y147" s="350">
        <f>IF(Y108="","",X150)</f>
        <v>1798.3298000000004</v>
      </c>
      <c r="Z147" s="350">
        <f>IF(Z108="","",Y150)</f>
        <v>1390.8607000000004</v>
      </c>
      <c r="AA147" s="350">
        <f>IF(AA108="","",Z150)</f>
        <v>983.39160000000049</v>
      </c>
      <c r="AB147" s="350">
        <f>IF(AB108="","",AA150)</f>
        <v>594.42690000000061</v>
      </c>
      <c r="AC147" s="350">
        <f>IF(AC108="","",AB150)</f>
        <v>232.6354000000006</v>
      </c>
      <c r="AD147" s="314"/>
    </row>
    <row r="148" spans="1:32" s="311" customFormat="1">
      <c r="A148" s="10"/>
      <c r="B148" s="9" t="s">
        <v>911</v>
      </c>
      <c r="C148" s="314"/>
      <c r="D148" s="314"/>
      <c r="E148" s="327"/>
      <c r="F148" s="327"/>
      <c r="G148" s="327"/>
      <c r="H148" s="327"/>
      <c r="I148" s="350">
        <f>+I150-I147-I149</f>
        <v>0</v>
      </c>
      <c r="J148" s="350">
        <f t="shared" ref="J148:X148" si="8">+J150-J147-J149</f>
        <v>0</v>
      </c>
      <c r="K148" s="350">
        <f t="shared" si="8"/>
        <v>0</v>
      </c>
      <c r="L148" s="350">
        <f t="shared" si="8"/>
        <v>0</v>
      </c>
      <c r="M148" s="350">
        <f t="shared" si="8"/>
        <v>0</v>
      </c>
      <c r="N148" s="350">
        <f t="shared" si="8"/>
        <v>0</v>
      </c>
      <c r="O148" s="350">
        <f t="shared" si="8"/>
        <v>0</v>
      </c>
      <c r="P148" s="350">
        <f t="shared" si="8"/>
        <v>0</v>
      </c>
      <c r="Q148" s="350">
        <f t="shared" si="8"/>
        <v>-18.504400000000004</v>
      </c>
      <c r="R148" s="350">
        <f t="shared" si="8"/>
        <v>-45.677599999999984</v>
      </c>
      <c r="S148" s="350">
        <f t="shared" si="8"/>
        <v>-174.83369999999968</v>
      </c>
      <c r="T148" s="350">
        <f t="shared" si="8"/>
        <v>-407.46910000000025</v>
      </c>
      <c r="U148" s="350">
        <f t="shared" si="8"/>
        <v>-407.46909999999934</v>
      </c>
      <c r="V148" s="350">
        <f t="shared" si="8"/>
        <v>-407.46910000000025</v>
      </c>
      <c r="W148" s="350">
        <f t="shared" si="8"/>
        <v>-407.4690999999998</v>
      </c>
      <c r="X148" s="350">
        <f t="shared" si="8"/>
        <v>-407.4690999999998</v>
      </c>
      <c r="Y148" s="350">
        <f>IF(Y108="","",Y150-Y147-Y149)</f>
        <v>-407.46910000000003</v>
      </c>
      <c r="Z148" s="350">
        <f>IF(Z108="","",Z150-Z147-Z149)</f>
        <v>-407.46909999999991</v>
      </c>
      <c r="AA148" s="350">
        <f>IF(AA108="","",AA150-AA147-AA149)</f>
        <v>-388.96469999999988</v>
      </c>
      <c r="AB148" s="350">
        <f>IF(AB108="","",AB150-AB147-AB149)</f>
        <v>-361.79150000000004</v>
      </c>
      <c r="AC148" s="350">
        <f>IF(AC108="","",AC150-AC147-AC149)</f>
        <v>-232.63540000000043</v>
      </c>
      <c r="AD148" s="314"/>
    </row>
    <row r="149" spans="1:32" s="311" customFormat="1">
      <c r="A149" s="10"/>
      <c r="B149" s="9" t="s">
        <v>912</v>
      </c>
      <c r="C149" s="314"/>
      <c r="D149" s="314"/>
      <c r="E149" s="327"/>
      <c r="F149" s="327"/>
      <c r="G149" s="327"/>
      <c r="H149" s="327"/>
      <c r="I149" s="350">
        <f>I145*$C$31</f>
        <v>0</v>
      </c>
      <c r="J149" s="350">
        <f t="shared" ref="J149:X149" si="9">J145*$C$31</f>
        <v>0</v>
      </c>
      <c r="K149" s="350">
        <f t="shared" si="9"/>
        <v>0</v>
      </c>
      <c r="L149" s="350">
        <f t="shared" si="9"/>
        <v>0</v>
      </c>
      <c r="M149" s="350">
        <f t="shared" si="9"/>
        <v>0</v>
      </c>
      <c r="N149" s="350">
        <f t="shared" si="9"/>
        <v>0</v>
      </c>
      <c r="O149" s="350">
        <f t="shared" si="9"/>
        <v>0</v>
      </c>
      <c r="P149" s="350">
        <f t="shared" si="9"/>
        <v>185.04400000000001</v>
      </c>
      <c r="Q149" s="350">
        <f t="shared" si="9"/>
        <v>271.73200000000003</v>
      </c>
      <c r="R149" s="350">
        <f t="shared" si="9"/>
        <v>1291.5609999999999</v>
      </c>
      <c r="S149" s="350">
        <f t="shared" si="9"/>
        <v>2326.3539999999998</v>
      </c>
      <c r="T149" s="350">
        <f t="shared" si="9"/>
        <v>0</v>
      </c>
      <c r="U149" s="350">
        <f t="shared" si="9"/>
        <v>0</v>
      </c>
      <c r="V149" s="350">
        <f t="shared" si="9"/>
        <v>0</v>
      </c>
      <c r="W149" s="350">
        <f t="shared" si="9"/>
        <v>0</v>
      </c>
      <c r="X149" s="350">
        <f t="shared" si="9"/>
        <v>0</v>
      </c>
      <c r="Y149" s="350">
        <f>IF(Y108="","",Y145*$C$31)</f>
        <v>0</v>
      </c>
      <c r="Z149" s="350">
        <f>IF(Z108="","",Z145*$C$31)</f>
        <v>0</v>
      </c>
      <c r="AA149" s="350">
        <f>IF(AA108="","",AA145*$C$31)</f>
        <v>0</v>
      </c>
      <c r="AB149" s="350">
        <f>IF(AB108="","",AB145*$C$31)</f>
        <v>0</v>
      </c>
      <c r="AC149" s="350">
        <f>IF(AC108="","",AC145*$C$31)</f>
        <v>0</v>
      </c>
      <c r="AD149" s="314"/>
    </row>
    <row r="150" spans="1:32" s="380" customFormat="1">
      <c r="A150" s="10"/>
      <c r="B150" s="47" t="s">
        <v>913</v>
      </c>
      <c r="C150" s="373"/>
      <c r="D150" s="373"/>
      <c r="E150" s="374"/>
      <c r="F150" s="374"/>
      <c r="G150" s="374"/>
      <c r="H150" s="374"/>
      <c r="I150" s="375">
        <f>SUM(I152:I176)</f>
        <v>0</v>
      </c>
      <c r="J150" s="376">
        <f t="shared" ref="J150:X150" si="10">SUM(J152:J176)</f>
        <v>0</v>
      </c>
      <c r="K150" s="376">
        <f t="shared" si="10"/>
        <v>0</v>
      </c>
      <c r="L150" s="376">
        <f t="shared" si="10"/>
        <v>0</v>
      </c>
      <c r="M150" s="376">
        <f t="shared" si="10"/>
        <v>0</v>
      </c>
      <c r="N150" s="376">
        <f t="shared" si="10"/>
        <v>0</v>
      </c>
      <c r="O150" s="376">
        <f t="shared" si="10"/>
        <v>0</v>
      </c>
      <c r="P150" s="376">
        <f t="shared" si="10"/>
        <v>185.04400000000001</v>
      </c>
      <c r="Q150" s="376">
        <f t="shared" si="10"/>
        <v>438.27160000000003</v>
      </c>
      <c r="R150" s="376">
        <f t="shared" si="10"/>
        <v>1684.155</v>
      </c>
      <c r="S150" s="376">
        <f t="shared" si="10"/>
        <v>3835.6752999999999</v>
      </c>
      <c r="T150" s="376">
        <f t="shared" si="10"/>
        <v>3428.2061999999996</v>
      </c>
      <c r="U150" s="376">
        <f t="shared" si="10"/>
        <v>3020.7371000000003</v>
      </c>
      <c r="V150" s="376">
        <f t="shared" si="10"/>
        <v>2613.268</v>
      </c>
      <c r="W150" s="376">
        <f t="shared" si="10"/>
        <v>2205.7989000000002</v>
      </c>
      <c r="X150" s="376">
        <f t="shared" si="10"/>
        <v>1798.3298000000004</v>
      </c>
      <c r="Y150" s="376">
        <f>IF(Y108="","",SUM(Y152:Y176))</f>
        <v>1390.8607000000004</v>
      </c>
      <c r="Z150" s="376">
        <f>IF(Z108="","",SUM(Z152:Z176))</f>
        <v>983.39160000000049</v>
      </c>
      <c r="AA150" s="376">
        <f>IF(AA108="","",SUM(AA152:AA176))</f>
        <v>594.42690000000061</v>
      </c>
      <c r="AB150" s="376">
        <f>IF(AB108="","",SUM(AB152:AB176))</f>
        <v>232.6354000000006</v>
      </c>
      <c r="AC150" s="376">
        <f>IF(AC108="","",SUM(AC152:AC176))</f>
        <v>1.7053025658242404E-13</v>
      </c>
      <c r="AD150" s="377"/>
      <c r="AE150" s="378" t="s">
        <v>914</v>
      </c>
      <c r="AF150" s="379" t="e">
        <f>IF(#REF!="YES",1,0)</f>
        <v>#REF!</v>
      </c>
    </row>
    <row r="151" spans="1:32" s="119" customFormat="1">
      <c r="A151" s="10"/>
      <c r="B151" s="9"/>
      <c r="C151" s="41"/>
      <c r="D151" s="41"/>
      <c r="E151" s="327"/>
      <c r="F151" s="327"/>
      <c r="G151" s="327"/>
      <c r="H151" s="327"/>
      <c r="I151" s="327"/>
      <c r="J151" s="327"/>
      <c r="K151" s="327"/>
      <c r="L151" s="327"/>
      <c r="M151" s="327"/>
      <c r="N151" s="327"/>
      <c r="O151" s="327"/>
      <c r="P151" s="327"/>
      <c r="Q151" s="327"/>
      <c r="R151" s="327"/>
      <c r="S151" s="327"/>
      <c r="T151" s="114"/>
      <c r="U151" s="114"/>
      <c r="V151" s="114"/>
      <c r="W151" s="114"/>
      <c r="X151" s="114"/>
      <c r="Y151" s="114"/>
      <c r="Z151" s="114"/>
      <c r="AA151" s="114"/>
      <c r="AB151" s="114"/>
      <c r="AC151" s="114"/>
      <c r="AD151" s="114"/>
      <c r="AE151" s="381"/>
      <c r="AF151" s="382"/>
    </row>
    <row r="152" spans="1:32" s="119" customFormat="1" hidden="1">
      <c r="A152" s="10"/>
      <c r="B152" s="9"/>
      <c r="C152" s="41"/>
      <c r="D152" s="41"/>
      <c r="E152" s="327">
        <f>E$149</f>
        <v>0</v>
      </c>
      <c r="F152" s="9">
        <f t="shared" ref="F152:AC152" si="11">MAX(0,E152-($E152/$C$30))</f>
        <v>0</v>
      </c>
      <c r="G152" s="9">
        <f t="shared" si="11"/>
        <v>0</v>
      </c>
      <c r="H152" s="9">
        <f t="shared" si="11"/>
        <v>0</v>
      </c>
      <c r="I152" s="9">
        <f t="shared" si="11"/>
        <v>0</v>
      </c>
      <c r="J152" s="9">
        <f t="shared" si="11"/>
        <v>0</v>
      </c>
      <c r="K152" s="9">
        <f t="shared" si="11"/>
        <v>0</v>
      </c>
      <c r="L152" s="9">
        <f t="shared" si="11"/>
        <v>0</v>
      </c>
      <c r="M152" s="9">
        <f t="shared" si="11"/>
        <v>0</v>
      </c>
      <c r="N152" s="9">
        <f t="shared" si="11"/>
        <v>0</v>
      </c>
      <c r="O152" s="9">
        <f t="shared" si="11"/>
        <v>0</v>
      </c>
      <c r="P152" s="9">
        <f t="shared" si="11"/>
        <v>0</v>
      </c>
      <c r="Q152" s="9">
        <f t="shared" si="11"/>
        <v>0</v>
      </c>
      <c r="R152" s="9">
        <f t="shared" si="11"/>
        <v>0</v>
      </c>
      <c r="S152" s="9">
        <f t="shared" si="11"/>
        <v>0</v>
      </c>
      <c r="T152" s="9">
        <f t="shared" si="11"/>
        <v>0</v>
      </c>
      <c r="U152" s="9">
        <f t="shared" si="11"/>
        <v>0</v>
      </c>
      <c r="V152" s="9">
        <f t="shared" si="11"/>
        <v>0</v>
      </c>
      <c r="W152" s="9">
        <f t="shared" si="11"/>
        <v>0</v>
      </c>
      <c r="X152" s="9">
        <f t="shared" si="11"/>
        <v>0</v>
      </c>
      <c r="Y152" s="9">
        <f t="shared" si="11"/>
        <v>0</v>
      </c>
      <c r="Z152" s="9">
        <f t="shared" si="11"/>
        <v>0</v>
      </c>
      <c r="AA152" s="9">
        <f t="shared" si="11"/>
        <v>0</v>
      </c>
      <c r="AB152" s="9">
        <f t="shared" si="11"/>
        <v>0</v>
      </c>
      <c r="AC152" s="9">
        <f t="shared" si="11"/>
        <v>0</v>
      </c>
      <c r="AD152" s="114"/>
      <c r="AE152" s="381"/>
      <c r="AF152" s="382"/>
    </row>
    <row r="153" spans="1:32" s="119" customFormat="1" hidden="1">
      <c r="A153" s="10"/>
      <c r="B153" s="9"/>
      <c r="C153" s="41"/>
      <c r="D153" s="41"/>
      <c r="E153" s="327"/>
      <c r="F153" s="327">
        <f>F$149</f>
        <v>0</v>
      </c>
      <c r="G153" s="9">
        <f t="shared" ref="G153:AC153" si="12">MAX(0,F153-($F153/$C$30))</f>
        <v>0</v>
      </c>
      <c r="H153" s="9">
        <f t="shared" si="12"/>
        <v>0</v>
      </c>
      <c r="I153" s="9">
        <f t="shared" si="12"/>
        <v>0</v>
      </c>
      <c r="J153" s="9">
        <f t="shared" si="12"/>
        <v>0</v>
      </c>
      <c r="K153" s="9">
        <f t="shared" si="12"/>
        <v>0</v>
      </c>
      <c r="L153" s="9">
        <f t="shared" si="12"/>
        <v>0</v>
      </c>
      <c r="M153" s="9">
        <f t="shared" si="12"/>
        <v>0</v>
      </c>
      <c r="N153" s="9">
        <f t="shared" si="12"/>
        <v>0</v>
      </c>
      <c r="O153" s="9">
        <f t="shared" si="12"/>
        <v>0</v>
      </c>
      <c r="P153" s="9">
        <f t="shared" si="12"/>
        <v>0</v>
      </c>
      <c r="Q153" s="9">
        <f t="shared" si="12"/>
        <v>0</v>
      </c>
      <c r="R153" s="9">
        <f t="shared" si="12"/>
        <v>0</v>
      </c>
      <c r="S153" s="9">
        <f t="shared" si="12"/>
        <v>0</v>
      </c>
      <c r="T153" s="9">
        <f t="shared" si="12"/>
        <v>0</v>
      </c>
      <c r="U153" s="9">
        <f t="shared" si="12"/>
        <v>0</v>
      </c>
      <c r="V153" s="9">
        <f t="shared" si="12"/>
        <v>0</v>
      </c>
      <c r="W153" s="9">
        <f t="shared" si="12"/>
        <v>0</v>
      </c>
      <c r="X153" s="9">
        <f t="shared" si="12"/>
        <v>0</v>
      </c>
      <c r="Y153" s="9">
        <f t="shared" si="12"/>
        <v>0</v>
      </c>
      <c r="Z153" s="9">
        <f t="shared" si="12"/>
        <v>0</v>
      </c>
      <c r="AA153" s="9">
        <f t="shared" si="12"/>
        <v>0</v>
      </c>
      <c r="AB153" s="9">
        <f t="shared" si="12"/>
        <v>0</v>
      </c>
      <c r="AC153" s="9">
        <f t="shared" si="12"/>
        <v>0</v>
      </c>
      <c r="AD153" s="114"/>
      <c r="AE153" s="381"/>
      <c r="AF153" s="382"/>
    </row>
    <row r="154" spans="1:32" hidden="1">
      <c r="B154" s="9"/>
      <c r="C154" s="9"/>
      <c r="D154" s="9"/>
      <c r="E154" s="9"/>
      <c r="F154" s="9"/>
      <c r="G154" s="327">
        <f>G$149</f>
        <v>0</v>
      </c>
      <c r="H154" s="9">
        <f t="shared" ref="H154:AC154" si="13">MAX(0,G154-($G154/$C$30))</f>
        <v>0</v>
      </c>
      <c r="I154" s="9">
        <f t="shared" si="13"/>
        <v>0</v>
      </c>
      <c r="J154" s="9">
        <f t="shared" si="13"/>
        <v>0</v>
      </c>
      <c r="K154" s="9">
        <f t="shared" si="13"/>
        <v>0</v>
      </c>
      <c r="L154" s="9">
        <f t="shared" si="13"/>
        <v>0</v>
      </c>
      <c r="M154" s="9">
        <f t="shared" si="13"/>
        <v>0</v>
      </c>
      <c r="N154" s="9">
        <f t="shared" si="13"/>
        <v>0</v>
      </c>
      <c r="O154" s="9">
        <f t="shared" si="13"/>
        <v>0</v>
      </c>
      <c r="P154" s="9">
        <f t="shared" si="13"/>
        <v>0</v>
      </c>
      <c r="Q154" s="9">
        <f t="shared" si="13"/>
        <v>0</v>
      </c>
      <c r="R154" s="9">
        <f t="shared" si="13"/>
        <v>0</v>
      </c>
      <c r="S154" s="9">
        <f t="shared" si="13"/>
        <v>0</v>
      </c>
      <c r="T154" s="9">
        <f t="shared" si="13"/>
        <v>0</v>
      </c>
      <c r="U154" s="9">
        <f t="shared" si="13"/>
        <v>0</v>
      </c>
      <c r="V154" s="9">
        <f t="shared" si="13"/>
        <v>0</v>
      </c>
      <c r="W154" s="9">
        <f t="shared" si="13"/>
        <v>0</v>
      </c>
      <c r="X154" s="9">
        <f t="shared" si="13"/>
        <v>0</v>
      </c>
      <c r="Y154" s="9">
        <f t="shared" si="13"/>
        <v>0</v>
      </c>
      <c r="Z154" s="9">
        <f t="shared" si="13"/>
        <v>0</v>
      </c>
      <c r="AA154" s="9">
        <f t="shared" si="13"/>
        <v>0</v>
      </c>
      <c r="AB154" s="9">
        <f t="shared" si="13"/>
        <v>0</v>
      </c>
      <c r="AC154" s="9">
        <f t="shared" si="13"/>
        <v>0</v>
      </c>
      <c r="AD154" s="9"/>
      <c r="AE154" s="328">
        <f>AVERAGE(E140:S140)/AVERAGE(E288:S288)</f>
        <v>1.629165543750359E-4</v>
      </c>
    </row>
    <row r="155" spans="1:32" hidden="1">
      <c r="B155" s="9"/>
      <c r="C155" s="9"/>
      <c r="D155" s="9"/>
      <c r="E155" s="9"/>
      <c r="F155" s="9"/>
      <c r="G155" s="9"/>
      <c r="H155" s="327">
        <f>H$149</f>
        <v>0</v>
      </c>
      <c r="I155" s="9">
        <f t="shared" ref="I155:AC155" si="14">MAX(0,H155-($H155/$C$30))</f>
        <v>0</v>
      </c>
      <c r="J155" s="9">
        <f t="shared" si="14"/>
        <v>0</v>
      </c>
      <c r="K155" s="9">
        <f t="shared" si="14"/>
        <v>0</v>
      </c>
      <c r="L155" s="9">
        <f t="shared" si="14"/>
        <v>0</v>
      </c>
      <c r="M155" s="9">
        <f t="shared" si="14"/>
        <v>0</v>
      </c>
      <c r="N155" s="9">
        <f t="shared" si="14"/>
        <v>0</v>
      </c>
      <c r="O155" s="9">
        <f t="shared" si="14"/>
        <v>0</v>
      </c>
      <c r="P155" s="9">
        <f t="shared" si="14"/>
        <v>0</v>
      </c>
      <c r="Q155" s="9">
        <f t="shared" si="14"/>
        <v>0</v>
      </c>
      <c r="R155" s="9">
        <f t="shared" si="14"/>
        <v>0</v>
      </c>
      <c r="S155" s="9">
        <f t="shared" si="14"/>
        <v>0</v>
      </c>
      <c r="T155" s="9">
        <f t="shared" si="14"/>
        <v>0</v>
      </c>
      <c r="U155" s="9">
        <f t="shared" si="14"/>
        <v>0</v>
      </c>
      <c r="V155" s="9">
        <f t="shared" si="14"/>
        <v>0</v>
      </c>
      <c r="W155" s="9">
        <f t="shared" si="14"/>
        <v>0</v>
      </c>
      <c r="X155" s="9">
        <f t="shared" si="14"/>
        <v>0</v>
      </c>
      <c r="Y155" s="9">
        <f t="shared" si="14"/>
        <v>0</v>
      </c>
      <c r="Z155" s="9">
        <f t="shared" si="14"/>
        <v>0</v>
      </c>
      <c r="AA155" s="9">
        <f t="shared" si="14"/>
        <v>0</v>
      </c>
      <c r="AB155" s="9">
        <f t="shared" si="14"/>
        <v>0</v>
      </c>
      <c r="AC155" s="9">
        <f t="shared" si="14"/>
        <v>0</v>
      </c>
      <c r="AD155" s="9"/>
      <c r="AE155" s="328"/>
    </row>
    <row r="156" spans="1:32" hidden="1">
      <c r="B156" s="9"/>
      <c r="C156" s="9"/>
      <c r="D156" s="9"/>
      <c r="E156" s="9"/>
      <c r="F156" s="9"/>
      <c r="G156" s="9"/>
      <c r="H156" s="9"/>
      <c r="I156" s="350">
        <f>I$149+I$147</f>
        <v>0</v>
      </c>
      <c r="J156" s="9">
        <f t="shared" ref="J156:AC156" si="15">MAX(0,I156-($I156/$C$30))</f>
        <v>0</v>
      </c>
      <c r="K156" s="9">
        <f t="shared" si="15"/>
        <v>0</v>
      </c>
      <c r="L156" s="9">
        <f t="shared" si="15"/>
        <v>0</v>
      </c>
      <c r="M156" s="9">
        <f t="shared" si="15"/>
        <v>0</v>
      </c>
      <c r="N156" s="9">
        <f t="shared" si="15"/>
        <v>0</v>
      </c>
      <c r="O156" s="9">
        <f t="shared" si="15"/>
        <v>0</v>
      </c>
      <c r="P156" s="9">
        <f t="shared" si="15"/>
        <v>0</v>
      </c>
      <c r="Q156" s="9">
        <f t="shared" si="15"/>
        <v>0</v>
      </c>
      <c r="R156" s="9">
        <f t="shared" si="15"/>
        <v>0</v>
      </c>
      <c r="S156" s="9">
        <f t="shared" si="15"/>
        <v>0</v>
      </c>
      <c r="T156" s="9">
        <f t="shared" si="15"/>
        <v>0</v>
      </c>
      <c r="U156" s="9">
        <f t="shared" si="15"/>
        <v>0</v>
      </c>
      <c r="V156" s="9">
        <f t="shared" si="15"/>
        <v>0</v>
      </c>
      <c r="W156" s="9">
        <f t="shared" si="15"/>
        <v>0</v>
      </c>
      <c r="X156" s="9">
        <f t="shared" si="15"/>
        <v>0</v>
      </c>
      <c r="Y156" s="9">
        <f t="shared" si="15"/>
        <v>0</v>
      </c>
      <c r="Z156" s="9">
        <f t="shared" si="15"/>
        <v>0</v>
      </c>
      <c r="AA156" s="9">
        <f t="shared" si="15"/>
        <v>0</v>
      </c>
      <c r="AB156" s="9">
        <f t="shared" si="15"/>
        <v>0</v>
      </c>
      <c r="AC156" s="9">
        <f t="shared" si="15"/>
        <v>0</v>
      </c>
      <c r="AD156" s="9"/>
      <c r="AE156" s="328"/>
    </row>
    <row r="157" spans="1:32" hidden="1">
      <c r="B157" s="9"/>
      <c r="C157" s="9"/>
      <c r="D157" s="9"/>
      <c r="E157" s="9"/>
      <c r="F157" s="9"/>
      <c r="G157" s="9"/>
      <c r="H157" s="9"/>
      <c r="I157" s="327"/>
      <c r="J157" s="327">
        <f>J$149</f>
        <v>0</v>
      </c>
      <c r="K157" s="9">
        <f t="shared" ref="K157:AC157" si="16">MAX(0,J157-($J157/$C$30))</f>
        <v>0</v>
      </c>
      <c r="L157" s="9">
        <f t="shared" si="16"/>
        <v>0</v>
      </c>
      <c r="M157" s="9">
        <f t="shared" si="16"/>
        <v>0</v>
      </c>
      <c r="N157" s="9">
        <f t="shared" si="16"/>
        <v>0</v>
      </c>
      <c r="O157" s="9">
        <f t="shared" si="16"/>
        <v>0</v>
      </c>
      <c r="P157" s="9">
        <f t="shared" si="16"/>
        <v>0</v>
      </c>
      <c r="Q157" s="9">
        <f t="shared" si="16"/>
        <v>0</v>
      </c>
      <c r="R157" s="9">
        <f t="shared" si="16"/>
        <v>0</v>
      </c>
      <c r="S157" s="9">
        <f t="shared" si="16"/>
        <v>0</v>
      </c>
      <c r="T157" s="9">
        <f t="shared" si="16"/>
        <v>0</v>
      </c>
      <c r="U157" s="9">
        <f t="shared" si="16"/>
        <v>0</v>
      </c>
      <c r="V157" s="9">
        <f t="shared" si="16"/>
        <v>0</v>
      </c>
      <c r="W157" s="9">
        <f t="shared" si="16"/>
        <v>0</v>
      </c>
      <c r="X157" s="9">
        <f t="shared" si="16"/>
        <v>0</v>
      </c>
      <c r="Y157" s="9">
        <f t="shared" si="16"/>
        <v>0</v>
      </c>
      <c r="Z157" s="9">
        <f t="shared" si="16"/>
        <v>0</v>
      </c>
      <c r="AA157" s="9">
        <f t="shared" si="16"/>
        <v>0</v>
      </c>
      <c r="AB157" s="9">
        <f t="shared" si="16"/>
        <v>0</v>
      </c>
      <c r="AC157" s="9">
        <f t="shared" si="16"/>
        <v>0</v>
      </c>
      <c r="AD157" s="9"/>
      <c r="AE157" s="328"/>
    </row>
    <row r="158" spans="1:32" hidden="1">
      <c r="B158" s="9"/>
      <c r="C158" s="9"/>
      <c r="D158" s="9"/>
      <c r="E158" s="9"/>
      <c r="F158" s="9"/>
      <c r="G158" s="9"/>
      <c r="H158" s="9"/>
      <c r="I158" s="9"/>
      <c r="J158" s="9"/>
      <c r="K158" s="327">
        <f>K$149</f>
        <v>0</v>
      </c>
      <c r="L158" s="9">
        <f t="shared" ref="L158:AC158" si="17">MAX(0,K158-($K158/$C$30))</f>
        <v>0</v>
      </c>
      <c r="M158" s="9">
        <f t="shared" si="17"/>
        <v>0</v>
      </c>
      <c r="N158" s="9">
        <f t="shared" si="17"/>
        <v>0</v>
      </c>
      <c r="O158" s="9">
        <f t="shared" si="17"/>
        <v>0</v>
      </c>
      <c r="P158" s="9">
        <f t="shared" si="17"/>
        <v>0</v>
      </c>
      <c r="Q158" s="9">
        <f t="shared" si="17"/>
        <v>0</v>
      </c>
      <c r="R158" s="9">
        <f t="shared" si="17"/>
        <v>0</v>
      </c>
      <c r="S158" s="9">
        <f t="shared" si="17"/>
        <v>0</v>
      </c>
      <c r="T158" s="9">
        <f t="shared" si="17"/>
        <v>0</v>
      </c>
      <c r="U158" s="9">
        <f t="shared" si="17"/>
        <v>0</v>
      </c>
      <c r="V158" s="9">
        <f t="shared" si="17"/>
        <v>0</v>
      </c>
      <c r="W158" s="9">
        <f t="shared" si="17"/>
        <v>0</v>
      </c>
      <c r="X158" s="9">
        <f t="shared" si="17"/>
        <v>0</v>
      </c>
      <c r="Y158" s="9">
        <f t="shared" si="17"/>
        <v>0</v>
      </c>
      <c r="Z158" s="9">
        <f t="shared" si="17"/>
        <v>0</v>
      </c>
      <c r="AA158" s="9">
        <f t="shared" si="17"/>
        <v>0</v>
      </c>
      <c r="AB158" s="9">
        <f t="shared" si="17"/>
        <v>0</v>
      </c>
      <c r="AC158" s="9">
        <f t="shared" si="17"/>
        <v>0</v>
      </c>
      <c r="AD158" s="9"/>
      <c r="AE158" s="328"/>
    </row>
    <row r="159" spans="1:32" hidden="1">
      <c r="B159" s="9"/>
      <c r="C159" s="9"/>
      <c r="D159" s="9"/>
      <c r="E159" s="9"/>
      <c r="F159" s="9"/>
      <c r="G159" s="9"/>
      <c r="H159" s="9"/>
      <c r="I159" s="9"/>
      <c r="J159" s="9"/>
      <c r="K159" s="9"/>
      <c r="L159" s="327">
        <f>L$149</f>
        <v>0</v>
      </c>
      <c r="M159" s="9">
        <f t="shared" ref="M159:AC159" si="18">MAX(0,L159-($L159/$C$30))</f>
        <v>0</v>
      </c>
      <c r="N159" s="9">
        <f t="shared" si="18"/>
        <v>0</v>
      </c>
      <c r="O159" s="9">
        <f t="shared" si="18"/>
        <v>0</v>
      </c>
      <c r="P159" s="9">
        <f t="shared" si="18"/>
        <v>0</v>
      </c>
      <c r="Q159" s="9">
        <f t="shared" si="18"/>
        <v>0</v>
      </c>
      <c r="R159" s="9">
        <f t="shared" si="18"/>
        <v>0</v>
      </c>
      <c r="S159" s="9">
        <f t="shared" si="18"/>
        <v>0</v>
      </c>
      <c r="T159" s="9">
        <f t="shared" si="18"/>
        <v>0</v>
      </c>
      <c r="U159" s="9">
        <f t="shared" si="18"/>
        <v>0</v>
      </c>
      <c r="V159" s="9">
        <f t="shared" si="18"/>
        <v>0</v>
      </c>
      <c r="W159" s="9">
        <f t="shared" si="18"/>
        <v>0</v>
      </c>
      <c r="X159" s="9">
        <f t="shared" si="18"/>
        <v>0</v>
      </c>
      <c r="Y159" s="9">
        <f t="shared" si="18"/>
        <v>0</v>
      </c>
      <c r="Z159" s="9">
        <f t="shared" si="18"/>
        <v>0</v>
      </c>
      <c r="AA159" s="9">
        <f t="shared" si="18"/>
        <v>0</v>
      </c>
      <c r="AB159" s="9">
        <f t="shared" si="18"/>
        <v>0</v>
      </c>
      <c r="AC159" s="9">
        <f t="shared" si="18"/>
        <v>0</v>
      </c>
      <c r="AD159" s="9"/>
      <c r="AE159" s="328"/>
    </row>
    <row r="160" spans="1:32" hidden="1">
      <c r="B160" s="9"/>
      <c r="C160" s="9"/>
      <c r="D160" s="9"/>
      <c r="E160" s="9"/>
      <c r="F160" s="9"/>
      <c r="G160" s="9"/>
      <c r="H160" s="9"/>
      <c r="I160" s="9"/>
      <c r="J160" s="9"/>
      <c r="K160" s="9"/>
      <c r="L160" s="9"/>
      <c r="M160" s="327">
        <f>M$149</f>
        <v>0</v>
      </c>
      <c r="N160" s="9">
        <f t="shared" ref="N160:AC160" si="19">MAX(0,M160-($M160/$C$30))</f>
        <v>0</v>
      </c>
      <c r="O160" s="9">
        <f t="shared" si="19"/>
        <v>0</v>
      </c>
      <c r="P160" s="9">
        <f t="shared" si="19"/>
        <v>0</v>
      </c>
      <c r="Q160" s="9">
        <f t="shared" si="19"/>
        <v>0</v>
      </c>
      <c r="R160" s="9">
        <f t="shared" si="19"/>
        <v>0</v>
      </c>
      <c r="S160" s="9">
        <f t="shared" si="19"/>
        <v>0</v>
      </c>
      <c r="T160" s="9">
        <f t="shared" si="19"/>
        <v>0</v>
      </c>
      <c r="U160" s="9">
        <f t="shared" si="19"/>
        <v>0</v>
      </c>
      <c r="V160" s="9">
        <f t="shared" si="19"/>
        <v>0</v>
      </c>
      <c r="W160" s="9">
        <f t="shared" si="19"/>
        <v>0</v>
      </c>
      <c r="X160" s="9">
        <f t="shared" si="19"/>
        <v>0</v>
      </c>
      <c r="Y160" s="9">
        <f t="shared" si="19"/>
        <v>0</v>
      </c>
      <c r="Z160" s="9">
        <f t="shared" si="19"/>
        <v>0</v>
      </c>
      <c r="AA160" s="9">
        <f t="shared" si="19"/>
        <v>0</v>
      </c>
      <c r="AB160" s="9">
        <f t="shared" si="19"/>
        <v>0</v>
      </c>
      <c r="AC160" s="9">
        <f t="shared" si="19"/>
        <v>0</v>
      </c>
      <c r="AD160" s="9"/>
      <c r="AE160" s="328"/>
    </row>
    <row r="161" spans="2:31" hidden="1">
      <c r="B161" s="9"/>
      <c r="C161" s="9"/>
      <c r="D161" s="9"/>
      <c r="E161" s="9"/>
      <c r="F161" s="9"/>
      <c r="G161" s="9"/>
      <c r="H161" s="9"/>
      <c r="I161" s="9"/>
      <c r="J161" s="9"/>
      <c r="K161" s="9"/>
      <c r="L161" s="9"/>
      <c r="M161" s="9"/>
      <c r="N161" s="327">
        <f>N$149</f>
        <v>0</v>
      </c>
      <c r="O161" s="9">
        <f t="shared" ref="O161:AC161" si="20">MAX(0,N161-($N161/$C$30))</f>
        <v>0</v>
      </c>
      <c r="P161" s="9">
        <f t="shared" si="20"/>
        <v>0</v>
      </c>
      <c r="Q161" s="9">
        <f t="shared" si="20"/>
        <v>0</v>
      </c>
      <c r="R161" s="9">
        <f t="shared" si="20"/>
        <v>0</v>
      </c>
      <c r="S161" s="9">
        <f t="shared" si="20"/>
        <v>0</v>
      </c>
      <c r="T161" s="9">
        <f t="shared" si="20"/>
        <v>0</v>
      </c>
      <c r="U161" s="9">
        <f t="shared" si="20"/>
        <v>0</v>
      </c>
      <c r="V161" s="9">
        <f t="shared" si="20"/>
        <v>0</v>
      </c>
      <c r="W161" s="9">
        <f t="shared" si="20"/>
        <v>0</v>
      </c>
      <c r="X161" s="9">
        <f t="shared" si="20"/>
        <v>0</v>
      </c>
      <c r="Y161" s="9">
        <f t="shared" si="20"/>
        <v>0</v>
      </c>
      <c r="Z161" s="9">
        <f t="shared" si="20"/>
        <v>0</v>
      </c>
      <c r="AA161" s="9">
        <f t="shared" si="20"/>
        <v>0</v>
      </c>
      <c r="AB161" s="9">
        <f t="shared" si="20"/>
        <v>0</v>
      </c>
      <c r="AC161" s="9">
        <f t="shared" si="20"/>
        <v>0</v>
      </c>
      <c r="AD161" s="9"/>
      <c r="AE161" s="328"/>
    </row>
    <row r="162" spans="2:31" hidden="1">
      <c r="B162" s="9"/>
      <c r="C162" s="9"/>
      <c r="D162" s="9"/>
      <c r="E162" s="9"/>
      <c r="F162" s="9"/>
      <c r="G162" s="9"/>
      <c r="H162" s="9"/>
      <c r="I162" s="9"/>
      <c r="J162" s="9"/>
      <c r="K162" s="9"/>
      <c r="L162" s="9"/>
      <c r="M162" s="9"/>
      <c r="N162" s="9"/>
      <c r="O162" s="327">
        <f>O$149</f>
        <v>0</v>
      </c>
      <c r="P162" s="9">
        <f t="shared" ref="P162:AC162" si="21">MAX(0,O162-($O162/$C$30))</f>
        <v>0</v>
      </c>
      <c r="Q162" s="9">
        <f t="shared" si="21"/>
        <v>0</v>
      </c>
      <c r="R162" s="9">
        <f t="shared" si="21"/>
        <v>0</v>
      </c>
      <c r="S162" s="9">
        <f t="shared" si="21"/>
        <v>0</v>
      </c>
      <c r="T162" s="9">
        <f t="shared" si="21"/>
        <v>0</v>
      </c>
      <c r="U162" s="9">
        <f t="shared" si="21"/>
        <v>0</v>
      </c>
      <c r="V162" s="9">
        <f t="shared" si="21"/>
        <v>0</v>
      </c>
      <c r="W162" s="9">
        <f t="shared" si="21"/>
        <v>0</v>
      </c>
      <c r="X162" s="9">
        <f t="shared" si="21"/>
        <v>0</v>
      </c>
      <c r="Y162" s="9">
        <f t="shared" si="21"/>
        <v>0</v>
      </c>
      <c r="Z162" s="9">
        <f t="shared" si="21"/>
        <v>0</v>
      </c>
      <c r="AA162" s="9">
        <f t="shared" si="21"/>
        <v>0</v>
      </c>
      <c r="AB162" s="9">
        <f t="shared" si="21"/>
        <v>0</v>
      </c>
      <c r="AC162" s="9">
        <f t="shared" si="21"/>
        <v>0</v>
      </c>
      <c r="AD162" s="9"/>
      <c r="AE162" s="328"/>
    </row>
    <row r="163" spans="2:31" hidden="1">
      <c r="B163" s="9"/>
      <c r="C163" s="9"/>
      <c r="D163" s="9"/>
      <c r="E163" s="9"/>
      <c r="F163" s="9"/>
      <c r="G163" s="9"/>
      <c r="H163" s="9"/>
      <c r="I163" s="9"/>
      <c r="J163" s="9"/>
      <c r="K163" s="9"/>
      <c r="L163" s="9"/>
      <c r="M163" s="9"/>
      <c r="N163" s="9"/>
      <c r="O163" s="9"/>
      <c r="P163" s="327">
        <f>P$149</f>
        <v>185.04400000000001</v>
      </c>
      <c r="Q163" s="9">
        <f t="shared" ref="Q163:AC163" si="22">MAX(0,P163-($P163/$C$30))</f>
        <v>166.53960000000001</v>
      </c>
      <c r="R163" s="9">
        <f t="shared" si="22"/>
        <v>148.0352</v>
      </c>
      <c r="S163" s="9">
        <f t="shared" si="22"/>
        <v>129.5308</v>
      </c>
      <c r="T163" s="9">
        <f t="shared" si="22"/>
        <v>111.0264</v>
      </c>
      <c r="U163" s="9">
        <f t="shared" si="22"/>
        <v>92.521999999999991</v>
      </c>
      <c r="V163" s="9">
        <f t="shared" si="22"/>
        <v>74.017599999999987</v>
      </c>
      <c r="W163" s="9">
        <f t="shared" si="22"/>
        <v>55.513199999999983</v>
      </c>
      <c r="X163" s="9">
        <f t="shared" si="22"/>
        <v>37.008799999999979</v>
      </c>
      <c r="Y163" s="9">
        <f t="shared" si="22"/>
        <v>18.504399999999979</v>
      </c>
      <c r="Z163" s="9">
        <f t="shared" si="22"/>
        <v>0</v>
      </c>
      <c r="AA163" s="9">
        <f t="shared" si="22"/>
        <v>0</v>
      </c>
      <c r="AB163" s="9">
        <f t="shared" si="22"/>
        <v>0</v>
      </c>
      <c r="AC163" s="9">
        <f t="shared" si="22"/>
        <v>0</v>
      </c>
      <c r="AD163" s="9"/>
      <c r="AE163" s="328"/>
    </row>
    <row r="164" spans="2:31" hidden="1">
      <c r="B164" s="9"/>
      <c r="C164" s="9"/>
      <c r="D164" s="9"/>
      <c r="E164" s="9"/>
      <c r="F164" s="9"/>
      <c r="G164" s="9"/>
      <c r="H164" s="9"/>
      <c r="I164" s="9"/>
      <c r="J164" s="9"/>
      <c r="K164" s="9"/>
      <c r="L164" s="9"/>
      <c r="M164" s="9"/>
      <c r="N164" s="9"/>
      <c r="O164" s="9"/>
      <c r="P164" s="9"/>
      <c r="Q164" s="327">
        <f>Q$149</f>
        <v>271.73200000000003</v>
      </c>
      <c r="R164" s="9">
        <f t="shared" ref="R164:AC164" si="23">MAX(0,Q164-($Q164/$C$30))</f>
        <v>244.55880000000002</v>
      </c>
      <c r="S164" s="9">
        <f t="shared" si="23"/>
        <v>217.38560000000001</v>
      </c>
      <c r="T164" s="9">
        <f t="shared" si="23"/>
        <v>190.2124</v>
      </c>
      <c r="U164" s="9">
        <f t="shared" si="23"/>
        <v>163.03919999999999</v>
      </c>
      <c r="V164" s="9">
        <f t="shared" si="23"/>
        <v>135.86599999999999</v>
      </c>
      <c r="W164" s="9">
        <f t="shared" si="23"/>
        <v>108.69279999999998</v>
      </c>
      <c r="X164" s="9">
        <f t="shared" si="23"/>
        <v>81.519599999999969</v>
      </c>
      <c r="Y164" s="9">
        <f t="shared" si="23"/>
        <v>54.346399999999967</v>
      </c>
      <c r="Z164" s="9">
        <f t="shared" si="23"/>
        <v>27.173199999999966</v>
      </c>
      <c r="AA164" s="9">
        <f t="shared" si="23"/>
        <v>0</v>
      </c>
      <c r="AB164" s="9">
        <f t="shared" si="23"/>
        <v>0</v>
      </c>
      <c r="AC164" s="9">
        <f t="shared" si="23"/>
        <v>0</v>
      </c>
      <c r="AD164" s="9"/>
      <c r="AE164" s="328"/>
    </row>
    <row r="165" spans="2:31" hidden="1">
      <c r="B165" s="9"/>
      <c r="C165" s="9"/>
      <c r="D165" s="9"/>
      <c r="E165" s="9"/>
      <c r="F165" s="9"/>
      <c r="G165" s="9"/>
      <c r="H165" s="9"/>
      <c r="I165" s="9"/>
      <c r="J165" s="9"/>
      <c r="K165" s="9"/>
      <c r="L165" s="9"/>
      <c r="M165" s="9"/>
      <c r="N165" s="9"/>
      <c r="O165" s="9"/>
      <c r="P165" s="9"/>
      <c r="Q165" s="9"/>
      <c r="R165" s="327">
        <f>R$149</f>
        <v>1291.5609999999999</v>
      </c>
      <c r="S165" s="9">
        <f t="shared" ref="S165:AC165" si="24">MAX(0,R165-($R165/$C$30))</f>
        <v>1162.4049</v>
      </c>
      <c r="T165" s="9">
        <f t="shared" si="24"/>
        <v>1033.2488000000001</v>
      </c>
      <c r="U165" s="9">
        <f t="shared" si="24"/>
        <v>904.09270000000015</v>
      </c>
      <c r="V165" s="9">
        <f t="shared" si="24"/>
        <v>774.93660000000023</v>
      </c>
      <c r="W165" s="9">
        <f t="shared" si="24"/>
        <v>645.7805000000003</v>
      </c>
      <c r="X165" s="9">
        <f t="shared" si="24"/>
        <v>516.62440000000038</v>
      </c>
      <c r="Y165" s="9">
        <f t="shared" si="24"/>
        <v>387.4683000000004</v>
      </c>
      <c r="Z165" s="9">
        <f t="shared" si="24"/>
        <v>258.31220000000042</v>
      </c>
      <c r="AA165" s="9">
        <f t="shared" si="24"/>
        <v>129.15610000000044</v>
      </c>
      <c r="AB165" s="9">
        <f t="shared" si="24"/>
        <v>4.5474735088646412E-13</v>
      </c>
      <c r="AC165" s="9">
        <f t="shared" si="24"/>
        <v>0</v>
      </c>
      <c r="AD165" s="9"/>
      <c r="AE165" s="328"/>
    </row>
    <row r="166" spans="2:31" hidden="1">
      <c r="B166" s="9"/>
      <c r="C166" s="9"/>
      <c r="D166" s="9"/>
      <c r="E166" s="9"/>
      <c r="F166" s="9"/>
      <c r="G166" s="9"/>
      <c r="H166" s="9"/>
      <c r="I166" s="9"/>
      <c r="J166" s="9"/>
      <c r="K166" s="9"/>
      <c r="L166" s="9"/>
      <c r="M166" s="9"/>
      <c r="N166" s="9"/>
      <c r="O166" s="9"/>
      <c r="P166" s="9"/>
      <c r="Q166" s="9"/>
      <c r="R166" s="9"/>
      <c r="S166" s="327">
        <f>S$149</f>
        <v>2326.3539999999998</v>
      </c>
      <c r="T166" s="9">
        <f t="shared" ref="T166:AC166" si="25">MAX(0,S166-($S166/$C$30))</f>
        <v>2093.7185999999997</v>
      </c>
      <c r="U166" s="9">
        <f t="shared" si="25"/>
        <v>1861.0831999999998</v>
      </c>
      <c r="V166" s="9">
        <f t="shared" si="25"/>
        <v>1628.4477999999999</v>
      </c>
      <c r="W166" s="9">
        <f t="shared" si="25"/>
        <v>1395.8124</v>
      </c>
      <c r="X166" s="9">
        <f t="shared" si="25"/>
        <v>1163.1770000000001</v>
      </c>
      <c r="Y166" s="9">
        <f t="shared" si="25"/>
        <v>930.54160000000013</v>
      </c>
      <c r="Z166" s="9">
        <f t="shared" si="25"/>
        <v>697.90620000000013</v>
      </c>
      <c r="AA166" s="9">
        <f t="shared" si="25"/>
        <v>465.27080000000012</v>
      </c>
      <c r="AB166" s="9">
        <f t="shared" si="25"/>
        <v>232.63540000000015</v>
      </c>
      <c r="AC166" s="9">
        <f t="shared" si="25"/>
        <v>1.7053025658242404E-13</v>
      </c>
      <c r="AD166" s="9"/>
      <c r="AE166" s="328"/>
    </row>
    <row r="167" spans="2:31" hidden="1">
      <c r="B167" s="9"/>
      <c r="C167" s="9"/>
      <c r="D167" s="9"/>
      <c r="E167" s="9"/>
      <c r="F167" s="9"/>
      <c r="G167" s="9"/>
      <c r="H167" s="9"/>
      <c r="I167" s="9"/>
      <c r="J167" s="9"/>
      <c r="K167" s="9"/>
      <c r="L167" s="9"/>
      <c r="M167" s="9"/>
      <c r="N167" s="9"/>
      <c r="O167" s="9"/>
      <c r="P167" s="9"/>
      <c r="Q167" s="9"/>
      <c r="R167" s="9"/>
      <c r="S167" s="9"/>
      <c r="T167" s="327">
        <f>T$149</f>
        <v>0</v>
      </c>
      <c r="U167" s="9">
        <f t="shared" ref="U167:AC167" si="26">MAX(0,T167-($T167/$C$30))</f>
        <v>0</v>
      </c>
      <c r="V167" s="9">
        <f t="shared" si="26"/>
        <v>0</v>
      </c>
      <c r="W167" s="9">
        <f t="shared" si="26"/>
        <v>0</v>
      </c>
      <c r="X167" s="9">
        <f t="shared" si="26"/>
        <v>0</v>
      </c>
      <c r="Y167" s="9">
        <f t="shared" si="26"/>
        <v>0</v>
      </c>
      <c r="Z167" s="9">
        <f t="shared" si="26"/>
        <v>0</v>
      </c>
      <c r="AA167" s="9">
        <f t="shared" si="26"/>
        <v>0</v>
      </c>
      <c r="AB167" s="9">
        <f t="shared" si="26"/>
        <v>0</v>
      </c>
      <c r="AC167" s="9">
        <f t="shared" si="26"/>
        <v>0</v>
      </c>
      <c r="AD167" s="9"/>
      <c r="AE167" s="328"/>
    </row>
    <row r="168" spans="2:31" hidden="1">
      <c r="B168" s="9"/>
      <c r="C168" s="9"/>
      <c r="D168" s="9"/>
      <c r="E168" s="9"/>
      <c r="F168" s="9"/>
      <c r="G168" s="9"/>
      <c r="H168" s="9"/>
      <c r="I168" s="9"/>
      <c r="J168" s="9"/>
      <c r="K168" s="9"/>
      <c r="L168" s="9"/>
      <c r="M168" s="9"/>
      <c r="N168" s="9"/>
      <c r="O168" s="9"/>
      <c r="P168" s="9"/>
      <c r="Q168" s="9"/>
      <c r="R168" s="9"/>
      <c r="S168" s="9"/>
      <c r="T168" s="9"/>
      <c r="U168" s="327">
        <f>U$149</f>
        <v>0</v>
      </c>
      <c r="V168" s="9">
        <f t="shared" ref="V168:AC168" si="27">MAX(0,U168-($U168/$C$30))</f>
        <v>0</v>
      </c>
      <c r="W168" s="9">
        <f t="shared" si="27"/>
        <v>0</v>
      </c>
      <c r="X168" s="9">
        <f t="shared" si="27"/>
        <v>0</v>
      </c>
      <c r="Y168" s="9">
        <f t="shared" si="27"/>
        <v>0</v>
      </c>
      <c r="Z168" s="9">
        <f t="shared" si="27"/>
        <v>0</v>
      </c>
      <c r="AA168" s="9">
        <f t="shared" si="27"/>
        <v>0</v>
      </c>
      <c r="AB168" s="9">
        <f t="shared" si="27"/>
        <v>0</v>
      </c>
      <c r="AC168" s="9">
        <f t="shared" si="27"/>
        <v>0</v>
      </c>
      <c r="AD168" s="9"/>
      <c r="AE168" s="328"/>
    </row>
    <row r="169" spans="2:31" hidden="1">
      <c r="B169" s="9"/>
      <c r="C169" s="9"/>
      <c r="D169" s="9"/>
      <c r="E169" s="9"/>
      <c r="F169" s="9"/>
      <c r="G169" s="9"/>
      <c r="H169" s="9"/>
      <c r="I169" s="9"/>
      <c r="J169" s="9"/>
      <c r="K169" s="9"/>
      <c r="L169" s="9"/>
      <c r="M169" s="9"/>
      <c r="N169" s="9"/>
      <c r="O169" s="9"/>
      <c r="P169" s="9"/>
      <c r="Q169" s="9"/>
      <c r="R169" s="9"/>
      <c r="S169" s="9"/>
      <c r="T169" s="9"/>
      <c r="U169" s="9"/>
      <c r="V169" s="327">
        <f>V$149</f>
        <v>0</v>
      </c>
      <c r="W169" s="9">
        <f t="shared" ref="W169:AC169" si="28">MAX(0,V169-($V169/$C$30))</f>
        <v>0</v>
      </c>
      <c r="X169" s="9">
        <f t="shared" si="28"/>
        <v>0</v>
      </c>
      <c r="Y169" s="9">
        <f t="shared" si="28"/>
        <v>0</v>
      </c>
      <c r="Z169" s="9">
        <f t="shared" si="28"/>
        <v>0</v>
      </c>
      <c r="AA169" s="9">
        <f t="shared" si="28"/>
        <v>0</v>
      </c>
      <c r="AB169" s="9">
        <f t="shared" si="28"/>
        <v>0</v>
      </c>
      <c r="AC169" s="9">
        <f t="shared" si="28"/>
        <v>0</v>
      </c>
      <c r="AD169" s="9"/>
      <c r="AE169" s="328"/>
    </row>
    <row r="170" spans="2:31" hidden="1">
      <c r="B170" s="9"/>
      <c r="C170" s="9"/>
      <c r="D170" s="9"/>
      <c r="E170" s="9"/>
      <c r="F170" s="9"/>
      <c r="G170" s="9"/>
      <c r="H170" s="9"/>
      <c r="I170" s="9"/>
      <c r="J170" s="9"/>
      <c r="K170" s="9"/>
      <c r="L170" s="9"/>
      <c r="M170" s="9"/>
      <c r="N170" s="9"/>
      <c r="O170" s="9"/>
      <c r="P170" s="9"/>
      <c r="Q170" s="9"/>
      <c r="R170" s="9"/>
      <c r="S170" s="9"/>
      <c r="T170" s="9"/>
      <c r="U170" s="9"/>
      <c r="V170" s="327"/>
      <c r="W170" s="327">
        <f>W$149</f>
        <v>0</v>
      </c>
      <c r="X170" s="9">
        <f t="shared" ref="X170:AC170" si="29">MAX(0,W170-($W170/$C$30))</f>
        <v>0</v>
      </c>
      <c r="Y170" s="9">
        <f t="shared" si="29"/>
        <v>0</v>
      </c>
      <c r="Z170" s="9">
        <f t="shared" si="29"/>
        <v>0</v>
      </c>
      <c r="AA170" s="9">
        <f t="shared" si="29"/>
        <v>0</v>
      </c>
      <c r="AB170" s="9">
        <f t="shared" si="29"/>
        <v>0</v>
      </c>
      <c r="AC170" s="9">
        <f t="shared" si="29"/>
        <v>0</v>
      </c>
      <c r="AD170" s="9"/>
      <c r="AE170" s="328"/>
    </row>
    <row r="171" spans="2:31" hidden="1">
      <c r="B171" s="9"/>
      <c r="C171" s="9"/>
      <c r="D171" s="9"/>
      <c r="E171" s="9"/>
      <c r="F171" s="9"/>
      <c r="G171" s="9"/>
      <c r="H171" s="9"/>
      <c r="I171" s="9"/>
      <c r="J171" s="9"/>
      <c r="K171" s="9"/>
      <c r="L171" s="9"/>
      <c r="M171" s="9"/>
      <c r="N171" s="9"/>
      <c r="O171" s="9"/>
      <c r="P171" s="9"/>
      <c r="Q171" s="9"/>
      <c r="R171" s="9"/>
      <c r="S171" s="9"/>
      <c r="T171" s="9"/>
      <c r="U171" s="9"/>
      <c r="V171" s="327"/>
      <c r="W171" s="9"/>
      <c r="X171" s="327">
        <f>X$149</f>
        <v>0</v>
      </c>
      <c r="Y171" s="9">
        <f>MAX(0,X171-($X171/$C$30))</f>
        <v>0</v>
      </c>
      <c r="Z171" s="9">
        <f>MAX(0,Y171-($X171/$C$30))</f>
        <v>0</v>
      </c>
      <c r="AA171" s="9">
        <f>MAX(0,Z171-($X171/$C$30))</f>
        <v>0</v>
      </c>
      <c r="AB171" s="9">
        <f>MAX(0,AA171-($X171/$C$30))</f>
        <v>0</v>
      </c>
      <c r="AC171" s="9">
        <f>MAX(0,AB171-($X171/$C$30))</f>
        <v>0</v>
      </c>
      <c r="AD171" s="9"/>
      <c r="AE171" s="328"/>
    </row>
    <row r="172" spans="2:31" hidden="1">
      <c r="B172" s="9"/>
      <c r="C172" s="9"/>
      <c r="D172" s="9"/>
      <c r="E172" s="9"/>
      <c r="F172" s="9"/>
      <c r="G172" s="9"/>
      <c r="H172" s="9"/>
      <c r="I172" s="9"/>
      <c r="J172" s="9"/>
      <c r="K172" s="9"/>
      <c r="L172" s="9"/>
      <c r="M172" s="9"/>
      <c r="N172" s="9"/>
      <c r="O172" s="9"/>
      <c r="P172" s="9"/>
      <c r="Q172" s="9"/>
      <c r="R172" s="9"/>
      <c r="S172" s="9"/>
      <c r="T172" s="9"/>
      <c r="U172" s="9"/>
      <c r="V172" s="327"/>
      <c r="W172" s="9"/>
      <c r="X172" s="9"/>
      <c r="Y172" s="327">
        <f>Y$149</f>
        <v>0</v>
      </c>
      <c r="Z172" s="327">
        <f>MAX(0,Y172-($Y172/$C$30))</f>
        <v>0</v>
      </c>
      <c r="AA172" s="327">
        <f>MAX(0,Z172-($Y172/$C$30))</f>
        <v>0</v>
      </c>
      <c r="AB172" s="327">
        <f>MAX(0,AA172-($Y172/$C$30))</f>
        <v>0</v>
      </c>
      <c r="AC172" s="327">
        <f>MAX(0,AB172-($Y172/$C$30))</f>
        <v>0</v>
      </c>
      <c r="AD172" s="9"/>
      <c r="AE172" s="328"/>
    </row>
    <row r="173" spans="2:31" hidden="1">
      <c r="B173" s="9"/>
      <c r="C173" s="9"/>
      <c r="D173" s="9"/>
      <c r="E173" s="9"/>
      <c r="F173" s="9"/>
      <c r="G173" s="9"/>
      <c r="H173" s="9"/>
      <c r="I173" s="9"/>
      <c r="J173" s="9"/>
      <c r="K173" s="9"/>
      <c r="L173" s="9"/>
      <c r="M173" s="9"/>
      <c r="N173" s="9"/>
      <c r="O173" s="9"/>
      <c r="P173" s="9"/>
      <c r="Q173" s="9"/>
      <c r="R173" s="9"/>
      <c r="S173" s="9"/>
      <c r="T173" s="9"/>
      <c r="U173" s="9"/>
      <c r="V173" s="327"/>
      <c r="W173" s="9"/>
      <c r="X173" s="9"/>
      <c r="Y173" s="9"/>
      <c r="Z173" s="350">
        <f>Z$149</f>
        <v>0</v>
      </c>
      <c r="AA173" s="9">
        <f>MAX(0,Z173-($Z173/$C$30))</f>
        <v>0</v>
      </c>
      <c r="AB173" s="9">
        <f>MAX(0,AA173-($Z173/$C$30))</f>
        <v>0</v>
      </c>
      <c r="AC173" s="9">
        <f>MAX(0,AB173-($Z173/$C$30))</f>
        <v>0</v>
      </c>
      <c r="AD173" s="9"/>
      <c r="AE173" s="328"/>
    </row>
    <row r="174" spans="2:31" hidden="1">
      <c r="B174" s="9"/>
      <c r="C174" s="9"/>
      <c r="D174" s="9"/>
      <c r="E174" s="9"/>
      <c r="F174" s="9"/>
      <c r="G174" s="9"/>
      <c r="H174" s="9"/>
      <c r="I174" s="9"/>
      <c r="J174" s="9"/>
      <c r="K174" s="9"/>
      <c r="L174" s="9"/>
      <c r="M174" s="9"/>
      <c r="N174" s="9"/>
      <c r="O174" s="9"/>
      <c r="P174" s="9"/>
      <c r="Q174" s="9"/>
      <c r="R174" s="9"/>
      <c r="S174" s="9"/>
      <c r="T174" s="9"/>
      <c r="U174" s="9"/>
      <c r="V174" s="327"/>
      <c r="W174" s="9"/>
      <c r="X174" s="9"/>
      <c r="Y174" s="9"/>
      <c r="Z174" s="9"/>
      <c r="AA174" s="350">
        <f>AA$149</f>
        <v>0</v>
      </c>
      <c r="AB174" s="9">
        <f>MAX(0,AA174-($AA174/$C$30))</f>
        <v>0</v>
      </c>
      <c r="AC174" s="9">
        <f>MAX(0,AB174-($AA174/$C$30))</f>
        <v>0</v>
      </c>
      <c r="AD174" s="9"/>
      <c r="AE174" s="328"/>
    </row>
    <row r="175" spans="2:31" hidden="1">
      <c r="B175" s="9"/>
      <c r="C175" s="9"/>
      <c r="D175" s="9"/>
      <c r="E175" s="9"/>
      <c r="F175" s="9"/>
      <c r="G175" s="9"/>
      <c r="H175" s="9"/>
      <c r="I175" s="9"/>
      <c r="J175" s="9"/>
      <c r="K175" s="9"/>
      <c r="L175" s="9"/>
      <c r="M175" s="9"/>
      <c r="N175" s="9"/>
      <c r="O175" s="9"/>
      <c r="P175" s="9"/>
      <c r="Q175" s="9"/>
      <c r="R175" s="9"/>
      <c r="S175" s="9"/>
      <c r="T175" s="9"/>
      <c r="U175" s="9"/>
      <c r="V175" s="327"/>
      <c r="W175" s="9"/>
      <c r="X175" s="9"/>
      <c r="Y175" s="9"/>
      <c r="Z175" s="9"/>
      <c r="AA175" s="9"/>
      <c r="AB175" s="350">
        <f>AB$149</f>
        <v>0</v>
      </c>
      <c r="AC175" s="9">
        <f>MAX(0,AB175-($AB175/$C$30))</f>
        <v>0</v>
      </c>
      <c r="AD175" s="9"/>
      <c r="AE175" s="328"/>
    </row>
    <row r="176" spans="2:31" hidden="1">
      <c r="B176" s="9"/>
      <c r="C176" s="9"/>
      <c r="D176" s="9"/>
      <c r="E176" s="9"/>
      <c r="F176" s="9"/>
      <c r="G176" s="9"/>
      <c r="H176" s="9"/>
      <c r="I176" s="9"/>
      <c r="J176" s="9"/>
      <c r="K176" s="9"/>
      <c r="L176" s="9"/>
      <c r="M176" s="9"/>
      <c r="N176" s="9"/>
      <c r="O176" s="9"/>
      <c r="P176" s="9"/>
      <c r="Q176" s="9"/>
      <c r="R176" s="9"/>
      <c r="S176" s="9"/>
      <c r="T176" s="9"/>
      <c r="U176" s="9"/>
      <c r="V176" s="327"/>
      <c r="W176" s="9"/>
      <c r="X176" s="9"/>
      <c r="Y176" s="9"/>
      <c r="Z176" s="9"/>
      <c r="AA176" s="9"/>
      <c r="AB176" s="9"/>
      <c r="AC176" s="350">
        <f>AC$149</f>
        <v>0</v>
      </c>
      <c r="AD176" s="9"/>
      <c r="AE176" s="328"/>
    </row>
    <row r="177" spans="2:31">
      <c r="B177" s="9"/>
      <c r="C177" s="9"/>
      <c r="D177" s="9"/>
      <c r="E177" s="9"/>
      <c r="F177" s="9"/>
      <c r="G177" s="9"/>
      <c r="H177" s="9"/>
      <c r="I177" s="9"/>
      <c r="J177" s="9"/>
      <c r="K177" s="9"/>
      <c r="L177" s="9"/>
      <c r="M177" s="9"/>
      <c r="N177" s="9"/>
      <c r="O177" s="9"/>
      <c r="P177" s="9"/>
      <c r="Q177" s="9"/>
      <c r="R177" s="9"/>
      <c r="S177" s="9"/>
      <c r="T177" s="9"/>
      <c r="U177" s="9"/>
      <c r="V177" s="327"/>
      <c r="W177" s="9"/>
      <c r="X177" s="9"/>
      <c r="Y177" s="9"/>
      <c r="Z177" s="9"/>
      <c r="AA177" s="9"/>
      <c r="AB177" s="9"/>
      <c r="AC177" s="9"/>
      <c r="AD177" s="9"/>
      <c r="AE177" s="328"/>
    </row>
    <row r="178" spans="2:31">
      <c r="B178" s="10" t="s">
        <v>485</v>
      </c>
      <c r="C178" s="39"/>
      <c r="D178" s="39"/>
      <c r="E178" s="341"/>
      <c r="F178" s="341"/>
      <c r="G178" s="341"/>
      <c r="H178" s="341"/>
      <c r="I178" s="251">
        <f>INDEX(Income!$C$5:$BZ$450,MATCH($B178,Income!$C$5:$C$450,0),MATCH(I$108,Income!$C$5:$BZ$5,0))</f>
        <v>0</v>
      </c>
      <c r="J178" s="342">
        <f>INDEX(Income!$C$5:$BZ$450,MATCH($B178,Income!$C$5:$C$450,0),MATCH(J$108,Income!$C$5:$BZ$5,0))</f>
        <v>0</v>
      </c>
      <c r="K178" s="342">
        <f>INDEX(Income!$C$5:$BZ$450,MATCH($B178,Income!$C$5:$C$450,0),MATCH(K$108,Income!$C$5:$BZ$5,0))</f>
        <v>0</v>
      </c>
      <c r="L178" s="342">
        <f>INDEX(Income!$C$5:$BZ$450,MATCH($B178,Income!$C$5:$C$450,0),MATCH(L$108,Income!$C$5:$BZ$5,0))</f>
        <v>0</v>
      </c>
      <c r="M178" s="342">
        <f>INDEX(Income!$C$5:$BZ$450,MATCH($B178,Income!$C$5:$C$450,0),MATCH(M$108,Income!$C$5:$BZ$5,0))</f>
        <v>0</v>
      </c>
      <c r="N178" s="342">
        <f>INDEX(Income!$C$5:$BZ$450,MATCH($B178,Income!$C$5:$C$450,0),MATCH(N$108,Income!$C$5:$BZ$5,0))</f>
        <v>0</v>
      </c>
      <c r="O178" s="342">
        <f>INDEX(Income!$C$5:$BZ$450,MATCH($B178,Income!$C$5:$C$450,0),MATCH(O$108,Income!$C$5:$BZ$5,0))</f>
        <v>0</v>
      </c>
      <c r="P178" s="342">
        <f>INDEX(Income!$C$5:$BZ$450,MATCH($B178,Income!$C$5:$C$450,0),MATCH(P$108,Income!$C$5:$BZ$5,0))</f>
        <v>24.15</v>
      </c>
      <c r="Q178" s="342">
        <f>INDEX(Income!$C$5:$BZ$450,MATCH($B178,Income!$C$5:$C$450,0),MATCH(Q$108,Income!$C$5:$BZ$5,0))</f>
        <v>56.781999999999996</v>
      </c>
      <c r="R178" s="342">
        <f>INDEX(Income!$C$5:$BZ$450,MATCH($B178,Income!$C$5:$C$450,0),MATCH(R$108,Income!$C$5:$BZ$5,0))</f>
        <v>663.68899999999996</v>
      </c>
      <c r="S178" s="342">
        <f>INDEX(Income!$C$5:$BZ$450,MATCH($B178,Income!$C$5:$C$450,0),MATCH(S$108,Income!$C$5:$BZ$5,0))</f>
        <v>510.089</v>
      </c>
      <c r="T178" s="342"/>
      <c r="U178" s="342"/>
      <c r="V178" s="342"/>
      <c r="W178" s="342"/>
      <c r="X178" s="342"/>
      <c r="Y178" s="342"/>
      <c r="Z178" s="342"/>
      <c r="AA178" s="342"/>
      <c r="AB178" s="342"/>
      <c r="AC178" s="342"/>
      <c r="AD178" s="9"/>
      <c r="AE178" s="328"/>
    </row>
    <row r="179" spans="2:31">
      <c r="B179" s="356"/>
      <c r="C179" s="344"/>
      <c r="D179" s="344"/>
      <c r="E179" s="370"/>
      <c r="F179" s="327"/>
      <c r="G179" s="327"/>
      <c r="H179" s="327"/>
      <c r="I179" s="327"/>
      <c r="J179" s="327"/>
      <c r="K179" s="327"/>
      <c r="L179" s="327"/>
      <c r="M179" s="327"/>
      <c r="N179" s="327"/>
      <c r="O179" s="327"/>
      <c r="P179" s="327"/>
      <c r="Q179" s="327"/>
      <c r="R179" s="327"/>
      <c r="S179" s="327"/>
      <c r="T179" s="327"/>
      <c r="U179" s="327"/>
      <c r="V179" s="327"/>
      <c r="W179" s="327"/>
      <c r="X179" s="327"/>
      <c r="Y179" s="327"/>
      <c r="Z179" s="327"/>
      <c r="AA179" s="327"/>
      <c r="AB179" s="327"/>
      <c r="AC179" s="327"/>
      <c r="AD179" s="9"/>
      <c r="AE179" s="328"/>
    </row>
    <row r="180" spans="2:31">
      <c r="B180" s="9" t="s">
        <v>915</v>
      </c>
      <c r="C180" s="41"/>
      <c r="D180" s="41"/>
      <c r="E180" s="327"/>
      <c r="F180" s="327"/>
      <c r="G180" s="327"/>
      <c r="H180" s="327"/>
      <c r="I180" s="371">
        <f t="shared" ref="I180:X180" si="30">H183</f>
        <v>0</v>
      </c>
      <c r="J180" s="372">
        <f t="shared" si="30"/>
        <v>0</v>
      </c>
      <c r="K180" s="350">
        <f t="shared" si="30"/>
        <v>0</v>
      </c>
      <c r="L180" s="350">
        <f t="shared" si="30"/>
        <v>0</v>
      </c>
      <c r="M180" s="350">
        <f t="shared" si="30"/>
        <v>0</v>
      </c>
      <c r="N180" s="350">
        <f t="shared" si="30"/>
        <v>0</v>
      </c>
      <c r="O180" s="350">
        <f t="shared" si="30"/>
        <v>0</v>
      </c>
      <c r="P180" s="350">
        <f t="shared" si="30"/>
        <v>0</v>
      </c>
      <c r="Q180" s="350">
        <f t="shared" si="30"/>
        <v>24.15</v>
      </c>
      <c r="R180" s="350">
        <f t="shared" si="30"/>
        <v>76.102000000000004</v>
      </c>
      <c r="S180" s="350">
        <f t="shared" si="30"/>
        <v>723.6046</v>
      </c>
      <c r="T180" s="350">
        <f t="shared" si="30"/>
        <v>1084.7693999999999</v>
      </c>
      <c r="U180" s="350">
        <f t="shared" si="30"/>
        <v>833.8273999999999</v>
      </c>
      <c r="V180" s="350">
        <f t="shared" si="30"/>
        <v>582.8854</v>
      </c>
      <c r="W180" s="350">
        <f t="shared" si="30"/>
        <v>336.77340000000004</v>
      </c>
      <c r="X180" s="350">
        <f t="shared" si="30"/>
        <v>102.01780000000002</v>
      </c>
      <c r="Y180" s="350">
        <f>IF(Y108="","",X183)</f>
        <v>2.8421709430404007E-14</v>
      </c>
      <c r="Z180" s="350">
        <f>IF(Z108="","",Y183)</f>
        <v>0</v>
      </c>
      <c r="AA180" s="350">
        <f>IF(AA108="","",Z183)</f>
        <v>0</v>
      </c>
      <c r="AB180" s="350">
        <f>IF(AB108="","",AA183)</f>
        <v>0</v>
      </c>
      <c r="AC180" s="350">
        <f>IF(AC108="","",AB183)</f>
        <v>0</v>
      </c>
      <c r="AD180" s="9"/>
      <c r="AE180" s="328"/>
    </row>
    <row r="181" spans="2:31">
      <c r="B181" s="9" t="s">
        <v>916</v>
      </c>
      <c r="C181" s="314"/>
      <c r="D181" s="314"/>
      <c r="E181" s="327"/>
      <c r="F181" s="327"/>
      <c r="G181" s="327"/>
      <c r="H181" s="327"/>
      <c r="I181" s="350">
        <f>+I183-I180-I182</f>
        <v>0</v>
      </c>
      <c r="J181" s="350">
        <f t="shared" ref="J181:X181" si="31">+J183-J180-J182</f>
        <v>0</v>
      </c>
      <c r="K181" s="350">
        <f t="shared" si="31"/>
        <v>0</v>
      </c>
      <c r="L181" s="350">
        <f t="shared" si="31"/>
        <v>0</v>
      </c>
      <c r="M181" s="350">
        <f t="shared" si="31"/>
        <v>0</v>
      </c>
      <c r="N181" s="350">
        <f t="shared" si="31"/>
        <v>0</v>
      </c>
      <c r="O181" s="350">
        <f t="shared" si="31"/>
        <v>0</v>
      </c>
      <c r="P181" s="350">
        <f t="shared" si="31"/>
        <v>0</v>
      </c>
      <c r="Q181" s="350">
        <f t="shared" si="31"/>
        <v>-4.8299999999999912</v>
      </c>
      <c r="R181" s="350">
        <f t="shared" si="31"/>
        <v>-16.186399999999935</v>
      </c>
      <c r="S181" s="350">
        <f t="shared" si="31"/>
        <v>-148.9242000000001</v>
      </c>
      <c r="T181" s="350">
        <f t="shared" si="31"/>
        <v>-250.94200000000001</v>
      </c>
      <c r="U181" s="350">
        <f t="shared" si="31"/>
        <v>-250.94199999999989</v>
      </c>
      <c r="V181" s="350">
        <f t="shared" si="31"/>
        <v>-246.11199999999997</v>
      </c>
      <c r="W181" s="350">
        <f t="shared" si="31"/>
        <v>-234.75560000000002</v>
      </c>
      <c r="X181" s="350">
        <f t="shared" si="31"/>
        <v>-102.01779999999999</v>
      </c>
      <c r="Y181" s="350">
        <f>IF(Y108="","",Y183-Y180-Y182)</f>
        <v>-2.8421709430404007E-14</v>
      </c>
      <c r="Z181" s="350">
        <f>IF(Z108="","",Z183-Z180-Z182)</f>
        <v>0</v>
      </c>
      <c r="AA181" s="350">
        <f>IF(AA108="","",AA183-AA180-AA182)</f>
        <v>0</v>
      </c>
      <c r="AB181" s="350">
        <f>IF(AB108="","",AB183-AB180-AB182)</f>
        <v>0</v>
      </c>
      <c r="AC181" s="350">
        <f>IF(AC108="","",AC183-AC180-AC182)</f>
        <v>0</v>
      </c>
      <c r="AD181" s="9"/>
      <c r="AE181" s="328"/>
    </row>
    <row r="182" spans="2:31">
      <c r="B182" s="9" t="s">
        <v>917</v>
      </c>
      <c r="C182" s="314"/>
      <c r="D182" s="314"/>
      <c r="E182" s="327"/>
      <c r="F182" s="327"/>
      <c r="G182" s="327"/>
      <c r="H182" s="327"/>
      <c r="I182" s="350">
        <f>I178*$C$34</f>
        <v>0</v>
      </c>
      <c r="J182" s="350">
        <f t="shared" ref="J182:X182" si="32">J178*$C$34</f>
        <v>0</v>
      </c>
      <c r="K182" s="350">
        <f t="shared" si="32"/>
        <v>0</v>
      </c>
      <c r="L182" s="350">
        <f t="shared" si="32"/>
        <v>0</v>
      </c>
      <c r="M182" s="350">
        <f t="shared" si="32"/>
        <v>0</v>
      </c>
      <c r="N182" s="350">
        <f t="shared" si="32"/>
        <v>0</v>
      </c>
      <c r="O182" s="350">
        <f t="shared" si="32"/>
        <v>0</v>
      </c>
      <c r="P182" s="350">
        <f t="shared" si="32"/>
        <v>24.15</v>
      </c>
      <c r="Q182" s="350">
        <f t="shared" si="32"/>
        <v>56.781999999999996</v>
      </c>
      <c r="R182" s="350">
        <f t="shared" si="32"/>
        <v>663.68899999999996</v>
      </c>
      <c r="S182" s="350">
        <f t="shared" si="32"/>
        <v>510.089</v>
      </c>
      <c r="T182" s="350">
        <f t="shared" si="32"/>
        <v>0</v>
      </c>
      <c r="U182" s="350">
        <f t="shared" si="32"/>
        <v>0</v>
      </c>
      <c r="V182" s="350">
        <f t="shared" si="32"/>
        <v>0</v>
      </c>
      <c r="W182" s="350">
        <f t="shared" si="32"/>
        <v>0</v>
      </c>
      <c r="X182" s="350">
        <f t="shared" si="32"/>
        <v>0</v>
      </c>
      <c r="Y182" s="350">
        <f>IF(Y108="","",Y178*$C$34)</f>
        <v>0</v>
      </c>
      <c r="Z182" s="350">
        <f>IF(Z108="","",Z178*$C$34)</f>
        <v>0</v>
      </c>
      <c r="AA182" s="350">
        <f>IF(AA108="","",AA178*$C$34)</f>
        <v>0</v>
      </c>
      <c r="AB182" s="350">
        <f>IF(AB108="","",AB178*$C$34)</f>
        <v>0</v>
      </c>
      <c r="AC182" s="350">
        <f>IF(AC108="","",AC178*$C$34)</f>
        <v>0</v>
      </c>
      <c r="AD182" s="9"/>
      <c r="AE182" s="328"/>
    </row>
    <row r="183" spans="2:31" s="47" customFormat="1">
      <c r="B183" s="47" t="s">
        <v>918</v>
      </c>
      <c r="C183" s="373"/>
      <c r="D183" s="373"/>
      <c r="E183" s="374"/>
      <c r="F183" s="374"/>
      <c r="G183" s="374"/>
      <c r="H183" s="374"/>
      <c r="I183" s="375">
        <f>IF($C$33=0,0,SUM(I185:I209))</f>
        <v>0</v>
      </c>
      <c r="J183" s="376">
        <f t="shared" ref="J183:S183" si="33">IF($C$33=0,0,SUM(J185:J209))</f>
        <v>0</v>
      </c>
      <c r="K183" s="376">
        <f t="shared" si="33"/>
        <v>0</v>
      </c>
      <c r="L183" s="376">
        <f t="shared" si="33"/>
        <v>0</v>
      </c>
      <c r="M183" s="376">
        <f t="shared" si="33"/>
        <v>0</v>
      </c>
      <c r="N183" s="376">
        <f t="shared" si="33"/>
        <v>0</v>
      </c>
      <c r="O183" s="376">
        <f t="shared" si="33"/>
        <v>0</v>
      </c>
      <c r="P183" s="376">
        <f t="shared" si="33"/>
        <v>24.15</v>
      </c>
      <c r="Q183" s="376">
        <f t="shared" si="33"/>
        <v>76.102000000000004</v>
      </c>
      <c r="R183" s="376">
        <f t="shared" si="33"/>
        <v>723.6046</v>
      </c>
      <c r="S183" s="376">
        <f t="shared" si="33"/>
        <v>1084.7693999999999</v>
      </c>
      <c r="T183" s="376">
        <f>IF($C$33=0,0,SUM(T185:T209))</f>
        <v>833.8273999999999</v>
      </c>
      <c r="U183" s="376">
        <f>IF($C$33=0,0,SUM(U185:U209))</f>
        <v>582.8854</v>
      </c>
      <c r="V183" s="376">
        <f>IF($C$33=0,0,SUM(V185:V209))</f>
        <v>336.77340000000004</v>
      </c>
      <c r="W183" s="376">
        <f>IF($C$33=0,0,SUM(W185:W209))</f>
        <v>102.01780000000002</v>
      </c>
      <c r="X183" s="376">
        <f>IF($C$33=0,0,SUM(X185:X209))</f>
        <v>2.8421709430404007E-14</v>
      </c>
      <c r="Y183" s="376">
        <f>IF(Y108="","",IF($C$33=0,0,SUM(Y185:Y209)))</f>
        <v>0</v>
      </c>
      <c r="Z183" s="376">
        <f>IF(Z108="","",IF($C$33=0,0,SUM(Z185:Z209)))</f>
        <v>0</v>
      </c>
      <c r="AA183" s="376">
        <f>IF(AA108="","",IF($C$33=0,0,SUM(AA185:AA209)))</f>
        <v>0</v>
      </c>
      <c r="AB183" s="376">
        <f>IF(AB108="","",IF($C$33=0,0,SUM(AB185:AB209)))</f>
        <v>0</v>
      </c>
      <c r="AC183" s="376">
        <f>IF(AC108="","",IF($C$33=0,0,SUM(AC185:AC209)))</f>
        <v>0</v>
      </c>
      <c r="AD183" s="13"/>
      <c r="AE183" s="383"/>
    </row>
    <row r="184" spans="2:31">
      <c r="B184" s="9"/>
      <c r="C184" s="41"/>
      <c r="D184" s="41"/>
      <c r="E184" s="327"/>
      <c r="F184" s="327"/>
      <c r="G184" s="327"/>
      <c r="H184" s="327"/>
      <c r="I184" s="327"/>
      <c r="J184" s="327"/>
      <c r="K184" s="327"/>
      <c r="L184" s="327"/>
      <c r="M184" s="327"/>
      <c r="N184" s="327"/>
      <c r="O184" s="327"/>
      <c r="P184" s="327"/>
      <c r="Q184" s="327"/>
      <c r="R184" s="327"/>
      <c r="S184" s="327"/>
      <c r="T184" s="114"/>
      <c r="U184" s="114"/>
      <c r="V184" s="114"/>
      <c r="W184" s="114"/>
      <c r="X184" s="114"/>
      <c r="Y184" s="114"/>
      <c r="Z184" s="114"/>
      <c r="AA184" s="114"/>
      <c r="AB184" s="114"/>
      <c r="AC184" s="114"/>
      <c r="AD184" s="9"/>
      <c r="AE184" s="328"/>
    </row>
    <row r="185" spans="2:31" hidden="1">
      <c r="B185" s="9"/>
      <c r="C185" s="41"/>
      <c r="D185" s="41"/>
      <c r="E185" s="384">
        <f>IF($C$33=0,0,E$182)</f>
        <v>0</v>
      </c>
      <c r="F185" s="98">
        <f t="shared" ref="F185:AC185" si="34">MAX(0,E185-($E185/$C$33))</f>
        <v>0</v>
      </c>
      <c r="G185" s="98">
        <f t="shared" si="34"/>
        <v>0</v>
      </c>
      <c r="H185" s="98">
        <f t="shared" si="34"/>
        <v>0</v>
      </c>
      <c r="I185" s="98">
        <f t="shared" si="34"/>
        <v>0</v>
      </c>
      <c r="J185" s="98">
        <f t="shared" si="34"/>
        <v>0</v>
      </c>
      <c r="K185" s="98">
        <f t="shared" si="34"/>
        <v>0</v>
      </c>
      <c r="L185" s="98">
        <f t="shared" si="34"/>
        <v>0</v>
      </c>
      <c r="M185" s="98">
        <f t="shared" si="34"/>
        <v>0</v>
      </c>
      <c r="N185" s="98">
        <f t="shared" si="34"/>
        <v>0</v>
      </c>
      <c r="O185" s="98">
        <f t="shared" si="34"/>
        <v>0</v>
      </c>
      <c r="P185" s="98">
        <f t="shared" si="34"/>
        <v>0</v>
      </c>
      <c r="Q185" s="98">
        <f t="shared" si="34"/>
        <v>0</v>
      </c>
      <c r="R185" s="98">
        <f t="shared" si="34"/>
        <v>0</v>
      </c>
      <c r="S185" s="98">
        <f t="shared" si="34"/>
        <v>0</v>
      </c>
      <c r="T185" s="98">
        <f t="shared" si="34"/>
        <v>0</v>
      </c>
      <c r="U185" s="98">
        <f t="shared" si="34"/>
        <v>0</v>
      </c>
      <c r="V185" s="98">
        <f t="shared" si="34"/>
        <v>0</v>
      </c>
      <c r="W185" s="98">
        <f t="shared" si="34"/>
        <v>0</v>
      </c>
      <c r="X185" s="98">
        <f t="shared" si="34"/>
        <v>0</v>
      </c>
      <c r="Y185" s="98">
        <f t="shared" si="34"/>
        <v>0</v>
      </c>
      <c r="Z185" s="98">
        <f t="shared" si="34"/>
        <v>0</v>
      </c>
      <c r="AA185" s="98">
        <f t="shared" si="34"/>
        <v>0</v>
      </c>
      <c r="AB185" s="98">
        <f t="shared" si="34"/>
        <v>0</v>
      </c>
      <c r="AC185" s="98">
        <f t="shared" si="34"/>
        <v>0</v>
      </c>
      <c r="AD185" s="9"/>
      <c r="AE185" s="328"/>
    </row>
    <row r="186" spans="2:31" hidden="1">
      <c r="B186" s="9"/>
      <c r="C186" s="41"/>
      <c r="D186" s="41"/>
      <c r="E186" s="384"/>
      <c r="F186" s="384">
        <f>IF($C$33=0,0,F$182)</f>
        <v>0</v>
      </c>
      <c r="G186" s="98">
        <f t="shared" ref="G186:AC186" si="35">MAX(0,F186-($F186/$C$33))</f>
        <v>0</v>
      </c>
      <c r="H186" s="98">
        <f t="shared" si="35"/>
        <v>0</v>
      </c>
      <c r="I186" s="98">
        <f t="shared" si="35"/>
        <v>0</v>
      </c>
      <c r="J186" s="98">
        <f t="shared" si="35"/>
        <v>0</v>
      </c>
      <c r="K186" s="98">
        <f t="shared" si="35"/>
        <v>0</v>
      </c>
      <c r="L186" s="98">
        <f t="shared" si="35"/>
        <v>0</v>
      </c>
      <c r="M186" s="98">
        <f t="shared" si="35"/>
        <v>0</v>
      </c>
      <c r="N186" s="98">
        <f t="shared" si="35"/>
        <v>0</v>
      </c>
      <c r="O186" s="98">
        <f t="shared" si="35"/>
        <v>0</v>
      </c>
      <c r="P186" s="98">
        <f t="shared" si="35"/>
        <v>0</v>
      </c>
      <c r="Q186" s="98">
        <f t="shared" si="35"/>
        <v>0</v>
      </c>
      <c r="R186" s="98">
        <f t="shared" si="35"/>
        <v>0</v>
      </c>
      <c r="S186" s="98">
        <f t="shared" si="35"/>
        <v>0</v>
      </c>
      <c r="T186" s="98">
        <f t="shared" si="35"/>
        <v>0</v>
      </c>
      <c r="U186" s="98">
        <f t="shared" si="35"/>
        <v>0</v>
      </c>
      <c r="V186" s="98">
        <f t="shared" si="35"/>
        <v>0</v>
      </c>
      <c r="W186" s="98">
        <f t="shared" si="35"/>
        <v>0</v>
      </c>
      <c r="X186" s="98">
        <f t="shared" si="35"/>
        <v>0</v>
      </c>
      <c r="Y186" s="98">
        <f t="shared" si="35"/>
        <v>0</v>
      </c>
      <c r="Z186" s="98">
        <f t="shared" si="35"/>
        <v>0</v>
      </c>
      <c r="AA186" s="98">
        <f t="shared" si="35"/>
        <v>0</v>
      </c>
      <c r="AB186" s="98">
        <f t="shared" si="35"/>
        <v>0</v>
      </c>
      <c r="AC186" s="98">
        <f t="shared" si="35"/>
        <v>0</v>
      </c>
      <c r="AD186" s="9"/>
      <c r="AE186" s="328"/>
    </row>
    <row r="187" spans="2:31" hidden="1">
      <c r="B187" s="9"/>
      <c r="C187" s="9"/>
      <c r="D187" s="9"/>
      <c r="E187" s="98"/>
      <c r="F187" s="98"/>
      <c r="G187" s="384">
        <f>IF($C$33=0,0,G$182)</f>
        <v>0</v>
      </c>
      <c r="H187" s="98">
        <f t="shared" ref="H187:AC187" si="36">MAX(0,G187-($G187/$C$33))</f>
        <v>0</v>
      </c>
      <c r="I187" s="98">
        <f t="shared" si="36"/>
        <v>0</v>
      </c>
      <c r="J187" s="98">
        <f t="shared" si="36"/>
        <v>0</v>
      </c>
      <c r="K187" s="98">
        <f t="shared" si="36"/>
        <v>0</v>
      </c>
      <c r="L187" s="98">
        <f t="shared" si="36"/>
        <v>0</v>
      </c>
      <c r="M187" s="98">
        <f t="shared" si="36"/>
        <v>0</v>
      </c>
      <c r="N187" s="98">
        <f t="shared" si="36"/>
        <v>0</v>
      </c>
      <c r="O187" s="98">
        <f t="shared" si="36"/>
        <v>0</v>
      </c>
      <c r="P187" s="98">
        <f t="shared" si="36"/>
        <v>0</v>
      </c>
      <c r="Q187" s="98">
        <f t="shared" si="36"/>
        <v>0</v>
      </c>
      <c r="R187" s="98">
        <f t="shared" si="36"/>
        <v>0</v>
      </c>
      <c r="S187" s="98">
        <f t="shared" si="36"/>
        <v>0</v>
      </c>
      <c r="T187" s="98">
        <f t="shared" si="36"/>
        <v>0</v>
      </c>
      <c r="U187" s="98">
        <f t="shared" si="36"/>
        <v>0</v>
      </c>
      <c r="V187" s="98">
        <f t="shared" si="36"/>
        <v>0</v>
      </c>
      <c r="W187" s="98">
        <f t="shared" si="36"/>
        <v>0</v>
      </c>
      <c r="X187" s="98">
        <f t="shared" si="36"/>
        <v>0</v>
      </c>
      <c r="Y187" s="98">
        <f t="shared" si="36"/>
        <v>0</v>
      </c>
      <c r="Z187" s="98">
        <f t="shared" si="36"/>
        <v>0</v>
      </c>
      <c r="AA187" s="98">
        <f t="shared" si="36"/>
        <v>0</v>
      </c>
      <c r="AB187" s="98">
        <f t="shared" si="36"/>
        <v>0</v>
      </c>
      <c r="AC187" s="98">
        <f t="shared" si="36"/>
        <v>0</v>
      </c>
      <c r="AD187" s="9"/>
      <c r="AE187" s="328"/>
    </row>
    <row r="188" spans="2:31" hidden="1">
      <c r="B188" s="9"/>
      <c r="C188" s="9"/>
      <c r="D188" s="9"/>
      <c r="E188" s="98"/>
      <c r="F188" s="98"/>
      <c r="G188" s="98"/>
      <c r="H188" s="384">
        <f>IF($C$33=0,0,H$182)</f>
        <v>0</v>
      </c>
      <c r="I188" s="98">
        <f t="shared" ref="I188:AC188" si="37">MAX(0,H188-($H188/$C$33))</f>
        <v>0</v>
      </c>
      <c r="J188" s="98">
        <f t="shared" si="37"/>
        <v>0</v>
      </c>
      <c r="K188" s="98">
        <f t="shared" si="37"/>
        <v>0</v>
      </c>
      <c r="L188" s="98">
        <f t="shared" si="37"/>
        <v>0</v>
      </c>
      <c r="M188" s="98">
        <f t="shared" si="37"/>
        <v>0</v>
      </c>
      <c r="N188" s="98">
        <f t="shared" si="37"/>
        <v>0</v>
      </c>
      <c r="O188" s="98">
        <f t="shared" si="37"/>
        <v>0</v>
      </c>
      <c r="P188" s="98">
        <f t="shared" si="37"/>
        <v>0</v>
      </c>
      <c r="Q188" s="98">
        <f t="shared" si="37"/>
        <v>0</v>
      </c>
      <c r="R188" s="98">
        <f t="shared" si="37"/>
        <v>0</v>
      </c>
      <c r="S188" s="98">
        <f t="shared" si="37"/>
        <v>0</v>
      </c>
      <c r="T188" s="98">
        <f t="shared" si="37"/>
        <v>0</v>
      </c>
      <c r="U188" s="98">
        <f t="shared" si="37"/>
        <v>0</v>
      </c>
      <c r="V188" s="98">
        <f t="shared" si="37"/>
        <v>0</v>
      </c>
      <c r="W188" s="98">
        <f t="shared" si="37"/>
        <v>0</v>
      </c>
      <c r="X188" s="98">
        <f t="shared" si="37"/>
        <v>0</v>
      </c>
      <c r="Y188" s="98">
        <f t="shared" si="37"/>
        <v>0</v>
      </c>
      <c r="Z188" s="98">
        <f t="shared" si="37"/>
        <v>0</v>
      </c>
      <c r="AA188" s="98">
        <f t="shared" si="37"/>
        <v>0</v>
      </c>
      <c r="AB188" s="98">
        <f t="shared" si="37"/>
        <v>0</v>
      </c>
      <c r="AC188" s="98">
        <f t="shared" si="37"/>
        <v>0</v>
      </c>
      <c r="AD188" s="9"/>
      <c r="AE188" s="328"/>
    </row>
    <row r="189" spans="2:31" hidden="1">
      <c r="B189" s="9"/>
      <c r="C189" s="9"/>
      <c r="D189" s="9"/>
      <c r="E189" s="98"/>
      <c r="F189" s="98"/>
      <c r="G189" s="98"/>
      <c r="H189" s="98"/>
      <c r="I189" s="98">
        <f>IF($C$33=0,0,I$182+I$180)</f>
        <v>0</v>
      </c>
      <c r="J189" s="98">
        <f t="shared" ref="J189:AC189" si="38">MAX(0,I189-($I189/$C$33))</f>
        <v>0</v>
      </c>
      <c r="K189" s="98">
        <f t="shared" si="38"/>
        <v>0</v>
      </c>
      <c r="L189" s="98">
        <f t="shared" si="38"/>
        <v>0</v>
      </c>
      <c r="M189" s="98">
        <f t="shared" si="38"/>
        <v>0</v>
      </c>
      <c r="N189" s="98">
        <f t="shared" si="38"/>
        <v>0</v>
      </c>
      <c r="O189" s="98">
        <f t="shared" si="38"/>
        <v>0</v>
      </c>
      <c r="P189" s="98">
        <f t="shared" si="38"/>
        <v>0</v>
      </c>
      <c r="Q189" s="98">
        <f t="shared" si="38"/>
        <v>0</v>
      </c>
      <c r="R189" s="98">
        <f t="shared" si="38"/>
        <v>0</v>
      </c>
      <c r="S189" s="98">
        <f t="shared" si="38"/>
        <v>0</v>
      </c>
      <c r="T189" s="98">
        <f t="shared" si="38"/>
        <v>0</v>
      </c>
      <c r="U189" s="98">
        <f t="shared" si="38"/>
        <v>0</v>
      </c>
      <c r="V189" s="98">
        <f t="shared" si="38"/>
        <v>0</v>
      </c>
      <c r="W189" s="98">
        <f t="shared" si="38"/>
        <v>0</v>
      </c>
      <c r="X189" s="98">
        <f t="shared" si="38"/>
        <v>0</v>
      </c>
      <c r="Y189" s="98">
        <f t="shared" si="38"/>
        <v>0</v>
      </c>
      <c r="Z189" s="98">
        <f t="shared" si="38"/>
        <v>0</v>
      </c>
      <c r="AA189" s="98">
        <f t="shared" si="38"/>
        <v>0</v>
      </c>
      <c r="AB189" s="98">
        <f t="shared" si="38"/>
        <v>0</v>
      </c>
      <c r="AC189" s="98">
        <f t="shared" si="38"/>
        <v>0</v>
      </c>
      <c r="AD189" s="9"/>
      <c r="AE189" s="328"/>
    </row>
    <row r="190" spans="2:31" hidden="1">
      <c r="B190" s="9"/>
      <c r="C190" s="9"/>
      <c r="D190" s="9"/>
      <c r="E190" s="98"/>
      <c r="F190" s="98"/>
      <c r="G190" s="98"/>
      <c r="H190" s="98"/>
      <c r="I190" s="384"/>
      <c r="J190" s="384">
        <f>IF($C$33=0,0,J$182)</f>
        <v>0</v>
      </c>
      <c r="K190" s="98">
        <f t="shared" ref="K190:AC190" si="39">MAX(0,J190-($J190/$C$33))</f>
        <v>0</v>
      </c>
      <c r="L190" s="98">
        <f t="shared" si="39"/>
        <v>0</v>
      </c>
      <c r="M190" s="98">
        <f t="shared" si="39"/>
        <v>0</v>
      </c>
      <c r="N190" s="98">
        <f t="shared" si="39"/>
        <v>0</v>
      </c>
      <c r="O190" s="98">
        <f t="shared" si="39"/>
        <v>0</v>
      </c>
      <c r="P190" s="98">
        <f t="shared" si="39"/>
        <v>0</v>
      </c>
      <c r="Q190" s="98">
        <f t="shared" si="39"/>
        <v>0</v>
      </c>
      <c r="R190" s="98">
        <f t="shared" si="39"/>
        <v>0</v>
      </c>
      <c r="S190" s="98">
        <f t="shared" si="39"/>
        <v>0</v>
      </c>
      <c r="T190" s="98">
        <f t="shared" si="39"/>
        <v>0</v>
      </c>
      <c r="U190" s="98">
        <f t="shared" si="39"/>
        <v>0</v>
      </c>
      <c r="V190" s="98">
        <f t="shared" si="39"/>
        <v>0</v>
      </c>
      <c r="W190" s="98">
        <f t="shared" si="39"/>
        <v>0</v>
      </c>
      <c r="X190" s="98">
        <f t="shared" si="39"/>
        <v>0</v>
      </c>
      <c r="Y190" s="98">
        <f t="shared" si="39"/>
        <v>0</v>
      </c>
      <c r="Z190" s="98">
        <f t="shared" si="39"/>
        <v>0</v>
      </c>
      <c r="AA190" s="98">
        <f t="shared" si="39"/>
        <v>0</v>
      </c>
      <c r="AB190" s="98">
        <f t="shared" si="39"/>
        <v>0</v>
      </c>
      <c r="AC190" s="98">
        <f t="shared" si="39"/>
        <v>0</v>
      </c>
      <c r="AD190" s="9"/>
      <c r="AE190" s="328"/>
    </row>
    <row r="191" spans="2:31" hidden="1">
      <c r="B191" s="9"/>
      <c r="C191" s="9"/>
      <c r="D191" s="9"/>
      <c r="E191" s="98"/>
      <c r="F191" s="98"/>
      <c r="G191" s="98"/>
      <c r="H191" s="98"/>
      <c r="I191" s="98"/>
      <c r="J191" s="98"/>
      <c r="K191" s="384">
        <f>IF($C$33=0,0,K$182)</f>
        <v>0</v>
      </c>
      <c r="L191" s="98">
        <f t="shared" ref="L191:AC191" si="40">MAX(0,K191-($K191/$C$33))</f>
        <v>0</v>
      </c>
      <c r="M191" s="98">
        <f t="shared" si="40"/>
        <v>0</v>
      </c>
      <c r="N191" s="98">
        <f t="shared" si="40"/>
        <v>0</v>
      </c>
      <c r="O191" s="98">
        <f t="shared" si="40"/>
        <v>0</v>
      </c>
      <c r="P191" s="98">
        <f t="shared" si="40"/>
        <v>0</v>
      </c>
      <c r="Q191" s="98">
        <f t="shared" si="40"/>
        <v>0</v>
      </c>
      <c r="R191" s="98">
        <f t="shared" si="40"/>
        <v>0</v>
      </c>
      <c r="S191" s="98">
        <f t="shared" si="40"/>
        <v>0</v>
      </c>
      <c r="T191" s="98">
        <f t="shared" si="40"/>
        <v>0</v>
      </c>
      <c r="U191" s="98">
        <f t="shared" si="40"/>
        <v>0</v>
      </c>
      <c r="V191" s="98">
        <f t="shared" si="40"/>
        <v>0</v>
      </c>
      <c r="W191" s="98">
        <f t="shared" si="40"/>
        <v>0</v>
      </c>
      <c r="X191" s="98">
        <f t="shared" si="40"/>
        <v>0</v>
      </c>
      <c r="Y191" s="98">
        <f t="shared" si="40"/>
        <v>0</v>
      </c>
      <c r="Z191" s="98">
        <f t="shared" si="40"/>
        <v>0</v>
      </c>
      <c r="AA191" s="98">
        <f t="shared" si="40"/>
        <v>0</v>
      </c>
      <c r="AB191" s="98">
        <f t="shared" si="40"/>
        <v>0</v>
      </c>
      <c r="AC191" s="98">
        <f t="shared" si="40"/>
        <v>0</v>
      </c>
      <c r="AD191" s="9"/>
      <c r="AE191" s="328"/>
    </row>
    <row r="192" spans="2:31" hidden="1">
      <c r="B192" s="9"/>
      <c r="C192" s="9"/>
      <c r="D192" s="9"/>
      <c r="E192" s="98"/>
      <c r="F192" s="98"/>
      <c r="G192" s="98"/>
      <c r="H192" s="98"/>
      <c r="I192" s="98"/>
      <c r="J192" s="98"/>
      <c r="K192" s="98"/>
      <c r="L192" s="384">
        <f>IF($C$33=0,0,L$182)</f>
        <v>0</v>
      </c>
      <c r="M192" s="98">
        <f t="shared" ref="M192:AC192" si="41">MAX(0,L192-($L192/$C$33))</f>
        <v>0</v>
      </c>
      <c r="N192" s="98">
        <f t="shared" si="41"/>
        <v>0</v>
      </c>
      <c r="O192" s="98">
        <f t="shared" si="41"/>
        <v>0</v>
      </c>
      <c r="P192" s="98">
        <f t="shared" si="41"/>
        <v>0</v>
      </c>
      <c r="Q192" s="98">
        <f t="shared" si="41"/>
        <v>0</v>
      </c>
      <c r="R192" s="98">
        <f t="shared" si="41"/>
        <v>0</v>
      </c>
      <c r="S192" s="98">
        <f t="shared" si="41"/>
        <v>0</v>
      </c>
      <c r="T192" s="98">
        <f t="shared" si="41"/>
        <v>0</v>
      </c>
      <c r="U192" s="98">
        <f t="shared" si="41"/>
        <v>0</v>
      </c>
      <c r="V192" s="98">
        <f t="shared" si="41"/>
        <v>0</v>
      </c>
      <c r="W192" s="98">
        <f t="shared" si="41"/>
        <v>0</v>
      </c>
      <c r="X192" s="98">
        <f t="shared" si="41"/>
        <v>0</v>
      </c>
      <c r="Y192" s="98">
        <f t="shared" si="41"/>
        <v>0</v>
      </c>
      <c r="Z192" s="98">
        <f t="shared" si="41"/>
        <v>0</v>
      </c>
      <c r="AA192" s="98">
        <f t="shared" si="41"/>
        <v>0</v>
      </c>
      <c r="AB192" s="98">
        <f t="shared" si="41"/>
        <v>0</v>
      </c>
      <c r="AC192" s="98">
        <f t="shared" si="41"/>
        <v>0</v>
      </c>
      <c r="AD192" s="9"/>
      <c r="AE192" s="328"/>
    </row>
    <row r="193" spans="2:31" hidden="1">
      <c r="B193" s="9"/>
      <c r="C193" s="9"/>
      <c r="D193" s="9"/>
      <c r="E193" s="98"/>
      <c r="F193" s="98"/>
      <c r="G193" s="98"/>
      <c r="H193" s="98"/>
      <c r="I193" s="98"/>
      <c r="J193" s="98"/>
      <c r="K193" s="98"/>
      <c r="L193" s="98"/>
      <c r="M193" s="384">
        <f>IF($C$33=0,0,M$182)</f>
        <v>0</v>
      </c>
      <c r="N193" s="98">
        <f t="shared" ref="N193:AC193" si="42">MAX(0,M193-($M193/$C$33))</f>
        <v>0</v>
      </c>
      <c r="O193" s="98">
        <f t="shared" si="42"/>
        <v>0</v>
      </c>
      <c r="P193" s="98">
        <f t="shared" si="42"/>
        <v>0</v>
      </c>
      <c r="Q193" s="98">
        <f t="shared" si="42"/>
        <v>0</v>
      </c>
      <c r="R193" s="98">
        <f t="shared" si="42"/>
        <v>0</v>
      </c>
      <c r="S193" s="98">
        <f t="shared" si="42"/>
        <v>0</v>
      </c>
      <c r="T193" s="98">
        <f t="shared" si="42"/>
        <v>0</v>
      </c>
      <c r="U193" s="98">
        <f t="shared" si="42"/>
        <v>0</v>
      </c>
      <c r="V193" s="98">
        <f t="shared" si="42"/>
        <v>0</v>
      </c>
      <c r="W193" s="98">
        <f t="shared" si="42"/>
        <v>0</v>
      </c>
      <c r="X193" s="98">
        <f t="shared" si="42"/>
        <v>0</v>
      </c>
      <c r="Y193" s="98">
        <f t="shared" si="42"/>
        <v>0</v>
      </c>
      <c r="Z193" s="98">
        <f t="shared" si="42"/>
        <v>0</v>
      </c>
      <c r="AA193" s="98">
        <f t="shared" si="42"/>
        <v>0</v>
      </c>
      <c r="AB193" s="98">
        <f t="shared" si="42"/>
        <v>0</v>
      </c>
      <c r="AC193" s="98">
        <f t="shared" si="42"/>
        <v>0</v>
      </c>
      <c r="AD193" s="9"/>
      <c r="AE193" s="328"/>
    </row>
    <row r="194" spans="2:31" hidden="1">
      <c r="B194" s="9"/>
      <c r="C194" s="9"/>
      <c r="D194" s="9"/>
      <c r="E194" s="98"/>
      <c r="F194" s="98"/>
      <c r="G194" s="98"/>
      <c r="H194" s="98"/>
      <c r="I194" s="98"/>
      <c r="J194" s="98"/>
      <c r="K194" s="98"/>
      <c r="L194" s="98"/>
      <c r="M194" s="98"/>
      <c r="N194" s="384">
        <f>IF($C$33=0,0,N$182)</f>
        <v>0</v>
      </c>
      <c r="O194" s="98">
        <f t="shared" ref="O194:AC194" si="43">MAX(0,N194-($N194/$C$33))</f>
        <v>0</v>
      </c>
      <c r="P194" s="98">
        <f t="shared" si="43"/>
        <v>0</v>
      </c>
      <c r="Q194" s="98">
        <f t="shared" si="43"/>
        <v>0</v>
      </c>
      <c r="R194" s="98">
        <f t="shared" si="43"/>
        <v>0</v>
      </c>
      <c r="S194" s="98">
        <f t="shared" si="43"/>
        <v>0</v>
      </c>
      <c r="T194" s="98">
        <f t="shared" si="43"/>
        <v>0</v>
      </c>
      <c r="U194" s="98">
        <f t="shared" si="43"/>
        <v>0</v>
      </c>
      <c r="V194" s="98">
        <f t="shared" si="43"/>
        <v>0</v>
      </c>
      <c r="W194" s="98">
        <f t="shared" si="43"/>
        <v>0</v>
      </c>
      <c r="X194" s="98">
        <f t="shared" si="43"/>
        <v>0</v>
      </c>
      <c r="Y194" s="98">
        <f t="shared" si="43"/>
        <v>0</v>
      </c>
      <c r="Z194" s="98">
        <f t="shared" si="43"/>
        <v>0</v>
      </c>
      <c r="AA194" s="98">
        <f t="shared" si="43"/>
        <v>0</v>
      </c>
      <c r="AB194" s="98">
        <f t="shared" si="43"/>
        <v>0</v>
      </c>
      <c r="AC194" s="98">
        <f t="shared" si="43"/>
        <v>0</v>
      </c>
      <c r="AD194" s="9"/>
      <c r="AE194" s="328"/>
    </row>
    <row r="195" spans="2:31" hidden="1">
      <c r="B195" s="9"/>
      <c r="C195" s="9"/>
      <c r="D195" s="9"/>
      <c r="E195" s="98"/>
      <c r="F195" s="98"/>
      <c r="G195" s="98"/>
      <c r="H195" s="98"/>
      <c r="I195" s="98"/>
      <c r="J195" s="98"/>
      <c r="K195" s="98"/>
      <c r="L195" s="98"/>
      <c r="M195" s="98"/>
      <c r="N195" s="98"/>
      <c r="O195" s="384">
        <f>IF($C$33=0,0,O$182)</f>
        <v>0</v>
      </c>
      <c r="P195" s="98">
        <f t="shared" ref="P195:AC195" si="44">MAX(0,O195-($O195/$C$33))</f>
        <v>0</v>
      </c>
      <c r="Q195" s="98">
        <f t="shared" si="44"/>
        <v>0</v>
      </c>
      <c r="R195" s="98">
        <f t="shared" si="44"/>
        <v>0</v>
      </c>
      <c r="S195" s="98">
        <f t="shared" si="44"/>
        <v>0</v>
      </c>
      <c r="T195" s="98">
        <f t="shared" si="44"/>
        <v>0</v>
      </c>
      <c r="U195" s="98">
        <f t="shared" si="44"/>
        <v>0</v>
      </c>
      <c r="V195" s="98">
        <f t="shared" si="44"/>
        <v>0</v>
      </c>
      <c r="W195" s="98">
        <f t="shared" si="44"/>
        <v>0</v>
      </c>
      <c r="X195" s="98">
        <f t="shared" si="44"/>
        <v>0</v>
      </c>
      <c r="Y195" s="98">
        <f t="shared" si="44"/>
        <v>0</v>
      </c>
      <c r="Z195" s="98">
        <f t="shared" si="44"/>
        <v>0</v>
      </c>
      <c r="AA195" s="98">
        <f t="shared" si="44"/>
        <v>0</v>
      </c>
      <c r="AB195" s="98">
        <f t="shared" si="44"/>
        <v>0</v>
      </c>
      <c r="AC195" s="98">
        <f t="shared" si="44"/>
        <v>0</v>
      </c>
      <c r="AD195" s="9"/>
      <c r="AE195" s="328"/>
    </row>
    <row r="196" spans="2:31" hidden="1">
      <c r="B196" s="9"/>
      <c r="C196" s="9"/>
      <c r="D196" s="9"/>
      <c r="E196" s="98"/>
      <c r="F196" s="98"/>
      <c r="G196" s="98"/>
      <c r="H196" s="98"/>
      <c r="I196" s="98"/>
      <c r="J196" s="98"/>
      <c r="K196" s="98"/>
      <c r="L196" s="98"/>
      <c r="M196" s="98"/>
      <c r="N196" s="98"/>
      <c r="O196" s="98"/>
      <c r="P196" s="384">
        <f>IF($C$33=0,0,P$182)</f>
        <v>24.15</v>
      </c>
      <c r="Q196" s="98">
        <f t="shared" ref="Q196:AC196" si="45">MAX(0,P196-($P196/$C$33))</f>
        <v>19.32</v>
      </c>
      <c r="R196" s="98">
        <f t="shared" si="45"/>
        <v>14.49</v>
      </c>
      <c r="S196" s="98">
        <f t="shared" si="45"/>
        <v>9.66</v>
      </c>
      <c r="T196" s="98">
        <f t="shared" si="45"/>
        <v>4.83</v>
      </c>
      <c r="U196" s="98">
        <f t="shared" si="45"/>
        <v>0</v>
      </c>
      <c r="V196" s="98">
        <f t="shared" si="45"/>
        <v>0</v>
      </c>
      <c r="W196" s="98">
        <f t="shared" si="45"/>
        <v>0</v>
      </c>
      <c r="X196" s="98">
        <f t="shared" si="45"/>
        <v>0</v>
      </c>
      <c r="Y196" s="98">
        <f t="shared" si="45"/>
        <v>0</v>
      </c>
      <c r="Z196" s="98">
        <f t="shared" si="45"/>
        <v>0</v>
      </c>
      <c r="AA196" s="98">
        <f t="shared" si="45"/>
        <v>0</v>
      </c>
      <c r="AB196" s="98">
        <f t="shared" si="45"/>
        <v>0</v>
      </c>
      <c r="AC196" s="98">
        <f t="shared" si="45"/>
        <v>0</v>
      </c>
      <c r="AD196" s="9"/>
      <c r="AE196" s="328"/>
    </row>
    <row r="197" spans="2:31" hidden="1">
      <c r="B197" s="9"/>
      <c r="C197" s="9"/>
      <c r="D197" s="9"/>
      <c r="E197" s="98"/>
      <c r="F197" s="98"/>
      <c r="G197" s="98"/>
      <c r="H197" s="98"/>
      <c r="I197" s="98"/>
      <c r="J197" s="98"/>
      <c r="K197" s="98"/>
      <c r="L197" s="98"/>
      <c r="M197" s="98"/>
      <c r="N197" s="98"/>
      <c r="O197" s="98"/>
      <c r="P197" s="98"/>
      <c r="Q197" s="384">
        <f>IF($C$33=0,0,Q$182)</f>
        <v>56.781999999999996</v>
      </c>
      <c r="R197" s="98">
        <f t="shared" ref="R197:AC197" si="46">MAX(0,Q197-($Q197/$C$33))</f>
        <v>45.425599999999996</v>
      </c>
      <c r="S197" s="98">
        <f t="shared" si="46"/>
        <v>34.069199999999995</v>
      </c>
      <c r="T197" s="98">
        <f t="shared" si="46"/>
        <v>22.712799999999994</v>
      </c>
      <c r="U197" s="98">
        <f t="shared" si="46"/>
        <v>11.356399999999995</v>
      </c>
      <c r="V197" s="98">
        <f t="shared" si="46"/>
        <v>0</v>
      </c>
      <c r="W197" s="98">
        <f t="shared" si="46"/>
        <v>0</v>
      </c>
      <c r="X197" s="98">
        <f t="shared" si="46"/>
        <v>0</v>
      </c>
      <c r="Y197" s="98">
        <f t="shared" si="46"/>
        <v>0</v>
      </c>
      <c r="Z197" s="98">
        <f t="shared" si="46"/>
        <v>0</v>
      </c>
      <c r="AA197" s="98">
        <f t="shared" si="46"/>
        <v>0</v>
      </c>
      <c r="AB197" s="98">
        <f t="shared" si="46"/>
        <v>0</v>
      </c>
      <c r="AC197" s="98">
        <f t="shared" si="46"/>
        <v>0</v>
      </c>
      <c r="AD197" s="9"/>
      <c r="AE197" s="328"/>
    </row>
    <row r="198" spans="2:31" hidden="1">
      <c r="B198" s="9"/>
      <c r="C198" s="9"/>
      <c r="D198" s="9"/>
      <c r="E198" s="98"/>
      <c r="F198" s="98"/>
      <c r="G198" s="98"/>
      <c r="H198" s="98"/>
      <c r="I198" s="98"/>
      <c r="J198" s="98"/>
      <c r="K198" s="98"/>
      <c r="L198" s="98"/>
      <c r="M198" s="98"/>
      <c r="N198" s="98"/>
      <c r="O198" s="98"/>
      <c r="P198" s="98"/>
      <c r="Q198" s="98"/>
      <c r="R198" s="384">
        <f>IF($C$33=0,0,R$182)</f>
        <v>663.68899999999996</v>
      </c>
      <c r="S198" s="98">
        <f t="shared" ref="S198:AC198" si="47">MAX(0,R198-($R198/$C$33))</f>
        <v>530.95119999999997</v>
      </c>
      <c r="T198" s="98">
        <f t="shared" si="47"/>
        <v>398.21339999999998</v>
      </c>
      <c r="U198" s="98">
        <f t="shared" si="47"/>
        <v>265.47559999999999</v>
      </c>
      <c r="V198" s="98">
        <f t="shared" si="47"/>
        <v>132.73779999999999</v>
      </c>
      <c r="W198" s="98">
        <f t="shared" si="47"/>
        <v>0</v>
      </c>
      <c r="X198" s="98">
        <f t="shared" si="47"/>
        <v>0</v>
      </c>
      <c r="Y198" s="98">
        <f t="shared" si="47"/>
        <v>0</v>
      </c>
      <c r="Z198" s="98">
        <f t="shared" si="47"/>
        <v>0</v>
      </c>
      <c r="AA198" s="98">
        <f t="shared" si="47"/>
        <v>0</v>
      </c>
      <c r="AB198" s="98">
        <f t="shared" si="47"/>
        <v>0</v>
      </c>
      <c r="AC198" s="98">
        <f t="shared" si="47"/>
        <v>0</v>
      </c>
      <c r="AD198" s="9"/>
      <c r="AE198" s="328"/>
    </row>
    <row r="199" spans="2:31" hidden="1">
      <c r="B199" s="9"/>
      <c r="C199" s="9"/>
      <c r="D199" s="9"/>
      <c r="E199" s="98"/>
      <c r="F199" s="98"/>
      <c r="G199" s="98"/>
      <c r="H199" s="98"/>
      <c r="I199" s="98"/>
      <c r="J199" s="98"/>
      <c r="K199" s="98"/>
      <c r="L199" s="98"/>
      <c r="M199" s="98"/>
      <c r="N199" s="98"/>
      <c r="O199" s="98"/>
      <c r="P199" s="98"/>
      <c r="Q199" s="98"/>
      <c r="R199" s="98"/>
      <c r="S199" s="384">
        <f>IF($C$33=0,0,S$182)</f>
        <v>510.089</v>
      </c>
      <c r="T199" s="98">
        <f t="shared" ref="T199:AC199" si="48">MAX(0,S199-($S199/$C$33))</f>
        <v>408.07119999999998</v>
      </c>
      <c r="U199" s="98">
        <f t="shared" si="48"/>
        <v>306.05340000000001</v>
      </c>
      <c r="V199" s="98">
        <f t="shared" si="48"/>
        <v>204.03560000000002</v>
      </c>
      <c r="W199" s="98">
        <f t="shared" si="48"/>
        <v>102.01780000000002</v>
      </c>
      <c r="X199" s="98">
        <f t="shared" si="48"/>
        <v>2.8421709430404007E-14</v>
      </c>
      <c r="Y199" s="98">
        <f t="shared" si="48"/>
        <v>0</v>
      </c>
      <c r="Z199" s="98">
        <f t="shared" si="48"/>
        <v>0</v>
      </c>
      <c r="AA199" s="98">
        <f t="shared" si="48"/>
        <v>0</v>
      </c>
      <c r="AB199" s="98">
        <f t="shared" si="48"/>
        <v>0</v>
      </c>
      <c r="AC199" s="98">
        <f t="shared" si="48"/>
        <v>0</v>
      </c>
      <c r="AD199" s="9"/>
      <c r="AE199" s="328"/>
    </row>
    <row r="200" spans="2:31" hidden="1">
      <c r="B200" s="9"/>
      <c r="C200" s="9"/>
      <c r="D200" s="9"/>
      <c r="E200" s="98"/>
      <c r="F200" s="98"/>
      <c r="G200" s="98"/>
      <c r="H200" s="98"/>
      <c r="I200" s="98"/>
      <c r="J200" s="98"/>
      <c r="K200" s="98"/>
      <c r="L200" s="98"/>
      <c r="M200" s="98"/>
      <c r="N200" s="98"/>
      <c r="O200" s="98"/>
      <c r="P200" s="98"/>
      <c r="Q200" s="98"/>
      <c r="R200" s="98"/>
      <c r="S200" s="98"/>
      <c r="T200" s="384">
        <f>IF($C$33=0,0,T$182)</f>
        <v>0</v>
      </c>
      <c r="U200" s="98">
        <f t="shared" ref="U200:AC200" si="49">MAX(0,T200-($T200/$C$33))</f>
        <v>0</v>
      </c>
      <c r="V200" s="98">
        <f t="shared" si="49"/>
        <v>0</v>
      </c>
      <c r="W200" s="98">
        <f t="shared" si="49"/>
        <v>0</v>
      </c>
      <c r="X200" s="98">
        <f t="shared" si="49"/>
        <v>0</v>
      </c>
      <c r="Y200" s="98">
        <f t="shared" si="49"/>
        <v>0</v>
      </c>
      <c r="Z200" s="98">
        <f t="shared" si="49"/>
        <v>0</v>
      </c>
      <c r="AA200" s="98">
        <f t="shared" si="49"/>
        <v>0</v>
      </c>
      <c r="AB200" s="98">
        <f t="shared" si="49"/>
        <v>0</v>
      </c>
      <c r="AC200" s="98">
        <f t="shared" si="49"/>
        <v>0</v>
      </c>
      <c r="AD200" s="9"/>
      <c r="AE200" s="328"/>
    </row>
    <row r="201" spans="2:31" hidden="1">
      <c r="B201" s="9"/>
      <c r="C201" s="9"/>
      <c r="D201" s="9"/>
      <c r="E201" s="98"/>
      <c r="F201" s="98"/>
      <c r="G201" s="98"/>
      <c r="H201" s="98"/>
      <c r="I201" s="98"/>
      <c r="J201" s="98"/>
      <c r="K201" s="98"/>
      <c r="L201" s="98"/>
      <c r="M201" s="98"/>
      <c r="N201" s="98"/>
      <c r="O201" s="98"/>
      <c r="P201" s="98"/>
      <c r="Q201" s="98"/>
      <c r="R201" s="98"/>
      <c r="S201" s="98"/>
      <c r="T201" s="98"/>
      <c r="U201" s="384">
        <f>IF($C$33=0,0,U$182)</f>
        <v>0</v>
      </c>
      <c r="V201" s="98">
        <f t="shared" ref="V201:AC201" si="50">MAX(0,U201-($U201/$C$33))</f>
        <v>0</v>
      </c>
      <c r="W201" s="98">
        <f t="shared" si="50"/>
        <v>0</v>
      </c>
      <c r="X201" s="98">
        <f t="shared" si="50"/>
        <v>0</v>
      </c>
      <c r="Y201" s="98">
        <f t="shared" si="50"/>
        <v>0</v>
      </c>
      <c r="Z201" s="98">
        <f t="shared" si="50"/>
        <v>0</v>
      </c>
      <c r="AA201" s="98">
        <f t="shared" si="50"/>
        <v>0</v>
      </c>
      <c r="AB201" s="98">
        <f t="shared" si="50"/>
        <v>0</v>
      </c>
      <c r="AC201" s="98">
        <f t="shared" si="50"/>
        <v>0</v>
      </c>
      <c r="AD201" s="9"/>
      <c r="AE201" s="328"/>
    </row>
    <row r="202" spans="2:31" hidden="1">
      <c r="B202" s="9"/>
      <c r="C202" s="9"/>
      <c r="D202" s="9"/>
      <c r="E202" s="98"/>
      <c r="F202" s="98"/>
      <c r="G202" s="98"/>
      <c r="H202" s="98"/>
      <c r="I202" s="98"/>
      <c r="J202" s="98"/>
      <c r="K202" s="98"/>
      <c r="L202" s="98"/>
      <c r="M202" s="98"/>
      <c r="N202" s="98"/>
      <c r="O202" s="98"/>
      <c r="P202" s="98"/>
      <c r="Q202" s="98"/>
      <c r="R202" s="98"/>
      <c r="S202" s="98"/>
      <c r="T202" s="98"/>
      <c r="U202" s="98"/>
      <c r="V202" s="384">
        <f>IF($C$33=0,0,V$182)</f>
        <v>0</v>
      </c>
      <c r="W202" s="98">
        <f t="shared" ref="W202:AC202" si="51">MAX(0,V202-($V202/$C$33))</f>
        <v>0</v>
      </c>
      <c r="X202" s="98">
        <f t="shared" si="51"/>
        <v>0</v>
      </c>
      <c r="Y202" s="98">
        <f t="shared" si="51"/>
        <v>0</v>
      </c>
      <c r="Z202" s="98">
        <f t="shared" si="51"/>
        <v>0</v>
      </c>
      <c r="AA202" s="98">
        <f t="shared" si="51"/>
        <v>0</v>
      </c>
      <c r="AB202" s="98">
        <f t="shared" si="51"/>
        <v>0</v>
      </c>
      <c r="AC202" s="98">
        <f t="shared" si="51"/>
        <v>0</v>
      </c>
      <c r="AD202" s="9"/>
      <c r="AE202" s="328"/>
    </row>
    <row r="203" spans="2:31" hidden="1">
      <c r="B203" s="9"/>
      <c r="C203" s="9"/>
      <c r="D203" s="9"/>
      <c r="E203" s="98"/>
      <c r="F203" s="98"/>
      <c r="G203" s="98"/>
      <c r="H203" s="98"/>
      <c r="I203" s="98"/>
      <c r="J203" s="98"/>
      <c r="K203" s="98"/>
      <c r="L203" s="98"/>
      <c r="M203" s="98"/>
      <c r="N203" s="98"/>
      <c r="O203" s="98"/>
      <c r="P203" s="98"/>
      <c r="Q203" s="98"/>
      <c r="R203" s="98"/>
      <c r="S203" s="98"/>
      <c r="T203" s="98"/>
      <c r="U203" s="98"/>
      <c r="V203" s="384"/>
      <c r="W203" s="384">
        <f>IF($C$33=0,0,W$182)</f>
        <v>0</v>
      </c>
      <c r="X203" s="98">
        <f t="shared" ref="X203:AC203" si="52">MAX(0,W203-($W203/$C$33))</f>
        <v>0</v>
      </c>
      <c r="Y203" s="98">
        <f t="shared" si="52"/>
        <v>0</v>
      </c>
      <c r="Z203" s="98">
        <f t="shared" si="52"/>
        <v>0</v>
      </c>
      <c r="AA203" s="98">
        <f t="shared" si="52"/>
        <v>0</v>
      </c>
      <c r="AB203" s="98">
        <f t="shared" si="52"/>
        <v>0</v>
      </c>
      <c r="AC203" s="98">
        <f t="shared" si="52"/>
        <v>0</v>
      </c>
      <c r="AD203" s="9"/>
      <c r="AE203" s="328"/>
    </row>
    <row r="204" spans="2:31" hidden="1">
      <c r="B204" s="9"/>
      <c r="C204" s="9"/>
      <c r="D204" s="9"/>
      <c r="E204" s="98"/>
      <c r="F204" s="98"/>
      <c r="G204" s="98"/>
      <c r="H204" s="98"/>
      <c r="I204" s="98"/>
      <c r="J204" s="98"/>
      <c r="K204" s="98"/>
      <c r="L204" s="98"/>
      <c r="M204" s="98"/>
      <c r="N204" s="98"/>
      <c r="O204" s="98"/>
      <c r="P204" s="98"/>
      <c r="Q204" s="98"/>
      <c r="R204" s="98"/>
      <c r="S204" s="98"/>
      <c r="T204" s="98"/>
      <c r="U204" s="98"/>
      <c r="V204" s="384"/>
      <c r="W204" s="98"/>
      <c r="X204" s="384">
        <f>IF($C$33=0,0,X$182)</f>
        <v>0</v>
      </c>
      <c r="Y204" s="98">
        <f>MAX(0,X204-($X204/$C$33))</f>
        <v>0</v>
      </c>
      <c r="Z204" s="98">
        <f>MAX(0,Y204-($X204/$C$33))</f>
        <v>0</v>
      </c>
      <c r="AA204" s="98">
        <f>MAX(0,Z204-($X204/$C$33))</f>
        <v>0</v>
      </c>
      <c r="AB204" s="98">
        <f>MAX(0,AA204-($X204/$C$33))</f>
        <v>0</v>
      </c>
      <c r="AC204" s="98">
        <f>MAX(0,AB204-($X204/$C$33))</f>
        <v>0</v>
      </c>
      <c r="AD204" s="9"/>
      <c r="AE204" s="328"/>
    </row>
    <row r="205" spans="2:31" hidden="1">
      <c r="B205" s="9"/>
      <c r="C205" s="9"/>
      <c r="D205" s="9"/>
      <c r="E205" s="98"/>
      <c r="F205" s="98"/>
      <c r="G205" s="98"/>
      <c r="H205" s="98"/>
      <c r="I205" s="98"/>
      <c r="J205" s="98"/>
      <c r="K205" s="98"/>
      <c r="L205" s="98"/>
      <c r="M205" s="98"/>
      <c r="N205" s="98"/>
      <c r="O205" s="98"/>
      <c r="P205" s="98"/>
      <c r="Q205" s="98"/>
      <c r="R205" s="98"/>
      <c r="S205" s="98"/>
      <c r="T205" s="98"/>
      <c r="U205" s="98"/>
      <c r="V205" s="384"/>
      <c r="W205" s="98"/>
      <c r="X205" s="98"/>
      <c r="Y205" s="384">
        <f>IF($C$33=0,0,Y$182)</f>
        <v>0</v>
      </c>
      <c r="Z205" s="384">
        <f>MAX(0,Y205-($Y205/$C$33))</f>
        <v>0</v>
      </c>
      <c r="AA205" s="384">
        <f>MAX(0,Z205-($Y205/$C$33))</f>
        <v>0</v>
      </c>
      <c r="AB205" s="384">
        <f>MAX(0,AA205-($Y205/$C$33))</f>
        <v>0</v>
      </c>
      <c r="AC205" s="384">
        <f>MAX(0,AB205-($Y205/$C$33))</f>
        <v>0</v>
      </c>
      <c r="AD205" s="9"/>
      <c r="AE205" s="328"/>
    </row>
    <row r="206" spans="2:31" hidden="1">
      <c r="B206" s="9"/>
      <c r="C206" s="9"/>
      <c r="D206" s="9"/>
      <c r="E206" s="98"/>
      <c r="F206" s="98"/>
      <c r="G206" s="98"/>
      <c r="H206" s="98"/>
      <c r="I206" s="98"/>
      <c r="J206" s="98"/>
      <c r="K206" s="98"/>
      <c r="L206" s="98"/>
      <c r="M206" s="98"/>
      <c r="N206" s="98"/>
      <c r="O206" s="98"/>
      <c r="P206" s="98"/>
      <c r="Q206" s="98"/>
      <c r="R206" s="98"/>
      <c r="S206" s="98"/>
      <c r="T206" s="98"/>
      <c r="U206" s="98"/>
      <c r="V206" s="384"/>
      <c r="W206" s="98"/>
      <c r="X206" s="98"/>
      <c r="Y206" s="98"/>
      <c r="Z206" s="98">
        <f>IF($C$33=0,0,Z$182)</f>
        <v>0</v>
      </c>
      <c r="AA206" s="98">
        <f>MAX(0,Z206-($Z206/$C$33))</f>
        <v>0</v>
      </c>
      <c r="AB206" s="98">
        <f>MAX(0,AA206-($Z206/$C$33))</f>
        <v>0</v>
      </c>
      <c r="AC206" s="98">
        <f>MAX(0,AB206-($Z206/$C$33))</f>
        <v>0</v>
      </c>
      <c r="AD206" s="9"/>
      <c r="AE206" s="328"/>
    </row>
    <row r="207" spans="2:31" hidden="1">
      <c r="B207" s="9"/>
      <c r="C207" s="9"/>
      <c r="D207" s="9"/>
      <c r="E207" s="98"/>
      <c r="F207" s="98"/>
      <c r="G207" s="98"/>
      <c r="H207" s="98"/>
      <c r="I207" s="98"/>
      <c r="J207" s="98"/>
      <c r="K207" s="98"/>
      <c r="L207" s="98"/>
      <c r="M207" s="98"/>
      <c r="N207" s="98"/>
      <c r="O207" s="98"/>
      <c r="P207" s="98"/>
      <c r="Q207" s="98"/>
      <c r="R207" s="98"/>
      <c r="S207" s="98"/>
      <c r="T207" s="98"/>
      <c r="U207" s="98"/>
      <c r="V207" s="384"/>
      <c r="W207" s="98"/>
      <c r="X207" s="98"/>
      <c r="Y207" s="98"/>
      <c r="Z207" s="98"/>
      <c r="AA207" s="98">
        <f>IF($C$33=0,0,AA$182)</f>
        <v>0</v>
      </c>
      <c r="AB207" s="98">
        <f>MAX(0,AA207-($AA207/$C$33))</f>
        <v>0</v>
      </c>
      <c r="AC207" s="98">
        <f>MAX(0,AB207-($AA207/$C$33))</f>
        <v>0</v>
      </c>
      <c r="AD207" s="9"/>
      <c r="AE207" s="328"/>
    </row>
    <row r="208" spans="2:31" hidden="1">
      <c r="B208" s="9"/>
      <c r="C208" s="9"/>
      <c r="D208" s="9"/>
      <c r="E208" s="98"/>
      <c r="F208" s="98"/>
      <c r="G208" s="98"/>
      <c r="H208" s="98"/>
      <c r="I208" s="98"/>
      <c r="J208" s="98"/>
      <c r="K208" s="98"/>
      <c r="L208" s="98"/>
      <c r="M208" s="98"/>
      <c r="N208" s="98"/>
      <c r="O208" s="98"/>
      <c r="P208" s="98"/>
      <c r="Q208" s="98"/>
      <c r="R208" s="98"/>
      <c r="S208" s="98"/>
      <c r="T208" s="98"/>
      <c r="U208" s="98"/>
      <c r="V208" s="384"/>
      <c r="W208" s="98"/>
      <c r="X208" s="98"/>
      <c r="Y208" s="98"/>
      <c r="Z208" s="98"/>
      <c r="AA208" s="98"/>
      <c r="AB208" s="98">
        <f>IF($C$33=0,0,AB$182)</f>
        <v>0</v>
      </c>
      <c r="AC208" s="98">
        <f>MAX(0,AB208-($AB208/$C$33))</f>
        <v>0</v>
      </c>
      <c r="AD208" s="9"/>
      <c r="AE208" s="328"/>
    </row>
    <row r="209" spans="2:31" hidden="1">
      <c r="B209" s="9"/>
      <c r="C209" s="9"/>
      <c r="D209" s="9"/>
      <c r="E209" s="98"/>
      <c r="F209" s="98"/>
      <c r="G209" s="98"/>
      <c r="H209" s="98"/>
      <c r="I209" s="98"/>
      <c r="J209" s="98"/>
      <c r="K209" s="98"/>
      <c r="L209" s="98"/>
      <c r="M209" s="98"/>
      <c r="N209" s="98"/>
      <c r="O209" s="98"/>
      <c r="P209" s="98"/>
      <c r="Q209" s="98"/>
      <c r="R209" s="98"/>
      <c r="S209" s="98"/>
      <c r="T209" s="98"/>
      <c r="U209" s="98"/>
      <c r="V209" s="384"/>
      <c r="W209" s="98"/>
      <c r="X209" s="98"/>
      <c r="Y209" s="98"/>
      <c r="Z209" s="98"/>
      <c r="AA209" s="98"/>
      <c r="AB209" s="98"/>
      <c r="AC209" s="98">
        <f>IF($C$33=0,0,AC$182)</f>
        <v>0</v>
      </c>
      <c r="AD209" s="9"/>
      <c r="AE209" s="328"/>
    </row>
    <row r="210" spans="2:31" hidden="1">
      <c r="B210" s="9"/>
      <c r="C210" s="9"/>
      <c r="D210" s="9"/>
      <c r="E210" s="98"/>
      <c r="F210" s="98"/>
      <c r="G210" s="98"/>
      <c r="H210" s="98"/>
      <c r="I210" s="98"/>
      <c r="J210" s="98"/>
      <c r="K210" s="98"/>
      <c r="L210" s="98"/>
      <c r="M210" s="98"/>
      <c r="N210" s="98"/>
      <c r="O210" s="98"/>
      <c r="P210" s="98"/>
      <c r="Q210" s="98"/>
      <c r="R210" s="98"/>
      <c r="S210" s="98"/>
      <c r="T210" s="98"/>
      <c r="U210" s="98"/>
      <c r="V210" s="384"/>
      <c r="W210" s="98"/>
      <c r="X210" s="98"/>
      <c r="Y210" s="98"/>
      <c r="Z210" s="98"/>
      <c r="AA210" s="98"/>
      <c r="AB210" s="98"/>
      <c r="AC210" s="98"/>
      <c r="AD210" s="9"/>
      <c r="AE210" s="328"/>
    </row>
    <row r="211" spans="2:31">
      <c r="B211" s="10" t="s">
        <v>919</v>
      </c>
      <c r="E211" s="341"/>
      <c r="F211" s="341"/>
      <c r="G211" s="341"/>
      <c r="H211" s="341"/>
      <c r="I211" s="251">
        <v>0</v>
      </c>
      <c r="J211" s="342">
        <v>0</v>
      </c>
      <c r="K211" s="342">
        <v>0</v>
      </c>
      <c r="L211" s="342">
        <v>0</v>
      </c>
      <c r="M211" s="342">
        <v>0</v>
      </c>
      <c r="N211" s="342">
        <v>0</v>
      </c>
      <c r="O211" s="342">
        <v>0</v>
      </c>
      <c r="P211" s="342">
        <v>0</v>
      </c>
      <c r="Q211" s="342">
        <v>0</v>
      </c>
      <c r="R211" s="342">
        <v>0</v>
      </c>
      <c r="S211" s="342">
        <v>0</v>
      </c>
      <c r="T211" s="342"/>
      <c r="U211" s="342"/>
      <c r="V211" s="342"/>
      <c r="W211" s="342"/>
      <c r="X211" s="342"/>
      <c r="Y211" s="342"/>
      <c r="Z211" s="342"/>
      <c r="AA211" s="342"/>
      <c r="AB211" s="342"/>
      <c r="AC211" s="342"/>
      <c r="AD211" s="9"/>
      <c r="AE211" s="328"/>
    </row>
    <row r="212" spans="2:31">
      <c r="B212" s="9"/>
      <c r="C212" s="9"/>
      <c r="D212" s="9"/>
      <c r="E212" s="9"/>
      <c r="F212" s="9"/>
      <c r="G212" s="9"/>
      <c r="H212" s="9"/>
      <c r="I212" s="327"/>
      <c r="J212" s="327"/>
      <c r="K212" s="327"/>
      <c r="L212" s="327"/>
      <c r="M212" s="327"/>
      <c r="N212" s="327"/>
      <c r="O212" s="327"/>
      <c r="P212" s="327"/>
      <c r="Q212" s="327"/>
      <c r="R212" s="327"/>
      <c r="S212" s="327"/>
      <c r="T212" s="314"/>
      <c r="U212" s="314"/>
      <c r="V212" s="314"/>
      <c r="W212" s="314"/>
      <c r="X212" s="314"/>
      <c r="Y212" s="314"/>
      <c r="Z212" s="314"/>
      <c r="AA212" s="314"/>
      <c r="AB212" s="314"/>
      <c r="AC212" s="314"/>
      <c r="AD212" s="9"/>
      <c r="AE212" s="328"/>
    </row>
    <row r="213" spans="2:31">
      <c r="B213" s="9" t="s">
        <v>920</v>
      </c>
      <c r="C213" s="41"/>
      <c r="D213" s="41"/>
      <c r="E213" s="327"/>
      <c r="F213" s="327"/>
      <c r="G213" s="327"/>
      <c r="H213" s="327"/>
      <c r="I213" s="371">
        <f t="shared" ref="I213:X213" si="53">H216</f>
        <v>0</v>
      </c>
      <c r="J213" s="372">
        <f t="shared" si="53"/>
        <v>0</v>
      </c>
      <c r="K213" s="350">
        <f t="shared" si="53"/>
        <v>0</v>
      </c>
      <c r="L213" s="350">
        <f t="shared" si="53"/>
        <v>0</v>
      </c>
      <c r="M213" s="350">
        <f t="shared" si="53"/>
        <v>0</v>
      </c>
      <c r="N213" s="350">
        <f t="shared" si="53"/>
        <v>0</v>
      </c>
      <c r="O213" s="350">
        <f t="shared" si="53"/>
        <v>0</v>
      </c>
      <c r="P213" s="350">
        <f t="shared" si="53"/>
        <v>0</v>
      </c>
      <c r="Q213" s="350">
        <f t="shared" si="53"/>
        <v>0</v>
      </c>
      <c r="R213" s="350">
        <f t="shared" si="53"/>
        <v>0</v>
      </c>
      <c r="S213" s="350">
        <f t="shared" si="53"/>
        <v>0</v>
      </c>
      <c r="T213" s="350">
        <f t="shared" si="53"/>
        <v>0</v>
      </c>
      <c r="U213" s="350">
        <f t="shared" si="53"/>
        <v>0</v>
      </c>
      <c r="V213" s="350">
        <f t="shared" si="53"/>
        <v>0</v>
      </c>
      <c r="W213" s="350">
        <f t="shared" si="53"/>
        <v>0</v>
      </c>
      <c r="X213" s="350">
        <f t="shared" si="53"/>
        <v>0</v>
      </c>
      <c r="Y213" s="350">
        <f>IF(Y108="","",X216)</f>
        <v>0</v>
      </c>
      <c r="Z213" s="350">
        <f>IF(Z108="","",Y216)</f>
        <v>0</v>
      </c>
      <c r="AA213" s="350">
        <f>IF(AA108="","",Z216)</f>
        <v>0</v>
      </c>
      <c r="AB213" s="350">
        <f>IF(AB108="","",AA216)</f>
        <v>0</v>
      </c>
      <c r="AC213" s="350">
        <f>IF(AC108="","",AB216)</f>
        <v>0</v>
      </c>
      <c r="AD213" s="9"/>
      <c r="AE213" s="328"/>
    </row>
    <row r="214" spans="2:31">
      <c r="B214" s="9" t="s">
        <v>921</v>
      </c>
      <c r="C214" s="314"/>
      <c r="D214" s="314"/>
      <c r="E214" s="327"/>
      <c r="F214" s="327"/>
      <c r="G214" s="327"/>
      <c r="H214" s="327"/>
      <c r="I214" s="350">
        <f>+I216-I213-I215</f>
        <v>0</v>
      </c>
      <c r="J214" s="350">
        <f t="shared" ref="J214:X214" si="54">+J216-J213-J215</f>
        <v>0</v>
      </c>
      <c r="K214" s="350">
        <f t="shared" si="54"/>
        <v>0</v>
      </c>
      <c r="L214" s="350">
        <f t="shared" si="54"/>
        <v>0</v>
      </c>
      <c r="M214" s="350">
        <f t="shared" si="54"/>
        <v>0</v>
      </c>
      <c r="N214" s="350">
        <f t="shared" si="54"/>
        <v>0</v>
      </c>
      <c r="O214" s="350">
        <f t="shared" si="54"/>
        <v>0</v>
      </c>
      <c r="P214" s="350">
        <f t="shared" si="54"/>
        <v>0</v>
      </c>
      <c r="Q214" s="350">
        <f t="shared" si="54"/>
        <v>0</v>
      </c>
      <c r="R214" s="350">
        <f t="shared" si="54"/>
        <v>0</v>
      </c>
      <c r="S214" s="350">
        <f t="shared" si="54"/>
        <v>0</v>
      </c>
      <c r="T214" s="350">
        <f t="shared" si="54"/>
        <v>0</v>
      </c>
      <c r="U214" s="350">
        <f t="shared" si="54"/>
        <v>0</v>
      </c>
      <c r="V214" s="350">
        <f t="shared" si="54"/>
        <v>0</v>
      </c>
      <c r="W214" s="350">
        <f t="shared" si="54"/>
        <v>0</v>
      </c>
      <c r="X214" s="350">
        <f t="shared" si="54"/>
        <v>0</v>
      </c>
      <c r="Y214" s="350">
        <f>IF(Y108="","",Y216-Y213-Y215)</f>
        <v>0</v>
      </c>
      <c r="Z214" s="350">
        <f>IF(Z108="","",Z216-Z213-Z215)</f>
        <v>0</v>
      </c>
      <c r="AA214" s="350">
        <f>IF(AA108="","",AA216-AA213-AA215)</f>
        <v>0</v>
      </c>
      <c r="AB214" s="350">
        <f>IF(AB108="","",AB216-AB213-AB215)</f>
        <v>0</v>
      </c>
      <c r="AC214" s="350">
        <f>IF(AC108="","",AC216-AC213-AC215)</f>
        <v>0</v>
      </c>
      <c r="AD214" s="9"/>
      <c r="AE214" s="328"/>
    </row>
    <row r="215" spans="2:31">
      <c r="B215" s="9" t="s">
        <v>922</v>
      </c>
      <c r="C215" s="314"/>
      <c r="D215" s="314"/>
      <c r="E215" s="327"/>
      <c r="F215" s="327"/>
      <c r="G215" s="327"/>
      <c r="H215" s="327"/>
      <c r="I215" s="350">
        <f>I211*$C$37</f>
        <v>0</v>
      </c>
      <c r="J215" s="350">
        <f t="shared" ref="J215:X215" si="55">J211*$C$37</f>
        <v>0</v>
      </c>
      <c r="K215" s="350">
        <f t="shared" si="55"/>
        <v>0</v>
      </c>
      <c r="L215" s="350">
        <f t="shared" si="55"/>
        <v>0</v>
      </c>
      <c r="M215" s="350">
        <f t="shared" si="55"/>
        <v>0</v>
      </c>
      <c r="N215" s="350">
        <f>N211*$C$37</f>
        <v>0</v>
      </c>
      <c r="O215" s="350">
        <f>O211*$C$37</f>
        <v>0</v>
      </c>
      <c r="P215" s="350">
        <f t="shared" si="55"/>
        <v>0</v>
      </c>
      <c r="Q215" s="350">
        <f t="shared" si="55"/>
        <v>0</v>
      </c>
      <c r="R215" s="350">
        <f t="shared" si="55"/>
        <v>0</v>
      </c>
      <c r="S215" s="350">
        <f t="shared" si="55"/>
        <v>0</v>
      </c>
      <c r="T215" s="350">
        <f t="shared" si="55"/>
        <v>0</v>
      </c>
      <c r="U215" s="350">
        <f t="shared" si="55"/>
        <v>0</v>
      </c>
      <c r="V215" s="350">
        <f t="shared" si="55"/>
        <v>0</v>
      </c>
      <c r="W215" s="350">
        <f t="shared" si="55"/>
        <v>0</v>
      </c>
      <c r="X215" s="350">
        <f t="shared" si="55"/>
        <v>0</v>
      </c>
      <c r="Y215" s="350">
        <f>IF(Y108="","",Y211*$C$37)</f>
        <v>0</v>
      </c>
      <c r="Z215" s="350">
        <f>IF(Z108="","",Z211*$C$37)</f>
        <v>0</v>
      </c>
      <c r="AA215" s="350">
        <f>IF(AA108="","",AA211*$C$37)</f>
        <v>0</v>
      </c>
      <c r="AB215" s="350">
        <f>IF(AB108="","",AB211*$C$37)</f>
        <v>0</v>
      </c>
      <c r="AC215" s="350">
        <f>IF(AC108="","",AC211*$C$37)</f>
        <v>0</v>
      </c>
      <c r="AD215" s="9"/>
      <c r="AE215" s="328"/>
    </row>
    <row r="216" spans="2:31" s="47" customFormat="1">
      <c r="B216" s="47" t="s">
        <v>923</v>
      </c>
      <c r="C216" s="373"/>
      <c r="D216" s="373"/>
      <c r="E216" s="374"/>
      <c r="F216" s="374"/>
      <c r="G216" s="374"/>
      <c r="H216" s="374"/>
      <c r="I216" s="375">
        <f>IF($C$36=0,0,SUM(I218:I242))</f>
        <v>0</v>
      </c>
      <c r="J216" s="376">
        <f t="shared" ref="J216:X216" si="56">IF($C$36=0,0,SUM(J218:J242))</f>
        <v>0</v>
      </c>
      <c r="K216" s="376">
        <f t="shared" si="56"/>
        <v>0</v>
      </c>
      <c r="L216" s="376">
        <f t="shared" si="56"/>
        <v>0</v>
      </c>
      <c r="M216" s="376">
        <f t="shared" si="56"/>
        <v>0</v>
      </c>
      <c r="N216" s="376">
        <f t="shared" si="56"/>
        <v>0</v>
      </c>
      <c r="O216" s="376">
        <f t="shared" si="56"/>
        <v>0</v>
      </c>
      <c r="P216" s="376">
        <f t="shared" si="56"/>
        <v>0</v>
      </c>
      <c r="Q216" s="376">
        <f t="shared" si="56"/>
        <v>0</v>
      </c>
      <c r="R216" s="376">
        <f t="shared" si="56"/>
        <v>0</v>
      </c>
      <c r="S216" s="376">
        <f t="shared" si="56"/>
        <v>0</v>
      </c>
      <c r="T216" s="376">
        <f t="shared" si="56"/>
        <v>0</v>
      </c>
      <c r="U216" s="376">
        <f t="shared" si="56"/>
        <v>0</v>
      </c>
      <c r="V216" s="376">
        <f t="shared" si="56"/>
        <v>0</v>
      </c>
      <c r="W216" s="376">
        <f t="shared" si="56"/>
        <v>0</v>
      </c>
      <c r="X216" s="376">
        <f t="shared" si="56"/>
        <v>0</v>
      </c>
      <c r="Y216" s="376">
        <f>IF(Y108="","",IF($C$36=0,0,SUM(Y218:Y242)))</f>
        <v>0</v>
      </c>
      <c r="Z216" s="376">
        <f>IF(Z108="","",IF($C$36=0,0,SUM(Z218:Z242)))</f>
        <v>0</v>
      </c>
      <c r="AA216" s="376">
        <f>IF(AA108="","",IF($C$36=0,0,SUM(AA218:AA242)))</f>
        <v>0</v>
      </c>
      <c r="AB216" s="376">
        <f>IF(AB108="","",IF($C$36=0,0,SUM(AB218:AB242)))</f>
        <v>0</v>
      </c>
      <c r="AC216" s="376">
        <f>IF(AC108="","",IF($C$36=0,0,SUM(AC218:AC242)))</f>
        <v>0</v>
      </c>
      <c r="AD216" s="13"/>
      <c r="AE216" s="383"/>
    </row>
    <row r="217" spans="2:31">
      <c r="B217" s="9"/>
      <c r="C217" s="314"/>
      <c r="D217" s="314"/>
      <c r="E217" s="9"/>
      <c r="F217" s="9"/>
      <c r="G217" s="9"/>
      <c r="H217" s="9"/>
      <c r="I217" s="9"/>
      <c r="J217" s="9"/>
      <c r="K217" s="9"/>
      <c r="L217" s="9"/>
      <c r="M217" s="9"/>
      <c r="N217" s="9"/>
      <c r="O217" s="9"/>
      <c r="P217" s="9"/>
      <c r="Q217" s="9"/>
      <c r="R217" s="9"/>
      <c r="S217" s="9"/>
      <c r="T217" s="9"/>
      <c r="U217" s="9"/>
      <c r="V217" s="327"/>
      <c r="W217" s="9"/>
      <c r="X217" s="9"/>
      <c r="Y217" s="9"/>
      <c r="Z217" s="9"/>
      <c r="AA217" s="9"/>
      <c r="AB217" s="9"/>
      <c r="AC217" s="9"/>
      <c r="AD217" s="9"/>
      <c r="AE217" s="328"/>
    </row>
    <row r="218" spans="2:31" hidden="1">
      <c r="B218" s="98"/>
      <c r="C218" s="202"/>
      <c r="D218" s="202"/>
      <c r="E218" s="384">
        <f>IF($C$36=0,0,E$215)</f>
        <v>0</v>
      </c>
      <c r="F218" s="98">
        <f t="shared" ref="F218:AC218" si="57">MAX(0,E218-($E218/$C$36))</f>
        <v>0</v>
      </c>
      <c r="G218" s="98">
        <f t="shared" si="57"/>
        <v>0</v>
      </c>
      <c r="H218" s="98">
        <f t="shared" si="57"/>
        <v>0</v>
      </c>
      <c r="I218" s="98">
        <f t="shared" si="57"/>
        <v>0</v>
      </c>
      <c r="J218" s="98">
        <f t="shared" si="57"/>
        <v>0</v>
      </c>
      <c r="K218" s="98">
        <f t="shared" si="57"/>
        <v>0</v>
      </c>
      <c r="L218" s="98">
        <f t="shared" si="57"/>
        <v>0</v>
      </c>
      <c r="M218" s="98">
        <f t="shared" si="57"/>
        <v>0</v>
      </c>
      <c r="N218" s="98">
        <f t="shared" si="57"/>
        <v>0</v>
      </c>
      <c r="O218" s="98">
        <f t="shared" si="57"/>
        <v>0</v>
      </c>
      <c r="P218" s="98">
        <f t="shared" si="57"/>
        <v>0</v>
      </c>
      <c r="Q218" s="98">
        <f t="shared" si="57"/>
        <v>0</v>
      </c>
      <c r="R218" s="98">
        <f t="shared" si="57"/>
        <v>0</v>
      </c>
      <c r="S218" s="98">
        <f t="shared" si="57"/>
        <v>0</v>
      </c>
      <c r="T218" s="98">
        <f t="shared" si="57"/>
        <v>0</v>
      </c>
      <c r="U218" s="98">
        <f t="shared" si="57"/>
        <v>0</v>
      </c>
      <c r="V218" s="98">
        <f t="shared" si="57"/>
        <v>0</v>
      </c>
      <c r="W218" s="98">
        <f t="shared" si="57"/>
        <v>0</v>
      </c>
      <c r="X218" s="98">
        <f t="shared" si="57"/>
        <v>0</v>
      </c>
      <c r="Y218" s="98">
        <f t="shared" si="57"/>
        <v>0</v>
      </c>
      <c r="Z218" s="98">
        <f t="shared" si="57"/>
        <v>0</v>
      </c>
      <c r="AA218" s="98">
        <f t="shared" si="57"/>
        <v>0</v>
      </c>
      <c r="AB218" s="98">
        <f t="shared" si="57"/>
        <v>0</v>
      </c>
      <c r="AC218" s="98">
        <f t="shared" si="57"/>
        <v>0</v>
      </c>
      <c r="AD218" s="9"/>
      <c r="AE218" s="328"/>
    </row>
    <row r="219" spans="2:31" hidden="1">
      <c r="B219" s="98"/>
      <c r="C219" s="202"/>
      <c r="D219" s="202"/>
      <c r="E219" s="384"/>
      <c r="F219" s="384">
        <f>IF($C$36=0,0,F$215)</f>
        <v>0</v>
      </c>
      <c r="G219" s="98">
        <f t="shared" ref="G219:AC219" si="58">MAX(0,F219-($F219/$C$36))</f>
        <v>0</v>
      </c>
      <c r="H219" s="98">
        <f t="shared" si="58"/>
        <v>0</v>
      </c>
      <c r="I219" s="98">
        <f t="shared" si="58"/>
        <v>0</v>
      </c>
      <c r="J219" s="98">
        <f t="shared" si="58"/>
        <v>0</v>
      </c>
      <c r="K219" s="98">
        <f t="shared" si="58"/>
        <v>0</v>
      </c>
      <c r="L219" s="98">
        <f t="shared" si="58"/>
        <v>0</v>
      </c>
      <c r="M219" s="98">
        <f t="shared" si="58"/>
        <v>0</v>
      </c>
      <c r="N219" s="98">
        <f t="shared" si="58"/>
        <v>0</v>
      </c>
      <c r="O219" s="98">
        <f t="shared" si="58"/>
        <v>0</v>
      </c>
      <c r="P219" s="98">
        <f t="shared" si="58"/>
        <v>0</v>
      </c>
      <c r="Q219" s="98">
        <f t="shared" si="58"/>
        <v>0</v>
      </c>
      <c r="R219" s="98">
        <f t="shared" si="58"/>
        <v>0</v>
      </c>
      <c r="S219" s="98">
        <f t="shared" si="58"/>
        <v>0</v>
      </c>
      <c r="T219" s="98">
        <f t="shared" si="58"/>
        <v>0</v>
      </c>
      <c r="U219" s="98">
        <f t="shared" si="58"/>
        <v>0</v>
      </c>
      <c r="V219" s="98">
        <f t="shared" si="58"/>
        <v>0</v>
      </c>
      <c r="W219" s="98">
        <f t="shared" si="58"/>
        <v>0</v>
      </c>
      <c r="X219" s="98">
        <f t="shared" si="58"/>
        <v>0</v>
      </c>
      <c r="Y219" s="98">
        <f t="shared" si="58"/>
        <v>0</v>
      </c>
      <c r="Z219" s="98">
        <f t="shared" si="58"/>
        <v>0</v>
      </c>
      <c r="AA219" s="98">
        <f t="shared" si="58"/>
        <v>0</v>
      </c>
      <c r="AB219" s="98">
        <f t="shared" si="58"/>
        <v>0</v>
      </c>
      <c r="AC219" s="98">
        <f t="shared" si="58"/>
        <v>0</v>
      </c>
      <c r="AD219" s="9"/>
      <c r="AE219" s="328"/>
    </row>
    <row r="220" spans="2:31" hidden="1">
      <c r="B220" s="98"/>
      <c r="C220" s="202"/>
      <c r="D220" s="202"/>
      <c r="E220" s="98"/>
      <c r="F220" s="98"/>
      <c r="G220" s="384">
        <f>IF($C$36=0,0,G$215)</f>
        <v>0</v>
      </c>
      <c r="H220" s="98">
        <f t="shared" ref="H220:AC220" si="59">MAX(0,G220-($G220/$C$36))</f>
        <v>0</v>
      </c>
      <c r="I220" s="98">
        <f t="shared" si="59"/>
        <v>0</v>
      </c>
      <c r="J220" s="98">
        <f t="shared" si="59"/>
        <v>0</v>
      </c>
      <c r="K220" s="98">
        <f t="shared" si="59"/>
        <v>0</v>
      </c>
      <c r="L220" s="98">
        <f t="shared" si="59"/>
        <v>0</v>
      </c>
      <c r="M220" s="98">
        <f t="shared" si="59"/>
        <v>0</v>
      </c>
      <c r="N220" s="98">
        <f t="shared" si="59"/>
        <v>0</v>
      </c>
      <c r="O220" s="98">
        <f t="shared" si="59"/>
        <v>0</v>
      </c>
      <c r="P220" s="98">
        <f t="shared" si="59"/>
        <v>0</v>
      </c>
      <c r="Q220" s="98">
        <f t="shared" si="59"/>
        <v>0</v>
      </c>
      <c r="R220" s="98">
        <f t="shared" si="59"/>
        <v>0</v>
      </c>
      <c r="S220" s="98">
        <f t="shared" si="59"/>
        <v>0</v>
      </c>
      <c r="T220" s="98">
        <f t="shared" si="59"/>
        <v>0</v>
      </c>
      <c r="U220" s="98">
        <f t="shared" si="59"/>
        <v>0</v>
      </c>
      <c r="V220" s="98">
        <f t="shared" si="59"/>
        <v>0</v>
      </c>
      <c r="W220" s="98">
        <f t="shared" si="59"/>
        <v>0</v>
      </c>
      <c r="X220" s="98">
        <f t="shared" si="59"/>
        <v>0</v>
      </c>
      <c r="Y220" s="98">
        <f t="shared" si="59"/>
        <v>0</v>
      </c>
      <c r="Z220" s="98">
        <f t="shared" si="59"/>
        <v>0</v>
      </c>
      <c r="AA220" s="98">
        <f t="shared" si="59"/>
        <v>0</v>
      </c>
      <c r="AB220" s="98">
        <f t="shared" si="59"/>
        <v>0</v>
      </c>
      <c r="AC220" s="98">
        <f t="shared" si="59"/>
        <v>0</v>
      </c>
      <c r="AD220" s="9"/>
      <c r="AE220" s="328"/>
    </row>
    <row r="221" spans="2:31" hidden="1">
      <c r="B221" s="98"/>
      <c r="C221" s="202"/>
      <c r="D221" s="202"/>
      <c r="E221" s="98"/>
      <c r="F221" s="98"/>
      <c r="G221" s="98"/>
      <c r="H221" s="384">
        <f>IF($C$36=0,0,H$215)</f>
        <v>0</v>
      </c>
      <c r="I221" s="98">
        <f t="shared" ref="I221:AC221" si="60">MAX(0,H221-($H221/$C$36))</f>
        <v>0</v>
      </c>
      <c r="J221" s="98">
        <f t="shared" si="60"/>
        <v>0</v>
      </c>
      <c r="K221" s="98">
        <f t="shared" si="60"/>
        <v>0</v>
      </c>
      <c r="L221" s="98">
        <f t="shared" si="60"/>
        <v>0</v>
      </c>
      <c r="M221" s="98">
        <f t="shared" si="60"/>
        <v>0</v>
      </c>
      <c r="N221" s="98">
        <f t="shared" si="60"/>
        <v>0</v>
      </c>
      <c r="O221" s="98">
        <f t="shared" si="60"/>
        <v>0</v>
      </c>
      <c r="P221" s="98">
        <f t="shared" si="60"/>
        <v>0</v>
      </c>
      <c r="Q221" s="98">
        <f t="shared" si="60"/>
        <v>0</v>
      </c>
      <c r="R221" s="98">
        <f t="shared" si="60"/>
        <v>0</v>
      </c>
      <c r="S221" s="98">
        <f t="shared" si="60"/>
        <v>0</v>
      </c>
      <c r="T221" s="98">
        <f t="shared" si="60"/>
        <v>0</v>
      </c>
      <c r="U221" s="98">
        <f t="shared" si="60"/>
        <v>0</v>
      </c>
      <c r="V221" s="98">
        <f t="shared" si="60"/>
        <v>0</v>
      </c>
      <c r="W221" s="98">
        <f t="shared" si="60"/>
        <v>0</v>
      </c>
      <c r="X221" s="98">
        <f t="shared" si="60"/>
        <v>0</v>
      </c>
      <c r="Y221" s="98">
        <f t="shared" si="60"/>
        <v>0</v>
      </c>
      <c r="Z221" s="98">
        <f t="shared" si="60"/>
        <v>0</v>
      </c>
      <c r="AA221" s="98">
        <f t="shared" si="60"/>
        <v>0</v>
      </c>
      <c r="AB221" s="98">
        <f t="shared" si="60"/>
        <v>0</v>
      </c>
      <c r="AC221" s="98">
        <f t="shared" si="60"/>
        <v>0</v>
      </c>
      <c r="AD221" s="9"/>
      <c r="AE221" s="328"/>
    </row>
    <row r="222" spans="2:31" hidden="1">
      <c r="B222" s="98"/>
      <c r="C222" s="202"/>
      <c r="D222" s="202"/>
      <c r="E222" s="98"/>
      <c r="F222" s="98"/>
      <c r="G222" s="98"/>
      <c r="H222" s="98"/>
      <c r="I222" s="98">
        <f>IF($C$36=0,0,I$215+I$213)</f>
        <v>0</v>
      </c>
      <c r="J222" s="98">
        <f t="shared" ref="J222:AC222" si="61">MAX(0,I222-($I222/$C$36))</f>
        <v>0</v>
      </c>
      <c r="K222" s="98">
        <f t="shared" si="61"/>
        <v>0</v>
      </c>
      <c r="L222" s="98">
        <f t="shared" si="61"/>
        <v>0</v>
      </c>
      <c r="M222" s="98">
        <f t="shared" si="61"/>
        <v>0</v>
      </c>
      <c r="N222" s="98">
        <f t="shared" si="61"/>
        <v>0</v>
      </c>
      <c r="O222" s="98">
        <f t="shared" si="61"/>
        <v>0</v>
      </c>
      <c r="P222" s="98">
        <f t="shared" si="61"/>
        <v>0</v>
      </c>
      <c r="Q222" s="98">
        <f t="shared" si="61"/>
        <v>0</v>
      </c>
      <c r="R222" s="98">
        <f t="shared" si="61"/>
        <v>0</v>
      </c>
      <c r="S222" s="98">
        <f t="shared" si="61"/>
        <v>0</v>
      </c>
      <c r="T222" s="98">
        <f t="shared" si="61"/>
        <v>0</v>
      </c>
      <c r="U222" s="98">
        <f t="shared" si="61"/>
        <v>0</v>
      </c>
      <c r="V222" s="98">
        <f t="shared" si="61"/>
        <v>0</v>
      </c>
      <c r="W222" s="98">
        <f t="shared" si="61"/>
        <v>0</v>
      </c>
      <c r="X222" s="98">
        <f t="shared" si="61"/>
        <v>0</v>
      </c>
      <c r="Y222" s="98">
        <f t="shared" si="61"/>
        <v>0</v>
      </c>
      <c r="Z222" s="98">
        <f t="shared" si="61"/>
        <v>0</v>
      </c>
      <c r="AA222" s="98">
        <f t="shared" si="61"/>
        <v>0</v>
      </c>
      <c r="AB222" s="98">
        <f t="shared" si="61"/>
        <v>0</v>
      </c>
      <c r="AC222" s="98">
        <f t="shared" si="61"/>
        <v>0</v>
      </c>
      <c r="AD222" s="9"/>
      <c r="AE222" s="328"/>
    </row>
    <row r="223" spans="2:31" hidden="1">
      <c r="B223" s="98"/>
      <c r="C223" s="202"/>
      <c r="D223" s="202"/>
      <c r="E223" s="98"/>
      <c r="F223" s="98"/>
      <c r="G223" s="98"/>
      <c r="H223" s="98"/>
      <c r="I223" s="384"/>
      <c r="J223" s="384">
        <f>IF($C$36=0,0,J$215)</f>
        <v>0</v>
      </c>
      <c r="K223" s="98">
        <f t="shared" ref="K223:AC223" si="62">MAX(0,J223-($J223/$C$36))</f>
        <v>0</v>
      </c>
      <c r="L223" s="98">
        <f t="shared" si="62"/>
        <v>0</v>
      </c>
      <c r="M223" s="98">
        <f t="shared" si="62"/>
        <v>0</v>
      </c>
      <c r="N223" s="98">
        <f t="shared" si="62"/>
        <v>0</v>
      </c>
      <c r="O223" s="98">
        <f t="shared" si="62"/>
        <v>0</v>
      </c>
      <c r="P223" s="98">
        <f t="shared" si="62"/>
        <v>0</v>
      </c>
      <c r="Q223" s="98">
        <f t="shared" si="62"/>
        <v>0</v>
      </c>
      <c r="R223" s="98">
        <f t="shared" si="62"/>
        <v>0</v>
      </c>
      <c r="S223" s="98">
        <f t="shared" si="62"/>
        <v>0</v>
      </c>
      <c r="T223" s="98">
        <f t="shared" si="62"/>
        <v>0</v>
      </c>
      <c r="U223" s="98">
        <f t="shared" si="62"/>
        <v>0</v>
      </c>
      <c r="V223" s="98">
        <f t="shared" si="62"/>
        <v>0</v>
      </c>
      <c r="W223" s="98">
        <f t="shared" si="62"/>
        <v>0</v>
      </c>
      <c r="X223" s="98">
        <f t="shared" si="62"/>
        <v>0</v>
      </c>
      <c r="Y223" s="98">
        <f t="shared" si="62"/>
        <v>0</v>
      </c>
      <c r="Z223" s="98">
        <f t="shared" si="62"/>
        <v>0</v>
      </c>
      <c r="AA223" s="98">
        <f t="shared" si="62"/>
        <v>0</v>
      </c>
      <c r="AB223" s="98">
        <f t="shared" si="62"/>
        <v>0</v>
      </c>
      <c r="AC223" s="98">
        <f t="shared" si="62"/>
        <v>0</v>
      </c>
      <c r="AD223" s="9"/>
      <c r="AE223" s="328"/>
    </row>
    <row r="224" spans="2:31" hidden="1">
      <c r="B224" s="98"/>
      <c r="C224" s="202"/>
      <c r="D224" s="202"/>
      <c r="E224" s="98"/>
      <c r="F224" s="98"/>
      <c r="G224" s="98"/>
      <c r="H224" s="98"/>
      <c r="I224" s="98"/>
      <c r="J224" s="98"/>
      <c r="K224" s="384">
        <f>IF($C$36=0,0,K$215)</f>
        <v>0</v>
      </c>
      <c r="L224" s="98">
        <f t="shared" ref="L224:AC224" si="63">MAX(0,K224-($K224/$C$36))</f>
        <v>0</v>
      </c>
      <c r="M224" s="98">
        <f t="shared" si="63"/>
        <v>0</v>
      </c>
      <c r="N224" s="98">
        <f t="shared" si="63"/>
        <v>0</v>
      </c>
      <c r="O224" s="98">
        <f t="shared" si="63"/>
        <v>0</v>
      </c>
      <c r="P224" s="98">
        <f t="shared" si="63"/>
        <v>0</v>
      </c>
      <c r="Q224" s="98">
        <f t="shared" si="63"/>
        <v>0</v>
      </c>
      <c r="R224" s="98">
        <f t="shared" si="63"/>
        <v>0</v>
      </c>
      <c r="S224" s="98">
        <f t="shared" si="63"/>
        <v>0</v>
      </c>
      <c r="T224" s="98">
        <f t="shared" si="63"/>
        <v>0</v>
      </c>
      <c r="U224" s="98">
        <f t="shared" si="63"/>
        <v>0</v>
      </c>
      <c r="V224" s="98">
        <f t="shared" si="63"/>
        <v>0</v>
      </c>
      <c r="W224" s="98">
        <f t="shared" si="63"/>
        <v>0</v>
      </c>
      <c r="X224" s="98">
        <f t="shared" si="63"/>
        <v>0</v>
      </c>
      <c r="Y224" s="98">
        <f t="shared" si="63"/>
        <v>0</v>
      </c>
      <c r="Z224" s="98">
        <f t="shared" si="63"/>
        <v>0</v>
      </c>
      <c r="AA224" s="98">
        <f t="shared" si="63"/>
        <v>0</v>
      </c>
      <c r="AB224" s="98">
        <f t="shared" si="63"/>
        <v>0</v>
      </c>
      <c r="AC224" s="98">
        <f t="shared" si="63"/>
        <v>0</v>
      </c>
      <c r="AD224" s="9"/>
      <c r="AE224" s="328"/>
    </row>
    <row r="225" spans="2:31" hidden="1">
      <c r="B225" s="98"/>
      <c r="C225" s="202"/>
      <c r="D225" s="202"/>
      <c r="E225" s="98"/>
      <c r="F225" s="98"/>
      <c r="G225" s="98"/>
      <c r="H225" s="98"/>
      <c r="I225" s="98"/>
      <c r="J225" s="98"/>
      <c r="K225" s="98"/>
      <c r="L225" s="384">
        <f>IF($C$36=0,0,L$215)</f>
        <v>0</v>
      </c>
      <c r="M225" s="98">
        <f t="shared" ref="M225:AC225" si="64">MAX(0,L225-($L225/$C$36))</f>
        <v>0</v>
      </c>
      <c r="N225" s="98">
        <f t="shared" si="64"/>
        <v>0</v>
      </c>
      <c r="O225" s="98">
        <f t="shared" si="64"/>
        <v>0</v>
      </c>
      <c r="P225" s="98">
        <f t="shared" si="64"/>
        <v>0</v>
      </c>
      <c r="Q225" s="98">
        <f t="shared" si="64"/>
        <v>0</v>
      </c>
      <c r="R225" s="98">
        <f t="shared" si="64"/>
        <v>0</v>
      </c>
      <c r="S225" s="98">
        <f t="shared" si="64"/>
        <v>0</v>
      </c>
      <c r="T225" s="98">
        <f t="shared" si="64"/>
        <v>0</v>
      </c>
      <c r="U225" s="98">
        <f t="shared" si="64"/>
        <v>0</v>
      </c>
      <c r="V225" s="98">
        <f t="shared" si="64"/>
        <v>0</v>
      </c>
      <c r="W225" s="98">
        <f t="shared" si="64"/>
        <v>0</v>
      </c>
      <c r="X225" s="98">
        <f t="shared" si="64"/>
        <v>0</v>
      </c>
      <c r="Y225" s="98">
        <f t="shared" si="64"/>
        <v>0</v>
      </c>
      <c r="Z225" s="98">
        <f t="shared" si="64"/>
        <v>0</v>
      </c>
      <c r="AA225" s="98">
        <f t="shared" si="64"/>
        <v>0</v>
      </c>
      <c r="AB225" s="98">
        <f t="shared" si="64"/>
        <v>0</v>
      </c>
      <c r="AC225" s="98">
        <f t="shared" si="64"/>
        <v>0</v>
      </c>
      <c r="AD225" s="9"/>
      <c r="AE225" s="328"/>
    </row>
    <row r="226" spans="2:31" hidden="1">
      <c r="B226" s="98"/>
      <c r="C226" s="202"/>
      <c r="D226" s="202"/>
      <c r="E226" s="98"/>
      <c r="F226" s="98"/>
      <c r="G226" s="98"/>
      <c r="H226" s="98"/>
      <c r="I226" s="98"/>
      <c r="J226" s="98"/>
      <c r="K226" s="98"/>
      <c r="L226" s="98"/>
      <c r="M226" s="384">
        <f>IF($C$36=0,0,M$215)</f>
        <v>0</v>
      </c>
      <c r="N226" s="98">
        <f t="shared" ref="N226:AC226" si="65">MAX(0,M226-($M226/$C$36))</f>
        <v>0</v>
      </c>
      <c r="O226" s="98">
        <f t="shared" si="65"/>
        <v>0</v>
      </c>
      <c r="P226" s="98">
        <f t="shared" si="65"/>
        <v>0</v>
      </c>
      <c r="Q226" s="98">
        <f t="shared" si="65"/>
        <v>0</v>
      </c>
      <c r="R226" s="98">
        <f t="shared" si="65"/>
        <v>0</v>
      </c>
      <c r="S226" s="98">
        <f t="shared" si="65"/>
        <v>0</v>
      </c>
      <c r="T226" s="98">
        <f t="shared" si="65"/>
        <v>0</v>
      </c>
      <c r="U226" s="98">
        <f t="shared" si="65"/>
        <v>0</v>
      </c>
      <c r="V226" s="98">
        <f t="shared" si="65"/>
        <v>0</v>
      </c>
      <c r="W226" s="98">
        <f t="shared" si="65"/>
        <v>0</v>
      </c>
      <c r="X226" s="98">
        <f t="shared" si="65"/>
        <v>0</v>
      </c>
      <c r="Y226" s="98">
        <f t="shared" si="65"/>
        <v>0</v>
      </c>
      <c r="Z226" s="98">
        <f t="shared" si="65"/>
        <v>0</v>
      </c>
      <c r="AA226" s="98">
        <f t="shared" si="65"/>
        <v>0</v>
      </c>
      <c r="AB226" s="98">
        <f t="shared" si="65"/>
        <v>0</v>
      </c>
      <c r="AC226" s="98">
        <f t="shared" si="65"/>
        <v>0</v>
      </c>
      <c r="AD226" s="9"/>
      <c r="AE226" s="328"/>
    </row>
    <row r="227" spans="2:31" hidden="1">
      <c r="B227" s="98"/>
      <c r="C227" s="202"/>
      <c r="D227" s="202"/>
      <c r="E227" s="98"/>
      <c r="F227" s="98"/>
      <c r="G227" s="98"/>
      <c r="H227" s="98"/>
      <c r="I227" s="98"/>
      <c r="J227" s="98"/>
      <c r="K227" s="98"/>
      <c r="L227" s="98"/>
      <c r="M227" s="98"/>
      <c r="N227" s="384">
        <f>IF($C$36=0,0,N$215)</f>
        <v>0</v>
      </c>
      <c r="O227" s="98">
        <f t="shared" ref="O227:AC227" si="66">MAX(0,N227-($N227/$C$36))</f>
        <v>0</v>
      </c>
      <c r="P227" s="98">
        <f t="shared" si="66"/>
        <v>0</v>
      </c>
      <c r="Q227" s="98">
        <f t="shared" si="66"/>
        <v>0</v>
      </c>
      <c r="R227" s="98">
        <f t="shared" si="66"/>
        <v>0</v>
      </c>
      <c r="S227" s="98">
        <f t="shared" si="66"/>
        <v>0</v>
      </c>
      <c r="T227" s="98">
        <f t="shared" si="66"/>
        <v>0</v>
      </c>
      <c r="U227" s="98">
        <f t="shared" si="66"/>
        <v>0</v>
      </c>
      <c r="V227" s="98">
        <f t="shared" si="66"/>
        <v>0</v>
      </c>
      <c r="W227" s="98">
        <f t="shared" si="66"/>
        <v>0</v>
      </c>
      <c r="X227" s="98">
        <f t="shared" si="66"/>
        <v>0</v>
      </c>
      <c r="Y227" s="98">
        <f t="shared" si="66"/>
        <v>0</v>
      </c>
      <c r="Z227" s="98">
        <f t="shared" si="66"/>
        <v>0</v>
      </c>
      <c r="AA227" s="98">
        <f t="shared" si="66"/>
        <v>0</v>
      </c>
      <c r="AB227" s="98">
        <f t="shared" si="66"/>
        <v>0</v>
      </c>
      <c r="AC227" s="98">
        <f t="shared" si="66"/>
        <v>0</v>
      </c>
      <c r="AD227" s="9"/>
      <c r="AE227" s="328"/>
    </row>
    <row r="228" spans="2:31" hidden="1">
      <c r="B228" s="98"/>
      <c r="C228" s="202"/>
      <c r="D228" s="202"/>
      <c r="E228" s="98"/>
      <c r="F228" s="98"/>
      <c r="G228" s="98"/>
      <c r="H228" s="98"/>
      <c r="I228" s="98"/>
      <c r="J228" s="98"/>
      <c r="K228" s="98"/>
      <c r="L228" s="98"/>
      <c r="M228" s="98"/>
      <c r="N228" s="98"/>
      <c r="O228" s="384">
        <f>IF($C$36=0,0,O$215)</f>
        <v>0</v>
      </c>
      <c r="P228" s="98">
        <f t="shared" ref="P228:AC228" si="67">MAX(0,O228-($O228/$C$36))</f>
        <v>0</v>
      </c>
      <c r="Q228" s="98">
        <f t="shared" si="67"/>
        <v>0</v>
      </c>
      <c r="R228" s="98">
        <f t="shared" si="67"/>
        <v>0</v>
      </c>
      <c r="S228" s="98">
        <f t="shared" si="67"/>
        <v>0</v>
      </c>
      <c r="T228" s="98">
        <f t="shared" si="67"/>
        <v>0</v>
      </c>
      <c r="U228" s="98">
        <f t="shared" si="67"/>
        <v>0</v>
      </c>
      <c r="V228" s="98">
        <f t="shared" si="67"/>
        <v>0</v>
      </c>
      <c r="W228" s="98">
        <f t="shared" si="67"/>
        <v>0</v>
      </c>
      <c r="X228" s="98">
        <f t="shared" si="67"/>
        <v>0</v>
      </c>
      <c r="Y228" s="98">
        <f t="shared" si="67"/>
        <v>0</v>
      </c>
      <c r="Z228" s="98">
        <f t="shared" si="67"/>
        <v>0</v>
      </c>
      <c r="AA228" s="98">
        <f t="shared" si="67"/>
        <v>0</v>
      </c>
      <c r="AB228" s="98">
        <f t="shared" si="67"/>
        <v>0</v>
      </c>
      <c r="AC228" s="98">
        <f t="shared" si="67"/>
        <v>0</v>
      </c>
      <c r="AD228" s="9"/>
      <c r="AE228" s="328"/>
    </row>
    <row r="229" spans="2:31" hidden="1">
      <c r="B229" s="98"/>
      <c r="C229" s="202"/>
      <c r="D229" s="202"/>
      <c r="E229" s="98"/>
      <c r="F229" s="98"/>
      <c r="G229" s="98"/>
      <c r="H229" s="98"/>
      <c r="I229" s="98"/>
      <c r="J229" s="98"/>
      <c r="K229" s="98"/>
      <c r="L229" s="98"/>
      <c r="M229" s="98"/>
      <c r="N229" s="98"/>
      <c r="O229" s="98"/>
      <c r="P229" s="384">
        <f>IF($C$36=0,0,P$215)</f>
        <v>0</v>
      </c>
      <c r="Q229" s="98">
        <f t="shared" ref="Q229:AC229" si="68">MAX(0,P229-($P229/$C$36))</f>
        <v>0</v>
      </c>
      <c r="R229" s="98">
        <f t="shared" si="68"/>
        <v>0</v>
      </c>
      <c r="S229" s="98">
        <f t="shared" si="68"/>
        <v>0</v>
      </c>
      <c r="T229" s="98">
        <f t="shared" si="68"/>
        <v>0</v>
      </c>
      <c r="U229" s="98">
        <f t="shared" si="68"/>
        <v>0</v>
      </c>
      <c r="V229" s="98">
        <f t="shared" si="68"/>
        <v>0</v>
      </c>
      <c r="W229" s="98">
        <f t="shared" si="68"/>
        <v>0</v>
      </c>
      <c r="X229" s="98">
        <f t="shared" si="68"/>
        <v>0</v>
      </c>
      <c r="Y229" s="98">
        <f t="shared" si="68"/>
        <v>0</v>
      </c>
      <c r="Z229" s="98">
        <f t="shared" si="68"/>
        <v>0</v>
      </c>
      <c r="AA229" s="98">
        <f t="shared" si="68"/>
        <v>0</v>
      </c>
      <c r="AB229" s="98">
        <f t="shared" si="68"/>
        <v>0</v>
      </c>
      <c r="AC229" s="98">
        <f t="shared" si="68"/>
        <v>0</v>
      </c>
      <c r="AD229" s="9"/>
      <c r="AE229" s="328"/>
    </row>
    <row r="230" spans="2:31" hidden="1">
      <c r="B230" s="98"/>
      <c r="C230" s="202"/>
      <c r="D230" s="202"/>
      <c r="E230" s="98"/>
      <c r="F230" s="98"/>
      <c r="G230" s="98"/>
      <c r="H230" s="98"/>
      <c r="I230" s="98"/>
      <c r="J230" s="98"/>
      <c r="K230" s="98"/>
      <c r="L230" s="98"/>
      <c r="M230" s="98"/>
      <c r="N230" s="98"/>
      <c r="O230" s="98"/>
      <c r="P230" s="98"/>
      <c r="Q230" s="384">
        <f>IF($C$36=0,0,Q$215)</f>
        <v>0</v>
      </c>
      <c r="R230" s="98">
        <f t="shared" ref="R230:AC230" si="69">MAX(0,Q230-($Q230/$C$36))</f>
        <v>0</v>
      </c>
      <c r="S230" s="98">
        <f t="shared" si="69"/>
        <v>0</v>
      </c>
      <c r="T230" s="98">
        <f t="shared" si="69"/>
        <v>0</v>
      </c>
      <c r="U230" s="98">
        <f t="shared" si="69"/>
        <v>0</v>
      </c>
      <c r="V230" s="98">
        <f t="shared" si="69"/>
        <v>0</v>
      </c>
      <c r="W230" s="98">
        <f t="shared" si="69"/>
        <v>0</v>
      </c>
      <c r="X230" s="98">
        <f t="shared" si="69"/>
        <v>0</v>
      </c>
      <c r="Y230" s="98">
        <f t="shared" si="69"/>
        <v>0</v>
      </c>
      <c r="Z230" s="98">
        <f t="shared" si="69"/>
        <v>0</v>
      </c>
      <c r="AA230" s="98">
        <f t="shared" si="69"/>
        <v>0</v>
      </c>
      <c r="AB230" s="98">
        <f t="shared" si="69"/>
        <v>0</v>
      </c>
      <c r="AC230" s="98">
        <f t="shared" si="69"/>
        <v>0</v>
      </c>
      <c r="AD230" s="9"/>
      <c r="AE230" s="328"/>
    </row>
    <row r="231" spans="2:31" hidden="1">
      <c r="B231" s="98"/>
      <c r="C231" s="202"/>
      <c r="D231" s="202"/>
      <c r="E231" s="98"/>
      <c r="F231" s="98"/>
      <c r="G231" s="98"/>
      <c r="H231" s="98"/>
      <c r="I231" s="98"/>
      <c r="J231" s="98"/>
      <c r="K231" s="98"/>
      <c r="L231" s="98"/>
      <c r="M231" s="98"/>
      <c r="N231" s="98"/>
      <c r="O231" s="98"/>
      <c r="P231" s="98"/>
      <c r="Q231" s="98"/>
      <c r="R231" s="384">
        <f>IF($C$36=0,0,R$215)</f>
        <v>0</v>
      </c>
      <c r="S231" s="98">
        <f t="shared" ref="S231:AC231" si="70">MAX(0,R231-($R231/$C$36))</f>
        <v>0</v>
      </c>
      <c r="T231" s="98">
        <f t="shared" si="70"/>
        <v>0</v>
      </c>
      <c r="U231" s="98">
        <f t="shared" si="70"/>
        <v>0</v>
      </c>
      <c r="V231" s="98">
        <f t="shared" si="70"/>
        <v>0</v>
      </c>
      <c r="W231" s="98">
        <f t="shared" si="70"/>
        <v>0</v>
      </c>
      <c r="X231" s="98">
        <f t="shared" si="70"/>
        <v>0</v>
      </c>
      <c r="Y231" s="98">
        <f t="shared" si="70"/>
        <v>0</v>
      </c>
      <c r="Z231" s="98">
        <f t="shared" si="70"/>
        <v>0</v>
      </c>
      <c r="AA231" s="98">
        <f t="shared" si="70"/>
        <v>0</v>
      </c>
      <c r="AB231" s="98">
        <f t="shared" si="70"/>
        <v>0</v>
      </c>
      <c r="AC231" s="98">
        <f t="shared" si="70"/>
        <v>0</v>
      </c>
      <c r="AD231" s="9"/>
      <c r="AE231" s="328"/>
    </row>
    <row r="232" spans="2:31" hidden="1">
      <c r="B232" s="98"/>
      <c r="C232" s="202"/>
      <c r="D232" s="202"/>
      <c r="E232" s="98"/>
      <c r="F232" s="98"/>
      <c r="G232" s="98"/>
      <c r="H232" s="98"/>
      <c r="I232" s="98"/>
      <c r="J232" s="98"/>
      <c r="K232" s="98"/>
      <c r="L232" s="98"/>
      <c r="M232" s="98"/>
      <c r="N232" s="98"/>
      <c r="O232" s="98"/>
      <c r="P232" s="98"/>
      <c r="Q232" s="98"/>
      <c r="R232" s="98"/>
      <c r="S232" s="384">
        <f>IF($C$36=0,0,S$215)</f>
        <v>0</v>
      </c>
      <c r="T232" s="98">
        <f t="shared" ref="T232:AC232" si="71">MAX(0,S232-($S232/$C$36))</f>
        <v>0</v>
      </c>
      <c r="U232" s="98">
        <f t="shared" si="71"/>
        <v>0</v>
      </c>
      <c r="V232" s="98">
        <f t="shared" si="71"/>
        <v>0</v>
      </c>
      <c r="W232" s="98">
        <f t="shared" si="71"/>
        <v>0</v>
      </c>
      <c r="X232" s="98">
        <f t="shared" si="71"/>
        <v>0</v>
      </c>
      <c r="Y232" s="98">
        <f t="shared" si="71"/>
        <v>0</v>
      </c>
      <c r="Z232" s="98">
        <f t="shared" si="71"/>
        <v>0</v>
      </c>
      <c r="AA232" s="98">
        <f t="shared" si="71"/>
        <v>0</v>
      </c>
      <c r="AB232" s="98">
        <f t="shared" si="71"/>
        <v>0</v>
      </c>
      <c r="AC232" s="98">
        <f t="shared" si="71"/>
        <v>0</v>
      </c>
      <c r="AD232" s="9"/>
      <c r="AE232" s="328"/>
    </row>
    <row r="233" spans="2:31" hidden="1">
      <c r="B233" s="98"/>
      <c r="C233" s="202"/>
      <c r="D233" s="202"/>
      <c r="E233" s="98"/>
      <c r="F233" s="98"/>
      <c r="G233" s="98"/>
      <c r="H233" s="98"/>
      <c r="I233" s="98"/>
      <c r="J233" s="98"/>
      <c r="K233" s="98"/>
      <c r="L233" s="98"/>
      <c r="M233" s="98"/>
      <c r="N233" s="98"/>
      <c r="O233" s="98"/>
      <c r="P233" s="98"/>
      <c r="Q233" s="98"/>
      <c r="R233" s="98"/>
      <c r="S233" s="98"/>
      <c r="T233" s="384">
        <f>IF($C$36=0,0,T$215)</f>
        <v>0</v>
      </c>
      <c r="U233" s="98">
        <f t="shared" ref="U233:AC233" si="72">MAX(0,T233-($T233/$C$36))</f>
        <v>0</v>
      </c>
      <c r="V233" s="98">
        <f t="shared" si="72"/>
        <v>0</v>
      </c>
      <c r="W233" s="98">
        <f t="shared" si="72"/>
        <v>0</v>
      </c>
      <c r="X233" s="98">
        <f t="shared" si="72"/>
        <v>0</v>
      </c>
      <c r="Y233" s="98">
        <f t="shared" si="72"/>
        <v>0</v>
      </c>
      <c r="Z233" s="98">
        <f t="shared" si="72"/>
        <v>0</v>
      </c>
      <c r="AA233" s="98">
        <f t="shared" si="72"/>
        <v>0</v>
      </c>
      <c r="AB233" s="98">
        <f t="shared" si="72"/>
        <v>0</v>
      </c>
      <c r="AC233" s="98">
        <f t="shared" si="72"/>
        <v>0</v>
      </c>
      <c r="AD233" s="9"/>
      <c r="AE233" s="328"/>
    </row>
    <row r="234" spans="2:31" hidden="1">
      <c r="B234" s="98"/>
      <c r="C234" s="202"/>
      <c r="D234" s="202"/>
      <c r="E234" s="98"/>
      <c r="F234" s="98"/>
      <c r="G234" s="98"/>
      <c r="H234" s="98"/>
      <c r="I234" s="98"/>
      <c r="J234" s="98"/>
      <c r="K234" s="98"/>
      <c r="L234" s="98"/>
      <c r="M234" s="98"/>
      <c r="N234" s="98"/>
      <c r="O234" s="98"/>
      <c r="P234" s="98"/>
      <c r="Q234" s="98"/>
      <c r="R234" s="98"/>
      <c r="S234" s="98"/>
      <c r="T234" s="98"/>
      <c r="U234" s="384">
        <f>IF($C$36=0,0,U$215)</f>
        <v>0</v>
      </c>
      <c r="V234" s="98">
        <f t="shared" ref="V234:AC234" si="73">MAX(0,U234-($U234/$C$36))</f>
        <v>0</v>
      </c>
      <c r="W234" s="98">
        <f t="shared" si="73"/>
        <v>0</v>
      </c>
      <c r="X234" s="98">
        <f t="shared" si="73"/>
        <v>0</v>
      </c>
      <c r="Y234" s="98">
        <f t="shared" si="73"/>
        <v>0</v>
      </c>
      <c r="Z234" s="98">
        <f t="shared" si="73"/>
        <v>0</v>
      </c>
      <c r="AA234" s="98">
        <f t="shared" si="73"/>
        <v>0</v>
      </c>
      <c r="AB234" s="98">
        <f t="shared" si="73"/>
        <v>0</v>
      </c>
      <c r="AC234" s="98">
        <f t="shared" si="73"/>
        <v>0</v>
      </c>
      <c r="AD234" s="9"/>
      <c r="AE234" s="328"/>
    </row>
    <row r="235" spans="2:31" hidden="1">
      <c r="B235" s="98"/>
      <c r="C235" s="202"/>
      <c r="D235" s="202"/>
      <c r="E235" s="98"/>
      <c r="F235" s="98"/>
      <c r="G235" s="98"/>
      <c r="H235" s="98"/>
      <c r="I235" s="98"/>
      <c r="J235" s="98"/>
      <c r="K235" s="98"/>
      <c r="L235" s="98"/>
      <c r="M235" s="98"/>
      <c r="N235" s="98"/>
      <c r="O235" s="98"/>
      <c r="P235" s="98"/>
      <c r="Q235" s="98"/>
      <c r="R235" s="98"/>
      <c r="S235" s="98"/>
      <c r="T235" s="98"/>
      <c r="U235" s="98"/>
      <c r="V235" s="384">
        <f>IF($C$36=0,0,V$215)</f>
        <v>0</v>
      </c>
      <c r="W235" s="98">
        <f t="shared" ref="W235:AC235" si="74">MAX(0,V235-($V235/$C$36))</f>
        <v>0</v>
      </c>
      <c r="X235" s="98">
        <f t="shared" si="74"/>
        <v>0</v>
      </c>
      <c r="Y235" s="98">
        <f t="shared" si="74"/>
        <v>0</v>
      </c>
      <c r="Z235" s="98">
        <f t="shared" si="74"/>
        <v>0</v>
      </c>
      <c r="AA235" s="98">
        <f t="shared" si="74"/>
        <v>0</v>
      </c>
      <c r="AB235" s="98">
        <f t="shared" si="74"/>
        <v>0</v>
      </c>
      <c r="AC235" s="98">
        <f t="shared" si="74"/>
        <v>0</v>
      </c>
      <c r="AD235" s="9"/>
      <c r="AE235" s="328"/>
    </row>
    <row r="236" spans="2:31" hidden="1">
      <c r="B236" s="98"/>
      <c r="C236" s="202"/>
      <c r="D236" s="202"/>
      <c r="E236" s="98"/>
      <c r="F236" s="98"/>
      <c r="G236" s="98"/>
      <c r="H236" s="98"/>
      <c r="I236" s="98"/>
      <c r="J236" s="98"/>
      <c r="K236" s="98"/>
      <c r="L236" s="98"/>
      <c r="M236" s="98"/>
      <c r="N236" s="98"/>
      <c r="O236" s="98"/>
      <c r="P236" s="98"/>
      <c r="Q236" s="98"/>
      <c r="R236" s="98"/>
      <c r="S236" s="98"/>
      <c r="T236" s="98"/>
      <c r="U236" s="98"/>
      <c r="V236" s="384"/>
      <c r="W236" s="384">
        <f>IF($C$36=0,0,W$215)</f>
        <v>0</v>
      </c>
      <c r="X236" s="98">
        <f t="shared" ref="X236:AC236" si="75">MAX(0,W236-($W236/$C$36))</f>
        <v>0</v>
      </c>
      <c r="Y236" s="98">
        <f t="shared" si="75"/>
        <v>0</v>
      </c>
      <c r="Z236" s="98">
        <f t="shared" si="75"/>
        <v>0</v>
      </c>
      <c r="AA236" s="98">
        <f t="shared" si="75"/>
        <v>0</v>
      </c>
      <c r="AB236" s="98">
        <f t="shared" si="75"/>
        <v>0</v>
      </c>
      <c r="AC236" s="98">
        <f t="shared" si="75"/>
        <v>0</v>
      </c>
      <c r="AD236" s="9"/>
      <c r="AE236" s="328"/>
    </row>
    <row r="237" spans="2:31" hidden="1">
      <c r="B237" s="98"/>
      <c r="C237" s="202"/>
      <c r="D237" s="202"/>
      <c r="E237" s="98"/>
      <c r="F237" s="98"/>
      <c r="G237" s="98"/>
      <c r="H237" s="98"/>
      <c r="I237" s="98"/>
      <c r="J237" s="98"/>
      <c r="K237" s="98"/>
      <c r="L237" s="98"/>
      <c r="M237" s="98"/>
      <c r="N237" s="98"/>
      <c r="O237" s="98"/>
      <c r="P237" s="98"/>
      <c r="Q237" s="98"/>
      <c r="R237" s="98"/>
      <c r="S237" s="98"/>
      <c r="T237" s="98"/>
      <c r="U237" s="98"/>
      <c r="V237" s="384"/>
      <c r="W237" s="98"/>
      <c r="X237" s="384">
        <f>IF($C$36=0,0,X$215)</f>
        <v>0</v>
      </c>
      <c r="Y237" s="98">
        <f>MAX(0,X237-($X237/$C$36))</f>
        <v>0</v>
      </c>
      <c r="Z237" s="98">
        <f>MAX(0,Y237-($X237/$C$36))</f>
        <v>0</v>
      </c>
      <c r="AA237" s="98">
        <f>MAX(0,Z237-($X237/$C$36))</f>
        <v>0</v>
      </c>
      <c r="AB237" s="98">
        <f>MAX(0,AA237-($X237/$C$36))</f>
        <v>0</v>
      </c>
      <c r="AC237" s="98">
        <f>MAX(0,AB237-($X237/$C$36))</f>
        <v>0</v>
      </c>
      <c r="AD237" s="9"/>
      <c r="AE237" s="328"/>
    </row>
    <row r="238" spans="2:31" hidden="1">
      <c r="B238" s="98"/>
      <c r="C238" s="202"/>
      <c r="D238" s="202"/>
      <c r="E238" s="98"/>
      <c r="F238" s="98"/>
      <c r="G238" s="98"/>
      <c r="H238" s="98"/>
      <c r="I238" s="98"/>
      <c r="J238" s="98"/>
      <c r="K238" s="98"/>
      <c r="L238" s="98"/>
      <c r="M238" s="98"/>
      <c r="N238" s="98"/>
      <c r="O238" s="98"/>
      <c r="P238" s="98"/>
      <c r="Q238" s="98"/>
      <c r="R238" s="98"/>
      <c r="S238" s="98"/>
      <c r="T238" s="98"/>
      <c r="U238" s="98"/>
      <c r="V238" s="384"/>
      <c r="W238" s="98"/>
      <c r="X238" s="98"/>
      <c r="Y238" s="384">
        <f>IF($C$36=0,0,Y$215)</f>
        <v>0</v>
      </c>
      <c r="Z238" s="384">
        <f>MAX(0,Y238-($Y238/$C$36))</f>
        <v>0</v>
      </c>
      <c r="AA238" s="384">
        <f>MAX(0,Z238-($Y238/$C$36))</f>
        <v>0</v>
      </c>
      <c r="AB238" s="384">
        <f>MAX(0,AA238-($Y238/$C$36))</f>
        <v>0</v>
      </c>
      <c r="AC238" s="384">
        <f>MAX(0,AB238-($Y238/$C$36))</f>
        <v>0</v>
      </c>
      <c r="AD238" s="9"/>
      <c r="AE238" s="328"/>
    </row>
    <row r="239" spans="2:31" hidden="1">
      <c r="B239" s="98"/>
      <c r="C239" s="202"/>
      <c r="D239" s="202"/>
      <c r="E239" s="98"/>
      <c r="F239" s="98"/>
      <c r="G239" s="98"/>
      <c r="H239" s="98"/>
      <c r="I239" s="98"/>
      <c r="J239" s="98"/>
      <c r="K239" s="98"/>
      <c r="L239" s="98"/>
      <c r="M239" s="98"/>
      <c r="N239" s="98"/>
      <c r="O239" s="98"/>
      <c r="P239" s="98"/>
      <c r="Q239" s="98"/>
      <c r="R239" s="98"/>
      <c r="S239" s="98"/>
      <c r="T239" s="98"/>
      <c r="U239" s="98"/>
      <c r="V239" s="384"/>
      <c r="W239" s="98"/>
      <c r="X239" s="98"/>
      <c r="Y239" s="98"/>
      <c r="Z239" s="98">
        <f>IF($C$36=0,0,Z$215)</f>
        <v>0</v>
      </c>
      <c r="AA239" s="98">
        <f>MAX(0,Z239-($Z239/$C$36))</f>
        <v>0</v>
      </c>
      <c r="AB239" s="98">
        <f>MAX(0,AA239-($Z239/$C$36))</f>
        <v>0</v>
      </c>
      <c r="AC239" s="98">
        <f>MAX(0,AB239-($Z239/$C$36))</f>
        <v>0</v>
      </c>
      <c r="AD239" s="9"/>
      <c r="AE239" s="328"/>
    </row>
    <row r="240" spans="2:31" hidden="1">
      <c r="B240" s="98"/>
      <c r="C240" s="202"/>
      <c r="D240" s="202"/>
      <c r="E240" s="98"/>
      <c r="F240" s="98"/>
      <c r="G240" s="98"/>
      <c r="H240" s="98"/>
      <c r="I240" s="98"/>
      <c r="J240" s="98"/>
      <c r="K240" s="98"/>
      <c r="L240" s="98"/>
      <c r="M240" s="98"/>
      <c r="N240" s="98"/>
      <c r="O240" s="98"/>
      <c r="P240" s="98"/>
      <c r="Q240" s="98"/>
      <c r="R240" s="98"/>
      <c r="S240" s="98"/>
      <c r="T240" s="98"/>
      <c r="U240" s="98"/>
      <c r="V240" s="384"/>
      <c r="W240" s="98"/>
      <c r="X240" s="98"/>
      <c r="Y240" s="98"/>
      <c r="Z240" s="98"/>
      <c r="AA240" s="98">
        <f>IF($C$36=0,0,AA$215)</f>
        <v>0</v>
      </c>
      <c r="AB240" s="98">
        <f>MAX(0,AA240-($AA240/$C$36))</f>
        <v>0</v>
      </c>
      <c r="AC240" s="98">
        <f>MAX(0,AB240-($AA240/$C$36))</f>
        <v>0</v>
      </c>
      <c r="AD240" s="9"/>
      <c r="AE240" s="328"/>
    </row>
    <row r="241" spans="2:31" hidden="1">
      <c r="B241" s="98"/>
      <c r="C241" s="202"/>
      <c r="D241" s="202"/>
      <c r="E241" s="98"/>
      <c r="F241" s="98"/>
      <c r="G241" s="98"/>
      <c r="H241" s="98"/>
      <c r="I241" s="98"/>
      <c r="J241" s="98"/>
      <c r="K241" s="98"/>
      <c r="L241" s="98"/>
      <c r="M241" s="98"/>
      <c r="N241" s="98"/>
      <c r="O241" s="98"/>
      <c r="P241" s="98"/>
      <c r="Q241" s="98"/>
      <c r="R241" s="98"/>
      <c r="S241" s="98"/>
      <c r="T241" s="98"/>
      <c r="U241" s="98"/>
      <c r="V241" s="384"/>
      <c r="W241" s="98"/>
      <c r="X241" s="98"/>
      <c r="Y241" s="98"/>
      <c r="Z241" s="98"/>
      <c r="AA241" s="98"/>
      <c r="AB241" s="98">
        <f>IF($C$36=0,0,AB$215)</f>
        <v>0</v>
      </c>
      <c r="AC241" s="98">
        <f>MAX(0,AB241-($AB241/$C$36))</f>
        <v>0</v>
      </c>
      <c r="AD241" s="9"/>
      <c r="AE241" s="328"/>
    </row>
    <row r="242" spans="2:31" hidden="1">
      <c r="B242" s="98"/>
      <c r="C242" s="202"/>
      <c r="D242" s="202"/>
      <c r="E242" s="98"/>
      <c r="F242" s="98"/>
      <c r="G242" s="98"/>
      <c r="H242" s="98"/>
      <c r="I242" s="98"/>
      <c r="J242" s="98"/>
      <c r="K242" s="98"/>
      <c r="L242" s="98"/>
      <c r="M242" s="98"/>
      <c r="N242" s="98"/>
      <c r="O242" s="98"/>
      <c r="P242" s="98"/>
      <c r="Q242" s="98"/>
      <c r="R242" s="98"/>
      <c r="S242" s="98"/>
      <c r="T242" s="98"/>
      <c r="U242" s="98"/>
      <c r="V242" s="384"/>
      <c r="W242" s="98"/>
      <c r="X242" s="98"/>
      <c r="Y242" s="98"/>
      <c r="Z242" s="98"/>
      <c r="AA242" s="98"/>
      <c r="AB242" s="98"/>
      <c r="AC242" s="98">
        <f>IF($C$36=0,0,AC$215)</f>
        <v>0</v>
      </c>
      <c r="AD242" s="9"/>
      <c r="AE242" s="328"/>
    </row>
    <row r="243" spans="2:31" hidden="1">
      <c r="B243" s="98"/>
      <c r="C243" s="202"/>
      <c r="D243" s="202"/>
      <c r="E243" s="98"/>
      <c r="F243" s="98"/>
      <c r="G243" s="98"/>
      <c r="H243" s="98"/>
      <c r="I243" s="98"/>
      <c r="J243" s="98"/>
      <c r="K243" s="98"/>
      <c r="L243" s="98"/>
      <c r="M243" s="98"/>
      <c r="N243" s="98"/>
      <c r="O243" s="98"/>
      <c r="P243" s="98"/>
      <c r="Q243" s="98"/>
      <c r="R243" s="98"/>
      <c r="S243" s="98"/>
      <c r="T243" s="98"/>
      <c r="U243" s="98"/>
      <c r="V243" s="384"/>
      <c r="W243" s="98"/>
      <c r="X243" s="98"/>
      <c r="Y243" s="98"/>
      <c r="Z243" s="98"/>
      <c r="AA243" s="98"/>
      <c r="AB243" s="98"/>
      <c r="AC243" s="98"/>
      <c r="AD243" s="9"/>
      <c r="AE243" s="328"/>
    </row>
    <row r="244" spans="2:31">
      <c r="B244" s="10" t="s">
        <v>924</v>
      </c>
      <c r="E244" s="341"/>
      <c r="F244" s="341"/>
      <c r="G244" s="341"/>
      <c r="H244" s="341"/>
      <c r="I244" s="251"/>
      <c r="J244" s="342"/>
      <c r="K244" s="342"/>
      <c r="L244" s="342"/>
      <c r="M244" s="342"/>
      <c r="N244" s="342"/>
      <c r="O244" s="342"/>
      <c r="P244" s="342"/>
      <c r="Q244" s="342"/>
      <c r="R244" s="342"/>
      <c r="S244" s="342"/>
      <c r="T244" s="342"/>
      <c r="U244" s="342"/>
      <c r="V244" s="342"/>
      <c r="W244" s="342"/>
      <c r="X244" s="342"/>
      <c r="Y244" s="342"/>
      <c r="Z244" s="342"/>
      <c r="AA244" s="342"/>
      <c r="AB244" s="342"/>
      <c r="AC244" s="342"/>
      <c r="AD244" s="9"/>
      <c r="AE244" s="328"/>
    </row>
    <row r="245" spans="2:31">
      <c r="B245" s="9"/>
      <c r="C245" s="9"/>
      <c r="D245" s="9"/>
      <c r="E245" s="9"/>
      <c r="F245" s="9"/>
      <c r="G245" s="9"/>
      <c r="H245" s="9"/>
      <c r="I245" s="327"/>
      <c r="J245" s="327"/>
      <c r="K245" s="327"/>
      <c r="L245" s="327"/>
      <c r="M245" s="327"/>
      <c r="N245" s="327"/>
      <c r="O245" s="327"/>
      <c r="P245" s="327"/>
      <c r="Q245" s="327"/>
      <c r="R245" s="327"/>
      <c r="S245" s="327"/>
      <c r="T245" s="314"/>
      <c r="U245" s="314"/>
      <c r="V245" s="314"/>
      <c r="W245" s="314"/>
      <c r="X245" s="314"/>
      <c r="Y245" s="314"/>
      <c r="Z245" s="314"/>
      <c r="AA245" s="314"/>
      <c r="AB245" s="314"/>
      <c r="AC245" s="314"/>
      <c r="AD245" s="9"/>
      <c r="AE245" s="328"/>
    </row>
    <row r="246" spans="2:31">
      <c r="B246" s="9" t="s">
        <v>925</v>
      </c>
      <c r="C246" s="41"/>
      <c r="D246" s="41"/>
      <c r="E246" s="350">
        <f t="shared" ref="E246:X246" si="76">D249</f>
        <v>0</v>
      </c>
      <c r="F246" s="350">
        <f t="shared" si="76"/>
        <v>0</v>
      </c>
      <c r="G246" s="350">
        <f t="shared" si="76"/>
        <v>0</v>
      </c>
      <c r="H246" s="350">
        <f t="shared" si="76"/>
        <v>0</v>
      </c>
      <c r="I246" s="371">
        <f t="shared" si="76"/>
        <v>0</v>
      </c>
      <c r="J246" s="372">
        <f t="shared" si="76"/>
        <v>0</v>
      </c>
      <c r="K246" s="350">
        <f t="shared" si="76"/>
        <v>0</v>
      </c>
      <c r="L246" s="350">
        <f t="shared" si="76"/>
        <v>0</v>
      </c>
      <c r="M246" s="350">
        <f t="shared" si="76"/>
        <v>0</v>
      </c>
      <c r="N246" s="350">
        <f t="shared" si="76"/>
        <v>0</v>
      </c>
      <c r="O246" s="350">
        <f t="shared" si="76"/>
        <v>0</v>
      </c>
      <c r="P246" s="350">
        <f t="shared" si="76"/>
        <v>0</v>
      </c>
      <c r="Q246" s="350">
        <f t="shared" si="76"/>
        <v>0</v>
      </c>
      <c r="R246" s="350">
        <f t="shared" si="76"/>
        <v>0</v>
      </c>
      <c r="S246" s="350">
        <f t="shared" si="76"/>
        <v>0</v>
      </c>
      <c r="T246" s="350">
        <f t="shared" si="76"/>
        <v>0</v>
      </c>
      <c r="U246" s="350">
        <f t="shared" si="76"/>
        <v>0</v>
      </c>
      <c r="V246" s="350">
        <f t="shared" si="76"/>
        <v>0</v>
      </c>
      <c r="W246" s="350">
        <f t="shared" si="76"/>
        <v>0</v>
      </c>
      <c r="X246" s="350">
        <f t="shared" si="76"/>
        <v>0</v>
      </c>
      <c r="Y246" s="350">
        <f>IF(Y108="","",X249)</f>
        <v>0</v>
      </c>
      <c r="Z246" s="350">
        <f>IF(Z108="","",Y249)</f>
        <v>0</v>
      </c>
      <c r="AA246" s="350">
        <f>IF(AA108="","",Z249)</f>
        <v>0</v>
      </c>
      <c r="AB246" s="350">
        <f>IF(AB108="","",AA249)</f>
        <v>0</v>
      </c>
      <c r="AC246" s="350">
        <f>IF(AC108="","",AB249)</f>
        <v>0</v>
      </c>
      <c r="AD246" s="9"/>
      <c r="AE246" s="328"/>
    </row>
    <row r="247" spans="2:31">
      <c r="B247" s="9" t="s">
        <v>926</v>
      </c>
      <c r="C247" s="314"/>
      <c r="D247" s="314"/>
      <c r="E247" s="350">
        <f t="shared" ref="E247:X247" si="77">+E249-E246-E248</f>
        <v>0</v>
      </c>
      <c r="F247" s="350">
        <f t="shared" si="77"/>
        <v>0</v>
      </c>
      <c r="G247" s="350">
        <f t="shared" si="77"/>
        <v>0</v>
      </c>
      <c r="H247" s="350">
        <f t="shared" si="77"/>
        <v>0</v>
      </c>
      <c r="I247" s="350">
        <f>+I249-I246-I248</f>
        <v>0</v>
      </c>
      <c r="J247" s="350">
        <f t="shared" si="77"/>
        <v>0</v>
      </c>
      <c r="K247" s="350">
        <f t="shared" si="77"/>
        <v>0</v>
      </c>
      <c r="L247" s="350">
        <f t="shared" si="77"/>
        <v>0</v>
      </c>
      <c r="M247" s="350">
        <f t="shared" si="77"/>
        <v>0</v>
      </c>
      <c r="N247" s="350">
        <f t="shared" si="77"/>
        <v>0</v>
      </c>
      <c r="O247" s="350">
        <f t="shared" si="77"/>
        <v>0</v>
      </c>
      <c r="P247" s="350">
        <f t="shared" si="77"/>
        <v>0</v>
      </c>
      <c r="Q247" s="350">
        <f t="shared" si="77"/>
        <v>0</v>
      </c>
      <c r="R247" s="350">
        <f t="shared" si="77"/>
        <v>0</v>
      </c>
      <c r="S247" s="350">
        <f t="shared" si="77"/>
        <v>0</v>
      </c>
      <c r="T247" s="350">
        <f t="shared" si="77"/>
        <v>0</v>
      </c>
      <c r="U247" s="350">
        <f t="shared" si="77"/>
        <v>0</v>
      </c>
      <c r="V247" s="350">
        <f t="shared" si="77"/>
        <v>0</v>
      </c>
      <c r="W247" s="350">
        <f t="shared" si="77"/>
        <v>0</v>
      </c>
      <c r="X247" s="350">
        <f t="shared" si="77"/>
        <v>0</v>
      </c>
      <c r="Y247" s="350">
        <f>IF(Y108="","",Y249-Y246-Y248)</f>
        <v>0</v>
      </c>
      <c r="Z247" s="350">
        <f>IF(Z108="","",Z249-Z246-Z248)</f>
        <v>0</v>
      </c>
      <c r="AA247" s="350">
        <f>IF(AA108="","",AA249-AA246-AA248)</f>
        <v>0</v>
      </c>
      <c r="AB247" s="350">
        <f>IF(AB108="","",AB249-AB246-AB248)</f>
        <v>0</v>
      </c>
      <c r="AC247" s="350">
        <f>IF(AC108="","",AC249-AC246-AC248)</f>
        <v>0</v>
      </c>
      <c r="AD247" s="9"/>
      <c r="AE247" s="328"/>
    </row>
    <row r="248" spans="2:31">
      <c r="B248" s="9" t="s">
        <v>927</v>
      </c>
      <c r="C248" s="314"/>
      <c r="D248" s="314"/>
      <c r="E248" s="350">
        <f t="shared" ref="E248:X248" si="78">E244*$C$40</f>
        <v>0</v>
      </c>
      <c r="F248" s="350">
        <f t="shared" si="78"/>
        <v>0</v>
      </c>
      <c r="G248" s="350">
        <f t="shared" si="78"/>
        <v>0</v>
      </c>
      <c r="H248" s="350">
        <f t="shared" si="78"/>
        <v>0</v>
      </c>
      <c r="I248" s="350">
        <f>I244*$C$40</f>
        <v>0</v>
      </c>
      <c r="J248" s="350">
        <f t="shared" si="78"/>
        <v>0</v>
      </c>
      <c r="K248" s="350">
        <f t="shared" si="78"/>
        <v>0</v>
      </c>
      <c r="L248" s="350">
        <f t="shared" si="78"/>
        <v>0</v>
      </c>
      <c r="M248" s="350">
        <f t="shared" si="78"/>
        <v>0</v>
      </c>
      <c r="N248" s="350">
        <f t="shared" si="78"/>
        <v>0</v>
      </c>
      <c r="O248" s="350">
        <f t="shared" si="78"/>
        <v>0</v>
      </c>
      <c r="P248" s="350">
        <f t="shared" si="78"/>
        <v>0</v>
      </c>
      <c r="Q248" s="350">
        <f t="shared" si="78"/>
        <v>0</v>
      </c>
      <c r="R248" s="350">
        <f t="shared" si="78"/>
        <v>0</v>
      </c>
      <c r="S248" s="350">
        <f t="shared" si="78"/>
        <v>0</v>
      </c>
      <c r="T248" s="350">
        <f t="shared" si="78"/>
        <v>0</v>
      </c>
      <c r="U248" s="350">
        <f t="shared" si="78"/>
        <v>0</v>
      </c>
      <c r="V248" s="350">
        <f t="shared" si="78"/>
        <v>0</v>
      </c>
      <c r="W248" s="350">
        <f t="shared" si="78"/>
        <v>0</v>
      </c>
      <c r="X248" s="350">
        <f t="shared" si="78"/>
        <v>0</v>
      </c>
      <c r="Y248" s="350">
        <f>IF(Y108="","",Y244*$C$40)</f>
        <v>0</v>
      </c>
      <c r="Z248" s="350">
        <f>IF(Z108="","",Z244*$C$40)</f>
        <v>0</v>
      </c>
      <c r="AA248" s="350">
        <f>IF(AA108="","",AA244*$C$40)</f>
        <v>0</v>
      </c>
      <c r="AB248" s="350">
        <f>IF(AB108="","",AB244*$C$40)</f>
        <v>0</v>
      </c>
      <c r="AC248" s="350">
        <f>IF(AC108="","",AC244*$C$40)</f>
        <v>0</v>
      </c>
      <c r="AD248" s="9"/>
      <c r="AE248" s="328"/>
    </row>
    <row r="249" spans="2:31" s="47" customFormat="1">
      <c r="B249" s="47" t="s">
        <v>928</v>
      </c>
      <c r="C249" s="373"/>
      <c r="D249" s="373"/>
      <c r="E249" s="374"/>
      <c r="F249" s="374"/>
      <c r="G249" s="374"/>
      <c r="H249" s="374"/>
      <c r="I249" s="375">
        <f>IF($C$39=0,0,SUM(I251:I275))</f>
        <v>0</v>
      </c>
      <c r="J249" s="376">
        <f t="shared" ref="J249:X249" si="79">IF($C$39=0,0,SUM(J251:J275))</f>
        <v>0</v>
      </c>
      <c r="K249" s="376">
        <f t="shared" si="79"/>
        <v>0</v>
      </c>
      <c r="L249" s="376">
        <f t="shared" si="79"/>
        <v>0</v>
      </c>
      <c r="M249" s="376">
        <f t="shared" si="79"/>
        <v>0</v>
      </c>
      <c r="N249" s="376">
        <f t="shared" si="79"/>
        <v>0</v>
      </c>
      <c r="O249" s="376">
        <f t="shared" si="79"/>
        <v>0</v>
      </c>
      <c r="P249" s="376">
        <f t="shared" si="79"/>
        <v>0</v>
      </c>
      <c r="Q249" s="376">
        <f t="shared" si="79"/>
        <v>0</v>
      </c>
      <c r="R249" s="376">
        <f t="shared" si="79"/>
        <v>0</v>
      </c>
      <c r="S249" s="376">
        <f t="shared" si="79"/>
        <v>0</v>
      </c>
      <c r="T249" s="376">
        <f t="shared" si="79"/>
        <v>0</v>
      </c>
      <c r="U249" s="376">
        <f t="shared" si="79"/>
        <v>0</v>
      </c>
      <c r="V249" s="376">
        <f t="shared" si="79"/>
        <v>0</v>
      </c>
      <c r="W249" s="376">
        <f t="shared" si="79"/>
        <v>0</v>
      </c>
      <c r="X249" s="376">
        <f t="shared" si="79"/>
        <v>0</v>
      </c>
      <c r="Y249" s="376">
        <f>IF(Y108="","",IF($C$39=0,0,SUM(Y251:Y275)))</f>
        <v>0</v>
      </c>
      <c r="Z249" s="376">
        <f>IF(Z108="","",IF($C$39=0,0,SUM(Z251:Z275)))</f>
        <v>0</v>
      </c>
      <c r="AA249" s="376">
        <f>IF(AA108="","",IF($C$39=0,0,SUM(AA251:AA275)))</f>
        <v>0</v>
      </c>
      <c r="AB249" s="376">
        <f>IF(AB108="","",IF($C$39=0,0,SUM(AB251:AB275)))</f>
        <v>0</v>
      </c>
      <c r="AC249" s="376">
        <f>IF(AC108="","",IF($C$39=0,0,SUM(AC251:AC275)))</f>
        <v>0</v>
      </c>
      <c r="AD249" s="13"/>
      <c r="AE249" s="383"/>
    </row>
    <row r="250" spans="2:31">
      <c r="B250" s="9"/>
      <c r="C250" s="314"/>
      <c r="D250" s="314"/>
      <c r="E250" s="9"/>
      <c r="F250" s="9"/>
      <c r="G250" s="9"/>
      <c r="H250" s="9"/>
      <c r="I250" s="9"/>
      <c r="J250" s="9"/>
      <c r="K250" s="9"/>
      <c r="L250" s="9"/>
      <c r="M250" s="9"/>
      <c r="N250" s="9"/>
      <c r="O250" s="9"/>
      <c r="P250" s="9"/>
      <c r="Q250" s="9"/>
      <c r="R250" s="9"/>
      <c r="S250" s="9"/>
      <c r="T250" s="9"/>
      <c r="U250" s="9"/>
      <c r="V250" s="327"/>
      <c r="W250" s="9"/>
      <c r="X250" s="9"/>
      <c r="Y250" s="9"/>
      <c r="Z250" s="9"/>
      <c r="AA250" s="9"/>
      <c r="AB250" s="9"/>
      <c r="AC250" s="9"/>
      <c r="AD250" s="9"/>
      <c r="AE250" s="328"/>
    </row>
    <row r="251" spans="2:31" hidden="1">
      <c r="B251" s="9"/>
      <c r="C251" s="314"/>
      <c r="D251" s="314"/>
      <c r="E251" s="327">
        <f>IF($C$39=0,0,E$248)</f>
        <v>0</v>
      </c>
      <c r="F251" s="9">
        <f t="shared" ref="F251:AC251" si="80">MAX(0,E251-($E251/$C$39))</f>
        <v>0</v>
      </c>
      <c r="G251" s="9">
        <f t="shared" si="80"/>
        <v>0</v>
      </c>
      <c r="H251" s="9">
        <f t="shared" si="80"/>
        <v>0</v>
      </c>
      <c r="I251" s="9">
        <f t="shared" si="80"/>
        <v>0</v>
      </c>
      <c r="J251" s="9">
        <f t="shared" si="80"/>
        <v>0</v>
      </c>
      <c r="K251" s="9">
        <f t="shared" si="80"/>
        <v>0</v>
      </c>
      <c r="L251" s="9">
        <f t="shared" si="80"/>
        <v>0</v>
      </c>
      <c r="M251" s="9">
        <f t="shared" si="80"/>
        <v>0</v>
      </c>
      <c r="N251" s="9">
        <f t="shared" si="80"/>
        <v>0</v>
      </c>
      <c r="O251" s="9">
        <f t="shared" si="80"/>
        <v>0</v>
      </c>
      <c r="P251" s="9">
        <f t="shared" si="80"/>
        <v>0</v>
      </c>
      <c r="Q251" s="9">
        <f t="shared" si="80"/>
        <v>0</v>
      </c>
      <c r="R251" s="9">
        <f t="shared" si="80"/>
        <v>0</v>
      </c>
      <c r="S251" s="9">
        <f t="shared" si="80"/>
        <v>0</v>
      </c>
      <c r="T251" s="9">
        <f t="shared" si="80"/>
        <v>0</v>
      </c>
      <c r="U251" s="9">
        <f t="shared" si="80"/>
        <v>0</v>
      </c>
      <c r="V251" s="9">
        <f t="shared" si="80"/>
        <v>0</v>
      </c>
      <c r="W251" s="9">
        <f t="shared" si="80"/>
        <v>0</v>
      </c>
      <c r="X251" s="9">
        <f t="shared" si="80"/>
        <v>0</v>
      </c>
      <c r="Y251" s="9">
        <f t="shared" si="80"/>
        <v>0</v>
      </c>
      <c r="Z251" s="9">
        <f t="shared" si="80"/>
        <v>0</v>
      </c>
      <c r="AA251" s="9">
        <f t="shared" si="80"/>
        <v>0</v>
      </c>
      <c r="AB251" s="9">
        <f t="shared" si="80"/>
        <v>0</v>
      </c>
      <c r="AC251" s="9">
        <f t="shared" si="80"/>
        <v>0</v>
      </c>
      <c r="AD251" s="9"/>
      <c r="AE251" s="328"/>
    </row>
    <row r="252" spans="2:31" hidden="1">
      <c r="B252" s="9"/>
      <c r="C252" s="314"/>
      <c r="D252" s="314"/>
      <c r="E252" s="327"/>
      <c r="F252" s="327">
        <f>IF($C$39=0,0,F$248)</f>
        <v>0</v>
      </c>
      <c r="G252" s="9">
        <f t="shared" ref="G252:AC252" si="81">MAX(0,F252-($F252/$C$39))</f>
        <v>0</v>
      </c>
      <c r="H252" s="9">
        <f t="shared" si="81"/>
        <v>0</v>
      </c>
      <c r="I252" s="9">
        <f t="shared" si="81"/>
        <v>0</v>
      </c>
      <c r="J252" s="9">
        <f t="shared" si="81"/>
        <v>0</v>
      </c>
      <c r="K252" s="9">
        <f t="shared" si="81"/>
        <v>0</v>
      </c>
      <c r="L252" s="9">
        <f t="shared" si="81"/>
        <v>0</v>
      </c>
      <c r="M252" s="9">
        <f t="shared" si="81"/>
        <v>0</v>
      </c>
      <c r="N252" s="9">
        <f t="shared" si="81"/>
        <v>0</v>
      </c>
      <c r="O252" s="9">
        <f t="shared" si="81"/>
        <v>0</v>
      </c>
      <c r="P252" s="9">
        <f t="shared" si="81"/>
        <v>0</v>
      </c>
      <c r="Q252" s="9">
        <f t="shared" si="81"/>
        <v>0</v>
      </c>
      <c r="R252" s="9">
        <f t="shared" si="81"/>
        <v>0</v>
      </c>
      <c r="S252" s="9">
        <f t="shared" si="81"/>
        <v>0</v>
      </c>
      <c r="T252" s="9">
        <f t="shared" si="81"/>
        <v>0</v>
      </c>
      <c r="U252" s="9">
        <f t="shared" si="81"/>
        <v>0</v>
      </c>
      <c r="V252" s="9">
        <f t="shared" si="81"/>
        <v>0</v>
      </c>
      <c r="W252" s="9">
        <f t="shared" si="81"/>
        <v>0</v>
      </c>
      <c r="X252" s="9">
        <f t="shared" si="81"/>
        <v>0</v>
      </c>
      <c r="Y252" s="9">
        <f t="shared" si="81"/>
        <v>0</v>
      </c>
      <c r="Z252" s="9">
        <f t="shared" si="81"/>
        <v>0</v>
      </c>
      <c r="AA252" s="9">
        <f t="shared" si="81"/>
        <v>0</v>
      </c>
      <c r="AB252" s="9">
        <f t="shared" si="81"/>
        <v>0</v>
      </c>
      <c r="AC252" s="9">
        <f t="shared" si="81"/>
        <v>0</v>
      </c>
      <c r="AD252" s="9"/>
      <c r="AE252" s="328"/>
    </row>
    <row r="253" spans="2:31" hidden="1">
      <c r="B253" s="9"/>
      <c r="C253" s="314"/>
      <c r="D253" s="314"/>
      <c r="E253" s="9"/>
      <c r="F253" s="9"/>
      <c r="G253" s="327">
        <f>IF($C$39=0,0,G$248)</f>
        <v>0</v>
      </c>
      <c r="H253" s="9">
        <f t="shared" ref="H253:AC253" si="82">MAX(0,G253-($G253/$C$39))</f>
        <v>0</v>
      </c>
      <c r="I253" s="9">
        <f t="shared" si="82"/>
        <v>0</v>
      </c>
      <c r="J253" s="9">
        <f t="shared" si="82"/>
        <v>0</v>
      </c>
      <c r="K253" s="9">
        <f t="shared" si="82"/>
        <v>0</v>
      </c>
      <c r="L253" s="9">
        <f t="shared" si="82"/>
        <v>0</v>
      </c>
      <c r="M253" s="9">
        <f t="shared" si="82"/>
        <v>0</v>
      </c>
      <c r="N253" s="9">
        <f t="shared" si="82"/>
        <v>0</v>
      </c>
      <c r="O253" s="9">
        <f t="shared" si="82"/>
        <v>0</v>
      </c>
      <c r="P253" s="9">
        <f t="shared" si="82"/>
        <v>0</v>
      </c>
      <c r="Q253" s="9">
        <f t="shared" si="82"/>
        <v>0</v>
      </c>
      <c r="R253" s="9">
        <f t="shared" si="82"/>
        <v>0</v>
      </c>
      <c r="S253" s="9">
        <f t="shared" si="82"/>
        <v>0</v>
      </c>
      <c r="T253" s="9">
        <f t="shared" si="82"/>
        <v>0</v>
      </c>
      <c r="U253" s="9">
        <f t="shared" si="82"/>
        <v>0</v>
      </c>
      <c r="V253" s="9">
        <f t="shared" si="82"/>
        <v>0</v>
      </c>
      <c r="W253" s="9">
        <f t="shared" si="82"/>
        <v>0</v>
      </c>
      <c r="X253" s="9">
        <f t="shared" si="82"/>
        <v>0</v>
      </c>
      <c r="Y253" s="9">
        <f t="shared" si="82"/>
        <v>0</v>
      </c>
      <c r="Z253" s="9">
        <f t="shared" si="82"/>
        <v>0</v>
      </c>
      <c r="AA253" s="9">
        <f t="shared" si="82"/>
        <v>0</v>
      </c>
      <c r="AB253" s="9">
        <f t="shared" si="82"/>
        <v>0</v>
      </c>
      <c r="AC253" s="9">
        <f t="shared" si="82"/>
        <v>0</v>
      </c>
      <c r="AD253" s="9"/>
      <c r="AE253" s="328"/>
    </row>
    <row r="254" spans="2:31" hidden="1">
      <c r="B254" s="9"/>
      <c r="C254" s="314"/>
      <c r="D254" s="314"/>
      <c r="E254" s="9"/>
      <c r="F254" s="9"/>
      <c r="G254" s="9"/>
      <c r="H254" s="327">
        <f>IF($C$39=0,0,H$248)</f>
        <v>0</v>
      </c>
      <c r="I254" s="9">
        <f t="shared" ref="I254:AC254" si="83">MAX(0,H254-($H254/$C$39))</f>
        <v>0</v>
      </c>
      <c r="J254" s="9">
        <f t="shared" si="83"/>
        <v>0</v>
      </c>
      <c r="K254" s="9">
        <f t="shared" si="83"/>
        <v>0</v>
      </c>
      <c r="L254" s="9">
        <f t="shared" si="83"/>
        <v>0</v>
      </c>
      <c r="M254" s="9">
        <f t="shared" si="83"/>
        <v>0</v>
      </c>
      <c r="N254" s="9">
        <f t="shared" si="83"/>
        <v>0</v>
      </c>
      <c r="O254" s="9">
        <f t="shared" si="83"/>
        <v>0</v>
      </c>
      <c r="P254" s="9">
        <f t="shared" si="83"/>
        <v>0</v>
      </c>
      <c r="Q254" s="9">
        <f t="shared" si="83"/>
        <v>0</v>
      </c>
      <c r="R254" s="9">
        <f t="shared" si="83"/>
        <v>0</v>
      </c>
      <c r="S254" s="9">
        <f t="shared" si="83"/>
        <v>0</v>
      </c>
      <c r="T254" s="9">
        <f t="shared" si="83"/>
        <v>0</v>
      </c>
      <c r="U254" s="9">
        <f t="shared" si="83"/>
        <v>0</v>
      </c>
      <c r="V254" s="9">
        <f t="shared" si="83"/>
        <v>0</v>
      </c>
      <c r="W254" s="9">
        <f t="shared" si="83"/>
        <v>0</v>
      </c>
      <c r="X254" s="9">
        <f t="shared" si="83"/>
        <v>0</v>
      </c>
      <c r="Y254" s="9">
        <f t="shared" si="83"/>
        <v>0</v>
      </c>
      <c r="Z254" s="9">
        <f t="shared" si="83"/>
        <v>0</v>
      </c>
      <c r="AA254" s="9">
        <f t="shared" si="83"/>
        <v>0</v>
      </c>
      <c r="AB254" s="9">
        <f t="shared" si="83"/>
        <v>0</v>
      </c>
      <c r="AC254" s="9">
        <f t="shared" si="83"/>
        <v>0</v>
      </c>
      <c r="AD254" s="9"/>
      <c r="AE254" s="328"/>
    </row>
    <row r="255" spans="2:31" hidden="1">
      <c r="B255" s="9"/>
      <c r="C255" s="314"/>
      <c r="D255" s="314"/>
      <c r="E255" s="9"/>
      <c r="F255" s="9"/>
      <c r="G255" s="9"/>
      <c r="H255" s="9"/>
      <c r="I255" s="9">
        <f>IF($C$39=0,0,I$248+I$246)</f>
        <v>0</v>
      </c>
      <c r="J255" s="9">
        <f t="shared" ref="J255:AC255" si="84">MAX(0,I255-($I255/$C$39))</f>
        <v>0</v>
      </c>
      <c r="K255" s="9">
        <f t="shared" si="84"/>
        <v>0</v>
      </c>
      <c r="L255" s="9">
        <f t="shared" si="84"/>
        <v>0</v>
      </c>
      <c r="M255" s="9">
        <f t="shared" si="84"/>
        <v>0</v>
      </c>
      <c r="N255" s="9">
        <f t="shared" si="84"/>
        <v>0</v>
      </c>
      <c r="O255" s="9">
        <f t="shared" si="84"/>
        <v>0</v>
      </c>
      <c r="P255" s="9">
        <f t="shared" si="84"/>
        <v>0</v>
      </c>
      <c r="Q255" s="9">
        <f t="shared" si="84"/>
        <v>0</v>
      </c>
      <c r="R255" s="9">
        <f t="shared" si="84"/>
        <v>0</v>
      </c>
      <c r="S255" s="9">
        <f t="shared" si="84"/>
        <v>0</v>
      </c>
      <c r="T255" s="9">
        <f t="shared" si="84"/>
        <v>0</v>
      </c>
      <c r="U255" s="9">
        <f t="shared" si="84"/>
        <v>0</v>
      </c>
      <c r="V255" s="9">
        <f t="shared" si="84"/>
        <v>0</v>
      </c>
      <c r="W255" s="9">
        <f t="shared" si="84"/>
        <v>0</v>
      </c>
      <c r="X255" s="9">
        <f t="shared" si="84"/>
        <v>0</v>
      </c>
      <c r="Y255" s="9">
        <f t="shared" si="84"/>
        <v>0</v>
      </c>
      <c r="Z255" s="9">
        <f t="shared" si="84"/>
        <v>0</v>
      </c>
      <c r="AA255" s="9">
        <f t="shared" si="84"/>
        <v>0</v>
      </c>
      <c r="AB255" s="9">
        <f t="shared" si="84"/>
        <v>0</v>
      </c>
      <c r="AC255" s="9">
        <f t="shared" si="84"/>
        <v>0</v>
      </c>
      <c r="AD255" s="9"/>
      <c r="AE255" s="328"/>
    </row>
    <row r="256" spans="2:31" hidden="1">
      <c r="B256" s="9"/>
      <c r="C256" s="314"/>
      <c r="D256" s="314"/>
      <c r="E256" s="9"/>
      <c r="F256" s="9"/>
      <c r="G256" s="9"/>
      <c r="H256" s="9"/>
      <c r="I256" s="327"/>
      <c r="J256" s="327">
        <f>IF($C$39=0,0,J$248)</f>
        <v>0</v>
      </c>
      <c r="K256" s="9">
        <f t="shared" ref="K256:AC256" si="85">MAX(0,J256-($J256/$C$39))</f>
        <v>0</v>
      </c>
      <c r="L256" s="9">
        <f t="shared" si="85"/>
        <v>0</v>
      </c>
      <c r="M256" s="9">
        <f t="shared" si="85"/>
        <v>0</v>
      </c>
      <c r="N256" s="9">
        <f t="shared" si="85"/>
        <v>0</v>
      </c>
      <c r="O256" s="9">
        <f t="shared" si="85"/>
        <v>0</v>
      </c>
      <c r="P256" s="9">
        <f t="shared" si="85"/>
        <v>0</v>
      </c>
      <c r="Q256" s="9">
        <f t="shared" si="85"/>
        <v>0</v>
      </c>
      <c r="R256" s="9">
        <f t="shared" si="85"/>
        <v>0</v>
      </c>
      <c r="S256" s="9">
        <f t="shared" si="85"/>
        <v>0</v>
      </c>
      <c r="T256" s="9">
        <f t="shared" si="85"/>
        <v>0</v>
      </c>
      <c r="U256" s="9">
        <f t="shared" si="85"/>
        <v>0</v>
      </c>
      <c r="V256" s="9">
        <f t="shared" si="85"/>
        <v>0</v>
      </c>
      <c r="W256" s="9">
        <f t="shared" si="85"/>
        <v>0</v>
      </c>
      <c r="X256" s="9">
        <f t="shared" si="85"/>
        <v>0</v>
      </c>
      <c r="Y256" s="9">
        <f t="shared" si="85"/>
        <v>0</v>
      </c>
      <c r="Z256" s="9">
        <f t="shared" si="85"/>
        <v>0</v>
      </c>
      <c r="AA256" s="9">
        <f t="shared" si="85"/>
        <v>0</v>
      </c>
      <c r="AB256" s="9">
        <f t="shared" si="85"/>
        <v>0</v>
      </c>
      <c r="AC256" s="9">
        <f t="shared" si="85"/>
        <v>0</v>
      </c>
      <c r="AD256" s="9"/>
      <c r="AE256" s="328"/>
    </row>
    <row r="257" spans="2:31" hidden="1">
      <c r="B257" s="9"/>
      <c r="C257" s="314"/>
      <c r="D257" s="314"/>
      <c r="E257" s="9"/>
      <c r="F257" s="9"/>
      <c r="G257" s="9"/>
      <c r="H257" s="9"/>
      <c r="I257" s="9"/>
      <c r="J257" s="9"/>
      <c r="K257" s="327">
        <f>IF($C$39=0,0,K$248)</f>
        <v>0</v>
      </c>
      <c r="L257" s="9">
        <f t="shared" ref="L257:AC257" si="86">MAX(0,K257-($K257/$C$39))</f>
        <v>0</v>
      </c>
      <c r="M257" s="9">
        <f t="shared" si="86"/>
        <v>0</v>
      </c>
      <c r="N257" s="9">
        <f t="shared" si="86"/>
        <v>0</v>
      </c>
      <c r="O257" s="9">
        <f t="shared" si="86"/>
        <v>0</v>
      </c>
      <c r="P257" s="9">
        <f t="shared" si="86"/>
        <v>0</v>
      </c>
      <c r="Q257" s="9">
        <f t="shared" si="86"/>
        <v>0</v>
      </c>
      <c r="R257" s="9">
        <f t="shared" si="86"/>
        <v>0</v>
      </c>
      <c r="S257" s="9">
        <f t="shared" si="86"/>
        <v>0</v>
      </c>
      <c r="T257" s="9">
        <f t="shared" si="86"/>
        <v>0</v>
      </c>
      <c r="U257" s="9">
        <f t="shared" si="86"/>
        <v>0</v>
      </c>
      <c r="V257" s="9">
        <f t="shared" si="86"/>
        <v>0</v>
      </c>
      <c r="W257" s="9">
        <f t="shared" si="86"/>
        <v>0</v>
      </c>
      <c r="X257" s="9">
        <f t="shared" si="86"/>
        <v>0</v>
      </c>
      <c r="Y257" s="9">
        <f t="shared" si="86"/>
        <v>0</v>
      </c>
      <c r="Z257" s="9">
        <f t="shared" si="86"/>
        <v>0</v>
      </c>
      <c r="AA257" s="9">
        <f t="shared" si="86"/>
        <v>0</v>
      </c>
      <c r="AB257" s="9">
        <f t="shared" si="86"/>
        <v>0</v>
      </c>
      <c r="AC257" s="9">
        <f t="shared" si="86"/>
        <v>0</v>
      </c>
      <c r="AD257" s="9"/>
      <c r="AE257" s="328"/>
    </row>
    <row r="258" spans="2:31" hidden="1">
      <c r="B258" s="9"/>
      <c r="C258" s="314"/>
      <c r="D258" s="314"/>
      <c r="E258" s="9"/>
      <c r="F258" s="9"/>
      <c r="G258" s="9"/>
      <c r="H258" s="9"/>
      <c r="I258" s="9"/>
      <c r="J258" s="9"/>
      <c r="K258" s="9"/>
      <c r="L258" s="327">
        <f>IF($C$39=0,0,L$248)</f>
        <v>0</v>
      </c>
      <c r="M258" s="9">
        <f t="shared" ref="M258:AC258" si="87">MAX(0,L258-($L258/$C$39))</f>
        <v>0</v>
      </c>
      <c r="N258" s="9">
        <f t="shared" si="87"/>
        <v>0</v>
      </c>
      <c r="O258" s="9">
        <f t="shared" si="87"/>
        <v>0</v>
      </c>
      <c r="P258" s="9">
        <f t="shared" si="87"/>
        <v>0</v>
      </c>
      <c r="Q258" s="9">
        <f t="shared" si="87"/>
        <v>0</v>
      </c>
      <c r="R258" s="9">
        <f t="shared" si="87"/>
        <v>0</v>
      </c>
      <c r="S258" s="9">
        <f t="shared" si="87"/>
        <v>0</v>
      </c>
      <c r="T258" s="9">
        <f t="shared" si="87"/>
        <v>0</v>
      </c>
      <c r="U258" s="9">
        <f t="shared" si="87"/>
        <v>0</v>
      </c>
      <c r="V258" s="9">
        <f t="shared" si="87"/>
        <v>0</v>
      </c>
      <c r="W258" s="9">
        <f t="shared" si="87"/>
        <v>0</v>
      </c>
      <c r="X258" s="9">
        <f t="shared" si="87"/>
        <v>0</v>
      </c>
      <c r="Y258" s="9">
        <f t="shared" si="87"/>
        <v>0</v>
      </c>
      <c r="Z258" s="9">
        <f t="shared" si="87"/>
        <v>0</v>
      </c>
      <c r="AA258" s="9">
        <f t="shared" si="87"/>
        <v>0</v>
      </c>
      <c r="AB258" s="9">
        <f t="shared" si="87"/>
        <v>0</v>
      </c>
      <c r="AC258" s="9">
        <f t="shared" si="87"/>
        <v>0</v>
      </c>
      <c r="AD258" s="9"/>
      <c r="AE258" s="328"/>
    </row>
    <row r="259" spans="2:31" hidden="1">
      <c r="B259" s="9"/>
      <c r="C259" s="314"/>
      <c r="D259" s="314"/>
      <c r="E259" s="9"/>
      <c r="F259" s="9"/>
      <c r="G259" s="9"/>
      <c r="H259" s="9"/>
      <c r="I259" s="9"/>
      <c r="J259" s="9"/>
      <c r="K259" s="9"/>
      <c r="L259" s="9"/>
      <c r="M259" s="327">
        <f>IF($C$39=0,0,M$248)</f>
        <v>0</v>
      </c>
      <c r="N259" s="9">
        <f t="shared" ref="N259:AC259" si="88">MAX(0,M259-($M259/$C$39))</f>
        <v>0</v>
      </c>
      <c r="O259" s="9">
        <f t="shared" si="88"/>
        <v>0</v>
      </c>
      <c r="P259" s="9">
        <f t="shared" si="88"/>
        <v>0</v>
      </c>
      <c r="Q259" s="9">
        <f t="shared" si="88"/>
        <v>0</v>
      </c>
      <c r="R259" s="9">
        <f t="shared" si="88"/>
        <v>0</v>
      </c>
      <c r="S259" s="9">
        <f t="shared" si="88"/>
        <v>0</v>
      </c>
      <c r="T259" s="9">
        <f t="shared" si="88"/>
        <v>0</v>
      </c>
      <c r="U259" s="9">
        <f t="shared" si="88"/>
        <v>0</v>
      </c>
      <c r="V259" s="9">
        <f t="shared" si="88"/>
        <v>0</v>
      </c>
      <c r="W259" s="9">
        <f t="shared" si="88"/>
        <v>0</v>
      </c>
      <c r="X259" s="9">
        <f t="shared" si="88"/>
        <v>0</v>
      </c>
      <c r="Y259" s="9">
        <f t="shared" si="88"/>
        <v>0</v>
      </c>
      <c r="Z259" s="9">
        <f t="shared" si="88"/>
        <v>0</v>
      </c>
      <c r="AA259" s="9">
        <f t="shared" si="88"/>
        <v>0</v>
      </c>
      <c r="AB259" s="9">
        <f t="shared" si="88"/>
        <v>0</v>
      </c>
      <c r="AC259" s="9">
        <f t="shared" si="88"/>
        <v>0</v>
      </c>
      <c r="AD259" s="9"/>
      <c r="AE259" s="328"/>
    </row>
    <row r="260" spans="2:31" hidden="1">
      <c r="B260" s="9"/>
      <c r="C260" s="314"/>
      <c r="D260" s="314"/>
      <c r="E260" s="9"/>
      <c r="F260" s="9"/>
      <c r="G260" s="9"/>
      <c r="H260" s="9"/>
      <c r="I260" s="9"/>
      <c r="J260" s="9"/>
      <c r="K260" s="9"/>
      <c r="L260" s="9"/>
      <c r="M260" s="9"/>
      <c r="N260" s="327">
        <f>IF($C$39=0,0,N$248)</f>
        <v>0</v>
      </c>
      <c r="O260" s="9">
        <f t="shared" ref="O260:AC260" si="89">MAX(0,N260-($N260/$C$39))</f>
        <v>0</v>
      </c>
      <c r="P260" s="9">
        <f t="shared" si="89"/>
        <v>0</v>
      </c>
      <c r="Q260" s="9">
        <f t="shared" si="89"/>
        <v>0</v>
      </c>
      <c r="R260" s="9">
        <f t="shared" si="89"/>
        <v>0</v>
      </c>
      <c r="S260" s="9">
        <f t="shared" si="89"/>
        <v>0</v>
      </c>
      <c r="T260" s="9">
        <f t="shared" si="89"/>
        <v>0</v>
      </c>
      <c r="U260" s="9">
        <f t="shared" si="89"/>
        <v>0</v>
      </c>
      <c r="V260" s="9">
        <f t="shared" si="89"/>
        <v>0</v>
      </c>
      <c r="W260" s="9">
        <f t="shared" si="89"/>
        <v>0</v>
      </c>
      <c r="X260" s="9">
        <f t="shared" si="89"/>
        <v>0</v>
      </c>
      <c r="Y260" s="9">
        <f t="shared" si="89"/>
        <v>0</v>
      </c>
      <c r="Z260" s="9">
        <f t="shared" si="89"/>
        <v>0</v>
      </c>
      <c r="AA260" s="9">
        <f t="shared" si="89"/>
        <v>0</v>
      </c>
      <c r="AB260" s="9">
        <f t="shared" si="89"/>
        <v>0</v>
      </c>
      <c r="AC260" s="9">
        <f t="shared" si="89"/>
        <v>0</v>
      </c>
      <c r="AD260" s="9"/>
      <c r="AE260" s="328"/>
    </row>
    <row r="261" spans="2:31" hidden="1">
      <c r="B261" s="9"/>
      <c r="C261" s="314"/>
      <c r="D261" s="314"/>
      <c r="E261" s="9"/>
      <c r="F261" s="9"/>
      <c r="G261" s="9"/>
      <c r="H261" s="9"/>
      <c r="I261" s="9"/>
      <c r="J261" s="9"/>
      <c r="K261" s="9"/>
      <c r="L261" s="9"/>
      <c r="M261" s="9"/>
      <c r="N261" s="9"/>
      <c r="O261" s="327">
        <f>IF($C$39=0,0,O$248)</f>
        <v>0</v>
      </c>
      <c r="P261" s="9">
        <f t="shared" ref="P261:AC261" si="90">MAX(0,O261-($O261/$C$39))</f>
        <v>0</v>
      </c>
      <c r="Q261" s="9">
        <f t="shared" si="90"/>
        <v>0</v>
      </c>
      <c r="R261" s="9">
        <f t="shared" si="90"/>
        <v>0</v>
      </c>
      <c r="S261" s="9">
        <f t="shared" si="90"/>
        <v>0</v>
      </c>
      <c r="T261" s="9">
        <f t="shared" si="90"/>
        <v>0</v>
      </c>
      <c r="U261" s="9">
        <f t="shared" si="90"/>
        <v>0</v>
      </c>
      <c r="V261" s="9">
        <f t="shared" si="90"/>
        <v>0</v>
      </c>
      <c r="W261" s="9">
        <f t="shared" si="90"/>
        <v>0</v>
      </c>
      <c r="X261" s="9">
        <f t="shared" si="90"/>
        <v>0</v>
      </c>
      <c r="Y261" s="9">
        <f t="shared" si="90"/>
        <v>0</v>
      </c>
      <c r="Z261" s="9">
        <f t="shared" si="90"/>
        <v>0</v>
      </c>
      <c r="AA261" s="9">
        <f t="shared" si="90"/>
        <v>0</v>
      </c>
      <c r="AB261" s="9">
        <f t="shared" si="90"/>
        <v>0</v>
      </c>
      <c r="AC261" s="9">
        <f t="shared" si="90"/>
        <v>0</v>
      </c>
      <c r="AD261" s="9"/>
      <c r="AE261" s="328"/>
    </row>
    <row r="262" spans="2:31" hidden="1">
      <c r="B262" s="9"/>
      <c r="C262" s="314"/>
      <c r="D262" s="314"/>
      <c r="E262" s="9"/>
      <c r="F262" s="9"/>
      <c r="G262" s="9"/>
      <c r="H262" s="9"/>
      <c r="I262" s="9"/>
      <c r="J262" s="9"/>
      <c r="K262" s="9"/>
      <c r="L262" s="9"/>
      <c r="M262" s="9"/>
      <c r="N262" s="9"/>
      <c r="O262" s="9"/>
      <c r="P262" s="327">
        <f>IF($C$39=0,0,P$248)</f>
        <v>0</v>
      </c>
      <c r="Q262" s="9">
        <f t="shared" ref="Q262:AC262" si="91">MAX(0,P262-($P262/$C$39))</f>
        <v>0</v>
      </c>
      <c r="R262" s="9">
        <f t="shared" si="91"/>
        <v>0</v>
      </c>
      <c r="S262" s="9">
        <f t="shared" si="91"/>
        <v>0</v>
      </c>
      <c r="T262" s="9">
        <f t="shared" si="91"/>
        <v>0</v>
      </c>
      <c r="U262" s="9">
        <f t="shared" si="91"/>
        <v>0</v>
      </c>
      <c r="V262" s="9">
        <f t="shared" si="91"/>
        <v>0</v>
      </c>
      <c r="W262" s="9">
        <f t="shared" si="91"/>
        <v>0</v>
      </c>
      <c r="X262" s="9">
        <f t="shared" si="91"/>
        <v>0</v>
      </c>
      <c r="Y262" s="9">
        <f t="shared" si="91"/>
        <v>0</v>
      </c>
      <c r="Z262" s="9">
        <f t="shared" si="91"/>
        <v>0</v>
      </c>
      <c r="AA262" s="9">
        <f t="shared" si="91"/>
        <v>0</v>
      </c>
      <c r="AB262" s="9">
        <f t="shared" si="91"/>
        <v>0</v>
      </c>
      <c r="AC262" s="9">
        <f t="shared" si="91"/>
        <v>0</v>
      </c>
      <c r="AD262" s="9"/>
      <c r="AE262" s="328"/>
    </row>
    <row r="263" spans="2:31" hidden="1">
      <c r="B263" s="9"/>
      <c r="C263" s="314"/>
      <c r="D263" s="314"/>
      <c r="E263" s="9"/>
      <c r="F263" s="9"/>
      <c r="G263" s="9"/>
      <c r="H263" s="9"/>
      <c r="I263" s="9"/>
      <c r="J263" s="9"/>
      <c r="K263" s="9"/>
      <c r="L263" s="9"/>
      <c r="M263" s="9"/>
      <c r="N263" s="9"/>
      <c r="O263" s="9"/>
      <c r="P263" s="9"/>
      <c r="Q263" s="327">
        <f>IF($C$39=0,0,Q$248)</f>
        <v>0</v>
      </c>
      <c r="R263" s="9">
        <f t="shared" ref="R263:AC263" si="92">MAX(0,Q263-($Q263/$C$39))</f>
        <v>0</v>
      </c>
      <c r="S263" s="9">
        <f t="shared" si="92"/>
        <v>0</v>
      </c>
      <c r="T263" s="9">
        <f t="shared" si="92"/>
        <v>0</v>
      </c>
      <c r="U263" s="9">
        <f t="shared" si="92"/>
        <v>0</v>
      </c>
      <c r="V263" s="9">
        <f t="shared" si="92"/>
        <v>0</v>
      </c>
      <c r="W263" s="9">
        <f t="shared" si="92"/>
        <v>0</v>
      </c>
      <c r="X263" s="9">
        <f t="shared" si="92"/>
        <v>0</v>
      </c>
      <c r="Y263" s="9">
        <f t="shared" si="92"/>
        <v>0</v>
      </c>
      <c r="Z263" s="9">
        <f t="shared" si="92"/>
        <v>0</v>
      </c>
      <c r="AA263" s="9">
        <f t="shared" si="92"/>
        <v>0</v>
      </c>
      <c r="AB263" s="9">
        <f t="shared" si="92"/>
        <v>0</v>
      </c>
      <c r="AC263" s="9">
        <f t="shared" si="92"/>
        <v>0</v>
      </c>
      <c r="AD263" s="9"/>
      <c r="AE263" s="328"/>
    </row>
    <row r="264" spans="2:31" hidden="1">
      <c r="B264" s="9"/>
      <c r="C264" s="314"/>
      <c r="D264" s="314"/>
      <c r="E264" s="9"/>
      <c r="F264" s="9"/>
      <c r="G264" s="9"/>
      <c r="H264" s="9"/>
      <c r="I264" s="9"/>
      <c r="J264" s="9"/>
      <c r="K264" s="9"/>
      <c r="L264" s="9"/>
      <c r="M264" s="9"/>
      <c r="N264" s="9"/>
      <c r="O264" s="9"/>
      <c r="P264" s="9"/>
      <c r="Q264" s="9"/>
      <c r="R264" s="327">
        <f>IF($C$39=0,0,R$248)</f>
        <v>0</v>
      </c>
      <c r="S264" s="9">
        <f t="shared" ref="S264:AC264" si="93">MAX(0,R264-($R264/$C$39))</f>
        <v>0</v>
      </c>
      <c r="T264" s="9">
        <f t="shared" si="93"/>
        <v>0</v>
      </c>
      <c r="U264" s="9">
        <f t="shared" si="93"/>
        <v>0</v>
      </c>
      <c r="V264" s="9">
        <f t="shared" si="93"/>
        <v>0</v>
      </c>
      <c r="W264" s="9">
        <f t="shared" si="93"/>
        <v>0</v>
      </c>
      <c r="X264" s="9">
        <f t="shared" si="93"/>
        <v>0</v>
      </c>
      <c r="Y264" s="9">
        <f t="shared" si="93"/>
        <v>0</v>
      </c>
      <c r="Z264" s="9">
        <f t="shared" si="93"/>
        <v>0</v>
      </c>
      <c r="AA264" s="9">
        <f t="shared" si="93"/>
        <v>0</v>
      </c>
      <c r="AB264" s="9">
        <f t="shared" si="93"/>
        <v>0</v>
      </c>
      <c r="AC264" s="9">
        <f t="shared" si="93"/>
        <v>0</v>
      </c>
      <c r="AD264" s="9"/>
      <c r="AE264" s="328"/>
    </row>
    <row r="265" spans="2:31" hidden="1">
      <c r="B265" s="9"/>
      <c r="C265" s="314"/>
      <c r="D265" s="314"/>
      <c r="E265" s="9"/>
      <c r="F265" s="9"/>
      <c r="G265" s="9"/>
      <c r="H265" s="9"/>
      <c r="I265" s="9"/>
      <c r="J265" s="9"/>
      <c r="K265" s="9"/>
      <c r="L265" s="9"/>
      <c r="M265" s="9"/>
      <c r="N265" s="9"/>
      <c r="O265" s="9"/>
      <c r="P265" s="9"/>
      <c r="Q265" s="9"/>
      <c r="R265" s="9"/>
      <c r="S265" s="327">
        <f>IF($C$39=0,0,S$248)</f>
        <v>0</v>
      </c>
      <c r="T265" s="9">
        <f t="shared" ref="T265:AC265" si="94">MAX(0,S265-($S265/$C$39))</f>
        <v>0</v>
      </c>
      <c r="U265" s="9">
        <f t="shared" si="94"/>
        <v>0</v>
      </c>
      <c r="V265" s="9">
        <f t="shared" si="94"/>
        <v>0</v>
      </c>
      <c r="W265" s="9">
        <f t="shared" si="94"/>
        <v>0</v>
      </c>
      <c r="X265" s="9">
        <f t="shared" si="94"/>
        <v>0</v>
      </c>
      <c r="Y265" s="9">
        <f t="shared" si="94"/>
        <v>0</v>
      </c>
      <c r="Z265" s="9">
        <f t="shared" si="94"/>
        <v>0</v>
      </c>
      <c r="AA265" s="9">
        <f t="shared" si="94"/>
        <v>0</v>
      </c>
      <c r="AB265" s="9">
        <f t="shared" si="94"/>
        <v>0</v>
      </c>
      <c r="AC265" s="9">
        <f t="shared" si="94"/>
        <v>0</v>
      </c>
      <c r="AD265" s="9"/>
      <c r="AE265" s="328"/>
    </row>
    <row r="266" spans="2:31" hidden="1">
      <c r="B266" s="9"/>
      <c r="C266" s="314"/>
      <c r="D266" s="314"/>
      <c r="E266" s="9"/>
      <c r="F266" s="9"/>
      <c r="G266" s="9"/>
      <c r="H266" s="9"/>
      <c r="I266" s="9"/>
      <c r="J266" s="9"/>
      <c r="K266" s="9"/>
      <c r="L266" s="9"/>
      <c r="M266" s="9"/>
      <c r="N266" s="9"/>
      <c r="O266" s="9"/>
      <c r="P266" s="9"/>
      <c r="Q266" s="9"/>
      <c r="R266" s="9"/>
      <c r="S266" s="9"/>
      <c r="T266" s="327">
        <f>IF($C$39=0,0,T$248)</f>
        <v>0</v>
      </c>
      <c r="U266" s="9">
        <f t="shared" ref="U266:AC266" si="95">MAX(0,T266-($T266/$C$39))</f>
        <v>0</v>
      </c>
      <c r="V266" s="9">
        <f t="shared" si="95"/>
        <v>0</v>
      </c>
      <c r="W266" s="9">
        <f t="shared" si="95"/>
        <v>0</v>
      </c>
      <c r="X266" s="9">
        <f t="shared" si="95"/>
        <v>0</v>
      </c>
      <c r="Y266" s="9">
        <f t="shared" si="95"/>
        <v>0</v>
      </c>
      <c r="Z266" s="9">
        <f t="shared" si="95"/>
        <v>0</v>
      </c>
      <c r="AA266" s="9">
        <f t="shared" si="95"/>
        <v>0</v>
      </c>
      <c r="AB266" s="9">
        <f t="shared" si="95"/>
        <v>0</v>
      </c>
      <c r="AC266" s="9">
        <f t="shared" si="95"/>
        <v>0</v>
      </c>
      <c r="AD266" s="9"/>
      <c r="AE266" s="328"/>
    </row>
    <row r="267" spans="2:31" hidden="1">
      <c r="B267" s="9"/>
      <c r="C267" s="314"/>
      <c r="D267" s="314"/>
      <c r="E267" s="9"/>
      <c r="F267" s="9"/>
      <c r="G267" s="9"/>
      <c r="H267" s="9"/>
      <c r="I267" s="9"/>
      <c r="J267" s="9"/>
      <c r="K267" s="9"/>
      <c r="L267" s="9"/>
      <c r="M267" s="9"/>
      <c r="N267" s="9"/>
      <c r="O267" s="9"/>
      <c r="P267" s="9"/>
      <c r="Q267" s="9"/>
      <c r="R267" s="9"/>
      <c r="S267" s="9"/>
      <c r="T267" s="9"/>
      <c r="U267" s="327">
        <f>IF($C$39=0,0,U$248)</f>
        <v>0</v>
      </c>
      <c r="V267" s="9">
        <f t="shared" ref="V267:AC267" si="96">MAX(0,U267-($U267/$C$39))</f>
        <v>0</v>
      </c>
      <c r="W267" s="9">
        <f t="shared" si="96"/>
        <v>0</v>
      </c>
      <c r="X267" s="9">
        <f t="shared" si="96"/>
        <v>0</v>
      </c>
      <c r="Y267" s="9">
        <f t="shared" si="96"/>
        <v>0</v>
      </c>
      <c r="Z267" s="9">
        <f t="shared" si="96"/>
        <v>0</v>
      </c>
      <c r="AA267" s="9">
        <f t="shared" si="96"/>
        <v>0</v>
      </c>
      <c r="AB267" s="9">
        <f t="shared" si="96"/>
        <v>0</v>
      </c>
      <c r="AC267" s="9">
        <f t="shared" si="96"/>
        <v>0</v>
      </c>
      <c r="AD267" s="9"/>
      <c r="AE267" s="328"/>
    </row>
    <row r="268" spans="2:31" hidden="1">
      <c r="B268" s="9"/>
      <c r="C268" s="314"/>
      <c r="D268" s="314"/>
      <c r="E268" s="9"/>
      <c r="F268" s="9"/>
      <c r="G268" s="9"/>
      <c r="H268" s="9"/>
      <c r="I268" s="9"/>
      <c r="J268" s="9"/>
      <c r="K268" s="9"/>
      <c r="L268" s="9"/>
      <c r="M268" s="9"/>
      <c r="N268" s="9"/>
      <c r="O268" s="9"/>
      <c r="P268" s="9"/>
      <c r="Q268" s="9"/>
      <c r="R268" s="9"/>
      <c r="S268" s="9"/>
      <c r="T268" s="9"/>
      <c r="U268" s="9"/>
      <c r="V268" s="327">
        <f>IF($C$39=0,0,V$248)</f>
        <v>0</v>
      </c>
      <c r="W268" s="9">
        <f t="shared" ref="W268:AC268" si="97">MAX(0,V268-($V268/$C$39))</f>
        <v>0</v>
      </c>
      <c r="X268" s="9">
        <f t="shared" si="97"/>
        <v>0</v>
      </c>
      <c r="Y268" s="9">
        <f t="shared" si="97"/>
        <v>0</v>
      </c>
      <c r="Z268" s="9">
        <f t="shared" si="97"/>
        <v>0</v>
      </c>
      <c r="AA268" s="9">
        <f t="shared" si="97"/>
        <v>0</v>
      </c>
      <c r="AB268" s="9">
        <f t="shared" si="97"/>
        <v>0</v>
      </c>
      <c r="AC268" s="9">
        <f t="shared" si="97"/>
        <v>0</v>
      </c>
      <c r="AD268" s="9"/>
      <c r="AE268" s="328"/>
    </row>
    <row r="269" spans="2:31" hidden="1">
      <c r="B269" s="9"/>
      <c r="C269" s="314"/>
      <c r="D269" s="314"/>
      <c r="E269" s="9"/>
      <c r="F269" s="9"/>
      <c r="G269" s="9"/>
      <c r="H269" s="9"/>
      <c r="I269" s="9"/>
      <c r="J269" s="9"/>
      <c r="K269" s="9"/>
      <c r="L269" s="9"/>
      <c r="M269" s="9"/>
      <c r="N269" s="9"/>
      <c r="O269" s="9"/>
      <c r="P269" s="9"/>
      <c r="Q269" s="9"/>
      <c r="R269" s="9"/>
      <c r="S269" s="9"/>
      <c r="T269" s="9"/>
      <c r="U269" s="9"/>
      <c r="V269" s="327"/>
      <c r="W269" s="327">
        <f>IF($C$39=0,0,W$248)</f>
        <v>0</v>
      </c>
      <c r="X269" s="9">
        <f t="shared" ref="X269:AC269" si="98">MAX(0,W269-($W269/$C$39))</f>
        <v>0</v>
      </c>
      <c r="Y269" s="9">
        <f t="shared" si="98"/>
        <v>0</v>
      </c>
      <c r="Z269" s="9">
        <f t="shared" si="98"/>
        <v>0</v>
      </c>
      <c r="AA269" s="9">
        <f t="shared" si="98"/>
        <v>0</v>
      </c>
      <c r="AB269" s="9">
        <f t="shared" si="98"/>
        <v>0</v>
      </c>
      <c r="AC269" s="9">
        <f t="shared" si="98"/>
        <v>0</v>
      </c>
      <c r="AD269" s="9"/>
      <c r="AE269" s="328"/>
    </row>
    <row r="270" spans="2:31" hidden="1">
      <c r="B270" s="9"/>
      <c r="C270" s="314"/>
      <c r="D270" s="314"/>
      <c r="E270" s="9"/>
      <c r="F270" s="9"/>
      <c r="G270" s="9"/>
      <c r="H270" s="9"/>
      <c r="I270" s="9"/>
      <c r="J270" s="9"/>
      <c r="K270" s="9"/>
      <c r="L270" s="9"/>
      <c r="M270" s="9"/>
      <c r="N270" s="9"/>
      <c r="O270" s="9"/>
      <c r="P270" s="9"/>
      <c r="Q270" s="9"/>
      <c r="R270" s="9"/>
      <c r="S270" s="9"/>
      <c r="T270" s="9"/>
      <c r="U270" s="9"/>
      <c r="V270" s="327"/>
      <c r="W270" s="9"/>
      <c r="X270" s="327">
        <f>IF($C$39=0,0,X$248)</f>
        <v>0</v>
      </c>
      <c r="Y270" s="9">
        <f>MAX(0,X270-($X270/$C$39))</f>
        <v>0</v>
      </c>
      <c r="Z270" s="9">
        <f>MAX(0,Y270-($X270/$C$39))</f>
        <v>0</v>
      </c>
      <c r="AA270" s="9">
        <f>MAX(0,Z270-($X270/$C$39))</f>
        <v>0</v>
      </c>
      <c r="AB270" s="9">
        <f>MAX(0,AA270-($X270/$C$39))</f>
        <v>0</v>
      </c>
      <c r="AC270" s="9">
        <f>MAX(0,AB270-($X270/$C$39))</f>
        <v>0</v>
      </c>
      <c r="AD270" s="9"/>
      <c r="AE270" s="328"/>
    </row>
    <row r="271" spans="2:31" hidden="1">
      <c r="B271" s="9"/>
      <c r="C271" s="314"/>
      <c r="D271" s="314"/>
      <c r="E271" s="9"/>
      <c r="F271" s="9"/>
      <c r="G271" s="9"/>
      <c r="H271" s="9"/>
      <c r="I271" s="9"/>
      <c r="J271" s="9"/>
      <c r="K271" s="9"/>
      <c r="L271" s="9"/>
      <c r="M271" s="9"/>
      <c r="N271" s="9"/>
      <c r="O271" s="9"/>
      <c r="P271" s="9"/>
      <c r="Q271" s="9"/>
      <c r="R271" s="9"/>
      <c r="S271" s="9"/>
      <c r="T271" s="9"/>
      <c r="U271" s="9"/>
      <c r="V271" s="327"/>
      <c r="W271" s="9"/>
      <c r="X271" s="9"/>
      <c r="Y271" s="327">
        <f>IF($C$39=0,0,Y$248)</f>
        <v>0</v>
      </c>
      <c r="Z271" s="327">
        <f>MAX(0,Y271-($Y271/$C$39))</f>
        <v>0</v>
      </c>
      <c r="AA271" s="327">
        <f>MAX(0,Z271-($Y271/$C$39))</f>
        <v>0</v>
      </c>
      <c r="AB271" s="327">
        <f>MAX(0,AA271-($Y271/$C$39))</f>
        <v>0</v>
      </c>
      <c r="AC271" s="327">
        <f>MAX(0,AB271-($Y271/$C$39))</f>
        <v>0</v>
      </c>
      <c r="AD271" s="9"/>
      <c r="AE271" s="328"/>
    </row>
    <row r="272" spans="2:31" hidden="1">
      <c r="B272" s="9"/>
      <c r="C272" s="314"/>
      <c r="D272" s="314"/>
      <c r="E272" s="9"/>
      <c r="F272" s="9"/>
      <c r="G272" s="9"/>
      <c r="H272" s="9"/>
      <c r="I272" s="9"/>
      <c r="J272" s="9"/>
      <c r="K272" s="9"/>
      <c r="L272" s="9"/>
      <c r="M272" s="9"/>
      <c r="N272" s="9"/>
      <c r="O272" s="9"/>
      <c r="P272" s="9"/>
      <c r="Q272" s="9"/>
      <c r="R272" s="9"/>
      <c r="S272" s="9"/>
      <c r="T272" s="9"/>
      <c r="U272" s="9"/>
      <c r="V272" s="327"/>
      <c r="W272" s="9"/>
      <c r="X272" s="9"/>
      <c r="Y272" s="9"/>
      <c r="Z272" s="9">
        <f>IF($C$39=0,0,Z$248)</f>
        <v>0</v>
      </c>
      <c r="AA272" s="9">
        <f>MAX(0,Z272-($Z272/$C$39))</f>
        <v>0</v>
      </c>
      <c r="AB272" s="9">
        <f>MAX(0,AA272-($Z272/$C$39))</f>
        <v>0</v>
      </c>
      <c r="AC272" s="9">
        <f>MAX(0,AB272-($Z272/$C$39))</f>
        <v>0</v>
      </c>
      <c r="AD272" s="9"/>
      <c r="AE272" s="328"/>
    </row>
    <row r="273" spans="1:66" hidden="1">
      <c r="B273" s="9"/>
      <c r="C273" s="314"/>
      <c r="D273" s="314"/>
      <c r="E273" s="9"/>
      <c r="F273" s="9"/>
      <c r="G273" s="9"/>
      <c r="H273" s="9"/>
      <c r="I273" s="9"/>
      <c r="J273" s="9"/>
      <c r="K273" s="9"/>
      <c r="L273" s="9"/>
      <c r="M273" s="9"/>
      <c r="N273" s="9"/>
      <c r="O273" s="9"/>
      <c r="P273" s="9"/>
      <c r="Q273" s="9"/>
      <c r="R273" s="9"/>
      <c r="S273" s="9"/>
      <c r="T273" s="9"/>
      <c r="U273" s="9"/>
      <c r="V273" s="327"/>
      <c r="W273" s="9"/>
      <c r="X273" s="9"/>
      <c r="Y273" s="9"/>
      <c r="Z273" s="9"/>
      <c r="AA273" s="9">
        <f>IF($C$39=0,0,AA$248)</f>
        <v>0</v>
      </c>
      <c r="AB273" s="9">
        <f>MAX(0,AA273-($AA273/$C$39))</f>
        <v>0</v>
      </c>
      <c r="AC273" s="9">
        <f>MAX(0,AB273-($AA273/$C$39))</f>
        <v>0</v>
      </c>
      <c r="AD273" s="9"/>
      <c r="AE273" s="328"/>
    </row>
    <row r="274" spans="1:66" hidden="1">
      <c r="B274" s="9"/>
      <c r="C274" s="314"/>
      <c r="D274" s="314"/>
      <c r="E274" s="9"/>
      <c r="F274" s="9"/>
      <c r="G274" s="9"/>
      <c r="H274" s="9"/>
      <c r="I274" s="9"/>
      <c r="J274" s="9"/>
      <c r="K274" s="9"/>
      <c r="L274" s="9"/>
      <c r="M274" s="9"/>
      <c r="N274" s="9"/>
      <c r="O274" s="9"/>
      <c r="P274" s="9"/>
      <c r="Q274" s="9"/>
      <c r="R274" s="9"/>
      <c r="S274" s="9"/>
      <c r="T274" s="9"/>
      <c r="U274" s="9"/>
      <c r="V274" s="327"/>
      <c r="W274" s="9"/>
      <c r="X274" s="9"/>
      <c r="Y274" s="9"/>
      <c r="Z274" s="9"/>
      <c r="AA274" s="9"/>
      <c r="AB274" s="9">
        <f>IF($C$39=0,0,AB$248)</f>
        <v>0</v>
      </c>
      <c r="AC274" s="9">
        <f>MAX(0,AB274-($AB274/$C$39))</f>
        <v>0</v>
      </c>
      <c r="AD274" s="9"/>
      <c r="AE274" s="328"/>
    </row>
    <row r="275" spans="1:66" hidden="1">
      <c r="B275" s="9"/>
      <c r="C275" s="314"/>
      <c r="D275" s="314"/>
      <c r="E275" s="9"/>
      <c r="F275" s="9"/>
      <c r="G275" s="9"/>
      <c r="H275" s="9"/>
      <c r="I275" s="9"/>
      <c r="J275" s="9"/>
      <c r="K275" s="9"/>
      <c r="L275" s="9"/>
      <c r="M275" s="9"/>
      <c r="N275" s="9"/>
      <c r="O275" s="9"/>
      <c r="P275" s="9"/>
      <c r="Q275" s="9"/>
      <c r="R275" s="9"/>
      <c r="S275" s="9"/>
      <c r="T275" s="9"/>
      <c r="U275" s="9"/>
      <c r="V275" s="327"/>
      <c r="W275" s="9"/>
      <c r="X275" s="9"/>
      <c r="Y275" s="9"/>
      <c r="Z275" s="9"/>
      <c r="AA275" s="9"/>
      <c r="AB275" s="9"/>
      <c r="AC275" s="9">
        <f>IF($C$39=0,0,AC$248)</f>
        <v>0</v>
      </c>
      <c r="AD275" s="9"/>
      <c r="AE275" s="328"/>
    </row>
    <row r="276" spans="1:66" hidden="1">
      <c r="B276" s="9"/>
      <c r="C276" s="314"/>
      <c r="D276" s="314"/>
      <c r="E276" s="9"/>
      <c r="F276" s="9"/>
      <c r="G276" s="9"/>
      <c r="H276" s="9"/>
      <c r="I276" s="9"/>
      <c r="J276" s="9"/>
      <c r="K276" s="9"/>
      <c r="L276" s="9"/>
      <c r="M276" s="9"/>
      <c r="N276" s="9"/>
      <c r="O276" s="9"/>
      <c r="P276" s="9"/>
      <c r="Q276" s="9"/>
      <c r="R276" s="9"/>
      <c r="S276" s="9"/>
      <c r="T276" s="9"/>
      <c r="U276" s="9"/>
      <c r="V276" s="327"/>
      <c r="W276" s="9"/>
      <c r="X276" s="9"/>
      <c r="Y276" s="9"/>
      <c r="Z276" s="9"/>
      <c r="AA276" s="9"/>
      <c r="AB276" s="9"/>
      <c r="AC276" s="9"/>
      <c r="AD276" s="9"/>
      <c r="AE276" s="328"/>
    </row>
    <row r="277" spans="1:66" hidden="1">
      <c r="B277" s="9"/>
      <c r="C277" s="314"/>
      <c r="D277" s="314"/>
      <c r="E277" s="9"/>
      <c r="F277" s="9"/>
      <c r="G277" s="9"/>
      <c r="H277" s="9"/>
      <c r="I277" s="9"/>
      <c r="J277" s="9"/>
      <c r="K277" s="9"/>
      <c r="L277" s="9"/>
      <c r="M277" s="9"/>
      <c r="N277" s="9"/>
      <c r="O277" s="9"/>
      <c r="P277" s="9"/>
      <c r="Q277" s="9"/>
      <c r="R277" s="9"/>
      <c r="S277" s="9"/>
      <c r="T277" s="9"/>
      <c r="U277" s="9"/>
      <c r="V277" s="327"/>
      <c r="W277" s="9"/>
      <c r="X277" s="9"/>
      <c r="Y277" s="9"/>
      <c r="Z277" s="9"/>
      <c r="AA277" s="9"/>
      <c r="AB277" s="9"/>
      <c r="AC277" s="9"/>
      <c r="AD277" s="9"/>
      <c r="AE277" s="328"/>
    </row>
    <row r="278" spans="1:66">
      <c r="B278" s="9"/>
      <c r="C278" s="314"/>
      <c r="D278" s="314"/>
      <c r="E278" s="9"/>
      <c r="F278" s="9"/>
      <c r="G278" s="9"/>
      <c r="H278" s="9"/>
      <c r="I278" s="9"/>
      <c r="J278" s="9"/>
      <c r="K278" s="9"/>
      <c r="L278" s="9"/>
      <c r="M278" s="9"/>
      <c r="N278" s="9"/>
      <c r="O278" s="9"/>
      <c r="P278" s="9"/>
      <c r="Q278" s="9"/>
      <c r="R278" s="9"/>
      <c r="S278" s="9"/>
      <c r="T278" s="9"/>
      <c r="U278" s="9"/>
      <c r="V278" s="327"/>
      <c r="W278" s="9"/>
      <c r="X278" s="9"/>
      <c r="Y278" s="9"/>
      <c r="Z278" s="9"/>
      <c r="AA278" s="9"/>
      <c r="AB278" s="9"/>
      <c r="AC278" s="9"/>
      <c r="AD278" s="9"/>
      <c r="AE278" s="328"/>
    </row>
    <row r="279" spans="1:66">
      <c r="B279" s="9" t="s">
        <v>929</v>
      </c>
      <c r="C279" s="314"/>
      <c r="D279" s="314"/>
      <c r="E279" s="327">
        <f t="shared" ref="E279:AC279" si="99">E111</f>
        <v>0</v>
      </c>
      <c r="F279" s="327">
        <f t="shared" si="99"/>
        <v>0</v>
      </c>
      <c r="G279" s="327">
        <f t="shared" si="99"/>
        <v>0</v>
      </c>
      <c r="H279" s="327">
        <f t="shared" si="99"/>
        <v>0</v>
      </c>
      <c r="I279" s="350">
        <f>I111</f>
        <v>0</v>
      </c>
      <c r="J279" s="350">
        <f t="shared" si="99"/>
        <v>0</v>
      </c>
      <c r="K279" s="350">
        <f t="shared" si="99"/>
        <v>0</v>
      </c>
      <c r="L279" s="350">
        <f t="shared" si="99"/>
        <v>0</v>
      </c>
      <c r="M279" s="350">
        <f t="shared" si="99"/>
        <v>0</v>
      </c>
      <c r="N279" s="350">
        <f t="shared" si="99"/>
        <v>171236.25</v>
      </c>
      <c r="O279" s="350">
        <f t="shared" si="99"/>
        <v>1088178.75</v>
      </c>
      <c r="P279" s="350">
        <f t="shared" si="99"/>
        <v>796806.45</v>
      </c>
      <c r="Q279" s="350">
        <f t="shared" si="99"/>
        <v>860755.65</v>
      </c>
      <c r="R279" s="350">
        <f t="shared" si="99"/>
        <v>1473634.5</v>
      </c>
      <c r="S279" s="350">
        <f t="shared" si="99"/>
        <v>1789430.25</v>
      </c>
      <c r="T279" s="350">
        <f t="shared" ca="1" si="99"/>
        <v>1695222.3042604418</v>
      </c>
      <c r="U279" s="350" t="e">
        <f t="shared" ca="1" si="99"/>
        <v>#VALUE!</v>
      </c>
      <c r="V279" s="350" t="e">
        <f t="shared" ca="1" si="99"/>
        <v>#VALUE!</v>
      </c>
      <c r="W279" s="350" t="e">
        <f t="shared" ca="1" si="99"/>
        <v>#VALUE!</v>
      </c>
      <c r="X279" s="350" t="e">
        <f t="shared" ca="1" si="99"/>
        <v>#VALUE!</v>
      </c>
      <c r="Y279" s="350" t="e">
        <f t="shared" ca="1" si="99"/>
        <v>#VALUE!</v>
      </c>
      <c r="Z279" s="350" t="e">
        <f t="shared" ca="1" si="99"/>
        <v>#VALUE!</v>
      </c>
      <c r="AA279" s="350" t="e">
        <f t="shared" ca="1" si="99"/>
        <v>#VALUE!</v>
      </c>
      <c r="AB279" s="350" t="e">
        <f t="shared" ca="1" si="99"/>
        <v>#VALUE!</v>
      </c>
      <c r="AC279" s="350" t="e">
        <f t="shared" ca="1" si="99"/>
        <v>#VALUE!</v>
      </c>
      <c r="AD279" s="9"/>
      <c r="AE279" s="328"/>
    </row>
    <row r="280" spans="1:66">
      <c r="B280" s="9" t="s">
        <v>930</v>
      </c>
      <c r="C280" s="314"/>
      <c r="D280" s="314"/>
      <c r="E280" s="327">
        <f t="shared" ref="E280:AC280" si="100">E114</f>
        <v>0</v>
      </c>
      <c r="F280" s="327">
        <f t="shared" si="100"/>
        <v>0</v>
      </c>
      <c r="G280" s="327">
        <f t="shared" si="100"/>
        <v>0</v>
      </c>
      <c r="H280" s="327">
        <f t="shared" si="100"/>
        <v>0</v>
      </c>
      <c r="I280" s="350">
        <f>I114</f>
        <v>0</v>
      </c>
      <c r="J280" s="350">
        <f t="shared" si="100"/>
        <v>0</v>
      </c>
      <c r="K280" s="350">
        <f t="shared" si="100"/>
        <v>0</v>
      </c>
      <c r="L280" s="350">
        <f t="shared" si="100"/>
        <v>0</v>
      </c>
      <c r="M280" s="350">
        <f t="shared" si="100"/>
        <v>0</v>
      </c>
      <c r="N280" s="350">
        <f t="shared" si="100"/>
        <v>-293223.75</v>
      </c>
      <c r="O280" s="350">
        <f t="shared" si="100"/>
        <v>5890956.25</v>
      </c>
      <c r="P280" s="350">
        <f t="shared" si="100"/>
        <v>613794.14999999967</v>
      </c>
      <c r="Q280" s="350">
        <f t="shared" si="100"/>
        <v>309863.55000000016</v>
      </c>
      <c r="R280" s="350">
        <f t="shared" si="100"/>
        <v>1138424.5</v>
      </c>
      <c r="S280" s="350">
        <f t="shared" si="100"/>
        <v>1479318</v>
      </c>
      <c r="T280" s="350">
        <f t="shared" ca="1" si="100"/>
        <v>1412994.1985890728</v>
      </c>
      <c r="U280" s="350" t="e">
        <f t="shared" ca="1" si="100"/>
        <v>#VALUE!</v>
      </c>
      <c r="V280" s="350" t="e">
        <f t="shared" ca="1" si="100"/>
        <v>#VALUE!</v>
      </c>
      <c r="W280" s="350" t="e">
        <f t="shared" ca="1" si="100"/>
        <v>#VALUE!</v>
      </c>
      <c r="X280" s="350" t="e">
        <f t="shared" ca="1" si="100"/>
        <v>#VALUE!</v>
      </c>
      <c r="Y280" s="350" t="e">
        <f t="shared" ca="1" si="100"/>
        <v>#VALUE!</v>
      </c>
      <c r="Z280" s="350" t="e">
        <f t="shared" ca="1" si="100"/>
        <v>#VALUE!</v>
      </c>
      <c r="AA280" s="350" t="e">
        <f t="shared" ca="1" si="100"/>
        <v>#VALUE!</v>
      </c>
      <c r="AB280" s="350" t="e">
        <f t="shared" ca="1" si="100"/>
        <v>#VALUE!</v>
      </c>
      <c r="AC280" s="350" t="e">
        <f t="shared" ca="1" si="100"/>
        <v>#VALUE!</v>
      </c>
      <c r="AD280" s="9"/>
      <c r="AE280" s="328"/>
    </row>
    <row r="281" spans="1:66">
      <c r="B281" s="9" t="s">
        <v>931</v>
      </c>
      <c r="C281" s="314"/>
      <c r="D281" s="314"/>
      <c r="E281" s="327">
        <f t="shared" ref="E281:AC281" si="101">E123</f>
        <v>0</v>
      </c>
      <c r="F281" s="327">
        <f t="shared" si="101"/>
        <v>0</v>
      </c>
      <c r="G281" s="327">
        <f t="shared" si="101"/>
        <v>0</v>
      </c>
      <c r="H281" s="327">
        <f t="shared" si="101"/>
        <v>0</v>
      </c>
      <c r="I281" s="350">
        <f>I123</f>
        <v>0</v>
      </c>
      <c r="J281" s="350">
        <f t="shared" si="101"/>
        <v>0</v>
      </c>
      <c r="K281" s="350">
        <f t="shared" si="101"/>
        <v>0</v>
      </c>
      <c r="L281" s="350">
        <f t="shared" si="101"/>
        <v>0</v>
      </c>
      <c r="M281" s="350">
        <f t="shared" si="101"/>
        <v>0</v>
      </c>
      <c r="N281" s="350">
        <f t="shared" si="101"/>
        <v>0</v>
      </c>
      <c r="O281" s="350">
        <f t="shared" si="101"/>
        <v>0</v>
      </c>
      <c r="P281" s="350">
        <f t="shared" si="101"/>
        <v>170.50299999999999</v>
      </c>
      <c r="Q281" s="350">
        <f t="shared" si="101"/>
        <v>150.095</v>
      </c>
      <c r="R281" s="350">
        <f t="shared" si="101"/>
        <v>157.61500000000001</v>
      </c>
      <c r="S281" s="350">
        <f t="shared" si="101"/>
        <v>241.21</v>
      </c>
      <c r="T281" s="350">
        <f t="shared" ca="1" si="101"/>
        <v>28193.644941571689</v>
      </c>
      <c r="U281" s="350" t="e">
        <f t="shared" ca="1" si="101"/>
        <v>#NAME?</v>
      </c>
      <c r="V281" s="350" t="e">
        <f t="shared" ca="1" si="101"/>
        <v>#NAME?</v>
      </c>
      <c r="W281" s="350" t="e">
        <f t="shared" ca="1" si="101"/>
        <v>#NAME?</v>
      </c>
      <c r="X281" s="350" t="e">
        <f t="shared" ca="1" si="101"/>
        <v>#NAME?</v>
      </c>
      <c r="Y281" s="350" t="e">
        <f t="shared" ca="1" si="101"/>
        <v>#NAME?</v>
      </c>
      <c r="Z281" s="350" t="e">
        <f t="shared" ca="1" si="101"/>
        <v>#NAME?</v>
      </c>
      <c r="AA281" s="350" t="e">
        <f t="shared" ca="1" si="101"/>
        <v>#NAME?</v>
      </c>
      <c r="AB281" s="350" t="e">
        <f t="shared" ca="1" si="101"/>
        <v>#NAME?</v>
      </c>
      <c r="AC281" s="350" t="e">
        <f t="shared" ca="1" si="101"/>
        <v>#NAME?</v>
      </c>
      <c r="AD281" s="9"/>
      <c r="AE281" s="328"/>
    </row>
    <row r="282" spans="1:66">
      <c r="B282" s="9" t="s">
        <v>932</v>
      </c>
      <c r="C282" s="314"/>
      <c r="D282" s="314"/>
      <c r="E282" s="327">
        <f t="shared" ref="E282:X282" si="102">IF($C$26="Gross",E133,E134)</f>
        <v>0</v>
      </c>
      <c r="F282" s="327">
        <f t="shared" si="102"/>
        <v>0</v>
      </c>
      <c r="G282" s="327">
        <f t="shared" si="102"/>
        <v>0</v>
      </c>
      <c r="H282" s="327">
        <f t="shared" si="102"/>
        <v>0</v>
      </c>
      <c r="I282" s="350">
        <f>IF($C$26="Gross",I133,I134)</f>
        <v>0</v>
      </c>
      <c r="J282" s="350">
        <f t="shared" si="102"/>
        <v>0</v>
      </c>
      <c r="K282" s="350">
        <f t="shared" si="102"/>
        <v>0</v>
      </c>
      <c r="L282" s="350">
        <f t="shared" si="102"/>
        <v>0</v>
      </c>
      <c r="M282" s="350">
        <f t="shared" si="102"/>
        <v>0</v>
      </c>
      <c r="N282" s="350">
        <f t="shared" si="102"/>
        <v>0</v>
      </c>
      <c r="O282" s="350">
        <f t="shared" si="102"/>
        <v>0</v>
      </c>
      <c r="P282" s="350">
        <f t="shared" si="102"/>
        <v>70.137</v>
      </c>
      <c r="Q282" s="350">
        <f t="shared" si="102"/>
        <v>376.91899999999998</v>
      </c>
      <c r="R282" s="350">
        <f t="shared" si="102"/>
        <v>176.68900000000002</v>
      </c>
      <c r="S282" s="350">
        <f t="shared" si="102"/>
        <v>135.429</v>
      </c>
      <c r="T282" s="350">
        <f t="shared" si="102"/>
        <v>-138095.571</v>
      </c>
      <c r="U282" s="350">
        <f t="shared" si="102"/>
        <v>-268436.571</v>
      </c>
      <c r="V282" s="350">
        <f t="shared" si="102"/>
        <v>-395917.571</v>
      </c>
      <c r="W282" s="350">
        <f t="shared" si="102"/>
        <v>-519960.571</v>
      </c>
      <c r="X282" s="350">
        <f t="shared" si="102"/>
        <v>-643484.571</v>
      </c>
      <c r="Y282" s="350">
        <f>IF(Y108="","",IF($C$26="Gross",Y133,Y134))</f>
        <v>-760832.37100000004</v>
      </c>
      <c r="Z282" s="350">
        <f>IF(Z108="","",IF($C$26="Gross",Z133,Z134))</f>
        <v>-872312.78100000008</v>
      </c>
      <c r="AA282" s="350">
        <f>IF(AA108="","",IF($C$26="Gross",AA133,AA134))</f>
        <v>-978219.17050000001</v>
      </c>
      <c r="AB282" s="350">
        <f>IF(AB108="","",IF($C$26="Gross",AB133,AB134))</f>
        <v>-1078830.240525</v>
      </c>
      <c r="AC282" s="350">
        <f>IF(AC108="","",IF($C$26="Gross",AC133,AC134))</f>
        <v>-1174410.7570487501</v>
      </c>
      <c r="AD282" s="9"/>
      <c r="AE282" s="328"/>
    </row>
    <row r="283" spans="1:66">
      <c r="B283" s="9" t="s">
        <v>47</v>
      </c>
      <c r="C283" s="314"/>
      <c r="D283" s="314"/>
      <c r="E283" s="327">
        <f t="shared" ref="E283:X283" si="103">IF($C$28="Yes",E140,0)</f>
        <v>0</v>
      </c>
      <c r="F283" s="327">
        <f t="shared" si="103"/>
        <v>0</v>
      </c>
      <c r="G283" s="327">
        <f t="shared" si="103"/>
        <v>0</v>
      </c>
      <c r="H283" s="327">
        <f t="shared" si="103"/>
        <v>0</v>
      </c>
      <c r="I283" s="350">
        <f>IF($C$28="Yes",I140,0)</f>
        <v>0</v>
      </c>
      <c r="J283" s="350">
        <f t="shared" si="103"/>
        <v>0</v>
      </c>
      <c r="K283" s="350">
        <f t="shared" si="103"/>
        <v>0</v>
      </c>
      <c r="L283" s="350">
        <f t="shared" si="103"/>
        <v>0</v>
      </c>
      <c r="M283" s="350">
        <f t="shared" si="103"/>
        <v>0</v>
      </c>
      <c r="N283" s="350">
        <f t="shared" si="103"/>
        <v>0</v>
      </c>
      <c r="O283" s="350">
        <f t="shared" si="103"/>
        <v>0</v>
      </c>
      <c r="P283" s="350">
        <f t="shared" si="103"/>
        <v>54.695999999999998</v>
      </c>
      <c r="Q283" s="350">
        <f t="shared" si="103"/>
        <v>77.212000000000003</v>
      </c>
      <c r="R283" s="350">
        <f t="shared" si="103"/>
        <v>625.75800000000004</v>
      </c>
      <c r="S283" s="350">
        <f t="shared" si="103"/>
        <v>1073.9059999999999</v>
      </c>
      <c r="T283" s="350">
        <f t="shared" si="103"/>
        <v>0</v>
      </c>
      <c r="U283" s="350">
        <f t="shared" si="103"/>
        <v>0</v>
      </c>
      <c r="V283" s="350">
        <f t="shared" si="103"/>
        <v>0</v>
      </c>
      <c r="W283" s="350">
        <f t="shared" si="103"/>
        <v>0</v>
      </c>
      <c r="X283" s="350">
        <f t="shared" si="103"/>
        <v>0</v>
      </c>
      <c r="Y283" s="350">
        <f>IF(Y108="","",IF($C$28="Yes",Y140,0))</f>
        <v>0</v>
      </c>
      <c r="Z283" s="350">
        <f>IF(Z108="","",IF($C$28="Yes",Z140,0))</f>
        <v>0</v>
      </c>
      <c r="AA283" s="350">
        <f>IF(AA108="","",IF($C$28="Yes",AA140,0))</f>
        <v>0</v>
      </c>
      <c r="AB283" s="350">
        <f>IF(AB108="","",IF($C$28="Yes",AB140,0))</f>
        <v>0</v>
      </c>
      <c r="AC283" s="350">
        <f>IF(AC108="","",IF($C$28="Yes",AC140,0))</f>
        <v>0</v>
      </c>
      <c r="AD283" s="9"/>
      <c r="AE283" s="328"/>
    </row>
    <row r="284" spans="1:66">
      <c r="B284" s="9" t="s">
        <v>933</v>
      </c>
      <c r="C284" s="314"/>
      <c r="D284" s="314"/>
      <c r="E284" s="327">
        <f t="shared" ref="E284:X284" si="104">E150</f>
        <v>0</v>
      </c>
      <c r="F284" s="327">
        <f t="shared" si="104"/>
        <v>0</v>
      </c>
      <c r="G284" s="327">
        <f t="shared" si="104"/>
        <v>0</v>
      </c>
      <c r="H284" s="327">
        <f t="shared" si="104"/>
        <v>0</v>
      </c>
      <c r="I284" s="350">
        <f>I150</f>
        <v>0</v>
      </c>
      <c r="J284" s="350">
        <f t="shared" si="104"/>
        <v>0</v>
      </c>
      <c r="K284" s="350">
        <f t="shared" si="104"/>
        <v>0</v>
      </c>
      <c r="L284" s="350">
        <f t="shared" si="104"/>
        <v>0</v>
      </c>
      <c r="M284" s="350">
        <f t="shared" si="104"/>
        <v>0</v>
      </c>
      <c r="N284" s="350">
        <f t="shared" si="104"/>
        <v>0</v>
      </c>
      <c r="O284" s="350">
        <f t="shared" si="104"/>
        <v>0</v>
      </c>
      <c r="P284" s="350">
        <f t="shared" si="104"/>
        <v>185.04400000000001</v>
      </c>
      <c r="Q284" s="350">
        <f t="shared" si="104"/>
        <v>438.27160000000003</v>
      </c>
      <c r="R284" s="350">
        <f t="shared" si="104"/>
        <v>1684.155</v>
      </c>
      <c r="S284" s="350">
        <f t="shared" si="104"/>
        <v>3835.6752999999999</v>
      </c>
      <c r="T284" s="350">
        <f t="shared" si="104"/>
        <v>3428.2061999999996</v>
      </c>
      <c r="U284" s="350">
        <f t="shared" si="104"/>
        <v>3020.7371000000003</v>
      </c>
      <c r="V284" s="350">
        <f t="shared" si="104"/>
        <v>2613.268</v>
      </c>
      <c r="W284" s="350">
        <f t="shared" si="104"/>
        <v>2205.7989000000002</v>
      </c>
      <c r="X284" s="350">
        <f t="shared" si="104"/>
        <v>1798.3298000000004</v>
      </c>
      <c r="Y284" s="350">
        <f>IF(Y108="","",Y150)</f>
        <v>1390.8607000000004</v>
      </c>
      <c r="Z284" s="350">
        <f>IF(Z108="","",Z150)</f>
        <v>983.39160000000049</v>
      </c>
      <c r="AA284" s="350">
        <f>IF(AA108="","",AA150)</f>
        <v>594.42690000000061</v>
      </c>
      <c r="AB284" s="350">
        <f>IF(AB108="","",AB150)</f>
        <v>232.6354000000006</v>
      </c>
      <c r="AC284" s="350">
        <f>IF(AC108="","",AC150)</f>
        <v>1.7053025658242404E-13</v>
      </c>
      <c r="AD284" s="9"/>
      <c r="AE284" s="328"/>
    </row>
    <row r="285" spans="1:66">
      <c r="B285" s="9" t="s">
        <v>934</v>
      </c>
      <c r="C285" s="314"/>
      <c r="D285" s="314"/>
      <c r="E285" s="327">
        <f t="shared" ref="E285:X285" si="105">E183</f>
        <v>0</v>
      </c>
      <c r="F285" s="327">
        <f t="shared" si="105"/>
        <v>0</v>
      </c>
      <c r="G285" s="327">
        <f t="shared" si="105"/>
        <v>0</v>
      </c>
      <c r="H285" s="327">
        <f t="shared" si="105"/>
        <v>0</v>
      </c>
      <c r="I285" s="350">
        <f>I183</f>
        <v>0</v>
      </c>
      <c r="J285" s="350">
        <f t="shared" si="105"/>
        <v>0</v>
      </c>
      <c r="K285" s="350">
        <f t="shared" si="105"/>
        <v>0</v>
      </c>
      <c r="L285" s="350">
        <f t="shared" si="105"/>
        <v>0</v>
      </c>
      <c r="M285" s="350">
        <f t="shared" si="105"/>
        <v>0</v>
      </c>
      <c r="N285" s="350">
        <f t="shared" si="105"/>
        <v>0</v>
      </c>
      <c r="O285" s="350">
        <f t="shared" si="105"/>
        <v>0</v>
      </c>
      <c r="P285" s="350">
        <f t="shared" si="105"/>
        <v>24.15</v>
      </c>
      <c r="Q285" s="350">
        <f t="shared" si="105"/>
        <v>76.102000000000004</v>
      </c>
      <c r="R285" s="350">
        <f t="shared" si="105"/>
        <v>723.6046</v>
      </c>
      <c r="S285" s="350">
        <f t="shared" si="105"/>
        <v>1084.7693999999999</v>
      </c>
      <c r="T285" s="350">
        <f t="shared" si="105"/>
        <v>833.8273999999999</v>
      </c>
      <c r="U285" s="350">
        <f t="shared" si="105"/>
        <v>582.8854</v>
      </c>
      <c r="V285" s="350">
        <f t="shared" si="105"/>
        <v>336.77340000000004</v>
      </c>
      <c r="W285" s="350">
        <f t="shared" si="105"/>
        <v>102.01780000000002</v>
      </c>
      <c r="X285" s="350">
        <f t="shared" si="105"/>
        <v>2.8421709430404007E-14</v>
      </c>
      <c r="Y285" s="350">
        <f>IF(Y108="","",Y183)</f>
        <v>0</v>
      </c>
      <c r="Z285" s="350">
        <f>IF(Z108="","",Z183)</f>
        <v>0</v>
      </c>
      <c r="AA285" s="350">
        <f>IF(AA108="","",AA183)</f>
        <v>0</v>
      </c>
      <c r="AB285" s="350">
        <f>IF(AB108="","",AB183)</f>
        <v>0</v>
      </c>
      <c r="AC285" s="350">
        <f>IF(AC108="","",AC183)</f>
        <v>0</v>
      </c>
      <c r="AD285" s="9"/>
      <c r="AE285" s="328"/>
    </row>
    <row r="286" spans="1:66">
      <c r="B286" s="9" t="s">
        <v>935</v>
      </c>
      <c r="C286" s="314"/>
      <c r="D286" s="314"/>
      <c r="E286" s="327">
        <f t="shared" ref="E286:X286" si="106">E216</f>
        <v>0</v>
      </c>
      <c r="F286" s="327">
        <f t="shared" si="106"/>
        <v>0</v>
      </c>
      <c r="G286" s="327">
        <f t="shared" si="106"/>
        <v>0</v>
      </c>
      <c r="H286" s="327">
        <f t="shared" si="106"/>
        <v>0</v>
      </c>
      <c r="I286" s="350">
        <f>I216</f>
        <v>0</v>
      </c>
      <c r="J286" s="350">
        <f t="shared" si="106"/>
        <v>0</v>
      </c>
      <c r="K286" s="350">
        <f t="shared" si="106"/>
        <v>0</v>
      </c>
      <c r="L286" s="350">
        <f t="shared" si="106"/>
        <v>0</v>
      </c>
      <c r="M286" s="350">
        <f t="shared" si="106"/>
        <v>0</v>
      </c>
      <c r="N286" s="350">
        <f t="shared" si="106"/>
        <v>0</v>
      </c>
      <c r="O286" s="350">
        <f t="shared" si="106"/>
        <v>0</v>
      </c>
      <c r="P286" s="350">
        <f t="shared" si="106"/>
        <v>0</v>
      </c>
      <c r="Q286" s="350">
        <f t="shared" si="106"/>
        <v>0</v>
      </c>
      <c r="R286" s="350">
        <f t="shared" si="106"/>
        <v>0</v>
      </c>
      <c r="S286" s="350">
        <f t="shared" si="106"/>
        <v>0</v>
      </c>
      <c r="T286" s="350">
        <f t="shared" si="106"/>
        <v>0</v>
      </c>
      <c r="U286" s="350">
        <f t="shared" si="106"/>
        <v>0</v>
      </c>
      <c r="V286" s="350">
        <f t="shared" si="106"/>
        <v>0</v>
      </c>
      <c r="W286" s="350">
        <f t="shared" si="106"/>
        <v>0</v>
      </c>
      <c r="X286" s="350">
        <f t="shared" si="106"/>
        <v>0</v>
      </c>
      <c r="Y286" s="350">
        <f>IF(Y108="","",Y216)</f>
        <v>0</v>
      </c>
      <c r="Z286" s="350">
        <f>IF(Z108="","",Z216)</f>
        <v>0</v>
      </c>
      <c r="AA286" s="350">
        <f>IF(AA108="","",AA216)</f>
        <v>0</v>
      </c>
      <c r="AB286" s="350">
        <f>IF(AB108="","",AB216)</f>
        <v>0</v>
      </c>
      <c r="AC286" s="350">
        <f>IF(AC108="","",AC216)</f>
        <v>0</v>
      </c>
      <c r="AD286" s="9"/>
      <c r="AE286" s="328"/>
    </row>
    <row r="287" spans="1:66">
      <c r="B287" s="9" t="s">
        <v>936</v>
      </c>
      <c r="C287" s="314"/>
      <c r="D287" s="314"/>
      <c r="E287" s="327">
        <f t="shared" ref="E287:AC287" si="107">+E249</f>
        <v>0</v>
      </c>
      <c r="F287" s="327">
        <f t="shared" si="107"/>
        <v>0</v>
      </c>
      <c r="G287" s="327">
        <f t="shared" si="107"/>
        <v>0</v>
      </c>
      <c r="H287" s="327">
        <f t="shared" si="107"/>
        <v>0</v>
      </c>
      <c r="I287" s="350">
        <f>+I249</f>
        <v>0</v>
      </c>
      <c r="J287" s="350">
        <f t="shared" si="107"/>
        <v>0</v>
      </c>
      <c r="K287" s="350">
        <f t="shared" si="107"/>
        <v>0</v>
      </c>
      <c r="L287" s="350">
        <f t="shared" si="107"/>
        <v>0</v>
      </c>
      <c r="M287" s="350">
        <f t="shared" si="107"/>
        <v>0</v>
      </c>
      <c r="N287" s="350">
        <f t="shared" si="107"/>
        <v>0</v>
      </c>
      <c r="O287" s="350">
        <f t="shared" si="107"/>
        <v>0</v>
      </c>
      <c r="P287" s="350">
        <f t="shared" si="107"/>
        <v>0</v>
      </c>
      <c r="Q287" s="350">
        <f t="shared" si="107"/>
        <v>0</v>
      </c>
      <c r="R287" s="350">
        <f t="shared" si="107"/>
        <v>0</v>
      </c>
      <c r="S287" s="350">
        <f t="shared" si="107"/>
        <v>0</v>
      </c>
      <c r="T287" s="350">
        <f t="shared" si="107"/>
        <v>0</v>
      </c>
      <c r="U287" s="350">
        <f t="shared" si="107"/>
        <v>0</v>
      </c>
      <c r="V287" s="350">
        <f t="shared" si="107"/>
        <v>0</v>
      </c>
      <c r="W287" s="350">
        <f t="shared" si="107"/>
        <v>0</v>
      </c>
      <c r="X287" s="350">
        <f t="shared" si="107"/>
        <v>0</v>
      </c>
      <c r="Y287" s="350">
        <f t="shared" si="107"/>
        <v>0</v>
      </c>
      <c r="Z287" s="350">
        <f t="shared" si="107"/>
        <v>0</v>
      </c>
      <c r="AA287" s="350">
        <f t="shared" si="107"/>
        <v>0</v>
      </c>
      <c r="AB287" s="350">
        <f t="shared" si="107"/>
        <v>0</v>
      </c>
      <c r="AC287" s="350">
        <f t="shared" si="107"/>
        <v>0</v>
      </c>
      <c r="AD287" s="9"/>
    </row>
    <row r="288" spans="1:66" s="388" customFormat="1">
      <c r="A288" s="10"/>
      <c r="B288" s="42" t="s">
        <v>892</v>
      </c>
      <c r="C288" s="209"/>
      <c r="D288" s="209"/>
      <c r="E288" s="385">
        <f t="shared" ref="E288:X288" si="108">SUM(E279:E287)</f>
        <v>0</v>
      </c>
      <c r="F288" s="385">
        <f t="shared" si="108"/>
        <v>0</v>
      </c>
      <c r="G288" s="385">
        <f t="shared" si="108"/>
        <v>0</v>
      </c>
      <c r="H288" s="385">
        <f t="shared" si="108"/>
        <v>0</v>
      </c>
      <c r="I288" s="386">
        <f>SUM(I279:I287)</f>
        <v>0</v>
      </c>
      <c r="J288" s="386">
        <f t="shared" si="108"/>
        <v>0</v>
      </c>
      <c r="K288" s="386">
        <f t="shared" si="108"/>
        <v>0</v>
      </c>
      <c r="L288" s="386">
        <f t="shared" si="108"/>
        <v>0</v>
      </c>
      <c r="M288" s="386">
        <f t="shared" si="108"/>
        <v>0</v>
      </c>
      <c r="N288" s="386">
        <f t="shared" si="108"/>
        <v>-121987.5</v>
      </c>
      <c r="O288" s="386">
        <f t="shared" si="108"/>
        <v>6979135</v>
      </c>
      <c r="P288" s="386">
        <f t="shared" si="108"/>
        <v>1411105.1299999997</v>
      </c>
      <c r="Q288" s="386">
        <f t="shared" si="108"/>
        <v>1171737.7996000003</v>
      </c>
      <c r="R288" s="386">
        <f t="shared" si="108"/>
        <v>2615426.8215999999</v>
      </c>
      <c r="S288" s="386">
        <f t="shared" si="108"/>
        <v>3275119.2396999998</v>
      </c>
      <c r="T288" s="386">
        <f t="shared" ca="1" si="108"/>
        <v>3002576.610391086</v>
      </c>
      <c r="U288" s="386" t="e">
        <f t="shared" ca="1" si="108"/>
        <v>#VALUE!</v>
      </c>
      <c r="V288" s="386" t="e">
        <f t="shared" ca="1" si="108"/>
        <v>#VALUE!</v>
      </c>
      <c r="W288" s="386" t="e">
        <f t="shared" ca="1" si="108"/>
        <v>#VALUE!</v>
      </c>
      <c r="X288" s="386" t="e">
        <f t="shared" ca="1" si="108"/>
        <v>#VALUE!</v>
      </c>
      <c r="Y288" s="386" t="e">
        <f ca="1">IF(Y108="","",SUM(Y279:Y287))</f>
        <v>#VALUE!</v>
      </c>
      <c r="Z288" s="386" t="e">
        <f ca="1">IF(Z108="","",SUM(Z279:Z287))</f>
        <v>#VALUE!</v>
      </c>
      <c r="AA288" s="386" t="e">
        <f ca="1">IF(AA108="","",SUM(AA279:AA287))</f>
        <v>#VALUE!</v>
      </c>
      <c r="AB288" s="386" t="e">
        <f ca="1">IF(AB108="","",SUM(AB279:AB287))</f>
        <v>#VALUE!</v>
      </c>
      <c r="AC288" s="386" t="e">
        <f ca="1">IF(AC108="","",SUM(AC279:AC287))</f>
        <v>#VALUE!</v>
      </c>
      <c r="AD288" s="9"/>
      <c r="AE288" s="387"/>
      <c r="AF288" s="387"/>
      <c r="AG288" s="387"/>
      <c r="AH288" s="387"/>
      <c r="AI288" s="387"/>
      <c r="AJ288" s="387"/>
      <c r="AK288" s="387"/>
      <c r="AL288" s="387"/>
      <c r="AM288" s="387"/>
      <c r="AN288" s="387"/>
      <c r="AO288" s="387"/>
      <c r="AP288" s="387"/>
      <c r="AQ288" s="387"/>
      <c r="AR288" s="387"/>
      <c r="AS288" s="387"/>
      <c r="AT288" s="387"/>
      <c r="AU288" s="387"/>
      <c r="AV288" s="387"/>
      <c r="AW288" s="387"/>
      <c r="AX288" s="387"/>
      <c r="AY288" s="387"/>
      <c r="AZ288" s="387"/>
      <c r="BA288" s="387"/>
      <c r="BB288" s="387"/>
      <c r="BC288" s="387"/>
      <c r="BD288" s="387"/>
      <c r="BE288" s="387"/>
      <c r="BF288" s="387"/>
      <c r="BG288" s="387"/>
      <c r="BH288" s="387"/>
      <c r="BI288" s="387"/>
      <c r="BJ288" s="387"/>
      <c r="BK288" s="387"/>
      <c r="BL288" s="387"/>
      <c r="BM288" s="387"/>
      <c r="BN288" s="387"/>
    </row>
    <row r="289" spans="1:66" ht="30.25" customHeight="1">
      <c r="B289" s="32" t="s">
        <v>937</v>
      </c>
      <c r="C289" s="9"/>
      <c r="D289" s="9"/>
      <c r="E289" s="9"/>
      <c r="F289" s="9"/>
      <c r="G289" s="9"/>
      <c r="H289" s="9"/>
      <c r="I289" s="9"/>
      <c r="J289" s="9"/>
      <c r="K289" s="9"/>
      <c r="L289" s="9"/>
      <c r="M289" s="9"/>
      <c r="N289" s="9"/>
      <c r="O289" s="9"/>
      <c r="P289" s="9"/>
      <c r="Q289" s="9"/>
      <c r="R289" s="9"/>
      <c r="S289" s="345">
        <f t="shared" ref="S289:AC289" si="109">S288-S140</f>
        <v>3274045.3336999998</v>
      </c>
      <c r="T289" s="345">
        <f t="shared" ca="1" si="109"/>
        <v>3002576.610391086</v>
      </c>
      <c r="U289" s="345" t="e">
        <f t="shared" ca="1" si="109"/>
        <v>#VALUE!</v>
      </c>
      <c r="V289" s="345" t="e">
        <f t="shared" ca="1" si="109"/>
        <v>#VALUE!</v>
      </c>
      <c r="W289" s="345" t="e">
        <f t="shared" ca="1" si="109"/>
        <v>#VALUE!</v>
      </c>
      <c r="X289" s="345" t="e">
        <f t="shared" ca="1" si="109"/>
        <v>#VALUE!</v>
      </c>
      <c r="Y289" s="345" t="e">
        <f t="shared" ca="1" si="109"/>
        <v>#VALUE!</v>
      </c>
      <c r="Z289" s="345" t="e">
        <f t="shared" ca="1" si="109"/>
        <v>#VALUE!</v>
      </c>
      <c r="AA289" s="345" t="e">
        <f t="shared" ca="1" si="109"/>
        <v>#VALUE!</v>
      </c>
      <c r="AB289" s="345" t="e">
        <f t="shared" ca="1" si="109"/>
        <v>#VALUE!</v>
      </c>
      <c r="AC289" s="345" t="e">
        <f t="shared" ca="1" si="109"/>
        <v>#VALUE!</v>
      </c>
      <c r="AD289" s="9"/>
      <c r="AE289" s="387">
        <f t="shared" ref="AE289:BN289" si="110">AE288*(1-$AE$154)</f>
        <v>0</v>
      </c>
      <c r="AF289" s="387">
        <f t="shared" si="110"/>
        <v>0</v>
      </c>
      <c r="AG289" s="387">
        <f t="shared" si="110"/>
        <v>0</v>
      </c>
      <c r="AH289" s="387">
        <f t="shared" si="110"/>
        <v>0</v>
      </c>
      <c r="AI289" s="387">
        <f t="shared" si="110"/>
        <v>0</v>
      </c>
      <c r="AJ289" s="387">
        <f t="shared" si="110"/>
        <v>0</v>
      </c>
      <c r="AK289" s="387">
        <f t="shared" si="110"/>
        <v>0</v>
      </c>
      <c r="AL289" s="387">
        <f t="shared" si="110"/>
        <v>0</v>
      </c>
      <c r="AM289" s="387">
        <f t="shared" si="110"/>
        <v>0</v>
      </c>
      <c r="AN289" s="387">
        <f t="shared" si="110"/>
        <v>0</v>
      </c>
      <c r="AO289" s="387">
        <f t="shared" si="110"/>
        <v>0</v>
      </c>
      <c r="AP289" s="387">
        <f t="shared" si="110"/>
        <v>0</v>
      </c>
      <c r="AQ289" s="387">
        <f t="shared" si="110"/>
        <v>0</v>
      </c>
      <c r="AR289" s="387">
        <f t="shared" si="110"/>
        <v>0</v>
      </c>
      <c r="AS289" s="387">
        <f t="shared" si="110"/>
        <v>0</v>
      </c>
      <c r="AT289" s="387">
        <f t="shared" si="110"/>
        <v>0</v>
      </c>
      <c r="AU289" s="387">
        <f t="shared" si="110"/>
        <v>0</v>
      </c>
      <c r="AV289" s="387">
        <f t="shared" si="110"/>
        <v>0</v>
      </c>
      <c r="AW289" s="387">
        <f t="shared" si="110"/>
        <v>0</v>
      </c>
      <c r="AX289" s="387">
        <f t="shared" si="110"/>
        <v>0</v>
      </c>
      <c r="AY289" s="387">
        <f t="shared" si="110"/>
        <v>0</v>
      </c>
      <c r="AZ289" s="387">
        <f t="shared" si="110"/>
        <v>0</v>
      </c>
      <c r="BA289" s="387">
        <f t="shared" si="110"/>
        <v>0</v>
      </c>
      <c r="BB289" s="387">
        <f t="shared" si="110"/>
        <v>0</v>
      </c>
      <c r="BC289" s="387">
        <f t="shared" si="110"/>
        <v>0</v>
      </c>
      <c r="BD289" s="387">
        <f t="shared" si="110"/>
        <v>0</v>
      </c>
      <c r="BE289" s="387">
        <f t="shared" si="110"/>
        <v>0</v>
      </c>
      <c r="BF289" s="387">
        <f t="shared" si="110"/>
        <v>0</v>
      </c>
      <c r="BG289" s="387">
        <f t="shared" si="110"/>
        <v>0</v>
      </c>
      <c r="BH289" s="387">
        <f t="shared" si="110"/>
        <v>0</v>
      </c>
      <c r="BI289" s="387">
        <f t="shared" si="110"/>
        <v>0</v>
      </c>
      <c r="BJ289" s="387">
        <f t="shared" si="110"/>
        <v>0</v>
      </c>
      <c r="BK289" s="387">
        <f t="shared" si="110"/>
        <v>0</v>
      </c>
      <c r="BL289" s="387">
        <f t="shared" si="110"/>
        <v>0</v>
      </c>
      <c r="BM289" s="387">
        <f t="shared" si="110"/>
        <v>0</v>
      </c>
      <c r="BN289" s="387">
        <f t="shared" si="110"/>
        <v>0</v>
      </c>
    </row>
    <row r="290" spans="1:66">
      <c r="B290" s="389" t="s">
        <v>7</v>
      </c>
      <c r="C290" s="389"/>
      <c r="D290" s="389"/>
      <c r="E290" s="390">
        <f>Valuation!D17</f>
        <v>0</v>
      </c>
      <c r="F290" s="390">
        <f>Valuation!E17</f>
        <v>0</v>
      </c>
      <c r="G290" s="390">
        <f>Valuation!F17</f>
        <v>0</v>
      </c>
      <c r="H290" s="390">
        <f>Valuation!G17</f>
        <v>0</v>
      </c>
      <c r="I290" s="371">
        <f>Valuation!H24+Valuation!H63+Valuation!H64</f>
        <v>0</v>
      </c>
      <c r="J290" s="371">
        <f>Valuation!I24+Valuation!I63+Valuation!I64</f>
        <v>0</v>
      </c>
      <c r="K290" s="371">
        <f>Valuation!J24+Valuation!J63+Valuation!J64</f>
        <v>0</v>
      </c>
      <c r="L290" s="371">
        <f>Valuation!K24+Valuation!K63+Valuation!K64</f>
        <v>0</v>
      </c>
      <c r="M290" s="371">
        <f>Valuation!L24+Valuation!L63+Valuation!L64</f>
        <v>0</v>
      </c>
      <c r="N290" s="371">
        <f>Valuation!M24+Valuation!M63+Valuation!M64</f>
        <v>408951</v>
      </c>
      <c r="O290" s="371">
        <f>Valuation!N24+Valuation!N63+Valuation!N64</f>
        <v>3123521</v>
      </c>
      <c r="P290" s="371">
        <f>Valuation!O24+Valuation!O63+Valuation!O64</f>
        <v>-2556139</v>
      </c>
      <c r="Q290" s="371">
        <f>Valuation!P24+Valuation!P63+Valuation!P64</f>
        <v>-22020</v>
      </c>
      <c r="R290" s="371">
        <f>Valuation!Q24+Valuation!Q63+Valuation!Q64</f>
        <v>2434678</v>
      </c>
      <c r="S290" s="371">
        <f>Valuation!R24+Valuation!R63+Valuation!R64</f>
        <v>1623869</v>
      </c>
      <c r="T290" s="371">
        <f ca="1">Valuation!S24+Valuation!S63+Valuation!S64</f>
        <v>1120724.4168768078</v>
      </c>
      <c r="U290" s="371" t="e">
        <f ca="1">Valuation!T24+Valuation!T63+Valuation!T64</f>
        <v>#NAME?</v>
      </c>
      <c r="V290" s="371" t="e">
        <f ca="1">Valuation!U24+Valuation!U63+Valuation!U64</f>
        <v>#NAME?</v>
      </c>
      <c r="W290" s="371" t="e">
        <f ca="1">Valuation!V24+Valuation!V63+Valuation!V64</f>
        <v>#NAME?</v>
      </c>
      <c r="X290" s="371" t="e">
        <f ca="1">Valuation!W24+Valuation!W63+Valuation!W64</f>
        <v>#NAME?</v>
      </c>
      <c r="Y290" s="371" t="e">
        <f ca="1">IF(Y108="","",Valuation!X24+Valuation!X63+Valuation!X64)</f>
        <v>#NAME?</v>
      </c>
      <c r="Z290" s="371" t="e">
        <f ca="1">IF(Z108="","",Valuation!Y24+Valuation!Y63+Valuation!Y64)</f>
        <v>#NAME?</v>
      </c>
      <c r="AA290" s="371" t="e">
        <f ca="1">IF(AA108="","",Valuation!Z24+Valuation!Z63+Valuation!Z64)</f>
        <v>#NAME?</v>
      </c>
      <c r="AB290" s="371" t="e">
        <f ca="1">IF(AB108="","",Valuation!AA24+Valuation!AA63+Valuation!AA64)</f>
        <v>#NAME?</v>
      </c>
      <c r="AC290" s="371" t="e">
        <f ca="1">IF(AC108="","",Valuation!AB24+Valuation!AB63+Valuation!AB64)</f>
        <v>#NAME?</v>
      </c>
      <c r="AD290" s="9"/>
      <c r="AE290" s="328"/>
    </row>
    <row r="291" spans="1:66">
      <c r="B291" s="230" t="s">
        <v>938</v>
      </c>
      <c r="C291" s="391"/>
      <c r="D291" s="391"/>
      <c r="E291" s="390">
        <f t="shared" ref="E291:X291" si="111">E121*COD</f>
        <v>0</v>
      </c>
      <c r="F291" s="390">
        <f t="shared" si="111"/>
        <v>0</v>
      </c>
      <c r="G291" s="390">
        <f t="shared" si="111"/>
        <v>0</v>
      </c>
      <c r="H291" s="390">
        <f t="shared" si="111"/>
        <v>0</v>
      </c>
      <c r="I291" s="371">
        <f>I121*COD</f>
        <v>0</v>
      </c>
      <c r="J291" s="371">
        <f t="shared" si="111"/>
        <v>0</v>
      </c>
      <c r="K291" s="371">
        <f t="shared" si="111"/>
        <v>0</v>
      </c>
      <c r="L291" s="371">
        <f t="shared" si="111"/>
        <v>0</v>
      </c>
      <c r="M291" s="371">
        <f t="shared" si="111"/>
        <v>0</v>
      </c>
      <c r="N291" s="371">
        <f t="shared" si="111"/>
        <v>0</v>
      </c>
      <c r="O291" s="371">
        <f t="shared" si="111"/>
        <v>0</v>
      </c>
      <c r="P291" s="371">
        <f t="shared" si="111"/>
        <v>8.0200899999999997</v>
      </c>
      <c r="Q291" s="371">
        <f t="shared" si="111"/>
        <v>6.5549249999999999</v>
      </c>
      <c r="R291" s="371">
        <f t="shared" si="111"/>
        <v>6.3950250000000004</v>
      </c>
      <c r="S291" s="371">
        <f t="shared" si="111"/>
        <v>4.5082050000000002</v>
      </c>
      <c r="T291" s="371">
        <f t="shared" si="111"/>
        <v>4.5082050000000002</v>
      </c>
      <c r="U291" s="371">
        <f t="shared" si="111"/>
        <v>4.5082050000000002</v>
      </c>
      <c r="V291" s="371">
        <f t="shared" si="111"/>
        <v>4.5082050000000002</v>
      </c>
      <c r="W291" s="371">
        <f t="shared" si="111"/>
        <v>4.5082050000000002</v>
      </c>
      <c r="X291" s="371">
        <f t="shared" si="111"/>
        <v>4.5082050000000002</v>
      </c>
      <c r="Y291" s="371">
        <f>IF(Y108="","",Y121*COD)</f>
        <v>4.5082050000000002</v>
      </c>
      <c r="Z291" s="371">
        <f>IF(Z108="","",Z121*COD)</f>
        <v>4.5082050000000002</v>
      </c>
      <c r="AA291" s="371">
        <f>IF(AA108="","",AA121*COD)</f>
        <v>4.5082050000000002</v>
      </c>
      <c r="AB291" s="371">
        <f>IF(AB108="","",AB121*COD)</f>
        <v>4.5082050000000002</v>
      </c>
      <c r="AC291" s="371">
        <f>IF(AC108="","",AC121*COD)</f>
        <v>4.5082050000000002</v>
      </c>
      <c r="AD291" s="9"/>
      <c r="AE291" s="328"/>
    </row>
    <row r="292" spans="1:66">
      <c r="B292" s="9" t="s">
        <v>939</v>
      </c>
      <c r="C292" s="314"/>
      <c r="D292" s="314"/>
      <c r="E292" s="327">
        <f>E145+E148</f>
        <v>0</v>
      </c>
      <c r="F292" s="327">
        <f>F145+F148</f>
        <v>0</v>
      </c>
      <c r="G292" s="327">
        <f>G145+G148</f>
        <v>0</v>
      </c>
      <c r="H292" s="327">
        <f>H145+H148</f>
        <v>0</v>
      </c>
      <c r="I292" s="350">
        <f>I149+I148</f>
        <v>0</v>
      </c>
      <c r="J292" s="350">
        <f t="shared" ref="J292:X292" si="112">J149+J148</f>
        <v>0</v>
      </c>
      <c r="K292" s="350">
        <f t="shared" si="112"/>
        <v>0</v>
      </c>
      <c r="L292" s="350">
        <f t="shared" si="112"/>
        <v>0</v>
      </c>
      <c r="M292" s="350">
        <f t="shared" si="112"/>
        <v>0</v>
      </c>
      <c r="N292" s="350">
        <f t="shared" si="112"/>
        <v>0</v>
      </c>
      <c r="O292" s="350">
        <f t="shared" si="112"/>
        <v>0</v>
      </c>
      <c r="P292" s="350">
        <f t="shared" si="112"/>
        <v>185.04400000000001</v>
      </c>
      <c r="Q292" s="350">
        <f t="shared" si="112"/>
        <v>253.22760000000002</v>
      </c>
      <c r="R292" s="350">
        <f t="shared" si="112"/>
        <v>1245.8833999999999</v>
      </c>
      <c r="S292" s="350">
        <f t="shared" si="112"/>
        <v>2151.5203000000001</v>
      </c>
      <c r="T292" s="350">
        <f t="shared" si="112"/>
        <v>-407.46910000000025</v>
      </c>
      <c r="U292" s="350">
        <f t="shared" si="112"/>
        <v>-407.46909999999934</v>
      </c>
      <c r="V292" s="350">
        <f t="shared" si="112"/>
        <v>-407.46910000000025</v>
      </c>
      <c r="W292" s="350">
        <f t="shared" si="112"/>
        <v>-407.4690999999998</v>
      </c>
      <c r="X292" s="350">
        <f t="shared" si="112"/>
        <v>-407.4690999999998</v>
      </c>
      <c r="Y292" s="350">
        <f>IF(Y108="","",Y149+Y148)</f>
        <v>-407.46910000000003</v>
      </c>
      <c r="Z292" s="350">
        <f>IF(Z108="","",Z149+Z148)</f>
        <v>-407.46909999999991</v>
      </c>
      <c r="AA292" s="350">
        <f>IF(AA108="","",AA149+AA148)</f>
        <v>-388.96469999999988</v>
      </c>
      <c r="AB292" s="350">
        <f>IF(AB108="","",AB149+AB148)</f>
        <v>-361.79150000000004</v>
      </c>
      <c r="AC292" s="350">
        <f>IF(AC108="","",AC149+AC148)</f>
        <v>-232.63540000000043</v>
      </c>
      <c r="AD292" s="9"/>
      <c r="AE292" s="328"/>
    </row>
    <row r="293" spans="1:66">
      <c r="B293" s="9" t="s">
        <v>940</v>
      </c>
      <c r="C293" s="314"/>
      <c r="D293" s="314"/>
      <c r="E293" s="327">
        <f>E178+E181</f>
        <v>0</v>
      </c>
      <c r="F293" s="327">
        <f>F178+F181</f>
        <v>0</v>
      </c>
      <c r="G293" s="327">
        <f>G178+G181</f>
        <v>0</v>
      </c>
      <c r="H293" s="327">
        <f>H178+H181</f>
        <v>0</v>
      </c>
      <c r="I293" s="350">
        <f>I182+I181</f>
        <v>0</v>
      </c>
      <c r="J293" s="350">
        <f t="shared" ref="J293:X293" si="113">J182+J181</f>
        <v>0</v>
      </c>
      <c r="K293" s="350">
        <f t="shared" si="113"/>
        <v>0</v>
      </c>
      <c r="L293" s="350">
        <f t="shared" si="113"/>
        <v>0</v>
      </c>
      <c r="M293" s="350">
        <f t="shared" si="113"/>
        <v>0</v>
      </c>
      <c r="N293" s="350">
        <f t="shared" si="113"/>
        <v>0</v>
      </c>
      <c r="O293" s="350">
        <f t="shared" si="113"/>
        <v>0</v>
      </c>
      <c r="P293" s="350">
        <f t="shared" si="113"/>
        <v>24.15</v>
      </c>
      <c r="Q293" s="350">
        <f t="shared" si="113"/>
        <v>51.952000000000005</v>
      </c>
      <c r="R293" s="350">
        <f t="shared" si="113"/>
        <v>647.50260000000003</v>
      </c>
      <c r="S293" s="350">
        <f t="shared" si="113"/>
        <v>361.1647999999999</v>
      </c>
      <c r="T293" s="350">
        <f t="shared" si="113"/>
        <v>-250.94200000000001</v>
      </c>
      <c r="U293" s="350">
        <f t="shared" si="113"/>
        <v>-250.94199999999989</v>
      </c>
      <c r="V293" s="350">
        <f t="shared" si="113"/>
        <v>-246.11199999999997</v>
      </c>
      <c r="W293" s="350">
        <f t="shared" si="113"/>
        <v>-234.75560000000002</v>
      </c>
      <c r="X293" s="350">
        <f t="shared" si="113"/>
        <v>-102.01779999999999</v>
      </c>
      <c r="Y293" s="350">
        <f>IF(Y108="","",Y182+Y181)</f>
        <v>-2.8421709430404007E-14</v>
      </c>
      <c r="Z293" s="350">
        <f>IF(Z108="","",Z182+Z181)</f>
        <v>0</v>
      </c>
      <c r="AA293" s="350">
        <f>IF(AA108="","",AA182+AA181)</f>
        <v>0</v>
      </c>
      <c r="AB293" s="350">
        <f>IF(AB108="","",AB182+AB181)</f>
        <v>0</v>
      </c>
      <c r="AC293" s="350">
        <f>IF(AC108="","",AC182+AC181)</f>
        <v>0</v>
      </c>
      <c r="AD293" s="9"/>
      <c r="AE293" s="328"/>
    </row>
    <row r="294" spans="1:66">
      <c r="B294" s="9" t="s">
        <v>941</v>
      </c>
      <c r="C294" s="314"/>
      <c r="D294" s="314"/>
      <c r="E294" s="327">
        <f>E211+E214</f>
        <v>0</v>
      </c>
      <c r="F294" s="327">
        <f>F211+F214</f>
        <v>0</v>
      </c>
      <c r="G294" s="327">
        <f>G211+G214</f>
        <v>0</v>
      </c>
      <c r="H294" s="327">
        <f>H211+H214</f>
        <v>0</v>
      </c>
      <c r="I294" s="350">
        <f>I215+I214</f>
        <v>0</v>
      </c>
      <c r="J294" s="350">
        <f t="shared" ref="J294:X294" si="114">J215+J214</f>
        <v>0</v>
      </c>
      <c r="K294" s="350">
        <f t="shared" si="114"/>
        <v>0</v>
      </c>
      <c r="L294" s="350">
        <f t="shared" si="114"/>
        <v>0</v>
      </c>
      <c r="M294" s="350">
        <f t="shared" si="114"/>
        <v>0</v>
      </c>
      <c r="N294" s="350">
        <f t="shared" si="114"/>
        <v>0</v>
      </c>
      <c r="O294" s="350">
        <f t="shared" si="114"/>
        <v>0</v>
      </c>
      <c r="P294" s="350">
        <f t="shared" si="114"/>
        <v>0</v>
      </c>
      <c r="Q294" s="350">
        <f t="shared" si="114"/>
        <v>0</v>
      </c>
      <c r="R294" s="350">
        <f t="shared" si="114"/>
        <v>0</v>
      </c>
      <c r="S294" s="350">
        <f t="shared" si="114"/>
        <v>0</v>
      </c>
      <c r="T294" s="350">
        <f t="shared" si="114"/>
        <v>0</v>
      </c>
      <c r="U294" s="350">
        <f t="shared" si="114"/>
        <v>0</v>
      </c>
      <c r="V294" s="350">
        <f t="shared" si="114"/>
        <v>0</v>
      </c>
      <c r="W294" s="350">
        <f t="shared" si="114"/>
        <v>0</v>
      </c>
      <c r="X294" s="350">
        <f t="shared" si="114"/>
        <v>0</v>
      </c>
      <c r="Y294" s="350">
        <f>IF(Y108="","",Y215+Y214)</f>
        <v>0</v>
      </c>
      <c r="Z294" s="350">
        <f>IF(Z108="","",Z215+Z214)</f>
        <v>0</v>
      </c>
      <c r="AA294" s="350">
        <f>IF(AA108="","",AA215+AA214)</f>
        <v>0</v>
      </c>
      <c r="AB294" s="350">
        <f>IF(AB108="","",AB215+AB214)</f>
        <v>0</v>
      </c>
      <c r="AC294" s="350">
        <f>IF(AC108="","",AC215+AC214)</f>
        <v>0</v>
      </c>
      <c r="AD294" s="9"/>
      <c r="AE294" s="328"/>
    </row>
    <row r="295" spans="1:66">
      <c r="B295" s="9" t="s">
        <v>942</v>
      </c>
      <c r="C295" s="314"/>
      <c r="D295" s="314"/>
      <c r="E295" s="327">
        <f>E244+E247</f>
        <v>0</v>
      </c>
      <c r="F295" s="327">
        <f>F244+F247</f>
        <v>0</v>
      </c>
      <c r="G295" s="327">
        <f>G244+G247</f>
        <v>0</v>
      </c>
      <c r="H295" s="327">
        <f>H244+H247</f>
        <v>0</v>
      </c>
      <c r="I295" s="350">
        <f>I248+I247</f>
        <v>0</v>
      </c>
      <c r="J295" s="350">
        <f t="shared" ref="J295:X295" si="115">J248+J247</f>
        <v>0</v>
      </c>
      <c r="K295" s="350">
        <f t="shared" si="115"/>
        <v>0</v>
      </c>
      <c r="L295" s="350">
        <f t="shared" si="115"/>
        <v>0</v>
      </c>
      <c r="M295" s="350">
        <f t="shared" si="115"/>
        <v>0</v>
      </c>
      <c r="N295" s="350">
        <f t="shared" si="115"/>
        <v>0</v>
      </c>
      <c r="O295" s="350">
        <f t="shared" si="115"/>
        <v>0</v>
      </c>
      <c r="P295" s="350">
        <f t="shared" si="115"/>
        <v>0</v>
      </c>
      <c r="Q295" s="350">
        <f t="shared" si="115"/>
        <v>0</v>
      </c>
      <c r="R295" s="350">
        <f t="shared" si="115"/>
        <v>0</v>
      </c>
      <c r="S295" s="350">
        <f t="shared" si="115"/>
        <v>0</v>
      </c>
      <c r="T295" s="350">
        <f t="shared" si="115"/>
        <v>0</v>
      </c>
      <c r="U295" s="350">
        <f t="shared" si="115"/>
        <v>0</v>
      </c>
      <c r="V295" s="350">
        <f t="shared" si="115"/>
        <v>0</v>
      </c>
      <c r="W295" s="350">
        <f t="shared" si="115"/>
        <v>0</v>
      </c>
      <c r="X295" s="350">
        <f t="shared" si="115"/>
        <v>0</v>
      </c>
      <c r="Y295" s="350">
        <f>IF(Y108="","",Y248+Y247)</f>
        <v>0</v>
      </c>
      <c r="Z295" s="350">
        <f>IF(Z108="","",Z248+Z247)</f>
        <v>0</v>
      </c>
      <c r="AA295" s="350">
        <f>IF(AA108="","",AA248+AA247)</f>
        <v>0</v>
      </c>
      <c r="AB295" s="350">
        <f>IF(AB108="","",AB248+AB247)</f>
        <v>0</v>
      </c>
      <c r="AC295" s="350">
        <f>IF(AC108="","",AC248+AC247)</f>
        <v>0</v>
      </c>
      <c r="AD295" s="9"/>
      <c r="AE295" s="328"/>
    </row>
    <row r="296" spans="1:66">
      <c r="B296" s="9" t="s">
        <v>8</v>
      </c>
      <c r="C296" s="314"/>
      <c r="D296" s="314"/>
      <c r="E296" s="327">
        <f>-Valuation!D63</f>
        <v>0</v>
      </c>
      <c r="F296" s="327">
        <f>-Valuation!E63</f>
        <v>0</v>
      </c>
      <c r="G296" s="327">
        <f>-Valuation!F63</f>
        <v>0</v>
      </c>
      <c r="H296" s="327">
        <f>-Valuation!G63</f>
        <v>0</v>
      </c>
      <c r="I296" s="350">
        <f>-Valuation!H63</f>
        <v>0</v>
      </c>
      <c r="J296" s="350">
        <f>-Valuation!I63</f>
        <v>0</v>
      </c>
      <c r="K296" s="350">
        <f>-Valuation!J63</f>
        <v>0</v>
      </c>
      <c r="L296" s="350">
        <f>-Valuation!K63</f>
        <v>0</v>
      </c>
      <c r="M296" s="350">
        <f>-Valuation!L63</f>
        <v>0</v>
      </c>
      <c r="N296" s="350">
        <f>-Valuation!M63</f>
        <v>0</v>
      </c>
      <c r="O296" s="350">
        <f>-Valuation!N63</f>
        <v>-46951</v>
      </c>
      <c r="P296" s="350">
        <f>-Valuation!O63</f>
        <v>-108769</v>
      </c>
      <c r="Q296" s="350">
        <f>-Valuation!P63</f>
        <v>-33542</v>
      </c>
      <c r="R296" s="350">
        <f>-Valuation!Q63</f>
        <v>-57918</v>
      </c>
      <c r="S296" s="350">
        <f>-Valuation!R63</f>
        <v>-121302</v>
      </c>
      <c r="T296" s="350">
        <f ca="1">-Valuation!S63</f>
        <v>-114915.82639300979</v>
      </c>
      <c r="U296" s="350" t="e">
        <f ca="1">-Valuation!T63</f>
        <v>#NAME?</v>
      </c>
      <c r="V296" s="350" t="e">
        <f ca="1">-Valuation!U63</f>
        <v>#NAME?</v>
      </c>
      <c r="W296" s="350" t="e">
        <f ca="1">-Valuation!V63</f>
        <v>#NAME?</v>
      </c>
      <c r="X296" s="350" t="e">
        <f ca="1">-Valuation!W63</f>
        <v>#NAME?</v>
      </c>
      <c r="Y296" s="350" t="e">
        <f ca="1">IF(Y108="","",-Valuation!X63)</f>
        <v>#NAME?</v>
      </c>
      <c r="Z296" s="350" t="e">
        <f ca="1">IF(Z108="","",-Valuation!Y63)</f>
        <v>#NAME?</v>
      </c>
      <c r="AA296" s="350" t="e">
        <f ca="1">IF(AA108="","",-Valuation!Z63)</f>
        <v>#NAME?</v>
      </c>
      <c r="AB296" s="350" t="e">
        <f ca="1">IF(AB108="","",-Valuation!AA63)</f>
        <v>#NAME?</v>
      </c>
      <c r="AC296" s="350" t="e">
        <f ca="1">IF(AC108="","",-Valuation!AB63)</f>
        <v>#NAME?</v>
      </c>
      <c r="AD296" s="9"/>
      <c r="AE296" s="328"/>
    </row>
    <row r="297" spans="1:66">
      <c r="B297" s="9" t="s">
        <v>14</v>
      </c>
      <c r="C297" s="314"/>
      <c r="D297" s="314"/>
      <c r="E297" s="327">
        <f>IF($C$26="Net",-Valuation!D64,0)</f>
        <v>0</v>
      </c>
      <c r="F297" s="327">
        <f>IF($C$26="Net",-Valuation!E64,0)</f>
        <v>0</v>
      </c>
      <c r="G297" s="327">
        <f>IF($C$26="Net",-Valuation!F64,0)</f>
        <v>0</v>
      </c>
      <c r="H297" s="327">
        <f>IF($C$26="Net",-Valuation!G64,0)</f>
        <v>0</v>
      </c>
      <c r="I297" s="350">
        <f>IF($C$26="Net",-Valuation!H64,0)</f>
        <v>0</v>
      </c>
      <c r="J297" s="350">
        <f>IF($C$26="Net",-Valuation!I64,0)</f>
        <v>0</v>
      </c>
      <c r="K297" s="350">
        <f>IF($C$26="Net",-Valuation!J64,0)</f>
        <v>0</v>
      </c>
      <c r="L297" s="350">
        <f>IF($C$26="Net",-Valuation!K64,0)</f>
        <v>0</v>
      </c>
      <c r="M297" s="350">
        <f>IF($C$26="Net",-Valuation!L64,0)</f>
        <v>0</v>
      </c>
      <c r="N297" s="350">
        <f>IF($C$26="Net",-Valuation!M64,0)</f>
        <v>0</v>
      </c>
      <c r="O297" s="350">
        <f>IF($C$26="Net",-Valuation!N64,0)</f>
        <v>0</v>
      </c>
      <c r="P297" s="350">
        <f>IF($C$26="Net",-Valuation!O64,0)</f>
        <v>-45300</v>
      </c>
      <c r="Q297" s="350">
        <f>IF($C$26="Net",-Valuation!P64,0)</f>
        <v>-106100</v>
      </c>
      <c r="R297" s="350">
        <f>IF($C$26="Net",-Valuation!Q64,0)</f>
        <v>-69600</v>
      </c>
      <c r="S297" s="350">
        <f>IF($C$26="Net",-Valuation!R64,0)</f>
        <v>-67126</v>
      </c>
      <c r="T297" s="350">
        <f>IF($C$26="Net",-Valuation!S64,0)</f>
        <v>-138231</v>
      </c>
      <c r="U297" s="350">
        <f>IF($C$26="Net",-Valuation!T64,0)</f>
        <v>-130341</v>
      </c>
      <c r="V297" s="350">
        <f>IF($C$26="Net",-Valuation!U64,0)</f>
        <v>-127481</v>
      </c>
      <c r="W297" s="350">
        <f>IF($C$26="Net",-Valuation!V64,0)</f>
        <v>-124043</v>
      </c>
      <c r="X297" s="350">
        <f>IF($C$26="Net",-Valuation!W64,0)</f>
        <v>-123524</v>
      </c>
      <c r="Y297" s="350">
        <f>IF(Y108="","",IF($C$26="Net",-Valuation!X64,0))</f>
        <v>-117347.79999999999</v>
      </c>
      <c r="Z297" s="350">
        <f>IF(Z108="","",IF($C$26="Net",-Valuation!Y64,0))</f>
        <v>-111480.40999999999</v>
      </c>
      <c r="AA297" s="350">
        <f>IF(AA108="","",IF($C$26="Net",-Valuation!Z64,0))</f>
        <v>-105906.38949999999</v>
      </c>
      <c r="AB297" s="350">
        <f>IF(AB108="","",IF($C$26="Net",-Valuation!AA64,0))</f>
        <v>-100611.07002499998</v>
      </c>
      <c r="AC297" s="350">
        <f>IF(AC108="","",IF($C$26="Net",-Valuation!AB64,0))</f>
        <v>-95580.516523749975</v>
      </c>
      <c r="AD297" s="9"/>
    </row>
    <row r="298" spans="1:66">
      <c r="B298" s="392" t="s">
        <v>1025</v>
      </c>
      <c r="C298" s="393"/>
      <c r="D298" s="393"/>
      <c r="E298" s="390"/>
      <c r="F298" s="390"/>
      <c r="G298" s="390"/>
      <c r="H298" s="390"/>
      <c r="I298" s="371"/>
      <c r="J298" s="371"/>
      <c r="K298" s="371"/>
      <c r="L298" s="371"/>
      <c r="M298" s="371"/>
      <c r="N298" s="371"/>
      <c r="O298" s="371"/>
      <c r="P298" s="371"/>
      <c r="Q298" s="371"/>
      <c r="R298" s="371"/>
      <c r="S298" s="371"/>
      <c r="T298" s="371"/>
      <c r="U298" s="371"/>
      <c r="V298" s="371"/>
      <c r="W298" s="371"/>
      <c r="X298" s="371"/>
      <c r="Y298" s="371"/>
      <c r="Z298" s="371"/>
      <c r="AA298" s="371"/>
      <c r="AB298" s="371"/>
      <c r="AC298" s="371"/>
      <c r="AD298" s="9"/>
    </row>
    <row r="299" spans="1:66" s="388" customFormat="1">
      <c r="A299" s="10"/>
      <c r="B299" s="42" t="s">
        <v>943</v>
      </c>
      <c r="C299" s="209"/>
      <c r="D299" s="209"/>
      <c r="E299" s="385">
        <f t="shared" ref="E299:AC299" si="116">SUM(E290:E298)</f>
        <v>0</v>
      </c>
      <c r="F299" s="385">
        <f t="shared" si="116"/>
        <v>0</v>
      </c>
      <c r="G299" s="385">
        <f t="shared" si="116"/>
        <v>0</v>
      </c>
      <c r="H299" s="385">
        <f t="shared" si="116"/>
        <v>0</v>
      </c>
      <c r="I299" s="386">
        <f t="shared" si="116"/>
        <v>0</v>
      </c>
      <c r="J299" s="386">
        <f t="shared" si="116"/>
        <v>0</v>
      </c>
      <c r="K299" s="386">
        <f t="shared" si="116"/>
        <v>0</v>
      </c>
      <c r="L299" s="386">
        <f t="shared" si="116"/>
        <v>0</v>
      </c>
      <c r="M299" s="386">
        <f t="shared" si="116"/>
        <v>0</v>
      </c>
      <c r="N299" s="386">
        <f t="shared" si="116"/>
        <v>408951</v>
      </c>
      <c r="O299" s="386">
        <f t="shared" si="116"/>
        <v>3076570</v>
      </c>
      <c r="P299" s="386">
        <f t="shared" si="116"/>
        <v>-2709990.7859100001</v>
      </c>
      <c r="Q299" s="386">
        <f t="shared" si="116"/>
        <v>-161350.26547499999</v>
      </c>
      <c r="R299" s="386">
        <f t="shared" si="116"/>
        <v>2309059.7810249999</v>
      </c>
      <c r="S299" s="386">
        <f t="shared" si="116"/>
        <v>1437958.193305</v>
      </c>
      <c r="T299" s="386">
        <f t="shared" ca="1" si="116"/>
        <v>866923.687588798</v>
      </c>
      <c r="U299" s="386" t="e">
        <f t="shared" ca="1" si="116"/>
        <v>#NAME?</v>
      </c>
      <c r="V299" s="386" t="e">
        <f t="shared" ca="1" si="116"/>
        <v>#NAME?</v>
      </c>
      <c r="W299" s="386" t="e">
        <f t="shared" ca="1" si="116"/>
        <v>#NAME?</v>
      </c>
      <c r="X299" s="386" t="e">
        <f t="shared" ca="1" si="116"/>
        <v>#NAME?</v>
      </c>
      <c r="Y299" s="386" t="e">
        <f t="shared" ca="1" si="116"/>
        <v>#NAME?</v>
      </c>
      <c r="Z299" s="386" t="e">
        <f t="shared" ca="1" si="116"/>
        <v>#NAME?</v>
      </c>
      <c r="AA299" s="386" t="e">
        <f t="shared" ca="1" si="116"/>
        <v>#NAME?</v>
      </c>
      <c r="AB299" s="386" t="e">
        <f t="shared" ca="1" si="116"/>
        <v>#NAME?</v>
      </c>
      <c r="AC299" s="386" t="e">
        <f t="shared" ca="1" si="116"/>
        <v>#NAME?</v>
      </c>
      <c r="AD299" s="9"/>
      <c r="AE299" s="387"/>
      <c r="AF299" s="387"/>
      <c r="AG299" s="387"/>
      <c r="AH299" s="387"/>
      <c r="AI299" s="387"/>
      <c r="AJ299" s="387"/>
      <c r="AK299" s="387"/>
      <c r="AL299" s="387"/>
      <c r="AM299" s="387"/>
      <c r="AN299" s="387"/>
      <c r="AO299" s="387"/>
      <c r="AP299" s="387"/>
      <c r="AQ299" s="387"/>
      <c r="AR299" s="387"/>
      <c r="AS299" s="387"/>
      <c r="AT299" s="387"/>
      <c r="AU299" s="387"/>
      <c r="AV299" s="387"/>
      <c r="AW299" s="387"/>
      <c r="AX299" s="387"/>
      <c r="AY299" s="387"/>
      <c r="AZ299" s="387"/>
      <c r="BA299" s="387"/>
      <c r="BB299" s="387"/>
      <c r="BC299" s="387"/>
      <c r="BD299" s="387"/>
      <c r="BE299" s="387"/>
      <c r="BF299" s="387"/>
      <c r="BG299" s="387"/>
      <c r="BH299" s="387"/>
      <c r="BI299" s="387"/>
      <c r="BJ299" s="387"/>
      <c r="BK299" s="387"/>
      <c r="BL299" s="387"/>
      <c r="BM299" s="387"/>
      <c r="BN299" s="387"/>
    </row>
    <row r="300" spans="1:66" s="359" customFormat="1" ht="30.25" customHeight="1">
      <c r="A300" s="10"/>
      <c r="B300" s="154" t="s">
        <v>944</v>
      </c>
      <c r="C300" s="344"/>
      <c r="D300" s="344"/>
      <c r="E300" s="394" t="e">
        <f>E299/Valuation!D11</f>
        <v>#DIV/0!</v>
      </c>
      <c r="F300" s="394" t="e">
        <f>F299/Valuation!E11</f>
        <v>#DIV/0!</v>
      </c>
      <c r="G300" s="394" t="e">
        <f>G299/Valuation!F11</f>
        <v>#DIV/0!</v>
      </c>
      <c r="H300" s="394" t="e">
        <f>H299/Valuation!G11</f>
        <v>#DIV/0!</v>
      </c>
      <c r="I300" s="394" t="e">
        <f>I299/Valuation!H11</f>
        <v>#DIV/0!</v>
      </c>
      <c r="J300" s="394" t="e">
        <f>J299/Valuation!I11</f>
        <v>#DIV/0!</v>
      </c>
      <c r="K300" s="394" t="e">
        <f>K299/Valuation!J11</f>
        <v>#DIV/0!</v>
      </c>
      <c r="L300" s="394" t="e">
        <f>L299/Valuation!K11</f>
        <v>#DIV/0!</v>
      </c>
      <c r="M300" s="394" t="e">
        <f>M299/Valuation!L11</f>
        <v>#DIV/0!</v>
      </c>
      <c r="N300" s="394">
        <f>N299/Valuation!M11</f>
        <v>0.32012296073287977</v>
      </c>
      <c r="O300" s="394">
        <f>O299/Valuation!N11</f>
        <v>0.3924474745913103</v>
      </c>
      <c r="P300" s="394">
        <f>P299/Valuation!O11</f>
        <v>-0.84840773860374785</v>
      </c>
      <c r="Q300" s="394">
        <f>Q299/Valuation!P11</f>
        <v>-5.1908103176152999E-2</v>
      </c>
      <c r="R300" s="394">
        <f>R299/Valuation!Q11</f>
        <v>0.35177482195764553</v>
      </c>
      <c r="S300" s="394">
        <f>S299/Valuation!R11</f>
        <v>0.20023577728413627</v>
      </c>
      <c r="T300" s="394">
        <f ca="1">T299/Valuation!S11</f>
        <v>0.12742786444870186</v>
      </c>
      <c r="U300" s="394" t="e">
        <f ca="1">U299/Valuation!T11</f>
        <v>#NAME?</v>
      </c>
      <c r="V300" s="394" t="e">
        <f ca="1">V299/Valuation!U11</f>
        <v>#NAME?</v>
      </c>
      <c r="W300" s="394" t="e">
        <f ca="1">W299/Valuation!V11</f>
        <v>#NAME?</v>
      </c>
      <c r="X300" s="394" t="e">
        <f ca="1">X299/Valuation!W11</f>
        <v>#NAME?</v>
      </c>
      <c r="Y300" s="394" t="e">
        <f ca="1">IF(Y108="","",Y299/Valuation!X11)</f>
        <v>#NAME?</v>
      </c>
      <c r="Z300" s="394" t="e">
        <f ca="1">IF(Z108="","",Z299/Valuation!Y11)</f>
        <v>#NAME?</v>
      </c>
      <c r="AA300" s="394" t="e">
        <f ca="1">IF(AA108="","",AA299/Valuation!Z11)</f>
        <v>#NAME?</v>
      </c>
      <c r="AB300" s="394" t="e">
        <f ca="1">IF(AB108="","",AB299/Valuation!AA11)</f>
        <v>#NAME?</v>
      </c>
      <c r="AC300" s="394" t="e">
        <f ca="1">IF(AC108="","",AC299/Valuation!AB11)</f>
        <v>#NAME?</v>
      </c>
      <c r="AD300" s="358"/>
    </row>
    <row r="301" spans="1:66" s="359" customFormat="1">
      <c r="A301" s="10"/>
      <c r="B301" s="9" t="s">
        <v>945</v>
      </c>
      <c r="C301" s="344"/>
      <c r="D301" s="344"/>
      <c r="E301" s="364"/>
      <c r="F301" s="364"/>
      <c r="G301" s="364"/>
      <c r="H301" s="364"/>
      <c r="I301" s="364" t="e">
        <f t="shared" ref="I301:Q301" si="117">$S$301</f>
        <v>#DIV/0!</v>
      </c>
      <c r="J301" s="364" t="e">
        <f t="shared" si="117"/>
        <v>#DIV/0!</v>
      </c>
      <c r="K301" s="364" t="e">
        <f t="shared" si="117"/>
        <v>#DIV/0!</v>
      </c>
      <c r="L301" s="364" t="e">
        <f t="shared" si="117"/>
        <v>#DIV/0!</v>
      </c>
      <c r="M301" s="364" t="e">
        <f t="shared" si="117"/>
        <v>#DIV/0!</v>
      </c>
      <c r="N301" s="364" t="e">
        <f t="shared" si="117"/>
        <v>#DIV/0!</v>
      </c>
      <c r="O301" s="364" t="e">
        <f t="shared" si="117"/>
        <v>#DIV/0!</v>
      </c>
      <c r="P301" s="364" t="e">
        <f t="shared" si="117"/>
        <v>#DIV/0!</v>
      </c>
      <c r="Q301" s="364" t="e">
        <f t="shared" si="117"/>
        <v>#DIV/0!</v>
      </c>
      <c r="R301" s="364" t="e">
        <f>$S$301</f>
        <v>#DIV/0!</v>
      </c>
      <c r="S301" s="395" t="e">
        <f>AVERAGE(J300:S300)</f>
        <v>#DIV/0!</v>
      </c>
      <c r="T301" s="364" t="e">
        <f>$S$301</f>
        <v>#DIV/0!</v>
      </c>
      <c r="U301" s="364" t="e">
        <f>$S$301</f>
        <v>#DIV/0!</v>
      </c>
      <c r="V301" s="364" t="e">
        <f>$S$301</f>
        <v>#DIV/0!</v>
      </c>
      <c r="W301" s="364" t="e">
        <f>$S$301</f>
        <v>#DIV/0!</v>
      </c>
      <c r="X301" s="364" t="e">
        <f>$S$301</f>
        <v>#DIV/0!</v>
      </c>
      <c r="Y301" s="364" t="e">
        <f>IF(Y108="","",$S$301)</f>
        <v>#DIV/0!</v>
      </c>
      <c r="Z301" s="364" t="e">
        <f>IF(Z108="","",$S$301)</f>
        <v>#DIV/0!</v>
      </c>
      <c r="AA301" s="364" t="e">
        <f>IF(AA108="","",$S$301)</f>
        <v>#DIV/0!</v>
      </c>
      <c r="AB301" s="364" t="e">
        <f>IF(AB108="","",$S$301)</f>
        <v>#DIV/0!</v>
      </c>
      <c r="AC301" s="364" t="e">
        <f>IF(AC108="","",$S$301)</f>
        <v>#DIV/0!</v>
      </c>
      <c r="AD301" s="358"/>
    </row>
    <row r="302" spans="1:66" s="359" customFormat="1" ht="30.25" customHeight="1">
      <c r="A302" s="10"/>
      <c r="B302" s="9" t="s">
        <v>946</v>
      </c>
      <c r="C302" s="344"/>
      <c r="D302" s="344"/>
      <c r="E302" s="364"/>
      <c r="F302" s="364"/>
      <c r="G302" s="364"/>
      <c r="H302" s="364"/>
      <c r="I302" s="396" t="e">
        <f>Valuation!H11/I288</f>
        <v>#DIV/0!</v>
      </c>
      <c r="J302" s="397" t="e">
        <f>Valuation!I11/J288</f>
        <v>#DIV/0!</v>
      </c>
      <c r="K302" s="397" t="e">
        <f>Valuation!J11/K288</f>
        <v>#DIV/0!</v>
      </c>
      <c r="L302" s="397" t="e">
        <f>Valuation!K11/L288</f>
        <v>#DIV/0!</v>
      </c>
      <c r="M302" s="397" t="e">
        <f>Valuation!L11/M288</f>
        <v>#DIV/0!</v>
      </c>
      <c r="N302" s="397">
        <f>Valuation!M11/N288</f>
        <v>-10.472228711958193</v>
      </c>
      <c r="O302" s="397">
        <f>Valuation!N11/O288</f>
        <v>1.123268714532675</v>
      </c>
      <c r="P302" s="397">
        <f>Valuation!O11/P288</f>
        <v>2.2636215630510823</v>
      </c>
      <c r="Q302" s="397">
        <f>Valuation!P11/Q288</f>
        <v>2.6527974100187928</v>
      </c>
      <c r="R302" s="397">
        <f>Valuation!Q11/R288</f>
        <v>2.5097349104894566</v>
      </c>
      <c r="S302" s="397">
        <f>Valuation!R11/S288</f>
        <v>2.1926911585233788</v>
      </c>
      <c r="T302" s="397">
        <f ca="1">Valuation!S11/T288</f>
        <v>2.2658041484096723</v>
      </c>
      <c r="U302" s="397" t="e">
        <f ca="1">Valuation!T11/U288</f>
        <v>#NAME?</v>
      </c>
      <c r="V302" s="397" t="e">
        <f ca="1">Valuation!U11/V288</f>
        <v>#NAME?</v>
      </c>
      <c r="W302" s="397" t="e">
        <f ca="1">Valuation!V11/W288</f>
        <v>#NAME?</v>
      </c>
      <c r="X302" s="397" t="e">
        <f ca="1">Valuation!W11/X288</f>
        <v>#NAME?</v>
      </c>
      <c r="Y302" s="397" t="e">
        <f ca="1">IF(Y108="","",Valuation!X11/Y288)</f>
        <v>#NAME?</v>
      </c>
      <c r="Z302" s="397" t="e">
        <f ca="1">IF(Z108="","",Valuation!Y11/Z288)</f>
        <v>#NAME?</v>
      </c>
      <c r="AA302" s="397" t="e">
        <f ca="1">IF(AA108="","",Valuation!Z11/AA288)</f>
        <v>#NAME?</v>
      </c>
      <c r="AB302" s="397" t="e">
        <f ca="1">IF(AB108="","",Valuation!AA11/AB288)</f>
        <v>#NAME?</v>
      </c>
      <c r="AC302" s="397" t="e">
        <f ca="1">IF(AC108="","",Valuation!AB11/AC288)</f>
        <v>#NAME?</v>
      </c>
      <c r="AD302" s="358"/>
    </row>
    <row r="303" spans="1:66" s="359" customFormat="1">
      <c r="A303" s="10"/>
      <c r="B303" s="9" t="s">
        <v>945</v>
      </c>
      <c r="C303" s="344"/>
      <c r="D303" s="344"/>
      <c r="E303" s="364"/>
      <c r="F303" s="364"/>
      <c r="G303" s="364"/>
      <c r="H303" s="364"/>
      <c r="I303" s="396" t="e">
        <f t="shared" ref="I303:Q303" si="118">$S$303</f>
        <v>#DIV/0!</v>
      </c>
      <c r="J303" s="397" t="e">
        <f t="shared" si="118"/>
        <v>#DIV/0!</v>
      </c>
      <c r="K303" s="397" t="e">
        <f t="shared" si="118"/>
        <v>#DIV/0!</v>
      </c>
      <c r="L303" s="397" t="e">
        <f t="shared" si="118"/>
        <v>#DIV/0!</v>
      </c>
      <c r="M303" s="397" t="e">
        <f t="shared" si="118"/>
        <v>#DIV/0!</v>
      </c>
      <c r="N303" s="397" t="e">
        <f t="shared" si="118"/>
        <v>#DIV/0!</v>
      </c>
      <c r="O303" s="397" t="e">
        <f t="shared" si="118"/>
        <v>#DIV/0!</v>
      </c>
      <c r="P303" s="397" t="e">
        <f t="shared" si="118"/>
        <v>#DIV/0!</v>
      </c>
      <c r="Q303" s="397" t="e">
        <f t="shared" si="118"/>
        <v>#DIV/0!</v>
      </c>
      <c r="R303" s="397" t="e">
        <f>$S$303</f>
        <v>#DIV/0!</v>
      </c>
      <c r="S303" s="397" t="e">
        <f>AVERAGE(J302:S302)</f>
        <v>#DIV/0!</v>
      </c>
      <c r="T303" s="397" t="e">
        <f>$S$303</f>
        <v>#DIV/0!</v>
      </c>
      <c r="U303" s="397" t="e">
        <f>$S$303</f>
        <v>#DIV/0!</v>
      </c>
      <c r="V303" s="397" t="e">
        <f>$S$303</f>
        <v>#DIV/0!</v>
      </c>
      <c r="W303" s="397" t="e">
        <f>$S$303</f>
        <v>#DIV/0!</v>
      </c>
      <c r="X303" s="397" t="e">
        <f>$S$303</f>
        <v>#DIV/0!</v>
      </c>
      <c r="Y303" s="397" t="e">
        <f>IF(Y108="","",$S$303)</f>
        <v>#DIV/0!</v>
      </c>
      <c r="Z303" s="397" t="e">
        <f>IF(Z108="","",$S$303)</f>
        <v>#DIV/0!</v>
      </c>
      <c r="AA303" s="397" t="e">
        <f>IF(AA108="","",$S$303)</f>
        <v>#DIV/0!</v>
      </c>
      <c r="AB303" s="397" t="e">
        <f>IF(AB108="","",$S$303)</f>
        <v>#DIV/0!</v>
      </c>
      <c r="AC303" s="397" t="e">
        <f>IF(AC108="","",$S$303)</f>
        <v>#DIV/0!</v>
      </c>
      <c r="AD303" s="358"/>
    </row>
    <row r="304" spans="1:66" s="359" customFormat="1">
      <c r="A304" s="10"/>
      <c r="B304" s="344"/>
      <c r="C304" s="344"/>
      <c r="D304" s="344"/>
      <c r="E304" s="364"/>
      <c r="F304" s="364"/>
      <c r="G304" s="364"/>
      <c r="H304" s="364"/>
      <c r="I304" s="398"/>
      <c r="J304" s="399"/>
      <c r="K304" s="399"/>
      <c r="L304" s="399"/>
      <c r="M304" s="399"/>
      <c r="N304" s="399"/>
      <c r="O304" s="399"/>
      <c r="P304" s="399"/>
      <c r="Q304" s="399"/>
      <c r="R304" s="399"/>
      <c r="S304" s="399"/>
      <c r="T304" s="399"/>
      <c r="U304" s="399"/>
      <c r="V304" s="399"/>
      <c r="W304" s="399"/>
      <c r="X304" s="399"/>
      <c r="Y304" s="399"/>
      <c r="Z304" s="399"/>
      <c r="AA304" s="399"/>
      <c r="AB304" s="399"/>
      <c r="AC304" s="399"/>
      <c r="AD304" s="358"/>
    </row>
    <row r="305" spans="1:66">
      <c r="B305" s="9" t="s">
        <v>947</v>
      </c>
      <c r="C305" s="314"/>
      <c r="D305" s="314"/>
      <c r="E305" s="327">
        <f t="shared" ref="E305:X305" si="119">-E299*E313</f>
        <v>0</v>
      </c>
      <c r="F305" s="327">
        <f t="shared" si="119"/>
        <v>0</v>
      </c>
      <c r="G305" s="327">
        <f t="shared" si="119"/>
        <v>0</v>
      </c>
      <c r="H305" s="327">
        <f t="shared" si="119"/>
        <v>0</v>
      </c>
      <c r="I305" s="350">
        <f>-I299*I313</f>
        <v>0</v>
      </c>
      <c r="J305" s="350">
        <f t="shared" si="119"/>
        <v>0</v>
      </c>
      <c r="K305" s="350">
        <f t="shared" si="119"/>
        <v>0</v>
      </c>
      <c r="L305" s="350">
        <f t="shared" si="119"/>
        <v>0</v>
      </c>
      <c r="M305" s="350">
        <f t="shared" si="119"/>
        <v>0</v>
      </c>
      <c r="N305" s="350">
        <f t="shared" si="119"/>
        <v>-85879.709999999992</v>
      </c>
      <c r="O305" s="350">
        <f t="shared" si="119"/>
        <v>-646079.69999999995</v>
      </c>
      <c r="P305" s="350">
        <f t="shared" si="119"/>
        <v>569098.06504110002</v>
      </c>
      <c r="Q305" s="350">
        <f t="shared" si="119"/>
        <v>33883.555749749998</v>
      </c>
      <c r="R305" s="350">
        <f t="shared" si="119"/>
        <v>-484902.55401524995</v>
      </c>
      <c r="S305" s="350">
        <f t="shared" si="119"/>
        <v>-301971.22059404996</v>
      </c>
      <c r="T305" s="350">
        <f t="shared" ca="1" si="119"/>
        <v>-182053.97439364757</v>
      </c>
      <c r="U305" s="350" t="e">
        <f t="shared" ca="1" si="119"/>
        <v>#NAME?</v>
      </c>
      <c r="V305" s="350" t="e">
        <f t="shared" ca="1" si="119"/>
        <v>#NAME?</v>
      </c>
      <c r="W305" s="350" t="e">
        <f t="shared" ca="1" si="119"/>
        <v>#NAME?</v>
      </c>
      <c r="X305" s="350" t="e">
        <f t="shared" ca="1" si="119"/>
        <v>#NAME?</v>
      </c>
      <c r="Y305" s="350" t="e">
        <f ca="1">IF(Y108="","",-Y299*Y313)</f>
        <v>#NAME?</v>
      </c>
      <c r="Z305" s="350" t="e">
        <f ca="1">IF(Z108="","",-Z299*Z313)</f>
        <v>#NAME?</v>
      </c>
      <c r="AA305" s="350" t="e">
        <f ca="1">IF(AA108="","",-AA299*AA313)</f>
        <v>#NAME?</v>
      </c>
      <c r="AB305" s="350" t="e">
        <f ca="1">IF(AB108="","",-AB299*AB313)</f>
        <v>#NAME?</v>
      </c>
      <c r="AC305" s="350" t="e">
        <f ca="1">IF(AC108="","",-AC299*AC313)</f>
        <v>#NAME?</v>
      </c>
      <c r="AD305" s="9"/>
      <c r="AE305" s="328"/>
    </row>
    <row r="306" spans="1:66">
      <c r="B306" s="230" t="s">
        <v>3633</v>
      </c>
      <c r="C306" s="391"/>
      <c r="D306" s="391"/>
      <c r="E306" s="400"/>
      <c r="F306" s="400"/>
      <c r="G306" s="400"/>
      <c r="H306" s="400"/>
      <c r="I306" s="371"/>
      <c r="J306" s="371"/>
      <c r="K306" s="371"/>
      <c r="L306" s="371"/>
      <c r="M306" s="371"/>
      <c r="N306" s="371"/>
      <c r="O306" s="371"/>
      <c r="P306" s="371"/>
      <c r="Q306" s="371"/>
      <c r="R306" s="371"/>
      <c r="S306" s="371"/>
      <c r="T306" s="371"/>
      <c r="U306" s="371"/>
      <c r="V306" s="371"/>
      <c r="W306" s="371"/>
      <c r="X306" s="371"/>
      <c r="Y306" s="371"/>
      <c r="Z306" s="371"/>
      <c r="AA306" s="371"/>
      <c r="AB306" s="371"/>
      <c r="AC306" s="371"/>
      <c r="AD306" s="9"/>
      <c r="AE306" s="328"/>
    </row>
    <row r="307" spans="1:66">
      <c r="B307" s="230" t="s">
        <v>3634</v>
      </c>
      <c r="C307" s="391"/>
      <c r="D307" s="391"/>
      <c r="E307" s="400"/>
      <c r="F307" s="400"/>
      <c r="G307" s="400"/>
      <c r="H307" s="400"/>
      <c r="I307" s="371"/>
      <c r="J307" s="371"/>
      <c r="K307" s="371"/>
      <c r="L307" s="371"/>
      <c r="M307" s="371"/>
      <c r="N307" s="371"/>
      <c r="O307" s="371"/>
      <c r="P307" s="371"/>
      <c r="Q307" s="371"/>
      <c r="R307" s="371"/>
      <c r="S307" s="371"/>
      <c r="T307" s="371"/>
      <c r="U307" s="371"/>
      <c r="V307" s="371"/>
      <c r="W307" s="371"/>
      <c r="X307" s="371"/>
      <c r="Y307" s="371"/>
      <c r="Z307" s="371"/>
      <c r="AA307" s="371"/>
      <c r="AB307" s="371"/>
      <c r="AC307" s="371"/>
      <c r="AD307" s="9"/>
    </row>
    <row r="308" spans="1:66" s="388" customFormat="1">
      <c r="A308" s="10"/>
      <c r="B308" s="42" t="s">
        <v>948</v>
      </c>
      <c r="C308" s="209"/>
      <c r="D308" s="209"/>
      <c r="E308" s="385">
        <f t="shared" ref="E308:X308" si="120">+E299+E307+E306+E305</f>
        <v>0</v>
      </c>
      <c r="F308" s="385">
        <f t="shared" si="120"/>
        <v>0</v>
      </c>
      <c r="G308" s="385">
        <f t="shared" si="120"/>
        <v>0</v>
      </c>
      <c r="H308" s="385">
        <f t="shared" si="120"/>
        <v>0</v>
      </c>
      <c r="I308" s="386">
        <f>+I299+I307+I306+I305</f>
        <v>0</v>
      </c>
      <c r="J308" s="386">
        <f t="shared" si="120"/>
        <v>0</v>
      </c>
      <c r="K308" s="386">
        <f t="shared" si="120"/>
        <v>0</v>
      </c>
      <c r="L308" s="386">
        <f t="shared" si="120"/>
        <v>0</v>
      </c>
      <c r="M308" s="386">
        <f t="shared" si="120"/>
        <v>0</v>
      </c>
      <c r="N308" s="386">
        <f t="shared" si="120"/>
        <v>323071.29000000004</v>
      </c>
      <c r="O308" s="386">
        <f t="shared" si="120"/>
        <v>2430490.2999999998</v>
      </c>
      <c r="P308" s="386">
        <f t="shared" si="120"/>
        <v>-2140892.7208689</v>
      </c>
      <c r="Q308" s="386">
        <f t="shared" si="120"/>
        <v>-127466.70972525</v>
      </c>
      <c r="R308" s="386">
        <f t="shared" si="120"/>
        <v>1824157.22700975</v>
      </c>
      <c r="S308" s="386">
        <f t="shared" si="120"/>
        <v>1135986.9727109501</v>
      </c>
      <c r="T308" s="386">
        <f t="shared" ca="1" si="120"/>
        <v>684869.71319515049</v>
      </c>
      <c r="U308" s="386" t="e">
        <f t="shared" ca="1" si="120"/>
        <v>#NAME?</v>
      </c>
      <c r="V308" s="386" t="e">
        <f t="shared" ca="1" si="120"/>
        <v>#NAME?</v>
      </c>
      <c r="W308" s="386" t="e">
        <f t="shared" ca="1" si="120"/>
        <v>#NAME?</v>
      </c>
      <c r="X308" s="386" t="e">
        <f t="shared" ca="1" si="120"/>
        <v>#NAME?</v>
      </c>
      <c r="Y308" s="386" t="e">
        <f ca="1">IF(Y108="","",Y299+Y307+Y306+Y305)</f>
        <v>#NAME?</v>
      </c>
      <c r="Z308" s="386" t="e">
        <f ca="1">IF(Z108="","",Z299+Z307+Z306+Z305)</f>
        <v>#NAME?</v>
      </c>
      <c r="AA308" s="386" t="e">
        <f ca="1">IF(AA108="","",AA299+AA307+AA306+AA305)</f>
        <v>#NAME?</v>
      </c>
      <c r="AB308" s="386" t="e">
        <f ca="1">IF(AB108="","",AB299+AB307+AB306+AB305)</f>
        <v>#NAME?</v>
      </c>
      <c r="AC308" s="386" t="e">
        <f ca="1">IF(AC108="","",AC299+AC307+AC306+AC305)</f>
        <v>#NAME?</v>
      </c>
      <c r="AD308" s="9"/>
      <c r="AE308" s="387"/>
      <c r="AF308" s="387"/>
      <c r="AG308" s="387"/>
      <c r="AH308" s="387"/>
      <c r="AI308" s="387"/>
      <c r="AJ308" s="387"/>
      <c r="AK308" s="387"/>
      <c r="AL308" s="387"/>
      <c r="AM308" s="387"/>
      <c r="AN308" s="387"/>
      <c r="AO308" s="387"/>
      <c r="AP308" s="387"/>
      <c r="AQ308" s="387"/>
      <c r="AR308" s="387"/>
      <c r="AS308" s="387"/>
      <c r="AT308" s="387"/>
      <c r="AU308" s="387"/>
      <c r="AV308" s="387"/>
      <c r="AW308" s="387"/>
      <c r="AX308" s="387"/>
      <c r="AY308" s="387"/>
      <c r="AZ308" s="387"/>
      <c r="BA308" s="387"/>
      <c r="BB308" s="387"/>
      <c r="BC308" s="387"/>
      <c r="BD308" s="387"/>
      <c r="BE308" s="387"/>
      <c r="BF308" s="387"/>
      <c r="BG308" s="387"/>
      <c r="BH308" s="387"/>
      <c r="BI308" s="387"/>
      <c r="BJ308" s="387"/>
      <c r="BK308" s="387"/>
      <c r="BL308" s="387"/>
      <c r="BM308" s="387"/>
      <c r="BN308" s="387"/>
    </row>
    <row r="309" spans="1:66" ht="30.25" customHeight="1">
      <c r="B309" s="9" t="s">
        <v>949</v>
      </c>
      <c r="C309" s="314"/>
      <c r="D309" s="314"/>
      <c r="E309" s="327"/>
      <c r="F309" s="327"/>
      <c r="G309" s="327"/>
      <c r="H309" s="327"/>
      <c r="I309" s="350">
        <f>I248+I215+I182+I149</f>
        <v>0</v>
      </c>
      <c r="J309" s="350">
        <f t="shared" ref="J309:X309" si="121">J248+J215+J182+J149</f>
        <v>0</v>
      </c>
      <c r="K309" s="350">
        <f t="shared" si="121"/>
        <v>0</v>
      </c>
      <c r="L309" s="350">
        <f t="shared" si="121"/>
        <v>0</v>
      </c>
      <c r="M309" s="350">
        <f t="shared" si="121"/>
        <v>0</v>
      </c>
      <c r="N309" s="350">
        <f t="shared" si="121"/>
        <v>0</v>
      </c>
      <c r="O309" s="350">
        <f t="shared" si="121"/>
        <v>0</v>
      </c>
      <c r="P309" s="350">
        <f t="shared" si="121"/>
        <v>209.19400000000002</v>
      </c>
      <c r="Q309" s="350">
        <f t="shared" si="121"/>
        <v>328.51400000000001</v>
      </c>
      <c r="R309" s="350">
        <f t="shared" si="121"/>
        <v>1955.25</v>
      </c>
      <c r="S309" s="350">
        <f t="shared" si="121"/>
        <v>2836.4429999999998</v>
      </c>
      <c r="T309" s="350">
        <f t="shared" si="121"/>
        <v>0</v>
      </c>
      <c r="U309" s="350">
        <f t="shared" si="121"/>
        <v>0</v>
      </c>
      <c r="V309" s="350">
        <f t="shared" si="121"/>
        <v>0</v>
      </c>
      <c r="W309" s="350">
        <f t="shared" si="121"/>
        <v>0</v>
      </c>
      <c r="X309" s="350">
        <f t="shared" si="121"/>
        <v>0</v>
      </c>
      <c r="Y309" s="350">
        <f>IF(Y108="","",Y248+Y215+Y182+Y149)</f>
        <v>0</v>
      </c>
      <c r="Z309" s="350">
        <f>IF(Z108="","",Z248+Z215+Z182+Z149)</f>
        <v>0</v>
      </c>
      <c r="AA309" s="350">
        <f>IF(AA108="","",AA248+AA215+AA182+AA149)</f>
        <v>0</v>
      </c>
      <c r="AB309" s="350">
        <f>IF(AB108="","",AB248+AB215+AB182+AB149)</f>
        <v>0</v>
      </c>
      <c r="AC309" s="350">
        <f>IF(AC108="","",AC248+AC215+AC182+AC149)</f>
        <v>0</v>
      </c>
      <c r="AD309" s="9"/>
      <c r="AE309" s="328"/>
    </row>
    <row r="310" spans="1:66">
      <c r="B310" s="9" t="s">
        <v>950</v>
      </c>
      <c r="C310" s="314"/>
      <c r="D310" s="314"/>
      <c r="E310" s="327"/>
      <c r="F310" s="327"/>
      <c r="G310" s="327"/>
      <c r="H310" s="327"/>
      <c r="I310" s="350">
        <f>Valuation!H13+Valuation!H16+Valuation!H18+Valuation!H20+Valuation!H22-I309</f>
        <v>0</v>
      </c>
      <c r="J310" s="350">
        <f>Valuation!I13+Valuation!I16+Valuation!I18+Valuation!I20+Valuation!I22-J309</f>
        <v>0</v>
      </c>
      <c r="K310" s="350">
        <f>Valuation!J13+Valuation!J16+Valuation!J18+Valuation!J20+Valuation!J22-K309</f>
        <v>0</v>
      </c>
      <c r="L310" s="350">
        <f>Valuation!K13+Valuation!K16+Valuation!K18+Valuation!K20+Valuation!K22-L309</f>
        <v>0</v>
      </c>
      <c r="M310" s="350">
        <f>Valuation!L13+Valuation!L16+Valuation!L18+Valuation!L20+Valuation!L22-M309</f>
        <v>0</v>
      </c>
      <c r="N310" s="350">
        <f>Valuation!M13+Valuation!M16+Valuation!M18+Valuation!M20+Valuation!M22-N309</f>
        <v>868530</v>
      </c>
      <c r="O310" s="350">
        <f>Valuation!N13+Valuation!N16+Valuation!N18+Valuation!N20+Valuation!N22-O309</f>
        <v>4762874</v>
      </c>
      <c r="P310" s="350">
        <f>Valuation!O13+Valuation!O16+Valuation!O18+Valuation!O20+Valuation!O22-P309</f>
        <v>5904206.8059999999</v>
      </c>
      <c r="Q310" s="350">
        <f>Valuation!P13+Valuation!P16+Valuation!P18+Valuation!P20+Valuation!P22-Q309</f>
        <v>3269716.486</v>
      </c>
      <c r="R310" s="350">
        <f>Valuation!Q13+Valuation!Q16+Valuation!Q18+Valuation!Q20+Valuation!Q22-R309</f>
        <v>4254912.75</v>
      </c>
      <c r="S310" s="350">
        <f>Valuation!R13+Valuation!R16+Valuation!R18+Valuation!R20+Valuation!R22-S309</f>
        <v>5743047.557</v>
      </c>
      <c r="T310" s="350">
        <f ca="1">Valuation!S13+Valuation!S16+Valuation!S18+Valuation!S20+Valuation!S22-T309</f>
        <v>5935672.9492581766</v>
      </c>
      <c r="U310" s="350" t="e">
        <f ca="1">Valuation!T13+Valuation!T16+Valuation!T18+Valuation!T20+Valuation!T22-U309</f>
        <v>#NAME?</v>
      </c>
      <c r="V310" s="350" t="e">
        <f ca="1">Valuation!U13+Valuation!U16+Valuation!U18+Valuation!U20+Valuation!U22-V309</f>
        <v>#NAME?</v>
      </c>
      <c r="W310" s="350" t="e">
        <f ca="1">Valuation!V13+Valuation!V16+Valuation!V18+Valuation!V20+Valuation!V22-W309</f>
        <v>#NAME?</v>
      </c>
      <c r="X310" s="350" t="e">
        <f ca="1">Valuation!W13+Valuation!W16+Valuation!W18+Valuation!W20+Valuation!W22-X309</f>
        <v>#NAME?</v>
      </c>
      <c r="Y310" s="350" t="e">
        <f ca="1">Valuation!X13+Valuation!X16+Valuation!X18+Valuation!X20+Valuation!X22-Y309</f>
        <v>#NAME?</v>
      </c>
      <c r="Z310" s="350" t="e">
        <f ca="1">Valuation!Y13+Valuation!Y16+Valuation!Y18+Valuation!Y20+Valuation!Y22-Z309</f>
        <v>#NAME?</v>
      </c>
      <c r="AA310" s="350" t="e">
        <f ca="1">Valuation!Z13+Valuation!Z16+Valuation!Z18+Valuation!Z20+Valuation!Z22-AA309</f>
        <v>#NAME?</v>
      </c>
      <c r="AB310" s="350" t="e">
        <f ca="1">Valuation!AA13+Valuation!AA16+Valuation!AA18+Valuation!AA20+Valuation!AA22-AB309</f>
        <v>#NAME?</v>
      </c>
      <c r="AC310" s="350" t="e">
        <f ca="1">Valuation!AB13+Valuation!AB16+Valuation!AB18+Valuation!AB20+Valuation!AB22-AC309</f>
        <v>#NAME?</v>
      </c>
      <c r="AD310" s="9"/>
      <c r="AE310" s="328"/>
    </row>
    <row r="311" spans="1:66">
      <c r="B311" s="9" t="s">
        <v>951</v>
      </c>
      <c r="C311" s="314"/>
      <c r="D311" s="314"/>
      <c r="E311" s="327"/>
      <c r="F311" s="327"/>
      <c r="G311" s="327"/>
      <c r="H311" s="327"/>
      <c r="I311" s="350">
        <f>-Valuation!H61</f>
        <v>0</v>
      </c>
      <c r="J311" s="350">
        <f>-Valuation!I61</f>
        <v>0</v>
      </c>
      <c r="K311" s="350">
        <f>-Valuation!J61</f>
        <v>0</v>
      </c>
      <c r="L311" s="350">
        <f>-Valuation!K61</f>
        <v>0</v>
      </c>
      <c r="M311" s="350">
        <f>-Valuation!L61</f>
        <v>0</v>
      </c>
      <c r="N311" s="350">
        <f>-Valuation!M61</f>
        <v>0</v>
      </c>
      <c r="O311" s="350">
        <f>-Valuation!N61</f>
        <v>18802</v>
      </c>
      <c r="P311" s="350">
        <f>-Valuation!O61</f>
        <v>24952</v>
      </c>
      <c r="Q311" s="350">
        <f>-Valuation!P61</f>
        <v>70000</v>
      </c>
      <c r="R311" s="350">
        <f>-Valuation!Q61</f>
        <v>110500</v>
      </c>
      <c r="S311" s="350">
        <f>-Valuation!R61</f>
        <v>138300</v>
      </c>
      <c r="T311" s="350">
        <f ca="1">-Valuation!S61</f>
        <v>142868.26133458148</v>
      </c>
      <c r="U311" s="350" t="e">
        <f ca="1">-Valuation!T61</f>
        <v>#NAME?</v>
      </c>
      <c r="V311" s="350" t="e">
        <f ca="1">-Valuation!U61</f>
        <v>#NAME?</v>
      </c>
      <c r="W311" s="350" t="e">
        <f ca="1">-Valuation!V61</f>
        <v>#NAME?</v>
      </c>
      <c r="X311" s="350" t="e">
        <f ca="1">-Valuation!W61</f>
        <v>#NAME?</v>
      </c>
      <c r="Y311" s="350" t="e">
        <f ca="1">IF(Y108="","",-Valuation!X61)</f>
        <v>#NAME?</v>
      </c>
      <c r="Z311" s="350" t="e">
        <f ca="1">IF(Z108="","",-Valuation!Y61)</f>
        <v>#NAME?</v>
      </c>
      <c r="AA311" s="350" t="e">
        <f ca="1">IF(AA108="","",-Valuation!Z61)</f>
        <v>#NAME?</v>
      </c>
      <c r="AB311" s="350" t="e">
        <f ca="1">IF(AB108="","",-Valuation!AA61)</f>
        <v>#NAME?</v>
      </c>
      <c r="AC311" s="350" t="e">
        <f ca="1">IF(AC108="","",-Valuation!AB61)</f>
        <v>#NAME?</v>
      </c>
      <c r="AD311" s="9"/>
      <c r="AE311" s="328"/>
    </row>
    <row r="312" spans="1:66" ht="30.25" customHeight="1">
      <c r="B312" s="98" t="s">
        <v>3</v>
      </c>
      <c r="C312" s="98"/>
      <c r="D312" s="98"/>
      <c r="E312" s="224" t="e">
        <f t="shared" ref="E312:X312" ca="1" si="122">WACC</f>
        <v>#NAME?</v>
      </c>
      <c r="F312" s="224" t="e">
        <f t="shared" ca="1" si="122"/>
        <v>#NAME?</v>
      </c>
      <c r="G312" s="224" t="e">
        <f t="shared" ca="1" si="122"/>
        <v>#NAME?</v>
      </c>
      <c r="H312" s="224" t="e">
        <f t="shared" ca="1" si="122"/>
        <v>#NAME?</v>
      </c>
      <c r="I312" s="224" t="e">
        <f t="shared" ca="1" si="122"/>
        <v>#NAME?</v>
      </c>
      <c r="J312" s="224" t="e">
        <f t="shared" ca="1" si="122"/>
        <v>#NAME?</v>
      </c>
      <c r="K312" s="224" t="e">
        <f t="shared" ca="1" si="122"/>
        <v>#NAME?</v>
      </c>
      <c r="L312" s="224" t="e">
        <f t="shared" ca="1" si="122"/>
        <v>#NAME?</v>
      </c>
      <c r="M312" s="224" t="e">
        <f t="shared" ca="1" si="122"/>
        <v>#NAME?</v>
      </c>
      <c r="N312" s="224" t="e">
        <f t="shared" ca="1" si="122"/>
        <v>#NAME?</v>
      </c>
      <c r="O312" s="224" t="e">
        <f t="shared" ca="1" si="122"/>
        <v>#NAME?</v>
      </c>
      <c r="P312" s="224" t="e">
        <f t="shared" ca="1" si="122"/>
        <v>#NAME?</v>
      </c>
      <c r="Q312" s="224" t="e">
        <f t="shared" ca="1" si="122"/>
        <v>#NAME?</v>
      </c>
      <c r="R312" s="224" t="e">
        <f t="shared" ca="1" si="122"/>
        <v>#NAME?</v>
      </c>
      <c r="S312" s="224" t="e">
        <f t="shared" ca="1" si="122"/>
        <v>#NAME?</v>
      </c>
      <c r="T312" s="224" t="e">
        <f t="shared" ca="1" si="122"/>
        <v>#NAME?</v>
      </c>
      <c r="U312" s="224" t="e">
        <f t="shared" ca="1" si="122"/>
        <v>#NAME?</v>
      </c>
      <c r="V312" s="224" t="e">
        <f t="shared" ca="1" si="122"/>
        <v>#NAME?</v>
      </c>
      <c r="W312" s="224" t="e">
        <f t="shared" ca="1" si="122"/>
        <v>#NAME?</v>
      </c>
      <c r="X312" s="224" t="e">
        <f t="shared" ca="1" si="122"/>
        <v>#NAME?</v>
      </c>
      <c r="Y312" s="224" t="e">
        <f ca="1">IF(Y108="","",WACC)</f>
        <v>#NAME?</v>
      </c>
      <c r="Z312" s="224" t="e">
        <f ca="1">IF(Z108="","",WACC)</f>
        <v>#NAME?</v>
      </c>
      <c r="AA312" s="224" t="e">
        <f ca="1">IF(AA108="","",WACC)</f>
        <v>#NAME?</v>
      </c>
      <c r="AB312" s="224" t="e">
        <f ca="1">IF(AB108="","",WACC)</f>
        <v>#NAME?</v>
      </c>
      <c r="AC312" s="224" t="e">
        <f ca="1">IF(AC108="","",WACC)</f>
        <v>#NAME?</v>
      </c>
      <c r="AD312" s="98"/>
    </row>
    <row r="313" spans="1:66">
      <c r="B313" s="98" t="s">
        <v>952</v>
      </c>
      <c r="C313" s="98"/>
      <c r="D313" s="98"/>
      <c r="E313" s="224">
        <f>Valuation!$Y$112</f>
        <v>0.21</v>
      </c>
      <c r="F313" s="224">
        <f>Valuation!$Y$112</f>
        <v>0.21</v>
      </c>
      <c r="G313" s="224">
        <f>Valuation!$Y$112</f>
        <v>0.21</v>
      </c>
      <c r="H313" s="224">
        <f>Valuation!$Y$112</f>
        <v>0.21</v>
      </c>
      <c r="I313" s="224">
        <f>Valuation!$Y$112</f>
        <v>0.21</v>
      </c>
      <c r="J313" s="224">
        <f>Valuation!$Y$112</f>
        <v>0.21</v>
      </c>
      <c r="K313" s="224">
        <f>Valuation!$Y$112</f>
        <v>0.21</v>
      </c>
      <c r="L313" s="224">
        <f>Valuation!$Y$112</f>
        <v>0.21</v>
      </c>
      <c r="M313" s="224">
        <f>Valuation!$Y$112</f>
        <v>0.21</v>
      </c>
      <c r="N313" s="224">
        <f>Valuation!$Y$112</f>
        <v>0.21</v>
      </c>
      <c r="O313" s="224">
        <f>Valuation!$Y$112</f>
        <v>0.21</v>
      </c>
      <c r="P313" s="224">
        <f>Valuation!$Y$112</f>
        <v>0.21</v>
      </c>
      <c r="Q313" s="224">
        <f>Valuation!$Y$112</f>
        <v>0.21</v>
      </c>
      <c r="R313" s="224">
        <f>Valuation!$Y$112</f>
        <v>0.21</v>
      </c>
      <c r="S313" s="224">
        <f>Valuation!$Y$112</f>
        <v>0.21</v>
      </c>
      <c r="T313" s="224">
        <f>Valuation!$Y$112</f>
        <v>0.21</v>
      </c>
      <c r="U313" s="224">
        <f>Valuation!$Y$112</f>
        <v>0.21</v>
      </c>
      <c r="V313" s="224">
        <f>Valuation!$Y$112</f>
        <v>0.21</v>
      </c>
      <c r="W313" s="224">
        <f>Valuation!$Y$112</f>
        <v>0.21</v>
      </c>
      <c r="X313" s="224">
        <f>Valuation!$Y$112</f>
        <v>0.21</v>
      </c>
      <c r="Y313" s="224">
        <f>IF(Y108="","",Valuation!$Y$112)</f>
        <v>0.21</v>
      </c>
      <c r="Z313" s="224">
        <f>IF(Z108="","",Valuation!$Y$112)</f>
        <v>0.21</v>
      </c>
      <c r="AA313" s="224">
        <f>IF(AA108="","",Valuation!$Y$112)</f>
        <v>0.21</v>
      </c>
      <c r="AB313" s="224">
        <f>IF(AB108="","",Valuation!$Y$112)</f>
        <v>0.21</v>
      </c>
      <c r="AC313" s="224">
        <f>IF(AC108="","",Valuation!$Y$112)</f>
        <v>0.21</v>
      </c>
      <c r="AD313" s="98"/>
    </row>
    <row r="314" spans="1:66">
      <c r="B314" s="98" t="s">
        <v>953</v>
      </c>
      <c r="C314" s="98"/>
      <c r="D314" s="98"/>
      <c r="E314" s="98"/>
      <c r="F314" s="224" t="e">
        <f t="shared" ref="F314:X314" si="123">IF(E288=0, F308/F288, F308/AVERAGE(F288,E288))</f>
        <v>#DIV/0!</v>
      </c>
      <c r="G314" s="224" t="e">
        <f t="shared" si="123"/>
        <v>#DIV/0!</v>
      </c>
      <c r="H314" s="224" t="e">
        <f t="shared" si="123"/>
        <v>#DIV/0!</v>
      </c>
      <c r="I314" s="224" t="e">
        <f t="shared" si="123"/>
        <v>#DIV/0!</v>
      </c>
      <c r="J314" s="224" t="e">
        <f t="shared" si="123"/>
        <v>#DIV/0!</v>
      </c>
      <c r="K314" s="224" t="e">
        <f t="shared" si="123"/>
        <v>#DIV/0!</v>
      </c>
      <c r="L314" s="224" t="e">
        <f t="shared" si="123"/>
        <v>#DIV/0!</v>
      </c>
      <c r="M314" s="224" t="e">
        <f t="shared" si="123"/>
        <v>#DIV/0!</v>
      </c>
      <c r="N314" s="224">
        <f t="shared" si="123"/>
        <v>-2.6483966799877039</v>
      </c>
      <c r="O314" s="224">
        <f t="shared" si="123"/>
        <v>0.70889252418735338</v>
      </c>
      <c r="P314" s="224">
        <f t="shared" si="123"/>
        <v>-0.51032930826710443</v>
      </c>
      <c r="Q314" s="224">
        <f t="shared" si="123"/>
        <v>-9.8702641391352847E-2</v>
      </c>
      <c r="R314" s="224">
        <f t="shared" si="123"/>
        <v>0.96333664335496882</v>
      </c>
      <c r="S314" s="224">
        <f t="shared" si="123"/>
        <v>0.38569835831493221</v>
      </c>
      <c r="T314" s="224">
        <f t="shared" ca="1" si="123"/>
        <v>0.21819142868643865</v>
      </c>
      <c r="U314" s="224" t="e">
        <f t="shared" ca="1" si="123"/>
        <v>#NAME?</v>
      </c>
      <c r="V314" s="224" t="e">
        <f t="shared" ca="1" si="123"/>
        <v>#VALUE!</v>
      </c>
      <c r="W314" s="224" t="e">
        <f t="shared" ca="1" si="123"/>
        <v>#VALUE!</v>
      </c>
      <c r="X314" s="224" t="e">
        <f t="shared" ca="1" si="123"/>
        <v>#VALUE!</v>
      </c>
      <c r="Y314" s="224" t="e">
        <f ca="1">IF(Y108="","",Y308/AVERAGE(Y288,X288))</f>
        <v>#NAME?</v>
      </c>
      <c r="Z314" s="224" t="e">
        <f ca="1">IF(Z108="","",Z308/AVERAGE(Z288,Y288))</f>
        <v>#NAME?</v>
      </c>
      <c r="AA314" s="224" t="e">
        <f ca="1">IF(AA108="","",AA308/AVERAGE(AA288,Z288))</f>
        <v>#NAME?</v>
      </c>
      <c r="AB314" s="224" t="e">
        <f ca="1">IF(AB108="","",AB308/AVERAGE(AB288,AA288))</f>
        <v>#NAME?</v>
      </c>
      <c r="AC314" s="224" t="e">
        <f ca="1">IF(AC108="","",AC308/AVERAGE(AC288,AB288))</f>
        <v>#NAME?</v>
      </c>
      <c r="AD314" s="98"/>
    </row>
    <row r="315" spans="1:66">
      <c r="B315" s="98" t="str">
        <f>IF(C28="Yes", "ROIC, Excl. Goodwill","ROIC, Incl. Goodwill")</f>
        <v>ROIC, Excl. Goodwill</v>
      </c>
      <c r="C315" s="98"/>
      <c r="D315" s="98"/>
      <c r="E315" s="98"/>
      <c r="F315" s="224" t="e">
        <f t="shared" ref="F315:X315" si="124">IF($C$28="Yes",IF((E288-E283)=0,F308/(F288-F283),F308/((F288-F283+E288-E283)/2)),IF((E288+E140)=0,F308/(F288+F140),F308/((F288+E288+F140+E140)/2)))</f>
        <v>#DIV/0!</v>
      </c>
      <c r="G315" s="224" t="e">
        <f t="shared" si="124"/>
        <v>#DIV/0!</v>
      </c>
      <c r="H315" s="224" t="e">
        <f t="shared" si="124"/>
        <v>#DIV/0!</v>
      </c>
      <c r="I315" s="224" t="e">
        <f t="shared" si="124"/>
        <v>#DIV/0!</v>
      </c>
      <c r="J315" s="224" t="e">
        <f t="shared" si="124"/>
        <v>#DIV/0!</v>
      </c>
      <c r="K315" s="224" t="e">
        <f t="shared" si="124"/>
        <v>#DIV/0!</v>
      </c>
      <c r="L315" s="224" t="e">
        <f t="shared" si="124"/>
        <v>#DIV/0!</v>
      </c>
      <c r="M315" s="224" t="e">
        <f t="shared" si="124"/>
        <v>#DIV/0!</v>
      </c>
      <c r="N315" s="224">
        <f t="shared" si="124"/>
        <v>-2.6483966799877039</v>
      </c>
      <c r="O315" s="224">
        <f t="shared" si="124"/>
        <v>0.70889252418735338</v>
      </c>
      <c r="P315" s="224">
        <f t="shared" si="124"/>
        <v>-0.51033263512704863</v>
      </c>
      <c r="Q315" s="224">
        <f t="shared" si="124"/>
        <v>-9.8707682477216396E-2</v>
      </c>
      <c r="R315" s="224">
        <f t="shared" si="124"/>
        <v>0.96351549021057181</v>
      </c>
      <c r="S315" s="224">
        <f t="shared" si="124"/>
        <v>0.38580968022252821</v>
      </c>
      <c r="T315" s="224">
        <f t="shared" ca="1" si="124"/>
        <v>0.21822876040507683</v>
      </c>
      <c r="U315" s="224" t="e">
        <f t="shared" ca="1" si="124"/>
        <v>#NAME?</v>
      </c>
      <c r="V315" s="224" t="e">
        <f t="shared" ca="1" si="124"/>
        <v>#VALUE!</v>
      </c>
      <c r="W315" s="224" t="e">
        <f t="shared" ca="1" si="124"/>
        <v>#VALUE!</v>
      </c>
      <c r="X315" s="224" t="e">
        <f t="shared" ca="1" si="124"/>
        <v>#VALUE!</v>
      </c>
      <c r="Y315" s="224" t="e">
        <f ca="1">IF(Y108="","",IF($C$28="Yes",Y308/((Y288-Y283+X288-X283)/2),Y308/((Y288+X288+Y140+X140)/2)))</f>
        <v>#NAME?</v>
      </c>
      <c r="Z315" s="224" t="e">
        <f ca="1">IF(Z108="","",IF($C$28="Yes",Z308/((Z288-Z283+Y288-Y283)/2),Z308/((Z288+Y288+Z140+Y140)/2)))</f>
        <v>#NAME?</v>
      </c>
      <c r="AA315" s="224" t="e">
        <f ca="1">IF(AA108="","",IF($C$28="Yes",AA308/((AA288-AA283+Z288-Z283)/2),AA308/((AA288+Z288+AA140+Z140)/2)))</f>
        <v>#NAME?</v>
      </c>
      <c r="AB315" s="224" t="e">
        <f ca="1">IF(AB108="","",IF($C$28="Yes",AB308/((AB288-AB283+AA288-AA283)/2),AB308/((AB288+AA288+AB140+AA140)/2)))</f>
        <v>#NAME?</v>
      </c>
      <c r="AC315" s="224" t="e">
        <f ca="1">IF(AC108="","",IF($C$28="Yes",AC308/((AC288-AC283+AB288-AB283)/2),AC308/((AC288+AB288+AC140+AB140)/2)))</f>
        <v>#NAME?</v>
      </c>
      <c r="AD315" s="98"/>
    </row>
    <row r="316" spans="1:66">
      <c r="B316" s="98" t="s">
        <v>3699</v>
      </c>
      <c r="C316" s="98"/>
      <c r="D316" s="98"/>
      <c r="E316" s="98"/>
      <c r="F316" s="98"/>
      <c r="G316" s="98"/>
      <c r="H316" s="98"/>
      <c r="I316" s="205">
        <f t="shared" ref="I316:AC316" si="125">IFERROR((I308-H308)/(I288-H288),0)</f>
        <v>0</v>
      </c>
      <c r="J316" s="205">
        <f t="shared" si="125"/>
        <v>0</v>
      </c>
      <c r="K316" s="205">
        <f t="shared" si="125"/>
        <v>0</v>
      </c>
      <c r="L316" s="205">
        <f t="shared" si="125"/>
        <v>0</v>
      </c>
      <c r="M316" s="205">
        <f t="shared" si="125"/>
        <v>0</v>
      </c>
      <c r="N316" s="205">
        <f t="shared" si="125"/>
        <v>-2.6483966799877039</v>
      </c>
      <c r="O316" s="205">
        <f t="shared" si="125"/>
        <v>0.29677265953375676</v>
      </c>
      <c r="P316" s="205">
        <f t="shared" si="125"/>
        <v>0.82100547726926965</v>
      </c>
      <c r="Q316" s="205">
        <f t="shared" si="125"/>
        <v>-8.4114486625182963</v>
      </c>
      <c r="R316" s="205">
        <f t="shared" si="125"/>
        <v>1.3518312510483304</v>
      </c>
      <c r="S316" s="205">
        <f t="shared" si="125"/>
        <v>-1.0431683545504735</v>
      </c>
      <c r="T316" s="205">
        <f t="shared" ca="1" si="125"/>
        <v>1.6552172431142143</v>
      </c>
      <c r="U316" s="205">
        <f t="shared" ca="1" si="125"/>
        <v>0</v>
      </c>
      <c r="V316" s="205">
        <f t="shared" ca="1" si="125"/>
        <v>0</v>
      </c>
      <c r="W316" s="205">
        <f t="shared" ca="1" si="125"/>
        <v>0</v>
      </c>
      <c r="X316" s="205">
        <f t="shared" ca="1" si="125"/>
        <v>0</v>
      </c>
      <c r="Y316" s="205">
        <f t="shared" ca="1" si="125"/>
        <v>0</v>
      </c>
      <c r="Z316" s="205">
        <f t="shared" ca="1" si="125"/>
        <v>0</v>
      </c>
      <c r="AA316" s="205">
        <f t="shared" ca="1" si="125"/>
        <v>0</v>
      </c>
      <c r="AB316" s="205">
        <f t="shared" ca="1" si="125"/>
        <v>0</v>
      </c>
      <c r="AC316" s="205">
        <f t="shared" ca="1" si="125"/>
        <v>0</v>
      </c>
      <c r="AD316" s="98"/>
    </row>
    <row r="317" spans="1:66">
      <c r="B317" s="98"/>
      <c r="C317" s="98"/>
      <c r="D317" s="98"/>
      <c r="E317" s="98"/>
      <c r="F317" s="98"/>
      <c r="G317" s="98"/>
      <c r="H317" s="98"/>
      <c r="I317" s="98"/>
      <c r="J317" s="98"/>
      <c r="K317" s="98"/>
      <c r="L317" s="98"/>
      <c r="M317" s="98"/>
      <c r="N317" s="98"/>
      <c r="O317" s="98"/>
      <c r="P317" s="98"/>
      <c r="Q317" s="98"/>
      <c r="R317" s="98"/>
      <c r="S317" s="98"/>
      <c r="T317" s="98"/>
      <c r="U317" s="98"/>
      <c r="V317" s="98"/>
      <c r="W317" s="98"/>
      <c r="X317" s="98"/>
      <c r="Y317" s="98"/>
      <c r="Z317" s="98"/>
      <c r="AA317" s="98"/>
      <c r="AB317" s="98"/>
      <c r="AC317" s="98"/>
      <c r="AD317" s="98"/>
    </row>
    <row r="318" spans="1:66">
      <c r="B318" s="98" t="s">
        <v>954</v>
      </c>
      <c r="C318" s="98"/>
      <c r="D318" s="98"/>
      <c r="E318" s="327"/>
      <c r="F318" s="327" t="e">
        <f t="shared" ref="F318:X318" ca="1" si="126">IF(E288=0,F308-(F312*F288),F308-(F312*((F288+E288)/2)))</f>
        <v>#NAME?</v>
      </c>
      <c r="G318" s="327" t="e">
        <f t="shared" ca="1" si="126"/>
        <v>#NAME?</v>
      </c>
      <c r="H318" s="327" t="e">
        <f t="shared" ca="1" si="126"/>
        <v>#NAME?</v>
      </c>
      <c r="I318" s="327" t="e">
        <f t="shared" ca="1" si="126"/>
        <v>#NAME?</v>
      </c>
      <c r="J318" s="327" t="e">
        <f t="shared" ca="1" si="126"/>
        <v>#NAME?</v>
      </c>
      <c r="K318" s="327" t="e">
        <f t="shared" ca="1" si="126"/>
        <v>#NAME?</v>
      </c>
      <c r="L318" s="327" t="e">
        <f t="shared" ca="1" si="126"/>
        <v>#NAME?</v>
      </c>
      <c r="M318" s="327" t="e">
        <f t="shared" ca="1" si="126"/>
        <v>#NAME?</v>
      </c>
      <c r="N318" s="327" t="e">
        <f t="shared" ca="1" si="126"/>
        <v>#NAME?</v>
      </c>
      <c r="O318" s="327" t="e">
        <f t="shared" ca="1" si="126"/>
        <v>#NAME?</v>
      </c>
      <c r="P318" s="327" t="e">
        <f t="shared" ca="1" si="126"/>
        <v>#NAME?</v>
      </c>
      <c r="Q318" s="327" t="e">
        <f t="shared" ca="1" si="126"/>
        <v>#NAME?</v>
      </c>
      <c r="R318" s="327" t="e">
        <f t="shared" ca="1" si="126"/>
        <v>#NAME?</v>
      </c>
      <c r="S318" s="327" t="e">
        <f t="shared" ca="1" si="126"/>
        <v>#NAME?</v>
      </c>
      <c r="T318" s="327" t="e">
        <f t="shared" ca="1" si="126"/>
        <v>#NAME?</v>
      </c>
      <c r="U318" s="327" t="e">
        <f t="shared" ca="1" si="126"/>
        <v>#NAME?</v>
      </c>
      <c r="V318" s="327" t="e">
        <f t="shared" ca="1" si="126"/>
        <v>#VALUE!</v>
      </c>
      <c r="W318" s="327" t="e">
        <f t="shared" ca="1" si="126"/>
        <v>#VALUE!</v>
      </c>
      <c r="X318" s="327" t="e">
        <f t="shared" ca="1" si="126"/>
        <v>#VALUE!</v>
      </c>
      <c r="Y318" s="327" t="e">
        <f ca="1">IF(Y108="","",Y308-(Y312*((Y288+X288)/2)))</f>
        <v>#NAME?</v>
      </c>
      <c r="Z318" s="327" t="e">
        <f ca="1">IF(Z108="","",Z308-(Z312*((Z288+Y288)/2)))</f>
        <v>#NAME?</v>
      </c>
      <c r="AA318" s="327" t="e">
        <f ca="1">IF(AA108="","",AA308-(AA312*((AA288+Z288)/2)))</f>
        <v>#NAME?</v>
      </c>
      <c r="AB318" s="327" t="e">
        <f ca="1">IF(AB108="","",AB308-(AB312*((AB288+AA288)/2)))</f>
        <v>#NAME?</v>
      </c>
      <c r="AC318" s="327" t="e">
        <f ca="1">IF(AC108="","",AC308-(AC312*((AC288+AB288)/2)))</f>
        <v>#NAME?</v>
      </c>
      <c r="AD318" s="98"/>
    </row>
    <row r="319" spans="1:66" ht="30.25" customHeight="1">
      <c r="B319" s="107" t="s">
        <v>955</v>
      </c>
      <c r="C319" s="98"/>
      <c r="D319" s="98"/>
      <c r="E319" s="98"/>
      <c r="F319" s="98"/>
      <c r="G319" s="98"/>
      <c r="H319" s="98"/>
      <c r="I319" s="224"/>
      <c r="J319" s="224"/>
      <c r="K319" s="224"/>
      <c r="L319" s="224"/>
      <c r="M319" s="224"/>
      <c r="N319" s="224"/>
      <c r="O319" s="224"/>
      <c r="P319" s="224"/>
      <c r="Q319" s="224"/>
      <c r="R319" s="224"/>
      <c r="S319" s="224"/>
      <c r="T319" s="98"/>
      <c r="U319" s="98"/>
      <c r="V319" s="98"/>
      <c r="W319" s="98"/>
      <c r="X319" s="98"/>
      <c r="Y319" s="98"/>
      <c r="Z319" s="98"/>
      <c r="AA319" s="98"/>
      <c r="AB319" s="98"/>
      <c r="AC319" s="98"/>
      <c r="AD319" s="98"/>
    </row>
    <row r="320" spans="1:66">
      <c r="B320" s="98" t="s">
        <v>956</v>
      </c>
      <c r="C320" s="98"/>
      <c r="D320" s="98"/>
      <c r="E320" s="98"/>
      <c r="F320" s="98"/>
      <c r="G320" s="98"/>
      <c r="H320" s="98"/>
      <c r="I320" s="401" t="e">
        <f ca="1">_xll.PBM(Valuation!$V$116,"VWAP 30 Days Prior",(I321+29),(I321+31),"0","d","asc","NATIVE","")</f>
        <v>#NAME?</v>
      </c>
      <c r="J320" s="401" t="e">
        <f ca="1">_xll.PBM(Valuation!$V$116,"VWAP 30 Days Prior",(J321+29),(J321+31),"0","d","asc","NATIVE","")</f>
        <v>#NAME?</v>
      </c>
      <c r="K320" s="401" t="e">
        <f ca="1">_xll.PBM(Valuation!$V$116,"VWAP 30 Days Prior",(K321+29),(K321+31),"0","d","asc","NATIVE","")</f>
        <v>#NAME?</v>
      </c>
      <c r="L320" s="401" t="e">
        <f ca="1">_xll.PBM(Valuation!$V$116,"VWAP 30 Days Prior",(L321+29),(L321+31),"0","d","asc","NATIVE","")</f>
        <v>#NAME?</v>
      </c>
      <c r="M320" s="401" t="e">
        <f ca="1">_xll.PBM(Valuation!$V$116,"VWAP 30 Days Prior",(M321+29),(M321+31),"0","d","asc","NATIVE","")</f>
        <v>#NAME?</v>
      </c>
      <c r="N320" s="401" t="e">
        <f ca="1">_xll.PBM(Valuation!$V$116,"VWAP 30 Days Prior",(N321+29),(N321+31),"0","d","asc","NATIVE","")</f>
        <v>#NAME?</v>
      </c>
      <c r="O320" s="401" t="e">
        <f ca="1">_xll.PBM(Valuation!$V$116,"VWAP 30 Days Prior",(O321+29),(O321+31),"0","d","asc","NATIVE","")</f>
        <v>#NAME?</v>
      </c>
      <c r="P320" s="401" t="e">
        <f ca="1">_xll.PBM(Valuation!$V$116,"VWAP 30 Days Prior",(P321+29),(P321+31),"0","d","asc","NATIVE","")</f>
        <v>#NAME?</v>
      </c>
      <c r="Q320" s="401" t="e">
        <f ca="1">_xll.PBM(Valuation!$V$116,"VWAP 30 Days Prior",(Q321+29),(Q321+31),"0","d","asc","NATIVE","")</f>
        <v>#NAME?</v>
      </c>
      <c r="R320" s="401" t="e">
        <f ca="1">_xll.PBM(Valuation!$V$116,"VWAP 30 Days Prior",(R321+29),(R321+31),"0","d","asc","NATIVE","")</f>
        <v>#NAME?</v>
      </c>
      <c r="S320" s="401" t="e">
        <f ca="1">_xll.PBM(Valuation!$V$116,"VWAP 30 Days Prior",(I321),(I321+30),"0","d","asc","NATIVE","")</f>
        <v>#NAME?</v>
      </c>
      <c r="T320" s="402" t="e">
        <f ca="1">Valuation!S102</f>
        <v>#NAME?</v>
      </c>
      <c r="U320" s="402" t="e">
        <f ca="1">Valuation!T102</f>
        <v>#NAME?</v>
      </c>
      <c r="V320" s="402" t="e">
        <f ca="1">Valuation!U102</f>
        <v>#NAME?</v>
      </c>
      <c r="W320" s="402" t="e">
        <f ca="1">Valuation!V102</f>
        <v>#NAME?</v>
      </c>
      <c r="X320" s="402" t="e">
        <f ca="1">Valuation!W102</f>
        <v>#NAME?</v>
      </c>
      <c r="Y320" s="402" t="e">
        <f ca="1">IF(Y108="","",Valuation!X102)</f>
        <v>#NAME?</v>
      </c>
      <c r="Z320" s="402" t="e">
        <f ca="1">IF(Z108="","",Valuation!Y102)</f>
        <v>#NAME?</v>
      </c>
      <c r="AA320" s="402" t="e">
        <f ca="1">IF(AA108="","",Valuation!Z102)</f>
        <v>#NAME?</v>
      </c>
      <c r="AB320" s="402" t="e">
        <f ca="1">IF(AB108="","",Valuation!AA102)</f>
        <v>#NAME?</v>
      </c>
      <c r="AC320" s="402" t="e">
        <f ca="1">IF(AC108="","",Valuation!AB102)</f>
        <v>#NAME?</v>
      </c>
      <c r="AD320" s="98"/>
    </row>
    <row r="321" spans="2:30" ht="21.75" hidden="1" customHeight="1">
      <c r="B321" s="98" t="s">
        <v>957</v>
      </c>
      <c r="C321" s="98"/>
      <c r="D321" s="98"/>
      <c r="E321" s="98"/>
      <c r="F321" s="98"/>
      <c r="G321" s="98"/>
      <c r="H321" s="98"/>
      <c r="I321" s="403" t="e">
        <f ca="1">_xlfn.IFNA(_xll.PBF(Valuation!$V$116,"As of Date",I322,TODAY(),"","USD"),J321-365.25)</f>
        <v>#NAME?</v>
      </c>
      <c r="J321" s="403" t="e">
        <f ca="1">_xlfn.IFNA(_xll.PBF(Valuation!$V$116,"As of Date",J322,TODAY(),"","USD"),K321-365.25)</f>
        <v>#NAME?</v>
      </c>
      <c r="K321" s="403" t="e">
        <f ca="1">_xlfn.IFNA(_xll.PBF(Valuation!$V$116,"As of Date",K322,TODAY(),"","USD"),L321-365.25)</f>
        <v>#NAME?</v>
      </c>
      <c r="L321" s="403" t="e">
        <f ca="1">_xlfn.IFNA(_xll.PBF(Valuation!$V$116,"As of Date",L322,TODAY(),"","USD"),M321-365.25)</f>
        <v>#NAME?</v>
      </c>
      <c r="M321" s="403" t="e">
        <f ca="1">_xlfn.IFNA(_xll.PBF(Valuation!$V$116,"As of Date",M322,TODAY(),"","USD"),N321-365.25)</f>
        <v>#NAME?</v>
      </c>
      <c r="N321" s="403" t="e">
        <f ca="1">_xlfn.IFNA(_xll.PBF(Valuation!$V$116,"As of Date",N322,TODAY(),"","USD"),O321-365.25)</f>
        <v>#NAME?</v>
      </c>
      <c r="O321" s="403" t="e">
        <f ca="1">_xlfn.IFNA(_xll.PBF(Valuation!$V$116,"As of Date",O322,TODAY(),"","USD"),P321-365.25)</f>
        <v>#NAME?</v>
      </c>
      <c r="P321" s="403" t="e">
        <f ca="1">_xlfn.IFNA(_xll.PBF(Valuation!$V$116,"As of Date",P322,TODAY(),"","USD"),Q321-365.25)</f>
        <v>#NAME?</v>
      </c>
      <c r="Q321" s="403" t="e">
        <f ca="1">_xlfn.IFNA(_xll.PBF(Valuation!$V$116,"As of Date",Q322,TODAY(),"","USD"),R321-365.25)</f>
        <v>#NAME?</v>
      </c>
      <c r="R321" s="403" t="e">
        <f ca="1">_xlfn.IFNA(_xll.PBF(Valuation!$V$116,"As of Date",R322,TODAY(),"","USD"),S321-365.25)</f>
        <v>#NAME?</v>
      </c>
      <c r="S321" s="403" t="e">
        <f ca="1">_xlfn.IFNA(_xll.PBF(Valuation!$V$116,"As of Date",S322,TODAY(),"","USD"),T334-365.25)</f>
        <v>#NAME?</v>
      </c>
      <c r="T321" s="403"/>
      <c r="U321" s="403"/>
      <c r="V321" s="403"/>
      <c r="W321" s="403"/>
      <c r="X321" s="403"/>
      <c r="Y321" s="403"/>
      <c r="Z321" s="403"/>
      <c r="AA321" s="403"/>
      <c r="AB321" s="403"/>
      <c r="AC321" s="403"/>
      <c r="AD321" s="98"/>
    </row>
    <row r="322" spans="2:30" ht="20.25" hidden="1" customHeight="1">
      <c r="B322" s="98" t="s">
        <v>958</v>
      </c>
      <c r="C322" s="98"/>
      <c r="D322" s="98"/>
      <c r="E322" s="98"/>
      <c r="F322" s="98"/>
      <c r="G322" s="98"/>
      <c r="H322" s="98"/>
      <c r="I322" s="98" t="s">
        <v>959</v>
      </c>
      <c r="J322" s="98" t="s">
        <v>959</v>
      </c>
      <c r="K322" s="98" t="s">
        <v>960</v>
      </c>
      <c r="L322" s="98" t="s">
        <v>961</v>
      </c>
      <c r="M322" s="98" t="s">
        <v>962</v>
      </c>
      <c r="N322" s="98" t="s">
        <v>963</v>
      </c>
      <c r="O322" s="98" t="s">
        <v>964</v>
      </c>
      <c r="P322" s="98" t="s">
        <v>965</v>
      </c>
      <c r="Q322" s="98" t="s">
        <v>966</v>
      </c>
      <c r="R322" s="98" t="s">
        <v>967</v>
      </c>
      <c r="S322" s="98" t="s">
        <v>968</v>
      </c>
      <c r="T322" s="98"/>
      <c r="U322" s="98"/>
      <c r="V322" s="98"/>
      <c r="W322" s="98"/>
      <c r="X322" s="98"/>
      <c r="Y322" s="98"/>
      <c r="Z322" s="98"/>
      <c r="AA322" s="98"/>
      <c r="AB322" s="98"/>
      <c r="AC322" s="98"/>
      <c r="AD322" s="98"/>
    </row>
    <row r="323" spans="2:30" ht="21.75" hidden="1" customHeight="1">
      <c r="B323" s="98"/>
      <c r="C323" s="98"/>
      <c r="D323" s="98"/>
      <c r="E323" s="98"/>
      <c r="F323" s="98"/>
      <c r="G323" s="98"/>
      <c r="H323" s="98"/>
      <c r="I323" s="98"/>
      <c r="J323" s="98"/>
      <c r="K323" s="98"/>
      <c r="L323" s="98"/>
      <c r="M323" s="98"/>
      <c r="N323" s="98"/>
      <c r="O323" s="98"/>
      <c r="P323" s="98"/>
      <c r="Q323" s="98"/>
      <c r="R323" s="98"/>
      <c r="S323" s="98"/>
      <c r="T323" s="98"/>
      <c r="U323" s="98"/>
      <c r="V323" s="98"/>
      <c r="W323" s="98"/>
      <c r="X323" s="98"/>
      <c r="Y323" s="98"/>
      <c r="Z323" s="98"/>
      <c r="AA323" s="98"/>
      <c r="AB323" s="98"/>
      <c r="AC323" s="98"/>
      <c r="AD323" s="98"/>
    </row>
    <row r="324" spans="2:30">
      <c r="B324" s="98" t="s">
        <v>999</v>
      </c>
      <c r="C324" s="98"/>
      <c r="D324" s="98"/>
      <c r="E324" s="98"/>
      <c r="F324" s="98"/>
      <c r="G324" s="98"/>
      <c r="H324" s="98"/>
      <c r="I324" s="98"/>
      <c r="J324" s="98"/>
      <c r="K324" s="98"/>
      <c r="L324" s="98"/>
      <c r="M324" s="98"/>
      <c r="N324" s="98"/>
      <c r="O324" s="98"/>
      <c r="P324" s="98"/>
      <c r="Q324" s="98"/>
      <c r="R324" s="404"/>
      <c r="S324" s="404"/>
      <c r="T324" s="404"/>
      <c r="U324" s="98"/>
      <c r="V324" s="98"/>
      <c r="W324" s="98"/>
      <c r="X324" s="98"/>
      <c r="Y324" s="98"/>
      <c r="Z324" s="98"/>
      <c r="AA324" s="98"/>
      <c r="AB324" s="98"/>
      <c r="AC324" s="98"/>
      <c r="AD324" s="98"/>
    </row>
    <row r="325" spans="2:30">
      <c r="B325" s="98" t="s">
        <v>969</v>
      </c>
      <c r="C325" s="98"/>
      <c r="D325" s="98"/>
      <c r="E325" s="98"/>
      <c r="F325" s="98"/>
      <c r="G325" s="98"/>
      <c r="H325" s="98"/>
      <c r="I325" s="405" t="e">
        <f ca="1">IF(I320="","",1)</f>
        <v>#NAME?</v>
      </c>
      <c r="J325" s="397" t="e">
        <f ca="1">IF(J320="","",1)</f>
        <v>#NAME?</v>
      </c>
      <c r="K325" s="397" t="e">
        <f t="shared" ref="K325:AC325" ca="1" si="127">IF(K320="","",1)</f>
        <v>#NAME?</v>
      </c>
      <c r="L325" s="397" t="e">
        <f t="shared" ca="1" si="127"/>
        <v>#NAME?</v>
      </c>
      <c r="M325" s="397" t="e">
        <f t="shared" ca="1" si="127"/>
        <v>#NAME?</v>
      </c>
      <c r="N325" s="397" t="e">
        <f t="shared" ca="1" si="127"/>
        <v>#NAME?</v>
      </c>
      <c r="O325" s="397" t="e">
        <f t="shared" ca="1" si="127"/>
        <v>#NAME?</v>
      </c>
      <c r="P325" s="397" t="e">
        <f t="shared" ca="1" si="127"/>
        <v>#NAME?</v>
      </c>
      <c r="Q325" s="397" t="e">
        <f t="shared" ca="1" si="127"/>
        <v>#NAME?</v>
      </c>
      <c r="R325" s="397" t="e">
        <f t="shared" ca="1" si="127"/>
        <v>#NAME?</v>
      </c>
      <c r="S325" s="397" t="e">
        <f t="shared" ca="1" si="127"/>
        <v>#NAME?</v>
      </c>
      <c r="T325" s="397" t="e">
        <f t="shared" ca="1" si="127"/>
        <v>#NAME?</v>
      </c>
      <c r="U325" s="397" t="e">
        <f t="shared" ca="1" si="127"/>
        <v>#NAME?</v>
      </c>
      <c r="V325" s="397" t="e">
        <f t="shared" ca="1" si="127"/>
        <v>#NAME?</v>
      </c>
      <c r="W325" s="397" t="e">
        <f t="shared" ca="1" si="127"/>
        <v>#NAME?</v>
      </c>
      <c r="X325" s="397" t="e">
        <f t="shared" ca="1" si="127"/>
        <v>#NAME?</v>
      </c>
      <c r="Y325" s="397" t="e">
        <f t="shared" ca="1" si="127"/>
        <v>#NAME?</v>
      </c>
      <c r="Z325" s="397" t="e">
        <f t="shared" ca="1" si="127"/>
        <v>#NAME?</v>
      </c>
      <c r="AA325" s="397" t="e">
        <f t="shared" ca="1" si="127"/>
        <v>#NAME?</v>
      </c>
      <c r="AB325" s="397" t="e">
        <f t="shared" ca="1" si="127"/>
        <v>#NAME?</v>
      </c>
      <c r="AC325" s="397" t="e">
        <f t="shared" ca="1" si="127"/>
        <v>#NAME?</v>
      </c>
      <c r="AD325" s="98"/>
    </row>
    <row r="326" spans="2:30">
      <c r="B326" s="98" t="s">
        <v>970</v>
      </c>
      <c r="C326" s="98"/>
      <c r="D326" s="98"/>
      <c r="E326" s="98"/>
      <c r="F326" s="98"/>
      <c r="G326" s="98"/>
      <c r="H326" s="98"/>
      <c r="I326" s="405" t="e">
        <f ca="1">IF(I320="","",I336/I335)</f>
        <v>#NAME?</v>
      </c>
      <c r="J326" s="397" t="e">
        <f ca="1">IF(J320="","",J336/J335)</f>
        <v>#NAME?</v>
      </c>
      <c r="K326" s="397" t="e">
        <f t="shared" ref="K326:AC326" ca="1" si="128">IF(K320="","",K336/K335)</f>
        <v>#NAME?</v>
      </c>
      <c r="L326" s="397" t="e">
        <f t="shared" ca="1" si="128"/>
        <v>#NAME?</v>
      </c>
      <c r="M326" s="397" t="e">
        <f t="shared" ca="1" si="128"/>
        <v>#NAME?</v>
      </c>
      <c r="N326" s="397" t="e">
        <f t="shared" ca="1" si="128"/>
        <v>#NAME?</v>
      </c>
      <c r="O326" s="397" t="e">
        <f t="shared" ca="1" si="128"/>
        <v>#NAME?</v>
      </c>
      <c r="P326" s="397" t="e">
        <f t="shared" ca="1" si="128"/>
        <v>#NAME?</v>
      </c>
      <c r="Q326" s="397" t="e">
        <f t="shared" ca="1" si="128"/>
        <v>#NAME?</v>
      </c>
      <c r="R326" s="397" t="e">
        <f t="shared" ca="1" si="128"/>
        <v>#NAME?</v>
      </c>
      <c r="S326" s="397" t="e">
        <f t="shared" ca="1" si="128"/>
        <v>#NAME?</v>
      </c>
      <c r="T326" s="397" t="e">
        <f t="shared" ca="1" si="128"/>
        <v>#NAME?</v>
      </c>
      <c r="U326" s="397" t="e">
        <f t="shared" ca="1" si="128"/>
        <v>#NAME?</v>
      </c>
      <c r="V326" s="397" t="e">
        <f t="shared" ca="1" si="128"/>
        <v>#NAME?</v>
      </c>
      <c r="W326" s="397" t="e">
        <f t="shared" ca="1" si="128"/>
        <v>#NAME?</v>
      </c>
      <c r="X326" s="397" t="e">
        <f t="shared" ca="1" si="128"/>
        <v>#NAME?</v>
      </c>
      <c r="Y326" s="397" t="e">
        <f t="shared" ca="1" si="128"/>
        <v>#NAME?</v>
      </c>
      <c r="Z326" s="397" t="e">
        <f t="shared" ca="1" si="128"/>
        <v>#NAME?</v>
      </c>
      <c r="AA326" s="397" t="e">
        <f t="shared" ca="1" si="128"/>
        <v>#NAME?</v>
      </c>
      <c r="AB326" s="397" t="e">
        <f t="shared" ca="1" si="128"/>
        <v>#NAME?</v>
      </c>
      <c r="AC326" s="397" t="e">
        <f t="shared" ca="1" si="128"/>
        <v>#NAME?</v>
      </c>
      <c r="AD326" s="98"/>
    </row>
    <row r="327" spans="2:30">
      <c r="B327" s="98" t="s">
        <v>971</v>
      </c>
      <c r="C327" s="98"/>
      <c r="D327" s="98"/>
      <c r="E327" s="98"/>
      <c r="F327" s="98"/>
      <c r="G327" s="98"/>
      <c r="H327" s="98"/>
      <c r="I327" s="405" t="e">
        <f t="shared" ref="I327:AC327" ca="1" si="129">IF(I320="","",I337/I335)</f>
        <v>#NAME?</v>
      </c>
      <c r="J327" s="397" t="e">
        <f t="shared" ca="1" si="129"/>
        <v>#NAME?</v>
      </c>
      <c r="K327" s="397" t="e">
        <f t="shared" ca="1" si="129"/>
        <v>#NAME?</v>
      </c>
      <c r="L327" s="397" t="e">
        <f t="shared" ca="1" si="129"/>
        <v>#NAME?</v>
      </c>
      <c r="M327" s="397" t="e">
        <f t="shared" ca="1" si="129"/>
        <v>#NAME?</v>
      </c>
      <c r="N327" s="397" t="e">
        <f t="shared" ca="1" si="129"/>
        <v>#NAME?</v>
      </c>
      <c r="O327" s="397" t="e">
        <f t="shared" ca="1" si="129"/>
        <v>#NAME?</v>
      </c>
      <c r="P327" s="397" t="e">
        <f t="shared" ca="1" si="129"/>
        <v>#NAME?</v>
      </c>
      <c r="Q327" s="397" t="e">
        <f t="shared" ca="1" si="129"/>
        <v>#NAME?</v>
      </c>
      <c r="R327" s="397" t="e">
        <f t="shared" ca="1" si="129"/>
        <v>#NAME?</v>
      </c>
      <c r="S327" s="397" t="e">
        <f t="shared" ca="1" si="129"/>
        <v>#NAME?</v>
      </c>
      <c r="T327" s="397" t="e">
        <f t="shared" ca="1" si="129"/>
        <v>#NAME?</v>
      </c>
      <c r="U327" s="397" t="e">
        <f t="shared" ca="1" si="129"/>
        <v>#NAME?</v>
      </c>
      <c r="V327" s="397" t="e">
        <f t="shared" ca="1" si="129"/>
        <v>#NAME?</v>
      </c>
      <c r="W327" s="397" t="e">
        <f t="shared" ca="1" si="129"/>
        <v>#NAME?</v>
      </c>
      <c r="X327" s="397" t="e">
        <f t="shared" ca="1" si="129"/>
        <v>#NAME?</v>
      </c>
      <c r="Y327" s="397" t="e">
        <f t="shared" ca="1" si="129"/>
        <v>#NAME?</v>
      </c>
      <c r="Z327" s="397" t="e">
        <f t="shared" ca="1" si="129"/>
        <v>#NAME?</v>
      </c>
      <c r="AA327" s="397" t="e">
        <f t="shared" ca="1" si="129"/>
        <v>#NAME?</v>
      </c>
      <c r="AB327" s="397" t="e">
        <f t="shared" ca="1" si="129"/>
        <v>#NAME?</v>
      </c>
      <c r="AC327" s="397" t="e">
        <f t="shared" ca="1" si="129"/>
        <v>#NAME?</v>
      </c>
      <c r="AD327" s="98"/>
    </row>
    <row r="328" spans="2:30">
      <c r="B328" s="98"/>
      <c r="C328" s="98"/>
      <c r="D328" s="98"/>
      <c r="E328" s="98"/>
      <c r="F328" s="98"/>
      <c r="G328" s="98"/>
      <c r="H328" s="98"/>
      <c r="I328" s="98"/>
      <c r="J328" s="98"/>
      <c r="K328" s="98"/>
      <c r="L328" s="98"/>
      <c r="M328" s="98"/>
      <c r="N328" s="98"/>
      <c r="O328" s="98"/>
      <c r="P328" s="98"/>
      <c r="Q328" s="98"/>
      <c r="R328" s="98"/>
      <c r="S328" s="98"/>
      <c r="T328" s="98"/>
      <c r="U328" s="98"/>
      <c r="V328" s="98"/>
      <c r="W328" s="98"/>
      <c r="X328" s="98"/>
      <c r="Y328" s="98"/>
      <c r="Z328" s="98"/>
      <c r="AA328" s="98"/>
      <c r="AB328" s="98"/>
      <c r="AC328" s="98"/>
      <c r="AD328" s="98"/>
    </row>
    <row r="329" spans="2:30">
      <c r="B329" s="98" t="s">
        <v>410</v>
      </c>
      <c r="C329" s="98"/>
      <c r="D329" s="98"/>
      <c r="E329" s="98"/>
      <c r="F329" s="98"/>
      <c r="G329" s="98"/>
      <c r="H329" s="98"/>
      <c r="I329" s="371">
        <f>INDEX(Balance!$C$5:$BZ$450,MATCH($B329,Balance!$C$5:$C$450,0),MATCH(I$108,Balance!$C$5:$BZ$5,0))</f>
        <v>0</v>
      </c>
      <c r="J329" s="371">
        <f>INDEX(Balance!$C$5:$BZ$450,MATCH($B329,Balance!$C$5:$C$450,0),MATCH(J$108,Balance!$C$5:$BZ$5,0))</f>
        <v>0</v>
      </c>
      <c r="K329" s="371">
        <f>INDEX(Balance!$C$5:$BZ$450,MATCH($B329,Balance!$C$5:$C$450,0),MATCH(K$108,Balance!$C$5:$BZ$5,0))</f>
        <v>0</v>
      </c>
      <c r="L329" s="371">
        <f>INDEX(Balance!$C$5:$BZ$450,MATCH($B329,Balance!$C$5:$C$450,0),MATCH(L$108,Balance!$C$5:$BZ$5,0))</f>
        <v>0</v>
      </c>
      <c r="M329" s="371">
        <f>INDEX(Balance!$C$5:$BZ$450,MATCH($B329,Balance!$C$5:$C$450,0),MATCH(M$108,Balance!$C$5:$BZ$5,0))</f>
        <v>0</v>
      </c>
      <c r="N329" s="371">
        <f>INDEX(Balance!$C$5:$BZ$450,MATCH($B329,Balance!$C$5:$C$450,0),MATCH(N$108,Balance!$C$5:$BZ$5,0))</f>
        <v>0</v>
      </c>
      <c r="O329" s="371">
        <f>INDEX(Balance!$C$5:$BZ$450,MATCH($B329,Balance!$C$5:$C$450,0),MATCH(O$108,Balance!$C$5:$BZ$5,0))</f>
        <v>0</v>
      </c>
      <c r="P329" s="371">
        <f>INDEX(Balance!$C$5:$BZ$450,MATCH($B329,Balance!$C$5:$C$450,0),MATCH(P$108,Balance!$C$5:$BZ$5,0))</f>
        <v>185.98611099999999</v>
      </c>
      <c r="Q329" s="371">
        <f>INDEX(Balance!$C$5:$BZ$450,MATCH($B329,Balance!$C$5:$C$450,0),MATCH(Q$108,Balance!$C$5:$BZ$5,0))</f>
        <v>185.98611099999999</v>
      </c>
      <c r="R329" s="371">
        <f>INDEX(Balance!$C$5:$BZ$450,MATCH($B329,Balance!$C$5:$C$450,0),MATCH(R$108,Balance!$C$5:$BZ$5,0))</f>
        <v>217.11699999999999</v>
      </c>
      <c r="S329" s="371">
        <f>INDEX(Balance!$C$5:$BZ$450,MATCH($B329,Balance!$C$5:$C$450,0),MATCH(S$108,Balance!$C$5:$BZ$5,0))</f>
        <v>230.86600000000001</v>
      </c>
      <c r="T329" s="350">
        <f>Valuation!S40</f>
        <v>268000</v>
      </c>
      <c r="U329" s="350">
        <f ca="1">Valuation!T40</f>
        <v>268000</v>
      </c>
      <c r="V329" s="350">
        <f ca="1">Valuation!U40</f>
        <v>268000</v>
      </c>
      <c r="W329" s="350">
        <f ca="1">Valuation!V40</f>
        <v>268000</v>
      </c>
      <c r="X329" s="350">
        <f ca="1">Valuation!W40</f>
        <v>268000</v>
      </c>
      <c r="Y329" s="350">
        <f ca="1">IF(Y108="","",Valuation!X40)</f>
        <v>268000</v>
      </c>
      <c r="Z329" s="350">
        <f ca="1">IF(Z108="","",Valuation!Y40)</f>
        <v>268000</v>
      </c>
      <c r="AA329" s="350">
        <f ca="1">IF(AA108="","",Valuation!Z40)</f>
        <v>268000</v>
      </c>
      <c r="AB329" s="350">
        <f ca="1">IF(AB108="","",Valuation!AA40)</f>
        <v>268000</v>
      </c>
      <c r="AC329" s="350">
        <f ca="1">IF(AC108="","",Valuation!AB40)</f>
        <v>268000</v>
      </c>
      <c r="AD329" s="98"/>
    </row>
    <row r="330" spans="2:30">
      <c r="B330" s="98" t="s">
        <v>972</v>
      </c>
      <c r="C330" s="98"/>
      <c r="D330" s="98"/>
      <c r="E330" s="98"/>
      <c r="F330" s="98"/>
      <c r="G330" s="98"/>
      <c r="H330" s="98"/>
      <c r="I330" s="277">
        <f>I109-I111</f>
        <v>0</v>
      </c>
      <c r="J330" s="350">
        <f t="shared" ref="J330:X330" si="130">J109-J111</f>
        <v>0</v>
      </c>
      <c r="K330" s="350">
        <f t="shared" si="130"/>
        <v>0</v>
      </c>
      <c r="L330" s="350">
        <f t="shared" si="130"/>
        <v>0</v>
      </c>
      <c r="M330" s="350">
        <f t="shared" si="130"/>
        <v>0</v>
      </c>
      <c r="N330" s="350">
        <f t="shared" si="130"/>
        <v>970338.75</v>
      </c>
      <c r="O330" s="350">
        <f t="shared" si="130"/>
        <v>6166346.25</v>
      </c>
      <c r="P330" s="350">
        <f t="shared" si="130"/>
        <v>4515236.55</v>
      </c>
      <c r="Q330" s="350">
        <f t="shared" si="130"/>
        <v>4877615.3499999996</v>
      </c>
      <c r="R330" s="350">
        <f t="shared" si="130"/>
        <v>8350595.5</v>
      </c>
      <c r="S330" s="350">
        <f t="shared" si="130"/>
        <v>10140104.75</v>
      </c>
      <c r="T330" s="350" t="e">
        <f t="shared" ca="1" si="130"/>
        <v>#NAME?</v>
      </c>
      <c r="U330" s="350" t="e">
        <f t="shared" ca="1" si="130"/>
        <v>#NAME?</v>
      </c>
      <c r="V330" s="350" t="e">
        <f t="shared" ca="1" si="130"/>
        <v>#NAME?</v>
      </c>
      <c r="W330" s="350" t="e">
        <f t="shared" ca="1" si="130"/>
        <v>#NAME?</v>
      </c>
      <c r="X330" s="350" t="e">
        <f t="shared" ca="1" si="130"/>
        <v>#NAME?</v>
      </c>
      <c r="Y330" s="350" t="e">
        <f ca="1">IF(Y108="","",Y109-Y111)</f>
        <v>#NAME?</v>
      </c>
      <c r="Z330" s="350" t="e">
        <f ca="1">IF(Z108="","",Z109-Z111)</f>
        <v>#NAME?</v>
      </c>
      <c r="AA330" s="350" t="e">
        <f ca="1">IF(AA108="","",AA109-AA111)</f>
        <v>#NAME?</v>
      </c>
      <c r="AB330" s="350" t="e">
        <f ca="1">IF(AB108="","",AB109-AB111)</f>
        <v>#NAME?</v>
      </c>
      <c r="AC330" s="350" t="e">
        <f ca="1">IF(AC108="","",AC109-AC111)</f>
        <v>#NAME?</v>
      </c>
      <c r="AD330" s="98"/>
    </row>
    <row r="331" spans="2:30">
      <c r="B331" s="98" t="s">
        <v>973</v>
      </c>
      <c r="C331" s="98"/>
      <c r="D331" s="98"/>
      <c r="E331" s="98"/>
      <c r="F331" s="98"/>
      <c r="G331" s="98"/>
      <c r="H331" s="98"/>
      <c r="I331" s="371">
        <f>INDEX(Balance!$C$5:$BZ$450,MATCH("Financial Liabilities, Current",Balance!$C$5:$C$450,0),MATCH(I$108,Balance!$C$5:$BZ$5,0))+INDEX(Balance!$C$5:$BZ$450,MATCH("Financial Liabilities, Non-Current",Balance!$C$5:$C$450,0),MATCH(I$108,Balance!$C$5:$BZ$5,0))+INDEX(Balance!$C$5:$BZ$450,MATCH("Restricted Common Stock",Balance!$C$5:$C$450,0),MATCH(I$108,Balance!$C$5:$BZ$5,0))+INDEX(Balance!$C$5:$BZ$450,MATCH("Preferred Securities Outside Stock Equity",Balance!$C$5:$C$450,0),MATCH(I$108,Balance!$C$5:$BZ$5,0))+INDEX(Balance!$C$5:$BZ$450,MATCH("Non-Controlling/Minority Interests (Balance Sheet)",Balance!$C$5:$C$450,0),MATCH(I$108,Balance!$C$5:$BZ$5,0))</f>
        <v>0</v>
      </c>
      <c r="J331" s="371">
        <f>INDEX(Balance!$C$5:$BZ$450,MATCH("Financial Liabilities, Current",Balance!$C$5:$C$450,0),MATCH(J$108,Balance!$C$5:$BZ$5,0))+INDEX(Balance!$C$5:$BZ$450,MATCH("Financial Liabilities, Non-Current",Balance!$C$5:$C$450,0),MATCH(J$108,Balance!$C$5:$BZ$5,0))+INDEX(Balance!$C$5:$BZ$450,MATCH("Restricted Common Stock",Balance!$C$5:$C$450,0),MATCH(J$108,Balance!$C$5:$BZ$5,0))+INDEX(Balance!$C$5:$BZ$450,MATCH("Preferred Securities Outside Stock Equity",Balance!$C$5:$C$450,0),MATCH(J$108,Balance!$C$5:$BZ$5,0))+INDEX(Balance!$C$5:$BZ$450,MATCH("Non-Controlling/Minority Interests (Balance Sheet)",Balance!$C$5:$C$450,0),MATCH(J$108,Balance!$C$5:$BZ$5,0))</f>
        <v>0</v>
      </c>
      <c r="K331" s="371">
        <f>INDEX(Balance!$C$5:$BZ$450,MATCH("Financial Liabilities, Current",Balance!$C$5:$C$450,0),MATCH(K$108,Balance!$C$5:$BZ$5,0))+INDEX(Balance!$C$5:$BZ$450,MATCH("Financial Liabilities, Non-Current",Balance!$C$5:$C$450,0),MATCH(K$108,Balance!$C$5:$BZ$5,0))+INDEX(Balance!$C$5:$BZ$450,MATCH("Restricted Common Stock",Balance!$C$5:$C$450,0),MATCH(K$108,Balance!$C$5:$BZ$5,0))+INDEX(Balance!$C$5:$BZ$450,MATCH("Preferred Securities Outside Stock Equity",Balance!$C$5:$C$450,0),MATCH(K$108,Balance!$C$5:$BZ$5,0))+INDEX(Balance!$C$5:$BZ$450,MATCH("Non-Controlling/Minority Interests (Balance Sheet)",Balance!$C$5:$C$450,0),MATCH(K$108,Balance!$C$5:$BZ$5,0))</f>
        <v>0</v>
      </c>
      <c r="L331" s="371">
        <f>INDEX(Balance!$C$5:$BZ$450,MATCH("Financial Liabilities, Current",Balance!$C$5:$C$450,0),MATCH(L$108,Balance!$C$5:$BZ$5,0))+INDEX(Balance!$C$5:$BZ$450,MATCH("Financial Liabilities, Non-Current",Balance!$C$5:$C$450,0),MATCH(L$108,Balance!$C$5:$BZ$5,0))+INDEX(Balance!$C$5:$BZ$450,MATCH("Restricted Common Stock",Balance!$C$5:$C$450,0),MATCH(L$108,Balance!$C$5:$BZ$5,0))+INDEX(Balance!$C$5:$BZ$450,MATCH("Preferred Securities Outside Stock Equity",Balance!$C$5:$C$450,0),MATCH(L$108,Balance!$C$5:$BZ$5,0))+INDEX(Balance!$C$5:$BZ$450,MATCH("Non-Controlling/Minority Interests (Balance Sheet)",Balance!$C$5:$C$450,0),MATCH(L$108,Balance!$C$5:$BZ$5,0))</f>
        <v>0</v>
      </c>
      <c r="M331" s="371">
        <f>INDEX(Balance!$C$5:$BZ$450,MATCH("Financial Liabilities, Current",Balance!$C$5:$C$450,0),MATCH(M$108,Balance!$C$5:$BZ$5,0))+INDEX(Balance!$C$5:$BZ$450,MATCH("Financial Liabilities, Non-Current",Balance!$C$5:$C$450,0),MATCH(M$108,Balance!$C$5:$BZ$5,0))+INDEX(Balance!$C$5:$BZ$450,MATCH("Restricted Common Stock",Balance!$C$5:$C$450,0),MATCH(M$108,Balance!$C$5:$BZ$5,0))+INDEX(Balance!$C$5:$BZ$450,MATCH("Preferred Securities Outside Stock Equity",Balance!$C$5:$C$450,0),MATCH(M$108,Balance!$C$5:$BZ$5,0))+INDEX(Balance!$C$5:$BZ$450,MATCH("Non-Controlling/Minority Interests (Balance Sheet)",Balance!$C$5:$C$450,0),MATCH(M$108,Balance!$C$5:$BZ$5,0))</f>
        <v>0</v>
      </c>
      <c r="N331" s="371">
        <f>INDEX(Balance!$C$5:$BZ$450,MATCH("Financial Liabilities, Current",Balance!$C$5:$C$450,0),MATCH(N$108,Balance!$C$5:$BZ$5,0))+INDEX(Balance!$C$5:$BZ$450,MATCH("Financial Liabilities, Non-Current",Balance!$C$5:$C$450,0),MATCH(N$108,Balance!$C$5:$BZ$5,0))+INDEX(Balance!$C$5:$BZ$450,MATCH("Restricted Common Stock",Balance!$C$5:$C$450,0),MATCH(N$108,Balance!$C$5:$BZ$5,0))+INDEX(Balance!$C$5:$BZ$450,MATCH("Preferred Securities Outside Stock Equity",Balance!$C$5:$C$450,0),MATCH(N$108,Balance!$C$5:$BZ$5,0))+INDEX(Balance!$C$5:$BZ$450,MATCH("Non-Controlling/Minority Interests (Balance Sheet)",Balance!$C$5:$C$450,0),MATCH(N$108,Balance!$C$5:$BZ$5,0))</f>
        <v>0</v>
      </c>
      <c r="O331" s="371">
        <f>INDEX(Balance!$C$5:$BZ$450,MATCH("Financial Liabilities, Current",Balance!$C$5:$C$450,0),MATCH(O$108,Balance!$C$5:$BZ$5,0))+INDEX(Balance!$C$5:$BZ$450,MATCH("Financial Liabilities, Non-Current",Balance!$C$5:$C$450,0),MATCH(O$108,Balance!$C$5:$BZ$5,0))+INDEX(Balance!$C$5:$BZ$450,MATCH("Restricted Common Stock",Balance!$C$5:$C$450,0),MATCH(O$108,Balance!$C$5:$BZ$5,0))+INDEX(Balance!$C$5:$BZ$450,MATCH("Preferred Securities Outside Stock Equity",Balance!$C$5:$C$450,0),MATCH(O$108,Balance!$C$5:$BZ$5,0))+INDEX(Balance!$C$5:$BZ$450,MATCH("Non-Controlling/Minority Interests (Balance Sheet)",Balance!$C$5:$C$450,0),MATCH(O$108,Balance!$C$5:$BZ$5,0))</f>
        <v>0</v>
      </c>
      <c r="P331" s="371">
        <f>INDEX(Balance!$C$5:$BZ$450,MATCH("Financial Liabilities, Current",Balance!$C$5:$C$450,0),MATCH(P$108,Balance!$C$5:$BZ$5,0))+INDEX(Balance!$C$5:$BZ$450,MATCH("Financial Liabilities, Non-Current",Balance!$C$5:$C$450,0),MATCH(P$108,Balance!$C$5:$BZ$5,0))+INDEX(Balance!$C$5:$BZ$450,MATCH("Restricted Common Stock",Balance!$C$5:$C$450,0),MATCH(P$108,Balance!$C$5:$BZ$5,0))+INDEX(Balance!$C$5:$BZ$450,MATCH("Preferred Securities Outside Stock Equity",Balance!$C$5:$C$450,0),MATCH(P$108,Balance!$C$5:$BZ$5,0))+INDEX(Balance!$C$5:$BZ$450,MATCH("Non-Controlling/Minority Interests (Balance Sheet)",Balance!$C$5:$C$450,0),MATCH(P$108,Balance!$C$5:$BZ$5,0))</f>
        <v>695.01400000000001</v>
      </c>
      <c r="Q331" s="371">
        <f>INDEX(Balance!$C$5:$BZ$450,MATCH("Financial Liabilities, Current",Balance!$C$5:$C$450,0),MATCH(Q$108,Balance!$C$5:$BZ$5,0))+INDEX(Balance!$C$5:$BZ$450,MATCH("Financial Liabilities, Non-Current",Balance!$C$5:$C$450,0),MATCH(Q$108,Balance!$C$5:$BZ$5,0))+INDEX(Balance!$C$5:$BZ$450,MATCH("Restricted Common Stock",Balance!$C$5:$C$450,0),MATCH(Q$108,Balance!$C$5:$BZ$5,0))+INDEX(Balance!$C$5:$BZ$450,MATCH("Preferred Securities Outside Stock Equity",Balance!$C$5:$C$450,0),MATCH(Q$108,Balance!$C$5:$BZ$5,0))+INDEX(Balance!$C$5:$BZ$450,MATCH("Non-Controlling/Minority Interests (Balance Sheet)",Balance!$C$5:$C$450,0),MATCH(Q$108,Balance!$C$5:$BZ$5,0))</f>
        <v>670.245</v>
      </c>
      <c r="R331" s="371">
        <f>INDEX(Balance!$C$5:$BZ$450,MATCH("Financial Liabilities, Current",Balance!$C$5:$C$450,0),MATCH(R$108,Balance!$C$5:$BZ$5,0))+INDEX(Balance!$C$5:$BZ$450,MATCH("Financial Liabilities, Non-Current",Balance!$C$5:$C$450,0),MATCH(R$108,Balance!$C$5:$BZ$5,0))+INDEX(Balance!$C$5:$BZ$450,MATCH("Restricted Common Stock",Balance!$C$5:$C$450,0),MATCH(R$108,Balance!$C$5:$BZ$5,0))+INDEX(Balance!$C$5:$BZ$450,MATCH("Preferred Securities Outside Stock Equity",Balance!$C$5:$C$450,0),MATCH(R$108,Balance!$C$5:$BZ$5,0))+INDEX(Balance!$C$5:$BZ$450,MATCH("Non-Controlling/Minority Interests (Balance Sheet)",Balance!$C$5:$C$450,0),MATCH(R$108,Balance!$C$5:$BZ$5,0))</f>
        <v>3511.299</v>
      </c>
      <c r="S331" s="371">
        <f>INDEX(Balance!$C$5:$BZ$450,MATCH("Financial Liabilities, Current",Balance!$C$5:$C$450,0),MATCH(S$108,Balance!$C$5:$BZ$5,0))+INDEX(Balance!$C$5:$BZ$450,MATCH("Financial Liabilities, Non-Current",Balance!$C$5:$C$450,0),MATCH(S$108,Balance!$C$5:$BZ$5,0))+INDEX(Balance!$C$5:$BZ$450,MATCH("Restricted Common Stock",Balance!$C$5:$C$450,0),MATCH(S$108,Balance!$C$5:$BZ$5,0))+INDEX(Balance!$C$5:$BZ$450,MATCH("Preferred Securities Outside Stock Equity",Balance!$C$5:$C$450,0),MATCH(S$108,Balance!$C$5:$BZ$5,0))+INDEX(Balance!$C$5:$BZ$450,MATCH("Non-Controlling/Minority Interests (Balance Sheet)",Balance!$C$5:$C$450,0),MATCH(S$108,Balance!$C$5:$BZ$5,0))+S121</f>
        <v>3559.1020000000003</v>
      </c>
      <c r="T331" s="350">
        <f>S331-Valuation!S133-Valuation!S134-Valuation!S135+Valuation!S141+(Valuation!S94-Valuation!R94)+T121-S121</f>
        <v>3559.1020000000003</v>
      </c>
      <c r="U331" s="350">
        <f>T331-Valuation!T133-Valuation!T134-Valuation!T135+Valuation!T141+(Valuation!T94-Valuation!S94)+U121-T121</f>
        <v>3559.1020000000003</v>
      </c>
      <c r="V331" s="350">
        <f>U331-Valuation!U133-Valuation!U134-Valuation!U135+Valuation!U141+(Valuation!U94-Valuation!T94)+V121-U121</f>
        <v>3559.1020000000003</v>
      </c>
      <c r="W331" s="350">
        <f>V331-Valuation!V133-Valuation!V134-Valuation!V135+Valuation!V141+(Valuation!V94-Valuation!U94)+W121-V121</f>
        <v>3559.1020000000003</v>
      </c>
      <c r="X331" s="350">
        <f>W331-Valuation!W133-Valuation!W134-Valuation!W135+Valuation!W141+(Valuation!W94-Valuation!V94)+X121-W121</f>
        <v>3559.1020000000003</v>
      </c>
      <c r="Y331" s="350">
        <f>X331-Valuation!X133-Valuation!X134-Valuation!X135+Valuation!X141+(Valuation!X94-Valuation!W94)+Y121-X121</f>
        <v>3559.1020000000003</v>
      </c>
      <c r="Z331" s="350">
        <f>Y331-Valuation!Y133-Valuation!Y134-Valuation!Y135+Valuation!Y141+(Valuation!Y94-Valuation!X94)+Z121-Y121</f>
        <v>3559.1020000000003</v>
      </c>
      <c r="AA331" s="350">
        <f>Z331-Valuation!Z133-Valuation!Z134-Valuation!Z135+Valuation!Z141+(Valuation!Z94-Valuation!Y94)+AA121-Z121</f>
        <v>3559.1020000000003</v>
      </c>
      <c r="AB331" s="350">
        <f>AA331-Valuation!AA133-Valuation!AA134-Valuation!AA135+Valuation!AA141+(Valuation!AA94-Valuation!Z94)+AB121-AA121</f>
        <v>3559.1020000000003</v>
      </c>
      <c r="AC331" s="350">
        <f>AB331-Valuation!AB133-Valuation!AB134-Valuation!AB135+Valuation!AB141+(Valuation!AB94-Valuation!AA94)+AC121-AB121</f>
        <v>3559.1020000000003</v>
      </c>
      <c r="AD331" s="98"/>
    </row>
    <row r="332" spans="2:30">
      <c r="B332" s="98" t="s">
        <v>974</v>
      </c>
      <c r="C332" s="98"/>
      <c r="D332" s="98"/>
      <c r="E332" s="98"/>
      <c r="F332" s="98"/>
      <c r="G332" s="98"/>
      <c r="H332" s="98"/>
      <c r="I332" s="277">
        <f>I288+I330-I331</f>
        <v>0</v>
      </c>
      <c r="J332" s="350">
        <f>J288+J330-J331</f>
        <v>0</v>
      </c>
      <c r="K332" s="350">
        <f t="shared" ref="K332:X332" si="131">K288+K330-K331</f>
        <v>0</v>
      </c>
      <c r="L332" s="350">
        <f t="shared" si="131"/>
        <v>0</v>
      </c>
      <c r="M332" s="350">
        <f t="shared" si="131"/>
        <v>0</v>
      </c>
      <c r="N332" s="350">
        <f t="shared" si="131"/>
        <v>848351.25</v>
      </c>
      <c r="O332" s="350">
        <f t="shared" si="131"/>
        <v>13145481.25</v>
      </c>
      <c r="P332" s="350">
        <f t="shared" si="131"/>
        <v>5925646.6659999993</v>
      </c>
      <c r="Q332" s="350">
        <f t="shared" si="131"/>
        <v>6048682.9046</v>
      </c>
      <c r="R332" s="350">
        <f t="shared" si="131"/>
        <v>10962511.022599999</v>
      </c>
      <c r="S332" s="350">
        <f t="shared" si="131"/>
        <v>13411664.887700001</v>
      </c>
      <c r="T332" s="350" t="e">
        <f t="shared" ca="1" si="131"/>
        <v>#NAME?</v>
      </c>
      <c r="U332" s="350" t="e">
        <f t="shared" ca="1" si="131"/>
        <v>#VALUE!</v>
      </c>
      <c r="V332" s="350" t="e">
        <f t="shared" ca="1" si="131"/>
        <v>#VALUE!</v>
      </c>
      <c r="W332" s="350" t="e">
        <f t="shared" ca="1" si="131"/>
        <v>#VALUE!</v>
      </c>
      <c r="X332" s="350" t="e">
        <f t="shared" ca="1" si="131"/>
        <v>#VALUE!</v>
      </c>
      <c r="Y332" s="350" t="e">
        <f ca="1">IF(Y108="","",Y288+Y330-Y331)</f>
        <v>#VALUE!</v>
      </c>
      <c r="Z332" s="350" t="e">
        <f ca="1">IF(Z108="","",Z288+Z330-Z331)</f>
        <v>#VALUE!</v>
      </c>
      <c r="AA332" s="350" t="e">
        <f ca="1">IF(AA108="","",AA288+AA330-AA331)</f>
        <v>#VALUE!</v>
      </c>
      <c r="AB332" s="350" t="e">
        <f ca="1">IF(AB108="","",AB288+AB330-AB331)</f>
        <v>#VALUE!</v>
      </c>
      <c r="AC332" s="350" t="e">
        <f ca="1">IF(AC108="","",AC288+AC330-AC331)</f>
        <v>#VALUE!</v>
      </c>
      <c r="AD332" s="98"/>
    </row>
    <row r="333" spans="2:30">
      <c r="B333" s="98" t="s">
        <v>975</v>
      </c>
      <c r="C333" s="98"/>
      <c r="D333" s="98"/>
      <c r="E333" s="98"/>
      <c r="F333" s="98"/>
      <c r="G333" s="98"/>
      <c r="H333" s="98"/>
      <c r="I333" s="277" t="e">
        <f ca="1">I308/I312</f>
        <v>#NAME?</v>
      </c>
      <c r="J333" s="350" t="e">
        <f ca="1">J308/J312</f>
        <v>#NAME?</v>
      </c>
      <c r="K333" s="350" t="e">
        <f t="shared" ref="K333:X333" ca="1" si="132">K308/K312</f>
        <v>#NAME?</v>
      </c>
      <c r="L333" s="350" t="e">
        <f t="shared" ca="1" si="132"/>
        <v>#NAME?</v>
      </c>
      <c r="M333" s="350" t="e">
        <f t="shared" ca="1" si="132"/>
        <v>#NAME?</v>
      </c>
      <c r="N333" s="350" t="e">
        <f t="shared" ca="1" si="132"/>
        <v>#NAME?</v>
      </c>
      <c r="O333" s="350" t="e">
        <f t="shared" ca="1" si="132"/>
        <v>#NAME?</v>
      </c>
      <c r="P333" s="350" t="e">
        <f t="shared" ca="1" si="132"/>
        <v>#NAME?</v>
      </c>
      <c r="Q333" s="350" t="e">
        <f t="shared" ca="1" si="132"/>
        <v>#NAME?</v>
      </c>
      <c r="R333" s="350" t="e">
        <f t="shared" ca="1" si="132"/>
        <v>#NAME?</v>
      </c>
      <c r="S333" s="350" t="e">
        <f t="shared" ca="1" si="132"/>
        <v>#NAME?</v>
      </c>
      <c r="T333" s="350" t="e">
        <f t="shared" ca="1" si="132"/>
        <v>#NAME?</v>
      </c>
      <c r="U333" s="350" t="e">
        <f t="shared" ca="1" si="132"/>
        <v>#NAME?</v>
      </c>
      <c r="V333" s="350" t="e">
        <f t="shared" ca="1" si="132"/>
        <v>#NAME?</v>
      </c>
      <c r="W333" s="350" t="e">
        <f t="shared" ca="1" si="132"/>
        <v>#NAME?</v>
      </c>
      <c r="X333" s="350" t="e">
        <f t="shared" ca="1" si="132"/>
        <v>#NAME?</v>
      </c>
      <c r="Y333" s="350" t="e">
        <f ca="1">IF(Y108="","",Y308/Y312)</f>
        <v>#NAME?</v>
      </c>
      <c r="Z333" s="350" t="e">
        <f ca="1">IF(Z108="","",Z308/Z312)</f>
        <v>#NAME?</v>
      </c>
      <c r="AA333" s="350" t="e">
        <f ca="1">IF(AA108="","",AA308/AA312)</f>
        <v>#NAME?</v>
      </c>
      <c r="AB333" s="350" t="e">
        <f ca="1">IF(AB108="","",AB308/AB312)</f>
        <v>#NAME?</v>
      </c>
      <c r="AC333" s="350" t="e">
        <f ca="1">IF(AC108="","",AC308/AC312)</f>
        <v>#NAME?</v>
      </c>
      <c r="AD333" s="98"/>
    </row>
    <row r="334" spans="2:30">
      <c r="B334" s="98"/>
      <c r="C334" s="98"/>
      <c r="D334" s="98"/>
      <c r="E334" s="98"/>
      <c r="F334" s="98"/>
      <c r="G334" s="98"/>
      <c r="H334" s="98"/>
      <c r="I334" s="277"/>
      <c r="J334" s="350"/>
      <c r="K334" s="350"/>
      <c r="L334" s="350"/>
      <c r="M334" s="350"/>
      <c r="N334" s="350"/>
      <c r="O334" s="350"/>
      <c r="P334" s="350"/>
      <c r="Q334" s="350"/>
      <c r="R334" s="350"/>
      <c r="S334" s="350"/>
      <c r="T334" s="98"/>
      <c r="U334" s="98"/>
      <c r="V334" s="98"/>
      <c r="W334" s="98"/>
      <c r="X334" s="98"/>
      <c r="Y334" s="98"/>
      <c r="Z334" s="98"/>
      <c r="AA334" s="98"/>
      <c r="AB334" s="98"/>
      <c r="AC334" s="98"/>
      <c r="AD334" s="98"/>
    </row>
    <row r="335" spans="2:30">
      <c r="B335" s="98" t="s">
        <v>976</v>
      </c>
      <c r="C335" s="98"/>
      <c r="D335" s="98"/>
      <c r="E335" s="98"/>
      <c r="F335" s="98"/>
      <c r="G335" s="98"/>
      <c r="H335" s="98"/>
      <c r="I335" s="406" t="e">
        <f>I332/I329</f>
        <v>#DIV/0!</v>
      </c>
      <c r="J335" s="407" t="e">
        <f t="shared" ref="J335:X335" si="133">J332/J329</f>
        <v>#DIV/0!</v>
      </c>
      <c r="K335" s="407" t="e">
        <f t="shared" si="133"/>
        <v>#DIV/0!</v>
      </c>
      <c r="L335" s="407" t="e">
        <f t="shared" si="133"/>
        <v>#DIV/0!</v>
      </c>
      <c r="M335" s="407" t="e">
        <f t="shared" si="133"/>
        <v>#DIV/0!</v>
      </c>
      <c r="N335" s="407" t="e">
        <f t="shared" si="133"/>
        <v>#DIV/0!</v>
      </c>
      <c r="O335" s="407" t="e">
        <f t="shared" si="133"/>
        <v>#DIV/0!</v>
      </c>
      <c r="P335" s="407">
        <f t="shared" si="133"/>
        <v>31860.694511753081</v>
      </c>
      <c r="Q335" s="407">
        <f t="shared" si="133"/>
        <v>32522.229063653038</v>
      </c>
      <c r="R335" s="407">
        <f t="shared" si="133"/>
        <v>50491.260576555498</v>
      </c>
      <c r="S335" s="407">
        <f t="shared" si="133"/>
        <v>58092.854243154041</v>
      </c>
      <c r="T335" s="407" t="e">
        <f t="shared" ca="1" si="133"/>
        <v>#NAME?</v>
      </c>
      <c r="U335" s="407" t="e">
        <f t="shared" ca="1" si="133"/>
        <v>#VALUE!</v>
      </c>
      <c r="V335" s="407" t="e">
        <f t="shared" ca="1" si="133"/>
        <v>#VALUE!</v>
      </c>
      <c r="W335" s="407" t="e">
        <f t="shared" ca="1" si="133"/>
        <v>#VALUE!</v>
      </c>
      <c r="X335" s="407" t="e">
        <f t="shared" ca="1" si="133"/>
        <v>#VALUE!</v>
      </c>
      <c r="Y335" s="407" t="e">
        <f ca="1">IF(Y108="","",Y332/Y329)</f>
        <v>#VALUE!</v>
      </c>
      <c r="Z335" s="407" t="e">
        <f ca="1">IF(Z108="","",Z332/Z329)</f>
        <v>#VALUE!</v>
      </c>
      <c r="AA335" s="407" t="e">
        <f ca="1">IF(AA108="","",AA332/AA329)</f>
        <v>#VALUE!</v>
      </c>
      <c r="AB335" s="407" t="e">
        <f ca="1">IF(AB108="","",AB332/AB329)</f>
        <v>#VALUE!</v>
      </c>
      <c r="AC335" s="407" t="e">
        <f ca="1">IF(AC108="","",AC332/AC329)</f>
        <v>#VALUE!</v>
      </c>
      <c r="AD335" s="98"/>
    </row>
    <row r="336" spans="2:30">
      <c r="B336" s="98" t="s">
        <v>977</v>
      </c>
      <c r="C336" s="98"/>
      <c r="D336" s="98"/>
      <c r="E336" s="98"/>
      <c r="F336" s="98"/>
      <c r="G336" s="98"/>
      <c r="H336" s="98"/>
      <c r="I336" s="406" t="e">
        <f ca="1">I333/I329-I335</f>
        <v>#NAME?</v>
      </c>
      <c r="J336" s="407" t="e">
        <f t="shared" ref="J336:X336" ca="1" si="134">J333/J329-J335</f>
        <v>#NAME?</v>
      </c>
      <c r="K336" s="407" t="e">
        <f t="shared" ca="1" si="134"/>
        <v>#NAME?</v>
      </c>
      <c r="L336" s="407" t="e">
        <f t="shared" ca="1" si="134"/>
        <v>#NAME?</v>
      </c>
      <c r="M336" s="407" t="e">
        <f t="shared" ca="1" si="134"/>
        <v>#NAME?</v>
      </c>
      <c r="N336" s="407" t="e">
        <f t="shared" ca="1" si="134"/>
        <v>#NAME?</v>
      </c>
      <c r="O336" s="407" t="e">
        <f t="shared" ca="1" si="134"/>
        <v>#NAME?</v>
      </c>
      <c r="P336" s="407" t="e">
        <f t="shared" ca="1" si="134"/>
        <v>#NAME?</v>
      </c>
      <c r="Q336" s="407" t="e">
        <f t="shared" ca="1" si="134"/>
        <v>#NAME?</v>
      </c>
      <c r="R336" s="407" t="e">
        <f t="shared" ca="1" si="134"/>
        <v>#NAME?</v>
      </c>
      <c r="S336" s="407" t="e">
        <f t="shared" ca="1" si="134"/>
        <v>#NAME?</v>
      </c>
      <c r="T336" s="407" t="e">
        <f t="shared" ca="1" si="134"/>
        <v>#NAME?</v>
      </c>
      <c r="U336" s="407" t="e">
        <f t="shared" ca="1" si="134"/>
        <v>#NAME?</v>
      </c>
      <c r="V336" s="407" t="e">
        <f t="shared" ca="1" si="134"/>
        <v>#NAME?</v>
      </c>
      <c r="W336" s="407" t="e">
        <f t="shared" ca="1" si="134"/>
        <v>#NAME?</v>
      </c>
      <c r="X336" s="407" t="e">
        <f t="shared" ca="1" si="134"/>
        <v>#NAME?</v>
      </c>
      <c r="Y336" s="407" t="e">
        <f ca="1">IF(Y108="","",Y333/Y329-Y335)</f>
        <v>#NAME?</v>
      </c>
      <c r="Z336" s="407" t="e">
        <f ca="1">IF(Z108="","",Z333/Z329-Z335)</f>
        <v>#NAME?</v>
      </c>
      <c r="AA336" s="407" t="e">
        <f ca="1">IF(AA108="","",AA333/AA329-AA335)</f>
        <v>#NAME?</v>
      </c>
      <c r="AB336" s="407" t="e">
        <f ca="1">IF(AB108="","",AB333/AB329-AB335)</f>
        <v>#NAME?</v>
      </c>
      <c r="AC336" s="407" t="e">
        <f ca="1">IF(AC108="","",AC333/AC329-AC335)</f>
        <v>#NAME?</v>
      </c>
      <c r="AD336" s="98"/>
    </row>
    <row r="337" spans="2:39">
      <c r="B337" s="98" t="s">
        <v>978</v>
      </c>
      <c r="C337" s="98"/>
      <c r="D337" s="98"/>
      <c r="E337" s="98"/>
      <c r="F337" s="98"/>
      <c r="G337" s="98"/>
      <c r="H337" s="98"/>
      <c r="I337" s="406" t="e">
        <f ca="1">I320-I336-I335</f>
        <v>#NAME?</v>
      </c>
      <c r="J337" s="407" t="e">
        <f ca="1">J320-J336-J335</f>
        <v>#NAME?</v>
      </c>
      <c r="K337" s="407" t="e">
        <f t="shared" ref="K337:X337" ca="1" si="135">K320-K336-K335</f>
        <v>#NAME?</v>
      </c>
      <c r="L337" s="407" t="e">
        <f t="shared" ca="1" si="135"/>
        <v>#NAME?</v>
      </c>
      <c r="M337" s="407" t="e">
        <f t="shared" ca="1" si="135"/>
        <v>#NAME?</v>
      </c>
      <c r="N337" s="407" t="e">
        <f t="shared" ca="1" si="135"/>
        <v>#NAME?</v>
      </c>
      <c r="O337" s="407" t="e">
        <f t="shared" ca="1" si="135"/>
        <v>#NAME?</v>
      </c>
      <c r="P337" s="407" t="e">
        <f t="shared" ca="1" si="135"/>
        <v>#NAME?</v>
      </c>
      <c r="Q337" s="407" t="e">
        <f t="shared" ca="1" si="135"/>
        <v>#NAME?</v>
      </c>
      <c r="R337" s="407" t="e">
        <f t="shared" ca="1" si="135"/>
        <v>#NAME?</v>
      </c>
      <c r="S337" s="407" t="e">
        <f t="shared" ca="1" si="135"/>
        <v>#NAME?</v>
      </c>
      <c r="T337" s="407" t="e">
        <f t="shared" ca="1" si="135"/>
        <v>#NAME?</v>
      </c>
      <c r="U337" s="407" t="e">
        <f t="shared" ca="1" si="135"/>
        <v>#NAME?</v>
      </c>
      <c r="V337" s="407" t="e">
        <f t="shared" ca="1" si="135"/>
        <v>#NAME?</v>
      </c>
      <c r="W337" s="407" t="e">
        <f t="shared" ca="1" si="135"/>
        <v>#NAME?</v>
      </c>
      <c r="X337" s="407" t="e">
        <f t="shared" ca="1" si="135"/>
        <v>#NAME?</v>
      </c>
      <c r="Y337" s="407" t="e">
        <f ca="1">IF(Y108="","",Y320-Y336-Y335)</f>
        <v>#NAME?</v>
      </c>
      <c r="Z337" s="407" t="e">
        <f ca="1">IF(Z108="","",Z320-Z336-Z335)</f>
        <v>#NAME?</v>
      </c>
      <c r="AA337" s="407" t="e">
        <f ca="1">IF(AA108="","",AA320-AA336-AA335)</f>
        <v>#NAME?</v>
      </c>
      <c r="AB337" s="407" t="e">
        <f ca="1">IF(AB108="","",AB320-AB336-AB335)</f>
        <v>#NAME?</v>
      </c>
      <c r="AC337" s="407" t="e">
        <f ca="1">IF(AC108="","",AC320-AC336-AC335)</f>
        <v>#NAME?</v>
      </c>
      <c r="AD337" s="98"/>
    </row>
    <row r="338" spans="2:39">
      <c r="B338" s="98"/>
      <c r="C338" s="98"/>
      <c r="D338" s="98"/>
      <c r="E338" s="98"/>
      <c r="F338" s="98"/>
      <c r="G338" s="98"/>
      <c r="H338" s="98"/>
      <c r="I338" s="277"/>
      <c r="J338" s="350"/>
      <c r="K338" s="350"/>
      <c r="L338" s="350"/>
      <c r="M338" s="350"/>
      <c r="N338" s="350"/>
      <c r="O338" s="350"/>
      <c r="P338" s="350"/>
      <c r="Q338" s="350"/>
      <c r="R338" s="350"/>
      <c r="S338" s="350"/>
      <c r="T338" s="98"/>
      <c r="U338" s="98"/>
      <c r="V338" s="98"/>
      <c r="W338" s="98"/>
      <c r="X338" s="98"/>
      <c r="Y338" s="98"/>
      <c r="Z338" s="98"/>
      <c r="AA338" s="98"/>
      <c r="AB338" s="98"/>
      <c r="AC338" s="98"/>
      <c r="AD338" s="98"/>
    </row>
    <row r="340" spans="2: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c r="AA340" s="39"/>
      <c r="AB340" s="39"/>
      <c r="AC340" s="39"/>
    </row>
    <row r="341" spans="2:39">
      <c r="AD341" s="39"/>
      <c r="AE341" s="39"/>
      <c r="AF341" s="39"/>
      <c r="AG341" s="39"/>
      <c r="AH341" s="39"/>
      <c r="AI341" s="39"/>
      <c r="AJ341" s="39"/>
      <c r="AK341" s="39"/>
      <c r="AL341" s="39"/>
      <c r="AM341" s="39"/>
    </row>
    <row r="342" spans="2: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c r="AC342" s="39"/>
      <c r="AD342" s="39"/>
      <c r="AE342" s="39"/>
      <c r="AF342" s="39"/>
      <c r="AG342" s="39"/>
      <c r="AH342" s="39"/>
      <c r="AI342" s="39"/>
      <c r="AJ342" s="39"/>
      <c r="AK342" s="39"/>
      <c r="AL342" s="39"/>
      <c r="AM342" s="39"/>
    </row>
    <row r="344" spans="2:39">
      <c r="B344" s="382" t="s">
        <v>877</v>
      </c>
      <c r="C344" s="382"/>
      <c r="D344" s="382"/>
    </row>
    <row r="345" spans="2:39">
      <c r="B345" s="382" t="s">
        <v>909</v>
      </c>
      <c r="C345" s="382"/>
      <c r="D345" s="382"/>
    </row>
    <row r="370" spans="2:4">
      <c r="B370" s="311"/>
      <c r="C370" s="311"/>
      <c r="D370" s="311"/>
    </row>
  </sheetData>
  <sheetProtection algorithmName="SHA-512" hashValue="IfOGnMoC/lGmSzkVfTzEDvO3+2u85J2XWY/0c7rFA2E/B3P2OhuMz6wmQ1m2UKt0HrLxkCJ/XtzOEwRCykqdJg==" saltValue="ilPbj+DW5fLpCYtiqAh0Aw==" spinCount="100000" sheet="1" objects="1" scenarios="1"/>
  <mergeCells count="4">
    <mergeCell ref="C3:D3"/>
    <mergeCell ref="C4:D4"/>
    <mergeCell ref="C7:D7"/>
    <mergeCell ref="C8:D8"/>
  </mergeCells>
  <conditionalFormatting sqref="C22">
    <cfRule type="expression" dxfId="8" priority="1">
      <formula>OR($C$21="% of Sales", $C$21="% of Total")</formula>
    </cfRule>
  </conditionalFormatting>
  <dataValidations disablePrompts="1" count="3">
    <dataValidation type="list" allowBlank="1" showInputMessage="1" showErrorMessage="1" sqref="C28" xr:uid="{4CE3CCF1-8A1F-4181-B9F6-5398F53E493A}">
      <formula1>$E$141:$F$141</formula1>
    </dataValidation>
    <dataValidation type="list" allowBlank="1" showInputMessage="1" showErrorMessage="1" sqref="C26" xr:uid="{5938E9A1-16C9-4618-8252-20A74DB2488A}">
      <formula1>$E$137:$F$137</formula1>
    </dataValidation>
    <dataValidation type="list" allowBlank="1" showInputMessage="1" showErrorMessage="1" sqref="C21" xr:uid="{831A23DA-78A6-46BD-B8B3-C4C069A0A2C0}">
      <formula1>$G$112:$I$112</formula1>
    </dataValidation>
  </dataValidations>
  <pageMargins left="0.7" right="0.7" top="0.75" bottom="0.75" header="0.3" footer="0.3"/>
  <pageSetup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0C09B-B22C-4A47-845B-4CA16AA84D32}">
  <sheetPr codeName="Sheet7"/>
  <dimension ref="A1:CT299"/>
  <sheetViews>
    <sheetView showOutlineSymbols="0" workbookViewId="0"/>
  </sheetViews>
  <sheetFormatPr baseColWidth="10" defaultColWidth="9.1640625" defaultRowHeight="14" outlineLevelRow="3" outlineLevelCol="1"/>
  <cols>
    <col min="1" max="1" width="3.5" style="50" customWidth="1"/>
    <col min="2" max="2" width="3.5" style="2" customWidth="1"/>
    <col min="3" max="3" width="62.5" style="58" bestFit="1" customWidth="1"/>
    <col min="4" max="7" width="15.6640625" style="418" hidden="1" customWidth="1" outlineLevel="1"/>
    <col min="8" max="8" width="15.6640625" style="418" customWidth="1" collapsed="1"/>
    <col min="9" max="12" width="15.6640625" style="418" hidden="1" customWidth="1" outlineLevel="1"/>
    <col min="13" max="13" width="15.6640625" style="418" customWidth="1" collapsed="1"/>
    <col min="14" max="17" width="15.6640625" style="418" hidden="1" customWidth="1" outlineLevel="1"/>
    <col min="18" max="18" width="15.6640625" style="418" customWidth="1" collapsed="1"/>
    <col min="19" max="22" width="15.6640625" style="418" hidden="1" customWidth="1" outlineLevel="1"/>
    <col min="23" max="23" width="15.6640625" style="418" customWidth="1" collapsed="1"/>
    <col min="24" max="27" width="15.6640625" style="418" hidden="1" customWidth="1" outlineLevel="1"/>
    <col min="28" max="28" width="15.6640625" style="418" customWidth="1" collapsed="1"/>
    <col min="29" max="32" width="15.6640625" style="418" hidden="1" customWidth="1" outlineLevel="1"/>
    <col min="33" max="33" width="15.6640625" style="418" customWidth="1" collapsed="1"/>
    <col min="34" max="37" width="15.6640625" style="418" hidden="1" customWidth="1" outlineLevel="1"/>
    <col min="38" max="38" width="15.6640625" style="418" customWidth="1" collapsed="1"/>
    <col min="39" max="42" width="15.6640625" style="418" hidden="1" customWidth="1" outlineLevel="1"/>
    <col min="43" max="43" width="15.6640625" style="418" customWidth="1" collapsed="1"/>
    <col min="44" max="47" width="15.6640625" style="418" hidden="1" customWidth="1" outlineLevel="1"/>
    <col min="48" max="48" width="15.6640625" style="418" customWidth="1" collapsed="1"/>
    <col min="49" max="52" width="15.6640625" style="418" hidden="1" customWidth="1" outlineLevel="1"/>
    <col min="53" max="53" width="15.6640625" style="418" customWidth="1" collapsed="1"/>
    <col min="54" max="57" width="15.6640625" style="418" hidden="1" customWidth="1" outlineLevel="1"/>
    <col min="58" max="58" width="15.6640625" style="418" customWidth="1" collapsed="1"/>
    <col min="59" max="62" width="15.6640625" style="418" hidden="1" customWidth="1" outlineLevel="1"/>
    <col min="63" max="63" width="15.6640625" style="418" customWidth="1" collapsed="1"/>
    <col min="64" max="67" width="15.6640625" style="418" hidden="1" customWidth="1" outlineLevel="1"/>
    <col min="68" max="68" width="15.6640625" style="418" customWidth="1" collapsed="1"/>
    <col min="69" max="72" width="15.6640625" style="418" hidden="1" customWidth="1" outlineLevel="1"/>
    <col min="73" max="73" width="15.6640625" style="418" customWidth="1" collapsed="1"/>
    <col min="74" max="77" width="15.6640625" style="418" hidden="1" customWidth="1" outlineLevel="1"/>
    <col min="78" max="78" width="15.6640625" style="418" customWidth="1" collapsed="1"/>
    <col min="79" max="79" width="3.5" style="418" customWidth="1"/>
    <col min="80" max="80" width="3.5" style="419" customWidth="1"/>
    <col min="81" max="81" width="3.5" style="432" customWidth="1" outlineLevel="1"/>
    <col min="82" max="82" width="62.5" style="432" customWidth="1" outlineLevel="1"/>
    <col min="83" max="97" width="15.6640625" style="432" customWidth="1" outlineLevel="1"/>
    <col min="98" max="98" width="3.5" style="419" customWidth="1" outlineLevel="1"/>
    <col min="99" max="16384" width="9.1640625" style="419"/>
  </cols>
  <sheetData>
    <row r="1" spans="2:98" s="50" customFormat="1"/>
    <row r="2" spans="2:98" s="50" customFormat="1">
      <c r="B2" s="2"/>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C2" s="9"/>
      <c r="CD2" s="9"/>
      <c r="CE2" s="9"/>
      <c r="CF2" s="9"/>
      <c r="CG2" s="9"/>
      <c r="CH2" s="9"/>
      <c r="CI2" s="9"/>
      <c r="CJ2" s="9"/>
      <c r="CK2" s="9"/>
      <c r="CL2" s="9"/>
      <c r="CM2" s="9"/>
      <c r="CN2" s="9"/>
      <c r="CO2" s="9"/>
      <c r="CP2" s="9"/>
      <c r="CQ2" s="9"/>
      <c r="CR2" s="9"/>
      <c r="CS2" s="9"/>
      <c r="CT2" s="2"/>
    </row>
    <row r="3" spans="2:98" s="50" customFormat="1" ht="25">
      <c r="B3" s="2"/>
      <c r="C3" s="408" t="e">
        <f>Valuation!C3</f>
        <v>#NAME?</v>
      </c>
      <c r="D3" s="409"/>
      <c r="E3" s="409"/>
      <c r="F3" s="409"/>
      <c r="G3" s="409"/>
      <c r="H3" s="409"/>
      <c r="I3" s="409"/>
      <c r="J3" s="409"/>
      <c r="K3" s="409"/>
      <c r="L3" s="409"/>
      <c r="M3" s="409"/>
      <c r="N3" s="409"/>
      <c r="O3" s="409"/>
      <c r="P3" s="409"/>
      <c r="Q3" s="409"/>
      <c r="R3" s="409"/>
      <c r="S3" s="409"/>
      <c r="T3" s="409"/>
      <c r="U3" s="409"/>
      <c r="V3" s="409"/>
      <c r="W3" s="409"/>
      <c r="X3" s="409"/>
      <c r="Y3" s="409"/>
      <c r="Z3" s="409"/>
      <c r="AA3" s="409"/>
      <c r="AB3" s="409"/>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409"/>
      <c r="BA3" s="409"/>
      <c r="BB3" s="409"/>
      <c r="BC3" s="409"/>
      <c r="BD3" s="409"/>
      <c r="BE3" s="409"/>
      <c r="BF3" s="409"/>
      <c r="BG3" s="409"/>
      <c r="BH3" s="409"/>
      <c r="BI3" s="409"/>
      <c r="BJ3" s="409"/>
      <c r="BK3" s="409"/>
      <c r="BL3" s="409"/>
      <c r="BM3" s="409"/>
      <c r="BN3" s="409"/>
      <c r="BO3" s="409"/>
      <c r="BP3" s="409"/>
      <c r="BQ3" s="409"/>
      <c r="BR3" s="409"/>
      <c r="BS3" s="409"/>
      <c r="BT3" s="409"/>
      <c r="BU3" s="409"/>
      <c r="BV3" s="409"/>
      <c r="BW3" s="409"/>
      <c r="BX3" s="409"/>
      <c r="BY3" s="409"/>
      <c r="BZ3" s="410"/>
      <c r="CA3" s="58"/>
      <c r="CC3" s="9"/>
      <c r="CD3" s="411" t="e">
        <f>C3</f>
        <v>#NAME?</v>
      </c>
      <c r="CE3" s="412"/>
      <c r="CF3" s="412"/>
      <c r="CG3" s="412"/>
      <c r="CH3" s="412"/>
      <c r="CI3" s="412"/>
      <c r="CJ3" s="412"/>
      <c r="CK3" s="412"/>
      <c r="CL3" s="412"/>
      <c r="CM3" s="412"/>
      <c r="CN3" s="412"/>
      <c r="CO3" s="412"/>
      <c r="CP3" s="412"/>
      <c r="CQ3" s="412"/>
      <c r="CR3" s="412"/>
      <c r="CS3" s="19"/>
      <c r="CT3" s="2"/>
    </row>
    <row r="4" spans="2:98" s="50" customFormat="1">
      <c r="B4" s="2"/>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C4" s="9"/>
      <c r="CD4" s="9"/>
      <c r="CE4" s="9"/>
      <c r="CF4" s="9"/>
      <c r="CG4" s="9"/>
      <c r="CH4" s="9"/>
      <c r="CI4" s="9"/>
      <c r="CJ4" s="9"/>
      <c r="CK4" s="9"/>
      <c r="CL4" s="9"/>
      <c r="CM4" s="9"/>
      <c r="CN4" s="9"/>
      <c r="CO4" s="9"/>
      <c r="CP4" s="9"/>
      <c r="CQ4" s="9"/>
      <c r="CR4" s="9"/>
      <c r="CS4" s="9"/>
      <c r="CT4" s="2"/>
    </row>
    <row r="5" spans="2:98" s="50" customFormat="1">
      <c r="B5" s="2"/>
      <c r="C5" s="107" t="str">
        <f>"Income Statement, "&amp;Valuation!V119&amp;" "&amp;Valuation!V122</f>
        <v>Income Statement, USD Thousands</v>
      </c>
      <c r="D5" s="413" t="str">
        <f>H5&amp;"Q1"</f>
        <v>2012Q1</v>
      </c>
      <c r="E5" s="413" t="str">
        <f>H5&amp;"Q2"</f>
        <v>2012Q2</v>
      </c>
      <c r="F5" s="413" t="str">
        <f>H5&amp;"Q3"</f>
        <v>2012Q3</v>
      </c>
      <c r="G5" s="413" t="str">
        <f>H5&amp;"Q4"</f>
        <v>2012Q4</v>
      </c>
      <c r="H5" s="414">
        <f>Valuation!E9-Control!$A$27</f>
        <v>2012</v>
      </c>
      <c r="I5" s="413" t="str">
        <f>M5&amp;"Q1"</f>
        <v>2013Q1</v>
      </c>
      <c r="J5" s="413" t="str">
        <f>M5&amp;"Q2"</f>
        <v>2013Q2</v>
      </c>
      <c r="K5" s="413" t="str">
        <f>M5&amp;"Q3"</f>
        <v>2013Q3</v>
      </c>
      <c r="L5" s="413" t="str">
        <f>M5&amp;"Q4"</f>
        <v>2013Q4</v>
      </c>
      <c r="M5" s="414">
        <f>Valuation!F9-Control!$A$27</f>
        <v>2013</v>
      </c>
      <c r="N5" s="413" t="str">
        <f>R5&amp;"Q1"</f>
        <v>2014Q1</v>
      </c>
      <c r="O5" s="413" t="str">
        <f>R5&amp;"Q2"</f>
        <v>2014Q2</v>
      </c>
      <c r="P5" s="413" t="str">
        <f>R5&amp;"Q3"</f>
        <v>2014Q3</v>
      </c>
      <c r="Q5" s="413" t="str">
        <f>R5&amp;"Q4"</f>
        <v>2014Q4</v>
      </c>
      <c r="R5" s="414">
        <f>Valuation!G9-Control!$A$27</f>
        <v>2014</v>
      </c>
      <c r="S5" s="413" t="str">
        <f>W5&amp;"Q1"</f>
        <v>2015Q1</v>
      </c>
      <c r="T5" s="413" t="str">
        <f>W5&amp;"Q2"</f>
        <v>2015Q2</v>
      </c>
      <c r="U5" s="413" t="str">
        <f>W5&amp;"Q3"</f>
        <v>2015Q3</v>
      </c>
      <c r="V5" s="413" t="str">
        <f>W5&amp;"Q4"</f>
        <v>2015Q4</v>
      </c>
      <c r="W5" s="414">
        <f>Valuation!H9-Control!$A$27</f>
        <v>2015</v>
      </c>
      <c r="X5" s="413" t="str">
        <f>AB5&amp;"Q1"</f>
        <v>2016Q1</v>
      </c>
      <c r="Y5" s="413" t="str">
        <f>AB5&amp;"Q2"</f>
        <v>2016Q2</v>
      </c>
      <c r="Z5" s="413" t="str">
        <f>AB5&amp;"Q3"</f>
        <v>2016Q3</v>
      </c>
      <c r="AA5" s="413" t="str">
        <f>AB5&amp;"Q4"</f>
        <v>2016Q4</v>
      </c>
      <c r="AB5" s="414">
        <f>Valuation!I9-Control!$A$27</f>
        <v>2016</v>
      </c>
      <c r="AC5" s="413" t="str">
        <f>AG5&amp;"Q1"</f>
        <v>2017Q1</v>
      </c>
      <c r="AD5" s="413" t="str">
        <f>AG5&amp;"Q2"</f>
        <v>2017Q2</v>
      </c>
      <c r="AE5" s="413" t="str">
        <f>AG5&amp;"Q3"</f>
        <v>2017Q3</v>
      </c>
      <c r="AF5" s="413" t="str">
        <f>AG5&amp;"Q4"</f>
        <v>2017Q4</v>
      </c>
      <c r="AG5" s="414">
        <f>Valuation!J9-Control!$A$27</f>
        <v>2017</v>
      </c>
      <c r="AH5" s="413" t="str">
        <f>AL5&amp;"Q1"</f>
        <v>2018Q1</v>
      </c>
      <c r="AI5" s="413" t="str">
        <f>AL5&amp;"Q2"</f>
        <v>2018Q2</v>
      </c>
      <c r="AJ5" s="413" t="str">
        <f>AL5&amp;"Q3"</f>
        <v>2018Q3</v>
      </c>
      <c r="AK5" s="413" t="str">
        <f>AL5&amp;"Q4"</f>
        <v>2018Q4</v>
      </c>
      <c r="AL5" s="414">
        <f>Valuation!K9-Control!$A$27</f>
        <v>2018</v>
      </c>
      <c r="AM5" s="413" t="str">
        <f>AQ5&amp;"Q1"</f>
        <v>2019Q1</v>
      </c>
      <c r="AN5" s="413" t="str">
        <f>AQ5&amp;"Q2"</f>
        <v>2019Q2</v>
      </c>
      <c r="AO5" s="413" t="str">
        <f>AQ5&amp;"Q3"</f>
        <v>2019Q3</v>
      </c>
      <c r="AP5" s="413" t="str">
        <f>AQ5&amp;"Q4"</f>
        <v>2019Q4</v>
      </c>
      <c r="AQ5" s="414">
        <f>Valuation!L9-Control!$A$27</f>
        <v>2019</v>
      </c>
      <c r="AR5" s="413" t="str">
        <f>AV5&amp;"Q1"</f>
        <v>2020Q1</v>
      </c>
      <c r="AS5" s="413" t="str">
        <f>AV5&amp;"Q2"</f>
        <v>2020Q2</v>
      </c>
      <c r="AT5" s="413" t="str">
        <f>AV5&amp;"Q3"</f>
        <v>2020Q3</v>
      </c>
      <c r="AU5" s="413" t="str">
        <f>AV5&amp;"Q4"</f>
        <v>2020Q4</v>
      </c>
      <c r="AV5" s="414">
        <f>Valuation!M9-Control!$A$27</f>
        <v>2020</v>
      </c>
      <c r="AW5" s="413" t="str">
        <f>BA5&amp;"Q1"</f>
        <v>2021Q1</v>
      </c>
      <c r="AX5" s="413" t="str">
        <f>BA5&amp;"Q2"</f>
        <v>2021Q2</v>
      </c>
      <c r="AY5" s="413" t="str">
        <f>BA5&amp;"Q3"</f>
        <v>2021Q3</v>
      </c>
      <c r="AZ5" s="413" t="str">
        <f>BA5&amp;"Q4"</f>
        <v>2021Q4</v>
      </c>
      <c r="BA5" s="414">
        <f>Valuation!N9-Control!$A$27</f>
        <v>2021</v>
      </c>
      <c r="BB5" s="413" t="str">
        <f>BF5&amp;"Q1"</f>
        <v>2022Q1</v>
      </c>
      <c r="BC5" s="413" t="str">
        <f>BF5&amp;"Q2"</f>
        <v>2022Q2</v>
      </c>
      <c r="BD5" s="413" t="str">
        <f>BF5&amp;"Q3"</f>
        <v>2022Q3</v>
      </c>
      <c r="BE5" s="413" t="str">
        <f>BF5&amp;"Q4"</f>
        <v>2022Q4</v>
      </c>
      <c r="BF5" s="414">
        <f>Valuation!O9-Control!$A$27</f>
        <v>2022</v>
      </c>
      <c r="BG5" s="413" t="str">
        <f>BK5&amp;"Q1"</f>
        <v>2023Q1</v>
      </c>
      <c r="BH5" s="413" t="str">
        <f>BK5&amp;"Q2"</f>
        <v>2023Q2</v>
      </c>
      <c r="BI5" s="413" t="str">
        <f>BK5&amp;"Q3"</f>
        <v>2023Q3</v>
      </c>
      <c r="BJ5" s="413" t="str">
        <f>BK5&amp;"Q4"</f>
        <v>2023Q4</v>
      </c>
      <c r="BK5" s="414">
        <f>Valuation!P9-Control!$A$27</f>
        <v>2023</v>
      </c>
      <c r="BL5" s="413" t="str">
        <f>BP5&amp;"Q1"</f>
        <v>2024Q1</v>
      </c>
      <c r="BM5" s="413" t="str">
        <f>BP5&amp;"Q2"</f>
        <v>2024Q2</v>
      </c>
      <c r="BN5" s="413" t="str">
        <f>BP5&amp;"Q3"</f>
        <v>2024Q3</v>
      </c>
      <c r="BO5" s="413" t="str">
        <f>BP5&amp;"Q4"</f>
        <v>2024Q4</v>
      </c>
      <c r="BP5" s="414">
        <f>Valuation!Q9-Control!$A$27</f>
        <v>2024</v>
      </c>
      <c r="BQ5" s="413" t="str">
        <f>BU5&amp;"Q1"</f>
        <v>2025Q1</v>
      </c>
      <c r="BR5" s="413" t="str">
        <f>BU5&amp;"Q2"</f>
        <v>2025Q2</v>
      </c>
      <c r="BS5" s="413" t="str">
        <f>BU5&amp;"Q3"</f>
        <v>2025Q3</v>
      </c>
      <c r="BT5" s="413" t="str">
        <f>BU5&amp;"Q4"</f>
        <v>2025Q4</v>
      </c>
      <c r="BU5" s="414">
        <f>Valuation!R9-Control!$A$27</f>
        <v>2025</v>
      </c>
      <c r="BV5" s="413" t="str">
        <f>BZ5&amp;"Q1"</f>
        <v>2026Q1</v>
      </c>
      <c r="BW5" s="413" t="str">
        <f>BZ5&amp;"Q2"</f>
        <v>2026Q2</v>
      </c>
      <c r="BX5" s="413" t="str">
        <f>BZ5&amp;"Q3"</f>
        <v>2026Q3</v>
      </c>
      <c r="BY5" s="413" t="str">
        <f>BZ5&amp;"Q4"</f>
        <v>2026Q4</v>
      </c>
      <c r="BZ5" s="414">
        <f>Valuation!S9-Control!$A$27</f>
        <v>2026</v>
      </c>
      <c r="CA5" s="58"/>
      <c r="CC5" s="9"/>
      <c r="CD5" s="107" t="str">
        <f>C5</f>
        <v>Income Statement, USD Thousands</v>
      </c>
      <c r="CE5" s="13">
        <f>Valuation!E9-Control!$A$27</f>
        <v>2012</v>
      </c>
      <c r="CF5" s="13">
        <f>Valuation!F9-Control!$A$27</f>
        <v>2013</v>
      </c>
      <c r="CG5" s="13">
        <f>Valuation!G9-Control!$A$27</f>
        <v>2014</v>
      </c>
      <c r="CH5" s="13">
        <f>Valuation!H9-Control!$A$27</f>
        <v>2015</v>
      </c>
      <c r="CI5" s="13">
        <f>Valuation!I9-Control!$A$27</f>
        <v>2016</v>
      </c>
      <c r="CJ5" s="13">
        <f>Valuation!J9-Control!$A$27</f>
        <v>2017</v>
      </c>
      <c r="CK5" s="13">
        <f>Valuation!K9-Control!$A$27</f>
        <v>2018</v>
      </c>
      <c r="CL5" s="13">
        <f>Valuation!L9-Control!$A$27</f>
        <v>2019</v>
      </c>
      <c r="CM5" s="13">
        <f>Valuation!M9-Control!$A$27</f>
        <v>2020</v>
      </c>
      <c r="CN5" s="13">
        <f>Valuation!N9-Control!$A$27</f>
        <v>2021</v>
      </c>
      <c r="CO5" s="13">
        <f>Valuation!O9-Control!$A$27</f>
        <v>2022</v>
      </c>
      <c r="CP5" s="13">
        <f>Valuation!P9-Control!$A$27</f>
        <v>2023</v>
      </c>
      <c r="CQ5" s="13">
        <f>Valuation!Q9-Control!$A$27</f>
        <v>2024</v>
      </c>
      <c r="CR5" s="13">
        <f>Valuation!R9-Control!$A$27</f>
        <v>2025</v>
      </c>
      <c r="CS5" s="13">
        <f>Valuation!S9-Control!$A$27</f>
        <v>2026</v>
      </c>
      <c r="CT5" s="2"/>
    </row>
    <row r="6" spans="2:98" s="50" customFormat="1" ht="4.5" customHeight="1">
      <c r="B6" s="2"/>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C6" s="9"/>
      <c r="CD6" s="58"/>
      <c r="CE6" s="9"/>
      <c r="CF6" s="9"/>
      <c r="CG6" s="9"/>
      <c r="CH6" s="9"/>
      <c r="CI6" s="9"/>
      <c r="CJ6" s="9"/>
      <c r="CK6" s="9"/>
      <c r="CL6" s="9"/>
      <c r="CM6" s="9"/>
      <c r="CN6" s="9"/>
      <c r="CO6" s="9"/>
      <c r="CP6" s="9"/>
      <c r="CQ6" s="9"/>
      <c r="CR6" s="9"/>
      <c r="CS6" s="9"/>
      <c r="CT6" s="2"/>
    </row>
    <row r="7" spans="2:98" s="50" customFormat="1" hidden="1" outlineLevel="1">
      <c r="B7" s="2"/>
      <c r="C7" s="415" t="s">
        <v>98</v>
      </c>
      <c r="D7" s="416">
        <v>0</v>
      </c>
      <c r="E7" s="416">
        <v>0</v>
      </c>
      <c r="F7" s="416">
        <v>0</v>
      </c>
      <c r="G7" s="416">
        <v>0</v>
      </c>
      <c r="H7" s="416">
        <v>0</v>
      </c>
      <c r="I7" s="416">
        <v>0</v>
      </c>
      <c r="J7" s="416">
        <v>0</v>
      </c>
      <c r="K7" s="416">
        <v>0</v>
      </c>
      <c r="L7" s="416">
        <v>0</v>
      </c>
      <c r="M7" s="416">
        <v>0</v>
      </c>
      <c r="N7" s="416">
        <v>0</v>
      </c>
      <c r="O7" s="416">
        <v>0</v>
      </c>
      <c r="P7" s="416">
        <v>0</v>
      </c>
      <c r="Q7" s="416">
        <v>0</v>
      </c>
      <c r="R7" s="416">
        <v>0</v>
      </c>
      <c r="S7" s="416">
        <v>0</v>
      </c>
      <c r="T7" s="416">
        <v>0</v>
      </c>
      <c r="U7" s="416">
        <v>0</v>
      </c>
      <c r="V7" s="416">
        <v>0</v>
      </c>
      <c r="W7" s="416">
        <v>0</v>
      </c>
      <c r="X7" s="416">
        <v>0</v>
      </c>
      <c r="Y7" s="416">
        <v>0</v>
      </c>
      <c r="Z7" s="416">
        <v>0</v>
      </c>
      <c r="AA7" s="416">
        <v>0</v>
      </c>
      <c r="AB7" s="416">
        <v>0</v>
      </c>
      <c r="AC7" s="416">
        <v>0</v>
      </c>
      <c r="AD7" s="416">
        <v>0</v>
      </c>
      <c r="AE7" s="416">
        <v>0</v>
      </c>
      <c r="AF7" s="416">
        <v>0</v>
      </c>
      <c r="AG7" s="416">
        <v>0</v>
      </c>
      <c r="AH7" s="416">
        <v>0</v>
      </c>
      <c r="AI7" s="416">
        <v>0</v>
      </c>
      <c r="AJ7" s="416">
        <v>0</v>
      </c>
      <c r="AK7" s="416">
        <v>0</v>
      </c>
      <c r="AL7" s="416">
        <v>0</v>
      </c>
      <c r="AM7" s="416">
        <v>0</v>
      </c>
      <c r="AN7" s="416">
        <v>0</v>
      </c>
      <c r="AO7" s="416">
        <v>0</v>
      </c>
      <c r="AP7" s="416">
        <v>0</v>
      </c>
      <c r="AQ7" s="416">
        <v>0</v>
      </c>
      <c r="AR7" s="416">
        <v>0</v>
      </c>
      <c r="AS7" s="416">
        <v>0</v>
      </c>
      <c r="AT7" s="416">
        <v>0</v>
      </c>
      <c r="AU7" s="416">
        <v>0</v>
      </c>
      <c r="AV7" s="416">
        <v>0</v>
      </c>
      <c r="AW7" s="416">
        <v>0</v>
      </c>
      <c r="AX7" s="416">
        <v>0</v>
      </c>
      <c r="AY7" s="416">
        <v>0</v>
      </c>
      <c r="AZ7" s="416">
        <v>0</v>
      </c>
      <c r="BA7" s="416">
        <v>0</v>
      </c>
      <c r="BB7" s="416">
        <v>0</v>
      </c>
      <c r="BC7" s="416">
        <v>0</v>
      </c>
      <c r="BD7" s="416">
        <v>0</v>
      </c>
      <c r="BE7" s="416">
        <v>0</v>
      </c>
      <c r="BF7" s="416">
        <v>482.94900000000001</v>
      </c>
      <c r="BG7" s="416">
        <v>179.08199999999999</v>
      </c>
      <c r="BH7" s="416">
        <v>178.33099999999999</v>
      </c>
      <c r="BI7" s="416">
        <v>286.66300000000001</v>
      </c>
      <c r="BJ7" s="416">
        <v>497.09100000000001</v>
      </c>
      <c r="BK7" s="416">
        <v>1141.1669999999999</v>
      </c>
      <c r="BL7" s="416">
        <v>1596.981</v>
      </c>
      <c r="BM7" s="416">
        <v>2033.011</v>
      </c>
      <c r="BN7" s="416">
        <v>1234.7360000000001</v>
      </c>
      <c r="BO7" s="416">
        <v>2490.0259999999998</v>
      </c>
      <c r="BP7" s="416">
        <v>7354.7529999999997</v>
      </c>
      <c r="BQ7" s="416">
        <v>1164.8910000000001</v>
      </c>
      <c r="BR7" s="416">
        <v>802.60299999999995</v>
      </c>
      <c r="BS7" s="416">
        <v>576.375</v>
      </c>
      <c r="BT7" s="416">
        <v>604.94600000000003</v>
      </c>
      <c r="BU7" s="416">
        <v>3148.8150000000001</v>
      </c>
      <c r="BV7" s="416">
        <v>736.39800000000002</v>
      </c>
      <c r="BW7" s="416">
        <v>662.5</v>
      </c>
      <c r="BX7" s="416">
        <v>623.00400000000002</v>
      </c>
      <c r="BY7" s="416">
        <v>0</v>
      </c>
      <c r="BZ7" s="416">
        <v>0</v>
      </c>
      <c r="CA7" s="58"/>
      <c r="CC7" s="9"/>
      <c r="CD7" s="415" t="s">
        <v>98</v>
      </c>
      <c r="CE7" s="9"/>
      <c r="CF7" s="9"/>
      <c r="CG7" s="9"/>
      <c r="CH7" s="9"/>
      <c r="CI7" s="9"/>
      <c r="CJ7" s="9"/>
      <c r="CK7" s="9"/>
      <c r="CL7" s="9"/>
      <c r="CM7" s="9"/>
      <c r="CN7" s="9"/>
      <c r="CO7" s="9"/>
      <c r="CP7" s="9"/>
      <c r="CQ7" s="9"/>
      <c r="CR7" s="9"/>
      <c r="CS7" s="9"/>
      <c r="CT7" s="2"/>
    </row>
    <row r="8" spans="2:98" s="50" customFormat="1" hidden="1" outlineLevel="1">
      <c r="B8" s="2"/>
      <c r="C8" s="415" t="s">
        <v>456</v>
      </c>
      <c r="D8" s="416">
        <v>0</v>
      </c>
      <c r="E8" s="416">
        <v>0</v>
      </c>
      <c r="F8" s="416">
        <v>0</v>
      </c>
      <c r="G8" s="416">
        <v>0</v>
      </c>
      <c r="H8" s="416">
        <v>0</v>
      </c>
      <c r="I8" s="416">
        <v>0</v>
      </c>
      <c r="J8" s="416">
        <v>0</v>
      </c>
      <c r="K8" s="416">
        <v>0</v>
      </c>
      <c r="L8" s="416">
        <v>0</v>
      </c>
      <c r="M8" s="416">
        <v>0</v>
      </c>
      <c r="N8" s="416">
        <v>0</v>
      </c>
      <c r="O8" s="416">
        <v>0</v>
      </c>
      <c r="P8" s="416">
        <v>0</v>
      </c>
      <c r="Q8" s="416">
        <v>0</v>
      </c>
      <c r="R8" s="416">
        <v>0</v>
      </c>
      <c r="S8" s="416">
        <v>0</v>
      </c>
      <c r="T8" s="416">
        <v>0</v>
      </c>
      <c r="U8" s="416">
        <v>0</v>
      </c>
      <c r="V8" s="416">
        <v>0</v>
      </c>
      <c r="W8" s="416">
        <v>0</v>
      </c>
      <c r="X8" s="416">
        <v>0</v>
      </c>
      <c r="Y8" s="416">
        <v>0</v>
      </c>
      <c r="Z8" s="416">
        <v>0</v>
      </c>
      <c r="AA8" s="416">
        <v>0</v>
      </c>
      <c r="AB8" s="416">
        <v>0</v>
      </c>
      <c r="AC8" s="416">
        <v>0</v>
      </c>
      <c r="AD8" s="416">
        <v>0</v>
      </c>
      <c r="AE8" s="416">
        <v>0</v>
      </c>
      <c r="AF8" s="416">
        <v>0</v>
      </c>
      <c r="AG8" s="416">
        <v>0</v>
      </c>
      <c r="AH8" s="416">
        <v>0</v>
      </c>
      <c r="AI8" s="416">
        <v>0</v>
      </c>
      <c r="AJ8" s="416">
        <v>0</v>
      </c>
      <c r="AK8" s="416">
        <v>0</v>
      </c>
      <c r="AL8" s="416">
        <v>0</v>
      </c>
      <c r="AM8" s="416">
        <v>0</v>
      </c>
      <c r="AN8" s="416">
        <v>0</v>
      </c>
      <c r="AO8" s="416">
        <v>0</v>
      </c>
      <c r="AP8" s="416">
        <v>0</v>
      </c>
      <c r="AQ8" s="416">
        <v>0</v>
      </c>
      <c r="AR8" s="416">
        <v>0</v>
      </c>
      <c r="AS8" s="416">
        <v>0</v>
      </c>
      <c r="AT8" s="416">
        <v>0</v>
      </c>
      <c r="AU8" s="416">
        <v>0</v>
      </c>
      <c r="AV8" s="416">
        <v>0</v>
      </c>
      <c r="AW8" s="416">
        <v>0</v>
      </c>
      <c r="AX8" s="416">
        <v>0</v>
      </c>
      <c r="AY8" s="416">
        <v>0</v>
      </c>
      <c r="AZ8" s="416">
        <v>0</v>
      </c>
      <c r="BA8" s="416">
        <v>0</v>
      </c>
      <c r="BB8" s="416">
        <v>0</v>
      </c>
      <c r="BC8" s="416">
        <v>0</v>
      </c>
      <c r="BD8" s="416">
        <v>0</v>
      </c>
      <c r="BE8" s="416">
        <v>0</v>
      </c>
      <c r="BF8" s="416">
        <v>0</v>
      </c>
      <c r="BG8" s="416">
        <v>0</v>
      </c>
      <c r="BH8" s="416">
        <v>0</v>
      </c>
      <c r="BI8" s="416">
        <v>0</v>
      </c>
      <c r="BJ8" s="416">
        <v>0</v>
      </c>
      <c r="BK8" s="416">
        <v>0</v>
      </c>
      <c r="BL8" s="416">
        <v>0</v>
      </c>
      <c r="BM8" s="416">
        <v>0</v>
      </c>
      <c r="BN8" s="416">
        <v>0</v>
      </c>
      <c r="BO8" s="416">
        <v>0</v>
      </c>
      <c r="BP8" s="416">
        <v>0</v>
      </c>
      <c r="BQ8" s="416">
        <v>0</v>
      </c>
      <c r="BR8" s="416">
        <v>0</v>
      </c>
      <c r="BS8" s="416">
        <v>0</v>
      </c>
      <c r="BT8" s="416">
        <v>0</v>
      </c>
      <c r="BU8" s="416">
        <v>0</v>
      </c>
      <c r="BV8" s="416">
        <v>0</v>
      </c>
      <c r="BW8" s="416">
        <v>0</v>
      </c>
      <c r="BX8" s="416">
        <v>0</v>
      </c>
      <c r="BY8" s="416">
        <v>0</v>
      </c>
      <c r="BZ8" s="416">
        <v>0</v>
      </c>
      <c r="CA8" s="58"/>
      <c r="CC8" s="9"/>
      <c r="CD8" s="415" t="s">
        <v>456</v>
      </c>
      <c r="CE8" s="9"/>
      <c r="CF8" s="9"/>
      <c r="CG8" s="9"/>
      <c r="CH8" s="9"/>
      <c r="CI8" s="9"/>
      <c r="CJ8" s="9"/>
      <c r="CK8" s="9"/>
      <c r="CL8" s="9"/>
      <c r="CM8" s="9"/>
      <c r="CN8" s="9"/>
      <c r="CO8" s="9"/>
      <c r="CP8" s="9"/>
      <c r="CQ8" s="9"/>
      <c r="CR8" s="9"/>
      <c r="CS8" s="9"/>
      <c r="CT8" s="2"/>
    </row>
    <row r="9" spans="2:98" s="50" customFormat="1" hidden="1" outlineLevel="1">
      <c r="B9" s="2"/>
      <c r="C9" s="415" t="s">
        <v>457</v>
      </c>
      <c r="D9" s="416">
        <v>0</v>
      </c>
      <c r="E9" s="416">
        <v>0</v>
      </c>
      <c r="F9" s="416">
        <v>0</v>
      </c>
      <c r="G9" s="416">
        <v>0</v>
      </c>
      <c r="H9" s="416">
        <v>0</v>
      </c>
      <c r="I9" s="416">
        <v>0</v>
      </c>
      <c r="J9" s="416">
        <v>0</v>
      </c>
      <c r="K9" s="416">
        <v>0</v>
      </c>
      <c r="L9" s="416">
        <v>0</v>
      </c>
      <c r="M9" s="416">
        <v>0</v>
      </c>
      <c r="N9" s="416">
        <v>0</v>
      </c>
      <c r="O9" s="416">
        <v>0</v>
      </c>
      <c r="P9" s="416">
        <v>0</v>
      </c>
      <c r="Q9" s="416">
        <v>0</v>
      </c>
      <c r="R9" s="416">
        <v>0</v>
      </c>
      <c r="S9" s="416">
        <v>0</v>
      </c>
      <c r="T9" s="416">
        <v>0</v>
      </c>
      <c r="U9" s="416">
        <v>0</v>
      </c>
      <c r="V9" s="416">
        <v>0</v>
      </c>
      <c r="W9" s="416">
        <v>0</v>
      </c>
      <c r="X9" s="416">
        <v>0</v>
      </c>
      <c r="Y9" s="416">
        <v>0</v>
      </c>
      <c r="Z9" s="416">
        <v>0</v>
      </c>
      <c r="AA9" s="416">
        <v>0</v>
      </c>
      <c r="AB9" s="416">
        <v>0</v>
      </c>
      <c r="AC9" s="416">
        <v>0</v>
      </c>
      <c r="AD9" s="416">
        <v>0</v>
      </c>
      <c r="AE9" s="416">
        <v>0</v>
      </c>
      <c r="AF9" s="416">
        <v>0</v>
      </c>
      <c r="AG9" s="416">
        <v>0</v>
      </c>
      <c r="AH9" s="416">
        <v>0</v>
      </c>
      <c r="AI9" s="416">
        <v>0</v>
      </c>
      <c r="AJ9" s="416">
        <v>0</v>
      </c>
      <c r="AK9" s="416">
        <v>0</v>
      </c>
      <c r="AL9" s="416">
        <v>0</v>
      </c>
      <c r="AM9" s="416">
        <v>0</v>
      </c>
      <c r="AN9" s="416">
        <v>0</v>
      </c>
      <c r="AO9" s="416">
        <v>0</v>
      </c>
      <c r="AP9" s="416">
        <v>0</v>
      </c>
      <c r="AQ9" s="416">
        <v>0</v>
      </c>
      <c r="AR9" s="416">
        <v>0</v>
      </c>
      <c r="AS9" s="416">
        <v>0</v>
      </c>
      <c r="AT9" s="416">
        <v>0</v>
      </c>
      <c r="AU9" s="416">
        <v>0</v>
      </c>
      <c r="AV9" s="416">
        <v>0</v>
      </c>
      <c r="AW9" s="416">
        <v>0</v>
      </c>
      <c r="AX9" s="416">
        <v>0</v>
      </c>
      <c r="AY9" s="416">
        <v>0</v>
      </c>
      <c r="AZ9" s="416">
        <v>0</v>
      </c>
      <c r="BA9" s="416">
        <v>0</v>
      </c>
      <c r="BB9" s="416">
        <v>0</v>
      </c>
      <c r="BC9" s="416">
        <v>0</v>
      </c>
      <c r="BD9" s="416">
        <v>0</v>
      </c>
      <c r="BE9" s="416">
        <v>0</v>
      </c>
      <c r="BF9" s="416">
        <v>0</v>
      </c>
      <c r="BG9" s="416">
        <v>0</v>
      </c>
      <c r="BH9" s="416">
        <v>0</v>
      </c>
      <c r="BI9" s="416">
        <v>0</v>
      </c>
      <c r="BJ9" s="416">
        <v>0</v>
      </c>
      <c r="BK9" s="416">
        <v>0</v>
      </c>
      <c r="BL9" s="416">
        <v>0</v>
      </c>
      <c r="BM9" s="416">
        <v>0</v>
      </c>
      <c r="BN9" s="416">
        <v>0</v>
      </c>
      <c r="BO9" s="416">
        <v>0</v>
      </c>
      <c r="BP9" s="416">
        <v>0</v>
      </c>
      <c r="BQ9" s="416">
        <v>0</v>
      </c>
      <c r="BR9" s="416">
        <v>0</v>
      </c>
      <c r="BS9" s="416">
        <v>0</v>
      </c>
      <c r="BT9" s="416">
        <v>0</v>
      </c>
      <c r="BU9" s="416">
        <v>0</v>
      </c>
      <c r="BV9" s="416">
        <v>0</v>
      </c>
      <c r="BW9" s="416">
        <v>0</v>
      </c>
      <c r="BX9" s="416">
        <v>0</v>
      </c>
      <c r="BY9" s="416">
        <v>0</v>
      </c>
      <c r="BZ9" s="416">
        <v>0</v>
      </c>
      <c r="CA9" s="58"/>
      <c r="CC9" s="9"/>
      <c r="CD9" s="415" t="s">
        <v>457</v>
      </c>
      <c r="CE9" s="9"/>
      <c r="CF9" s="9"/>
      <c r="CG9" s="9"/>
      <c r="CH9" s="9"/>
      <c r="CI9" s="9"/>
      <c r="CJ9" s="9"/>
      <c r="CK9" s="9"/>
      <c r="CL9" s="9"/>
      <c r="CM9" s="9"/>
      <c r="CN9" s="9"/>
      <c r="CO9" s="9"/>
      <c r="CP9" s="9"/>
      <c r="CQ9" s="9"/>
      <c r="CR9" s="9"/>
      <c r="CS9" s="9"/>
      <c r="CT9" s="2"/>
    </row>
    <row r="10" spans="2:98" s="50" customFormat="1" hidden="1" outlineLevel="1">
      <c r="B10" s="2"/>
      <c r="C10" s="415" t="s">
        <v>458</v>
      </c>
      <c r="D10" s="416">
        <v>0</v>
      </c>
      <c r="E10" s="416">
        <v>0</v>
      </c>
      <c r="F10" s="416">
        <v>0</v>
      </c>
      <c r="G10" s="416">
        <v>0</v>
      </c>
      <c r="H10" s="416">
        <v>0</v>
      </c>
      <c r="I10" s="416">
        <v>0</v>
      </c>
      <c r="J10" s="416">
        <v>0</v>
      </c>
      <c r="K10" s="416">
        <v>0</v>
      </c>
      <c r="L10" s="416">
        <v>0</v>
      </c>
      <c r="M10" s="416">
        <v>0</v>
      </c>
      <c r="N10" s="416">
        <v>0</v>
      </c>
      <c r="O10" s="416">
        <v>0</v>
      </c>
      <c r="P10" s="416">
        <v>0</v>
      </c>
      <c r="Q10" s="416">
        <v>0</v>
      </c>
      <c r="R10" s="416">
        <v>0</v>
      </c>
      <c r="S10" s="416">
        <v>0</v>
      </c>
      <c r="T10" s="416">
        <v>0</v>
      </c>
      <c r="U10" s="416">
        <v>0</v>
      </c>
      <c r="V10" s="416">
        <v>0</v>
      </c>
      <c r="W10" s="416">
        <v>0</v>
      </c>
      <c r="X10" s="416">
        <v>0</v>
      </c>
      <c r="Y10" s="416">
        <v>0</v>
      </c>
      <c r="Z10" s="416">
        <v>0</v>
      </c>
      <c r="AA10" s="416">
        <v>0</v>
      </c>
      <c r="AB10" s="416">
        <v>0</v>
      </c>
      <c r="AC10" s="416">
        <v>0</v>
      </c>
      <c r="AD10" s="416">
        <v>0</v>
      </c>
      <c r="AE10" s="416">
        <v>0</v>
      </c>
      <c r="AF10" s="416">
        <v>0</v>
      </c>
      <c r="AG10" s="416">
        <v>0</v>
      </c>
      <c r="AH10" s="416">
        <v>0</v>
      </c>
      <c r="AI10" s="416">
        <v>0</v>
      </c>
      <c r="AJ10" s="416">
        <v>0</v>
      </c>
      <c r="AK10" s="416">
        <v>0</v>
      </c>
      <c r="AL10" s="416">
        <v>0</v>
      </c>
      <c r="AM10" s="416">
        <v>0</v>
      </c>
      <c r="AN10" s="416">
        <v>0</v>
      </c>
      <c r="AO10" s="416">
        <v>0</v>
      </c>
      <c r="AP10" s="416">
        <v>0</v>
      </c>
      <c r="AQ10" s="416">
        <v>0</v>
      </c>
      <c r="AR10" s="416">
        <v>0</v>
      </c>
      <c r="AS10" s="416">
        <v>0</v>
      </c>
      <c r="AT10" s="416">
        <v>0</v>
      </c>
      <c r="AU10" s="416">
        <v>0</v>
      </c>
      <c r="AV10" s="416">
        <v>0</v>
      </c>
      <c r="AW10" s="416">
        <v>0</v>
      </c>
      <c r="AX10" s="416">
        <v>0</v>
      </c>
      <c r="AY10" s="416">
        <v>0</v>
      </c>
      <c r="AZ10" s="416">
        <v>0</v>
      </c>
      <c r="BA10" s="416">
        <v>0</v>
      </c>
      <c r="BB10" s="416">
        <v>0</v>
      </c>
      <c r="BC10" s="416">
        <v>0</v>
      </c>
      <c r="BD10" s="416">
        <v>0</v>
      </c>
      <c r="BE10" s="416">
        <v>0</v>
      </c>
      <c r="BF10" s="416">
        <v>50.786000000000001</v>
      </c>
      <c r="BG10" s="416">
        <v>11.548</v>
      </c>
      <c r="BH10" s="416">
        <v>8.0510000000000002</v>
      </c>
      <c r="BI10" s="416">
        <v>28.693999999999999</v>
      </c>
      <c r="BJ10" s="416">
        <v>88.021000000000001</v>
      </c>
      <c r="BK10" s="416">
        <v>136.31399999999999</v>
      </c>
      <c r="BL10" s="416">
        <v>204.131</v>
      </c>
      <c r="BM10" s="416">
        <v>194.95099999999999</v>
      </c>
      <c r="BN10" s="416">
        <v>77.171999999999997</v>
      </c>
      <c r="BO10" s="416">
        <v>8.4369999999999994</v>
      </c>
      <c r="BP10" s="416">
        <v>484.69099999999997</v>
      </c>
      <c r="BQ10" s="416">
        <v>1.5449999999999999</v>
      </c>
      <c r="BR10" s="416">
        <v>5.7220000000000004</v>
      </c>
      <c r="BS10" s="416">
        <v>13.964</v>
      </c>
      <c r="BT10" s="416">
        <v>24.161999999999999</v>
      </c>
      <c r="BU10" s="416">
        <v>45.393000000000001</v>
      </c>
      <c r="BV10" s="416">
        <v>36.131</v>
      </c>
      <c r="BW10" s="416">
        <v>45.411000000000001</v>
      </c>
      <c r="BX10" s="416">
        <v>51.143999999999998</v>
      </c>
      <c r="BY10" s="416">
        <v>0</v>
      </c>
      <c r="BZ10" s="416">
        <v>0</v>
      </c>
      <c r="CA10" s="58"/>
      <c r="CC10" s="9"/>
      <c r="CD10" s="415" t="s">
        <v>458</v>
      </c>
      <c r="CE10" s="9"/>
      <c r="CF10" s="9"/>
      <c r="CG10" s="9"/>
      <c r="CH10" s="9"/>
      <c r="CI10" s="9"/>
      <c r="CJ10" s="9"/>
      <c r="CK10" s="9"/>
      <c r="CL10" s="9"/>
      <c r="CM10" s="9"/>
      <c r="CN10" s="9"/>
      <c r="CO10" s="9"/>
      <c r="CP10" s="9"/>
      <c r="CQ10" s="9"/>
      <c r="CR10" s="9"/>
      <c r="CS10" s="9"/>
      <c r="CT10" s="2"/>
    </row>
    <row r="11" spans="2:98" collapsed="1">
      <c r="C11" s="417" t="s">
        <v>97</v>
      </c>
      <c r="D11" s="416">
        <v>0</v>
      </c>
      <c r="E11" s="416">
        <v>0</v>
      </c>
      <c r="F11" s="416">
        <v>0</v>
      </c>
      <c r="G11" s="416">
        <v>0</v>
      </c>
      <c r="H11" s="416">
        <v>0</v>
      </c>
      <c r="I11" s="416">
        <v>0</v>
      </c>
      <c r="J11" s="416">
        <v>0</v>
      </c>
      <c r="K11" s="416">
        <v>0</v>
      </c>
      <c r="L11" s="416">
        <v>0</v>
      </c>
      <c r="M11" s="416">
        <v>0</v>
      </c>
      <c r="N11" s="416">
        <v>0</v>
      </c>
      <c r="O11" s="416">
        <v>0</v>
      </c>
      <c r="P11" s="416">
        <v>0</v>
      </c>
      <c r="Q11" s="416">
        <v>0</v>
      </c>
      <c r="R11" s="416">
        <v>0</v>
      </c>
      <c r="S11" s="416">
        <v>0</v>
      </c>
      <c r="T11" s="416">
        <v>0</v>
      </c>
      <c r="U11" s="416">
        <v>0</v>
      </c>
      <c r="V11" s="416">
        <v>0</v>
      </c>
      <c r="W11" s="416">
        <v>0</v>
      </c>
      <c r="X11" s="416">
        <v>0</v>
      </c>
      <c r="Y11" s="416">
        <v>0</v>
      </c>
      <c r="Z11" s="416">
        <v>0</v>
      </c>
      <c r="AA11" s="416">
        <v>0</v>
      </c>
      <c r="AB11" s="416">
        <v>0</v>
      </c>
      <c r="AC11" s="416">
        <v>0</v>
      </c>
      <c r="AD11" s="416">
        <v>0</v>
      </c>
      <c r="AE11" s="416">
        <v>0</v>
      </c>
      <c r="AF11" s="416">
        <v>0</v>
      </c>
      <c r="AG11" s="416">
        <v>0</v>
      </c>
      <c r="AH11" s="416">
        <v>0</v>
      </c>
      <c r="AI11" s="416">
        <v>0</v>
      </c>
      <c r="AJ11" s="416">
        <v>0</v>
      </c>
      <c r="AK11" s="416">
        <v>0</v>
      </c>
      <c r="AL11" s="416">
        <v>0</v>
      </c>
      <c r="AM11" s="416">
        <v>0</v>
      </c>
      <c r="AN11" s="416">
        <v>0</v>
      </c>
      <c r="AO11" s="416">
        <v>0</v>
      </c>
      <c r="AP11" s="416">
        <v>0</v>
      </c>
      <c r="AQ11" s="416">
        <v>0</v>
      </c>
      <c r="AR11" s="416">
        <v>0</v>
      </c>
      <c r="AS11" s="416">
        <v>0</v>
      </c>
      <c r="AT11" s="416">
        <v>0</v>
      </c>
      <c r="AU11" s="416">
        <v>0</v>
      </c>
      <c r="AV11" s="416">
        <v>0</v>
      </c>
      <c r="AW11" s="416">
        <v>0</v>
      </c>
      <c r="AX11" s="416">
        <v>0</v>
      </c>
      <c r="AY11" s="416">
        <v>0</v>
      </c>
      <c r="AZ11" s="416">
        <v>0</v>
      </c>
      <c r="BA11" s="416">
        <v>0</v>
      </c>
      <c r="BB11" s="416">
        <v>0</v>
      </c>
      <c r="BC11" s="416">
        <v>0</v>
      </c>
      <c r="BD11" s="416">
        <v>0</v>
      </c>
      <c r="BE11" s="416">
        <v>0</v>
      </c>
      <c r="BF11" s="416">
        <v>533.73500000000001</v>
      </c>
      <c r="BG11" s="416">
        <v>190.63</v>
      </c>
      <c r="BH11" s="416">
        <v>186.38200000000001</v>
      </c>
      <c r="BI11" s="416">
        <v>315.35700000000003</v>
      </c>
      <c r="BJ11" s="416">
        <v>585.11199999999997</v>
      </c>
      <c r="BK11" s="416">
        <v>1277.481</v>
      </c>
      <c r="BL11" s="416">
        <v>1801.1120000000001</v>
      </c>
      <c r="BM11" s="416">
        <v>2227.962</v>
      </c>
      <c r="BN11" s="416">
        <v>1311.9079999999999</v>
      </c>
      <c r="BO11" s="416">
        <v>2498.4630000000002</v>
      </c>
      <c r="BP11" s="416">
        <v>7839.4440000000004</v>
      </c>
      <c r="BQ11" s="416">
        <v>1166.4359999999999</v>
      </c>
      <c r="BR11" s="416">
        <v>808.32500000000005</v>
      </c>
      <c r="BS11" s="416">
        <v>590.33900000000006</v>
      </c>
      <c r="BT11" s="416">
        <v>629.10799999999995</v>
      </c>
      <c r="BU11" s="416">
        <v>3194.2080000000001</v>
      </c>
      <c r="BV11" s="416">
        <v>772.529</v>
      </c>
      <c r="BW11" s="416">
        <v>707.91099999999994</v>
      </c>
      <c r="BX11" s="416">
        <v>674.14800000000002</v>
      </c>
      <c r="BY11" s="416">
        <v>0</v>
      </c>
      <c r="BZ11" s="416">
        <v>0</v>
      </c>
      <c r="CC11" s="420"/>
      <c r="CD11" s="417" t="s">
        <v>97</v>
      </c>
      <c r="CE11" s="420">
        <f t="shared" ref="CE11:CE42" si="0">H11</f>
        <v>0</v>
      </c>
      <c r="CF11" s="420">
        <f>M11</f>
        <v>0</v>
      </c>
      <c r="CG11" s="420">
        <f>R11</f>
        <v>0</v>
      </c>
      <c r="CH11" s="420">
        <f>W11</f>
        <v>0</v>
      </c>
      <c r="CI11" s="420">
        <f>AB11</f>
        <v>0</v>
      </c>
      <c r="CJ11" s="420">
        <f>AG11</f>
        <v>0</v>
      </c>
      <c r="CK11" s="420">
        <f>AL11</f>
        <v>0</v>
      </c>
      <c r="CL11" s="420">
        <f>AQ11</f>
        <v>0</v>
      </c>
      <c r="CM11" s="420">
        <f>AV11</f>
        <v>0</v>
      </c>
      <c r="CN11" s="420">
        <f>BA11</f>
        <v>0</v>
      </c>
      <c r="CO11" s="420">
        <f>BF11</f>
        <v>533.73500000000001</v>
      </c>
      <c r="CP11" s="420">
        <f>BK11</f>
        <v>1277.481</v>
      </c>
      <c r="CQ11" s="420">
        <f>BP11</f>
        <v>7839.4440000000004</v>
      </c>
      <c r="CR11" s="420">
        <f>BU11</f>
        <v>3194.2080000000001</v>
      </c>
      <c r="CS11" s="420">
        <f>BZ11</f>
        <v>0</v>
      </c>
      <c r="CT11" s="21"/>
    </row>
    <row r="12" spans="2:98" hidden="1" outlineLevel="1">
      <c r="C12" s="415" t="s">
        <v>100</v>
      </c>
      <c r="D12" s="416">
        <v>0</v>
      </c>
      <c r="E12" s="416">
        <v>0</v>
      </c>
      <c r="F12" s="416">
        <v>0</v>
      </c>
      <c r="G12" s="416">
        <v>0</v>
      </c>
      <c r="H12" s="416">
        <v>0</v>
      </c>
      <c r="I12" s="416">
        <v>0</v>
      </c>
      <c r="J12" s="416">
        <v>0</v>
      </c>
      <c r="K12" s="416">
        <v>0</v>
      </c>
      <c r="L12" s="416">
        <v>0</v>
      </c>
      <c r="M12" s="416">
        <v>0</v>
      </c>
      <c r="N12" s="416">
        <v>0</v>
      </c>
      <c r="O12" s="416">
        <v>0</v>
      </c>
      <c r="P12" s="416">
        <v>0</v>
      </c>
      <c r="Q12" s="416">
        <v>0</v>
      </c>
      <c r="R12" s="416">
        <v>0</v>
      </c>
      <c r="S12" s="416">
        <v>0</v>
      </c>
      <c r="T12" s="416">
        <v>0</v>
      </c>
      <c r="U12" s="416">
        <v>0</v>
      </c>
      <c r="V12" s="416">
        <v>0</v>
      </c>
      <c r="W12" s="416">
        <v>0</v>
      </c>
      <c r="X12" s="416">
        <v>0</v>
      </c>
      <c r="Y12" s="416">
        <v>0</v>
      </c>
      <c r="Z12" s="416">
        <v>0</v>
      </c>
      <c r="AA12" s="416">
        <v>0</v>
      </c>
      <c r="AB12" s="416">
        <v>0</v>
      </c>
      <c r="AC12" s="416">
        <v>0</v>
      </c>
      <c r="AD12" s="416">
        <v>0</v>
      </c>
      <c r="AE12" s="416">
        <v>0</v>
      </c>
      <c r="AF12" s="416">
        <v>0</v>
      </c>
      <c r="AG12" s="416">
        <v>0</v>
      </c>
      <c r="AH12" s="416">
        <v>0</v>
      </c>
      <c r="AI12" s="416">
        <v>0</v>
      </c>
      <c r="AJ12" s="416">
        <v>0</v>
      </c>
      <c r="AK12" s="416">
        <v>0</v>
      </c>
      <c r="AL12" s="416">
        <v>0</v>
      </c>
      <c r="AM12" s="416">
        <v>0</v>
      </c>
      <c r="AN12" s="416">
        <v>0</v>
      </c>
      <c r="AO12" s="416">
        <v>0</v>
      </c>
      <c r="AP12" s="416">
        <v>0</v>
      </c>
      <c r="AQ12" s="416">
        <v>0</v>
      </c>
      <c r="AR12" s="416">
        <v>0</v>
      </c>
      <c r="AS12" s="416">
        <v>0</v>
      </c>
      <c r="AT12" s="416">
        <v>0</v>
      </c>
      <c r="AU12" s="416">
        <v>0</v>
      </c>
      <c r="AV12" s="416">
        <v>0</v>
      </c>
      <c r="AW12" s="416">
        <v>0</v>
      </c>
      <c r="AX12" s="416">
        <v>0</v>
      </c>
      <c r="AY12" s="416">
        <v>0</v>
      </c>
      <c r="AZ12" s="416">
        <v>0</v>
      </c>
      <c r="BA12" s="416">
        <v>0</v>
      </c>
      <c r="BB12" s="416">
        <v>0</v>
      </c>
      <c r="BC12" s="416">
        <v>0</v>
      </c>
      <c r="BD12" s="416">
        <v>0</v>
      </c>
      <c r="BE12" s="416">
        <v>0</v>
      </c>
      <c r="BF12" s="416">
        <v>82.055000000000007</v>
      </c>
      <c r="BG12" s="416">
        <v>25.407</v>
      </c>
      <c r="BH12" s="416">
        <v>23.395</v>
      </c>
      <c r="BI12" s="416">
        <v>36.765999999999998</v>
      </c>
      <c r="BJ12" s="416">
        <v>49.945999999999998</v>
      </c>
      <c r="BK12" s="416">
        <v>135.51400000000001</v>
      </c>
      <c r="BL12" s="416">
        <v>234.066</v>
      </c>
      <c r="BM12" s="416">
        <v>335.42599999999999</v>
      </c>
      <c r="BN12" s="416">
        <v>197.251</v>
      </c>
      <c r="BO12" s="416">
        <v>501.18099999999998</v>
      </c>
      <c r="BP12" s="416">
        <v>1267.924</v>
      </c>
      <c r="BQ12" s="416">
        <v>277.82600000000002</v>
      </c>
      <c r="BR12" s="416">
        <v>167.18700000000001</v>
      </c>
      <c r="BS12" s="416">
        <v>101.876</v>
      </c>
      <c r="BT12" s="416">
        <v>82.991</v>
      </c>
      <c r="BU12" s="416">
        <v>629.88</v>
      </c>
      <c r="BV12" s="416">
        <v>96.369</v>
      </c>
      <c r="BW12" s="416">
        <v>108.2</v>
      </c>
      <c r="BX12" s="416">
        <v>90.576999999999998</v>
      </c>
      <c r="BY12" s="416">
        <v>0</v>
      </c>
      <c r="BZ12" s="416">
        <v>0</v>
      </c>
      <c r="CC12" s="420"/>
      <c r="CD12" s="415" t="s">
        <v>100</v>
      </c>
      <c r="CE12" s="420">
        <f t="shared" si="0"/>
        <v>0</v>
      </c>
      <c r="CF12" s="420">
        <f t="shared" ref="CF12:CF75" si="1">M12</f>
        <v>0</v>
      </c>
      <c r="CG12" s="420">
        <f t="shared" ref="CG12:CG75" si="2">R12</f>
        <v>0</v>
      </c>
      <c r="CH12" s="420"/>
      <c r="CI12" s="420"/>
      <c r="CJ12" s="420"/>
      <c r="CK12" s="420"/>
      <c r="CL12" s="420"/>
      <c r="CM12" s="420"/>
      <c r="CN12" s="420"/>
      <c r="CO12" s="420"/>
      <c r="CP12" s="420"/>
      <c r="CQ12" s="420"/>
      <c r="CR12" s="420"/>
      <c r="CS12" s="420"/>
      <c r="CT12" s="21"/>
    </row>
    <row r="13" spans="2:98" hidden="1" outlineLevel="1">
      <c r="C13" s="415" t="s">
        <v>459</v>
      </c>
      <c r="D13" s="416">
        <v>0</v>
      </c>
      <c r="E13" s="416">
        <v>0</v>
      </c>
      <c r="F13" s="416">
        <v>0</v>
      </c>
      <c r="G13" s="416">
        <v>0</v>
      </c>
      <c r="H13" s="416">
        <v>0</v>
      </c>
      <c r="I13" s="416">
        <v>0</v>
      </c>
      <c r="J13" s="416">
        <v>0</v>
      </c>
      <c r="K13" s="416">
        <v>0</v>
      </c>
      <c r="L13" s="416">
        <v>0</v>
      </c>
      <c r="M13" s="416">
        <v>0</v>
      </c>
      <c r="N13" s="416">
        <v>0</v>
      </c>
      <c r="O13" s="416">
        <v>0</v>
      </c>
      <c r="P13" s="416">
        <v>0</v>
      </c>
      <c r="Q13" s="416">
        <v>0</v>
      </c>
      <c r="R13" s="416">
        <v>0</v>
      </c>
      <c r="S13" s="416">
        <v>0</v>
      </c>
      <c r="T13" s="416">
        <v>0</v>
      </c>
      <c r="U13" s="416">
        <v>0</v>
      </c>
      <c r="V13" s="416">
        <v>0</v>
      </c>
      <c r="W13" s="416">
        <v>0</v>
      </c>
      <c r="X13" s="416">
        <v>0</v>
      </c>
      <c r="Y13" s="416">
        <v>0</v>
      </c>
      <c r="Z13" s="416">
        <v>0</v>
      </c>
      <c r="AA13" s="416">
        <v>0</v>
      </c>
      <c r="AB13" s="416">
        <v>0</v>
      </c>
      <c r="AC13" s="416">
        <v>0</v>
      </c>
      <c r="AD13" s="416">
        <v>0</v>
      </c>
      <c r="AE13" s="416">
        <v>0</v>
      </c>
      <c r="AF13" s="416">
        <v>0</v>
      </c>
      <c r="AG13" s="416">
        <v>0</v>
      </c>
      <c r="AH13" s="416">
        <v>0</v>
      </c>
      <c r="AI13" s="416">
        <v>0</v>
      </c>
      <c r="AJ13" s="416">
        <v>0</v>
      </c>
      <c r="AK13" s="416">
        <v>0</v>
      </c>
      <c r="AL13" s="416">
        <v>0</v>
      </c>
      <c r="AM13" s="416">
        <v>0</v>
      </c>
      <c r="AN13" s="416">
        <v>0</v>
      </c>
      <c r="AO13" s="416">
        <v>0</v>
      </c>
      <c r="AP13" s="416">
        <v>0</v>
      </c>
      <c r="AQ13" s="416">
        <v>0</v>
      </c>
      <c r="AR13" s="416">
        <v>0</v>
      </c>
      <c r="AS13" s="416">
        <v>0</v>
      </c>
      <c r="AT13" s="416">
        <v>0</v>
      </c>
      <c r="AU13" s="416">
        <v>0</v>
      </c>
      <c r="AV13" s="416">
        <v>0</v>
      </c>
      <c r="AW13" s="416">
        <v>0</v>
      </c>
      <c r="AX13" s="416">
        <v>0</v>
      </c>
      <c r="AY13" s="416">
        <v>0</v>
      </c>
      <c r="AZ13" s="416">
        <v>0</v>
      </c>
      <c r="BA13" s="416">
        <v>0</v>
      </c>
      <c r="BB13" s="416">
        <v>0</v>
      </c>
      <c r="BC13" s="416">
        <v>0</v>
      </c>
      <c r="BD13" s="416">
        <v>0</v>
      </c>
      <c r="BE13" s="416">
        <v>0</v>
      </c>
      <c r="BF13" s="416">
        <v>0</v>
      </c>
      <c r="BG13" s="416">
        <v>0</v>
      </c>
      <c r="BH13" s="416">
        <v>0</v>
      </c>
      <c r="BI13" s="416">
        <v>0</v>
      </c>
      <c r="BJ13" s="416">
        <v>0</v>
      </c>
      <c r="BK13" s="416">
        <v>0</v>
      </c>
      <c r="BL13" s="416">
        <v>0</v>
      </c>
      <c r="BM13" s="416">
        <v>0</v>
      </c>
      <c r="BN13" s="416">
        <v>0</v>
      </c>
      <c r="BO13" s="416">
        <v>0</v>
      </c>
      <c r="BP13" s="416">
        <v>0</v>
      </c>
      <c r="BQ13" s="416">
        <v>0</v>
      </c>
      <c r="BR13" s="416">
        <v>0</v>
      </c>
      <c r="BS13" s="416">
        <v>0</v>
      </c>
      <c r="BT13" s="416">
        <v>0</v>
      </c>
      <c r="BU13" s="416">
        <v>0</v>
      </c>
      <c r="BV13" s="416">
        <v>0</v>
      </c>
      <c r="BW13" s="416">
        <v>0</v>
      </c>
      <c r="BX13" s="416">
        <v>0</v>
      </c>
      <c r="BY13" s="416">
        <v>0</v>
      </c>
      <c r="BZ13" s="416">
        <v>0</v>
      </c>
      <c r="CC13" s="420"/>
      <c r="CD13" s="415" t="s">
        <v>459</v>
      </c>
      <c r="CE13" s="420">
        <f t="shared" si="0"/>
        <v>0</v>
      </c>
      <c r="CF13" s="420">
        <f t="shared" si="1"/>
        <v>0</v>
      </c>
      <c r="CG13" s="420">
        <f t="shared" si="2"/>
        <v>0</v>
      </c>
      <c r="CH13" s="420"/>
      <c r="CI13" s="420"/>
      <c r="CJ13" s="420"/>
      <c r="CK13" s="420"/>
      <c r="CL13" s="420"/>
      <c r="CM13" s="420"/>
      <c r="CN13" s="420"/>
      <c r="CO13" s="420"/>
      <c r="CP13" s="420"/>
      <c r="CQ13" s="420"/>
      <c r="CR13" s="420"/>
      <c r="CS13" s="420"/>
      <c r="CT13" s="21"/>
    </row>
    <row r="14" spans="2:98" hidden="1" outlineLevel="1">
      <c r="C14" s="415" t="s">
        <v>747</v>
      </c>
      <c r="D14" s="416">
        <v>0</v>
      </c>
      <c r="E14" s="416">
        <v>0</v>
      </c>
      <c r="F14" s="416">
        <v>0</v>
      </c>
      <c r="G14" s="416">
        <v>0</v>
      </c>
      <c r="H14" s="416">
        <v>0</v>
      </c>
      <c r="I14" s="416">
        <v>0</v>
      </c>
      <c r="J14" s="416">
        <v>0</v>
      </c>
      <c r="K14" s="416">
        <v>0</v>
      </c>
      <c r="L14" s="416">
        <v>0</v>
      </c>
      <c r="M14" s="416">
        <v>0</v>
      </c>
      <c r="N14" s="416">
        <v>0</v>
      </c>
      <c r="O14" s="416">
        <v>0</v>
      </c>
      <c r="P14" s="416">
        <v>0</v>
      </c>
      <c r="Q14" s="416">
        <v>0</v>
      </c>
      <c r="R14" s="416">
        <v>0</v>
      </c>
      <c r="S14" s="416">
        <v>0</v>
      </c>
      <c r="T14" s="416">
        <v>0</v>
      </c>
      <c r="U14" s="416">
        <v>0</v>
      </c>
      <c r="V14" s="416">
        <v>0</v>
      </c>
      <c r="W14" s="416">
        <v>0</v>
      </c>
      <c r="X14" s="416">
        <v>0</v>
      </c>
      <c r="Y14" s="416">
        <v>0</v>
      </c>
      <c r="Z14" s="416">
        <v>0</v>
      </c>
      <c r="AA14" s="416">
        <v>0</v>
      </c>
      <c r="AB14" s="416">
        <v>0</v>
      </c>
      <c r="AC14" s="416">
        <v>0</v>
      </c>
      <c r="AD14" s="416">
        <v>0</v>
      </c>
      <c r="AE14" s="416">
        <v>0</v>
      </c>
      <c r="AF14" s="416">
        <v>0</v>
      </c>
      <c r="AG14" s="416">
        <v>0</v>
      </c>
      <c r="AH14" s="416">
        <v>0</v>
      </c>
      <c r="AI14" s="416">
        <v>0</v>
      </c>
      <c r="AJ14" s="416">
        <v>0</v>
      </c>
      <c r="AK14" s="416">
        <v>0</v>
      </c>
      <c r="AL14" s="416">
        <v>0</v>
      </c>
      <c r="AM14" s="416">
        <v>0</v>
      </c>
      <c r="AN14" s="416">
        <v>0</v>
      </c>
      <c r="AO14" s="416">
        <v>0</v>
      </c>
      <c r="AP14" s="416">
        <v>0</v>
      </c>
      <c r="AQ14" s="416">
        <v>0</v>
      </c>
      <c r="AR14" s="416">
        <v>0</v>
      </c>
      <c r="AS14" s="416">
        <v>0</v>
      </c>
      <c r="AT14" s="416">
        <v>0</v>
      </c>
      <c r="AU14" s="416">
        <v>0</v>
      </c>
      <c r="AV14" s="416">
        <v>0</v>
      </c>
      <c r="AW14" s="416">
        <v>0</v>
      </c>
      <c r="AX14" s="416">
        <v>0</v>
      </c>
      <c r="AY14" s="416">
        <v>0</v>
      </c>
      <c r="AZ14" s="416">
        <v>0</v>
      </c>
      <c r="BA14" s="416">
        <v>0</v>
      </c>
      <c r="BB14" s="416">
        <v>0</v>
      </c>
      <c r="BC14" s="416">
        <v>0</v>
      </c>
      <c r="BD14" s="416">
        <v>0</v>
      </c>
      <c r="BE14" s="416">
        <v>0</v>
      </c>
      <c r="BF14" s="416">
        <v>0</v>
      </c>
      <c r="BG14" s="416">
        <v>0</v>
      </c>
      <c r="BH14" s="416">
        <v>0</v>
      </c>
      <c r="BI14" s="416">
        <v>0</v>
      </c>
      <c r="BJ14" s="416">
        <v>0</v>
      </c>
      <c r="BK14" s="416">
        <v>0</v>
      </c>
      <c r="BL14" s="416">
        <v>0</v>
      </c>
      <c r="BM14" s="416">
        <v>0</v>
      </c>
      <c r="BN14" s="416">
        <v>0</v>
      </c>
      <c r="BO14" s="416">
        <v>0</v>
      </c>
      <c r="BP14" s="416">
        <v>0</v>
      </c>
      <c r="BQ14" s="416">
        <v>0</v>
      </c>
      <c r="BR14" s="416">
        <v>0</v>
      </c>
      <c r="BS14" s="416">
        <v>0</v>
      </c>
      <c r="BT14" s="416">
        <v>0</v>
      </c>
      <c r="BU14" s="416">
        <v>0</v>
      </c>
      <c r="BV14" s="416">
        <v>0</v>
      </c>
      <c r="BW14" s="416">
        <v>0</v>
      </c>
      <c r="BX14" s="416">
        <v>0</v>
      </c>
      <c r="BY14" s="416">
        <v>0</v>
      </c>
      <c r="BZ14" s="416">
        <v>0</v>
      </c>
      <c r="CC14" s="420"/>
      <c r="CD14" s="415" t="s">
        <v>747</v>
      </c>
      <c r="CE14" s="420">
        <f t="shared" si="0"/>
        <v>0</v>
      </c>
      <c r="CF14" s="420">
        <f t="shared" si="1"/>
        <v>0</v>
      </c>
      <c r="CG14" s="420">
        <f t="shared" si="2"/>
        <v>0</v>
      </c>
      <c r="CH14" s="420"/>
      <c r="CI14" s="420"/>
      <c r="CJ14" s="420"/>
      <c r="CK14" s="420"/>
      <c r="CL14" s="420"/>
      <c r="CM14" s="420"/>
      <c r="CN14" s="420"/>
      <c r="CO14" s="420"/>
      <c r="CP14" s="420"/>
      <c r="CQ14" s="420"/>
      <c r="CR14" s="420"/>
      <c r="CS14" s="420"/>
      <c r="CT14" s="21"/>
    </row>
    <row r="15" spans="2:98" hidden="1" outlineLevel="1">
      <c r="C15" s="415" t="s">
        <v>460</v>
      </c>
      <c r="D15" s="416">
        <v>0</v>
      </c>
      <c r="E15" s="416">
        <v>0</v>
      </c>
      <c r="F15" s="416">
        <v>0</v>
      </c>
      <c r="G15" s="416">
        <v>0</v>
      </c>
      <c r="H15" s="416">
        <v>0</v>
      </c>
      <c r="I15" s="416">
        <v>0</v>
      </c>
      <c r="J15" s="416">
        <v>0</v>
      </c>
      <c r="K15" s="416">
        <v>0</v>
      </c>
      <c r="L15" s="416">
        <v>0</v>
      </c>
      <c r="M15" s="416">
        <v>0</v>
      </c>
      <c r="N15" s="416">
        <v>0</v>
      </c>
      <c r="O15" s="416">
        <v>0</v>
      </c>
      <c r="P15" s="416">
        <v>0</v>
      </c>
      <c r="Q15" s="416">
        <v>0</v>
      </c>
      <c r="R15" s="416">
        <v>0</v>
      </c>
      <c r="S15" s="416">
        <v>0</v>
      </c>
      <c r="T15" s="416">
        <v>0</v>
      </c>
      <c r="U15" s="416">
        <v>0</v>
      </c>
      <c r="V15" s="416">
        <v>0</v>
      </c>
      <c r="W15" s="416">
        <v>0</v>
      </c>
      <c r="X15" s="416">
        <v>0</v>
      </c>
      <c r="Y15" s="416">
        <v>0</v>
      </c>
      <c r="Z15" s="416">
        <v>0</v>
      </c>
      <c r="AA15" s="416">
        <v>0</v>
      </c>
      <c r="AB15" s="416">
        <v>0</v>
      </c>
      <c r="AC15" s="416">
        <v>0</v>
      </c>
      <c r="AD15" s="416">
        <v>0</v>
      </c>
      <c r="AE15" s="416">
        <v>0</v>
      </c>
      <c r="AF15" s="416">
        <v>0</v>
      </c>
      <c r="AG15" s="416">
        <v>0</v>
      </c>
      <c r="AH15" s="416">
        <v>0</v>
      </c>
      <c r="AI15" s="416">
        <v>0</v>
      </c>
      <c r="AJ15" s="416">
        <v>0</v>
      </c>
      <c r="AK15" s="416">
        <v>0</v>
      </c>
      <c r="AL15" s="416">
        <v>0</v>
      </c>
      <c r="AM15" s="416">
        <v>0</v>
      </c>
      <c r="AN15" s="416">
        <v>0</v>
      </c>
      <c r="AO15" s="416">
        <v>0</v>
      </c>
      <c r="AP15" s="416">
        <v>0</v>
      </c>
      <c r="AQ15" s="416">
        <v>0</v>
      </c>
      <c r="AR15" s="416">
        <v>0</v>
      </c>
      <c r="AS15" s="416">
        <v>0</v>
      </c>
      <c r="AT15" s="416">
        <v>0</v>
      </c>
      <c r="AU15" s="416">
        <v>0</v>
      </c>
      <c r="AV15" s="416">
        <v>0</v>
      </c>
      <c r="AW15" s="416">
        <v>0</v>
      </c>
      <c r="AX15" s="416">
        <v>0</v>
      </c>
      <c r="AY15" s="416">
        <v>0</v>
      </c>
      <c r="AZ15" s="416">
        <v>0</v>
      </c>
      <c r="BA15" s="416">
        <v>0</v>
      </c>
      <c r="BB15" s="416">
        <v>0</v>
      </c>
      <c r="BC15" s="416">
        <v>0</v>
      </c>
      <c r="BD15" s="416">
        <v>0</v>
      </c>
      <c r="BE15" s="416">
        <v>0</v>
      </c>
      <c r="BF15" s="416">
        <v>0</v>
      </c>
      <c r="BG15" s="416">
        <v>0</v>
      </c>
      <c r="BH15" s="416">
        <v>0</v>
      </c>
      <c r="BI15" s="416">
        <v>0</v>
      </c>
      <c r="BJ15" s="416">
        <v>0</v>
      </c>
      <c r="BK15" s="416">
        <v>0</v>
      </c>
      <c r="BL15" s="416">
        <v>0</v>
      </c>
      <c r="BM15" s="416">
        <v>0</v>
      </c>
      <c r="BN15" s="416">
        <v>0</v>
      </c>
      <c r="BO15" s="416">
        <v>0</v>
      </c>
      <c r="BP15" s="416">
        <v>0</v>
      </c>
      <c r="BQ15" s="416">
        <v>0</v>
      </c>
      <c r="BR15" s="416">
        <v>0</v>
      </c>
      <c r="BS15" s="416">
        <v>0</v>
      </c>
      <c r="BT15" s="416">
        <v>0</v>
      </c>
      <c r="BU15" s="416">
        <v>0</v>
      </c>
      <c r="BV15" s="416">
        <v>0</v>
      </c>
      <c r="BW15" s="416">
        <v>0</v>
      </c>
      <c r="BX15" s="416">
        <v>0</v>
      </c>
      <c r="BY15" s="416">
        <v>0</v>
      </c>
      <c r="BZ15" s="416">
        <v>0</v>
      </c>
      <c r="CC15" s="420"/>
      <c r="CD15" s="415" t="s">
        <v>460</v>
      </c>
      <c r="CE15" s="420">
        <f t="shared" si="0"/>
        <v>0</v>
      </c>
      <c r="CF15" s="420">
        <f t="shared" si="1"/>
        <v>0</v>
      </c>
      <c r="CG15" s="420">
        <f t="shared" si="2"/>
        <v>0</v>
      </c>
      <c r="CH15" s="420"/>
      <c r="CI15" s="420"/>
      <c r="CJ15" s="420"/>
      <c r="CK15" s="420"/>
      <c r="CL15" s="420"/>
      <c r="CM15" s="420"/>
      <c r="CN15" s="420"/>
      <c r="CO15" s="420"/>
      <c r="CP15" s="420"/>
      <c r="CQ15" s="420"/>
      <c r="CR15" s="420"/>
      <c r="CS15" s="420"/>
      <c r="CT15" s="21"/>
    </row>
    <row r="16" spans="2:98" hidden="1" outlineLevel="1">
      <c r="C16" s="415" t="s">
        <v>461</v>
      </c>
      <c r="D16" s="416">
        <v>0</v>
      </c>
      <c r="E16" s="416">
        <v>0</v>
      </c>
      <c r="F16" s="416">
        <v>0</v>
      </c>
      <c r="G16" s="416">
        <v>0</v>
      </c>
      <c r="H16" s="416">
        <v>0</v>
      </c>
      <c r="I16" s="416">
        <v>0</v>
      </c>
      <c r="J16" s="416">
        <v>0</v>
      </c>
      <c r="K16" s="416">
        <v>0</v>
      </c>
      <c r="L16" s="416">
        <v>0</v>
      </c>
      <c r="M16" s="416">
        <v>0</v>
      </c>
      <c r="N16" s="416">
        <v>0</v>
      </c>
      <c r="O16" s="416">
        <v>0</v>
      </c>
      <c r="P16" s="416">
        <v>0</v>
      </c>
      <c r="Q16" s="416">
        <v>0</v>
      </c>
      <c r="R16" s="416">
        <v>0</v>
      </c>
      <c r="S16" s="416">
        <v>0</v>
      </c>
      <c r="T16" s="416">
        <v>0</v>
      </c>
      <c r="U16" s="416">
        <v>0</v>
      </c>
      <c r="V16" s="416">
        <v>0</v>
      </c>
      <c r="W16" s="416">
        <v>0</v>
      </c>
      <c r="X16" s="416">
        <v>0</v>
      </c>
      <c r="Y16" s="416">
        <v>0</v>
      </c>
      <c r="Z16" s="416">
        <v>0</v>
      </c>
      <c r="AA16" s="416">
        <v>0</v>
      </c>
      <c r="AB16" s="416">
        <v>0</v>
      </c>
      <c r="AC16" s="416">
        <v>0</v>
      </c>
      <c r="AD16" s="416">
        <v>0</v>
      </c>
      <c r="AE16" s="416">
        <v>0</v>
      </c>
      <c r="AF16" s="416">
        <v>0</v>
      </c>
      <c r="AG16" s="416">
        <v>0</v>
      </c>
      <c r="AH16" s="416">
        <v>0</v>
      </c>
      <c r="AI16" s="416">
        <v>0</v>
      </c>
      <c r="AJ16" s="416">
        <v>0</v>
      </c>
      <c r="AK16" s="416">
        <v>0</v>
      </c>
      <c r="AL16" s="416">
        <v>0</v>
      </c>
      <c r="AM16" s="416">
        <v>0</v>
      </c>
      <c r="AN16" s="416">
        <v>0</v>
      </c>
      <c r="AO16" s="416">
        <v>0</v>
      </c>
      <c r="AP16" s="416">
        <v>0</v>
      </c>
      <c r="AQ16" s="416">
        <v>0</v>
      </c>
      <c r="AR16" s="416">
        <v>0</v>
      </c>
      <c r="AS16" s="416">
        <v>0</v>
      </c>
      <c r="AT16" s="416">
        <v>0</v>
      </c>
      <c r="AU16" s="416">
        <v>0</v>
      </c>
      <c r="AV16" s="416">
        <v>0</v>
      </c>
      <c r="AW16" s="416">
        <v>0</v>
      </c>
      <c r="AX16" s="416">
        <v>0</v>
      </c>
      <c r="AY16" s="416">
        <v>0</v>
      </c>
      <c r="AZ16" s="416">
        <v>0</v>
      </c>
      <c r="BA16" s="416">
        <v>0</v>
      </c>
      <c r="BB16" s="416">
        <v>0</v>
      </c>
      <c r="BC16" s="416">
        <v>0</v>
      </c>
      <c r="BD16" s="416">
        <v>0</v>
      </c>
      <c r="BE16" s="416">
        <v>0</v>
      </c>
      <c r="BF16" s="416">
        <v>0</v>
      </c>
      <c r="BG16" s="416">
        <v>0</v>
      </c>
      <c r="BH16" s="416">
        <v>0</v>
      </c>
      <c r="BI16" s="416">
        <v>0</v>
      </c>
      <c r="BJ16" s="416">
        <v>0</v>
      </c>
      <c r="BK16" s="416">
        <v>0</v>
      </c>
      <c r="BL16" s="416">
        <v>0</v>
      </c>
      <c r="BM16" s="416">
        <v>0</v>
      </c>
      <c r="BN16" s="416">
        <v>0</v>
      </c>
      <c r="BO16" s="416">
        <v>0</v>
      </c>
      <c r="BP16" s="416">
        <v>0</v>
      </c>
      <c r="BQ16" s="416">
        <v>0</v>
      </c>
      <c r="BR16" s="416">
        <v>0</v>
      </c>
      <c r="BS16" s="416">
        <v>0</v>
      </c>
      <c r="BT16" s="416">
        <v>0</v>
      </c>
      <c r="BU16" s="416">
        <v>0</v>
      </c>
      <c r="BV16" s="416">
        <v>0</v>
      </c>
      <c r="BW16" s="416">
        <v>0</v>
      </c>
      <c r="BX16" s="416">
        <v>0</v>
      </c>
      <c r="BY16" s="416">
        <v>0</v>
      </c>
      <c r="BZ16" s="416">
        <v>0</v>
      </c>
      <c r="CC16" s="420"/>
      <c r="CD16" s="415" t="s">
        <v>461</v>
      </c>
      <c r="CE16" s="420">
        <f t="shared" si="0"/>
        <v>0</v>
      </c>
      <c r="CF16" s="420">
        <f t="shared" si="1"/>
        <v>0</v>
      </c>
      <c r="CG16" s="420">
        <f t="shared" si="2"/>
        <v>0</v>
      </c>
      <c r="CH16" s="420"/>
      <c r="CI16" s="420"/>
      <c r="CJ16" s="420"/>
      <c r="CK16" s="420"/>
      <c r="CL16" s="420"/>
      <c r="CM16" s="420"/>
      <c r="CN16" s="420"/>
      <c r="CO16" s="420"/>
      <c r="CP16" s="420"/>
      <c r="CQ16" s="420"/>
      <c r="CR16" s="420"/>
      <c r="CS16" s="420"/>
      <c r="CT16" s="21"/>
    </row>
    <row r="17" spans="3:98" hidden="1" outlineLevel="1">
      <c r="C17" s="415" t="s">
        <v>462</v>
      </c>
      <c r="D17" s="416">
        <v>0</v>
      </c>
      <c r="E17" s="416">
        <v>0</v>
      </c>
      <c r="F17" s="416">
        <v>0</v>
      </c>
      <c r="G17" s="416">
        <v>0</v>
      </c>
      <c r="H17" s="416">
        <v>0</v>
      </c>
      <c r="I17" s="416">
        <v>0</v>
      </c>
      <c r="J17" s="416">
        <v>0</v>
      </c>
      <c r="K17" s="416">
        <v>0</v>
      </c>
      <c r="L17" s="416">
        <v>0</v>
      </c>
      <c r="M17" s="416">
        <v>0</v>
      </c>
      <c r="N17" s="416">
        <v>0</v>
      </c>
      <c r="O17" s="416">
        <v>0</v>
      </c>
      <c r="P17" s="416">
        <v>0</v>
      </c>
      <c r="Q17" s="416">
        <v>0</v>
      </c>
      <c r="R17" s="416">
        <v>0</v>
      </c>
      <c r="S17" s="416">
        <v>0</v>
      </c>
      <c r="T17" s="416">
        <v>0</v>
      </c>
      <c r="U17" s="416">
        <v>0</v>
      </c>
      <c r="V17" s="416">
        <v>0</v>
      </c>
      <c r="W17" s="416">
        <v>0</v>
      </c>
      <c r="X17" s="416">
        <v>0</v>
      </c>
      <c r="Y17" s="416">
        <v>0</v>
      </c>
      <c r="Z17" s="416">
        <v>0</v>
      </c>
      <c r="AA17" s="416">
        <v>0</v>
      </c>
      <c r="AB17" s="416">
        <v>0</v>
      </c>
      <c r="AC17" s="416">
        <v>0</v>
      </c>
      <c r="AD17" s="416">
        <v>0</v>
      </c>
      <c r="AE17" s="416">
        <v>0</v>
      </c>
      <c r="AF17" s="416">
        <v>0</v>
      </c>
      <c r="AG17" s="416">
        <v>0</v>
      </c>
      <c r="AH17" s="416">
        <v>0</v>
      </c>
      <c r="AI17" s="416">
        <v>0</v>
      </c>
      <c r="AJ17" s="416">
        <v>0</v>
      </c>
      <c r="AK17" s="416">
        <v>0</v>
      </c>
      <c r="AL17" s="416">
        <v>0</v>
      </c>
      <c r="AM17" s="416">
        <v>0</v>
      </c>
      <c r="AN17" s="416">
        <v>0</v>
      </c>
      <c r="AO17" s="416">
        <v>0</v>
      </c>
      <c r="AP17" s="416">
        <v>0</v>
      </c>
      <c r="AQ17" s="416">
        <v>0</v>
      </c>
      <c r="AR17" s="416">
        <v>0</v>
      </c>
      <c r="AS17" s="416">
        <v>0</v>
      </c>
      <c r="AT17" s="416">
        <v>0</v>
      </c>
      <c r="AU17" s="416">
        <v>0</v>
      </c>
      <c r="AV17" s="416">
        <v>0</v>
      </c>
      <c r="AW17" s="416">
        <v>0</v>
      </c>
      <c r="AX17" s="416">
        <v>0</v>
      </c>
      <c r="AY17" s="416">
        <v>0</v>
      </c>
      <c r="AZ17" s="416">
        <v>0</v>
      </c>
      <c r="BA17" s="416">
        <v>0</v>
      </c>
      <c r="BB17" s="416">
        <v>0</v>
      </c>
      <c r="BC17" s="416">
        <v>0</v>
      </c>
      <c r="BD17" s="416">
        <v>0</v>
      </c>
      <c r="BE17" s="416">
        <v>0</v>
      </c>
      <c r="BF17" s="416">
        <v>0</v>
      </c>
      <c r="BG17" s="416">
        <v>0</v>
      </c>
      <c r="BH17" s="416">
        <v>0</v>
      </c>
      <c r="BI17" s="416">
        <v>0</v>
      </c>
      <c r="BJ17" s="416">
        <v>0</v>
      </c>
      <c r="BK17" s="416">
        <v>0</v>
      </c>
      <c r="BL17" s="416">
        <v>0</v>
      </c>
      <c r="BM17" s="416">
        <v>0</v>
      </c>
      <c r="BN17" s="416">
        <v>0</v>
      </c>
      <c r="BO17" s="416">
        <v>0</v>
      </c>
      <c r="BP17" s="416">
        <v>0</v>
      </c>
      <c r="BQ17" s="416">
        <v>0</v>
      </c>
      <c r="BR17" s="416">
        <v>0</v>
      </c>
      <c r="BS17" s="416">
        <v>0</v>
      </c>
      <c r="BT17" s="416">
        <v>0</v>
      </c>
      <c r="BU17" s="416">
        <v>0</v>
      </c>
      <c r="BV17" s="416">
        <v>0</v>
      </c>
      <c r="BW17" s="416">
        <v>0</v>
      </c>
      <c r="BX17" s="416">
        <v>0</v>
      </c>
      <c r="BY17" s="416">
        <v>0</v>
      </c>
      <c r="BZ17" s="416">
        <v>0</v>
      </c>
      <c r="CC17" s="420"/>
      <c r="CD17" s="415" t="s">
        <v>462</v>
      </c>
      <c r="CE17" s="420">
        <f t="shared" si="0"/>
        <v>0</v>
      </c>
      <c r="CF17" s="420">
        <f t="shared" si="1"/>
        <v>0</v>
      </c>
      <c r="CG17" s="420">
        <f t="shared" si="2"/>
        <v>0</v>
      </c>
      <c r="CH17" s="420"/>
      <c r="CI17" s="420"/>
      <c r="CJ17" s="420"/>
      <c r="CK17" s="420"/>
      <c r="CL17" s="420"/>
      <c r="CM17" s="420"/>
      <c r="CN17" s="420"/>
      <c r="CO17" s="420"/>
      <c r="CP17" s="420"/>
      <c r="CQ17" s="420"/>
      <c r="CR17" s="420"/>
      <c r="CS17" s="420"/>
      <c r="CT17" s="21"/>
    </row>
    <row r="18" spans="3:98" hidden="1" outlineLevel="1">
      <c r="C18" s="415" t="s">
        <v>463</v>
      </c>
      <c r="D18" s="416">
        <v>0</v>
      </c>
      <c r="E18" s="416">
        <v>0</v>
      </c>
      <c r="F18" s="416">
        <v>0</v>
      </c>
      <c r="G18" s="416">
        <v>0</v>
      </c>
      <c r="H18" s="416">
        <v>0</v>
      </c>
      <c r="I18" s="416">
        <v>0</v>
      </c>
      <c r="J18" s="416">
        <v>0</v>
      </c>
      <c r="K18" s="416">
        <v>0</v>
      </c>
      <c r="L18" s="416">
        <v>0</v>
      </c>
      <c r="M18" s="416">
        <v>0</v>
      </c>
      <c r="N18" s="416">
        <v>0</v>
      </c>
      <c r="O18" s="416">
        <v>0</v>
      </c>
      <c r="P18" s="416">
        <v>0</v>
      </c>
      <c r="Q18" s="416">
        <v>0</v>
      </c>
      <c r="R18" s="416">
        <v>0</v>
      </c>
      <c r="S18" s="416">
        <v>0</v>
      </c>
      <c r="T18" s="416">
        <v>0</v>
      </c>
      <c r="U18" s="416">
        <v>0</v>
      </c>
      <c r="V18" s="416">
        <v>0</v>
      </c>
      <c r="W18" s="416">
        <v>0</v>
      </c>
      <c r="X18" s="416">
        <v>0</v>
      </c>
      <c r="Y18" s="416">
        <v>0</v>
      </c>
      <c r="Z18" s="416">
        <v>0</v>
      </c>
      <c r="AA18" s="416">
        <v>0</v>
      </c>
      <c r="AB18" s="416">
        <v>0</v>
      </c>
      <c r="AC18" s="416">
        <v>0</v>
      </c>
      <c r="AD18" s="416">
        <v>0</v>
      </c>
      <c r="AE18" s="416">
        <v>0</v>
      </c>
      <c r="AF18" s="416">
        <v>0</v>
      </c>
      <c r="AG18" s="416">
        <v>0</v>
      </c>
      <c r="AH18" s="416">
        <v>0</v>
      </c>
      <c r="AI18" s="416">
        <v>0</v>
      </c>
      <c r="AJ18" s="416">
        <v>0</v>
      </c>
      <c r="AK18" s="416">
        <v>0</v>
      </c>
      <c r="AL18" s="416">
        <v>0</v>
      </c>
      <c r="AM18" s="416">
        <v>0</v>
      </c>
      <c r="AN18" s="416">
        <v>0</v>
      </c>
      <c r="AO18" s="416">
        <v>0</v>
      </c>
      <c r="AP18" s="416">
        <v>0</v>
      </c>
      <c r="AQ18" s="416">
        <v>0</v>
      </c>
      <c r="AR18" s="416">
        <v>0</v>
      </c>
      <c r="AS18" s="416">
        <v>0</v>
      </c>
      <c r="AT18" s="416">
        <v>0</v>
      </c>
      <c r="AU18" s="416">
        <v>0</v>
      </c>
      <c r="AV18" s="416">
        <v>0</v>
      </c>
      <c r="AW18" s="416">
        <v>0</v>
      </c>
      <c r="AX18" s="416">
        <v>0</v>
      </c>
      <c r="AY18" s="416">
        <v>0</v>
      </c>
      <c r="AZ18" s="416">
        <v>0</v>
      </c>
      <c r="BA18" s="416">
        <v>0</v>
      </c>
      <c r="BB18" s="416">
        <v>0</v>
      </c>
      <c r="BC18" s="416">
        <v>0</v>
      </c>
      <c r="BD18" s="416">
        <v>0</v>
      </c>
      <c r="BE18" s="416">
        <v>0</v>
      </c>
      <c r="BF18" s="416">
        <v>0</v>
      </c>
      <c r="BG18" s="416">
        <v>0</v>
      </c>
      <c r="BH18" s="416">
        <v>0</v>
      </c>
      <c r="BI18" s="416">
        <v>0</v>
      </c>
      <c r="BJ18" s="416">
        <v>0</v>
      </c>
      <c r="BK18" s="416">
        <v>0</v>
      </c>
      <c r="BL18" s="416">
        <v>0</v>
      </c>
      <c r="BM18" s="416">
        <v>0</v>
      </c>
      <c r="BN18" s="416">
        <v>0</v>
      </c>
      <c r="BO18" s="416">
        <v>0</v>
      </c>
      <c r="BP18" s="416">
        <v>0</v>
      </c>
      <c r="BQ18" s="416">
        <v>0</v>
      </c>
      <c r="BR18" s="416">
        <v>0</v>
      </c>
      <c r="BS18" s="416">
        <v>0</v>
      </c>
      <c r="BT18" s="416">
        <v>0</v>
      </c>
      <c r="BU18" s="416">
        <v>0</v>
      </c>
      <c r="BV18" s="416">
        <v>0</v>
      </c>
      <c r="BW18" s="416">
        <v>0</v>
      </c>
      <c r="BX18" s="416">
        <v>0</v>
      </c>
      <c r="BY18" s="416">
        <v>0</v>
      </c>
      <c r="BZ18" s="416">
        <v>0</v>
      </c>
      <c r="CC18" s="420"/>
      <c r="CD18" s="415" t="s">
        <v>463</v>
      </c>
      <c r="CE18" s="420">
        <f t="shared" si="0"/>
        <v>0</v>
      </c>
      <c r="CF18" s="420">
        <f t="shared" si="1"/>
        <v>0</v>
      </c>
      <c r="CG18" s="420">
        <f t="shared" si="2"/>
        <v>0</v>
      </c>
      <c r="CH18" s="420"/>
      <c r="CI18" s="420"/>
      <c r="CJ18" s="420"/>
      <c r="CK18" s="420"/>
      <c r="CL18" s="420"/>
      <c r="CM18" s="420"/>
      <c r="CN18" s="420"/>
      <c r="CO18" s="420"/>
      <c r="CP18" s="420"/>
      <c r="CQ18" s="420"/>
      <c r="CR18" s="420"/>
      <c r="CS18" s="420"/>
      <c r="CT18" s="21"/>
    </row>
    <row r="19" spans="3:98" hidden="1" outlineLevel="1">
      <c r="C19" s="415" t="s">
        <v>464</v>
      </c>
      <c r="D19" s="416">
        <v>0</v>
      </c>
      <c r="E19" s="416">
        <v>0</v>
      </c>
      <c r="F19" s="416">
        <v>0</v>
      </c>
      <c r="G19" s="416">
        <v>0</v>
      </c>
      <c r="H19" s="416">
        <v>0</v>
      </c>
      <c r="I19" s="416">
        <v>0</v>
      </c>
      <c r="J19" s="416">
        <v>0</v>
      </c>
      <c r="K19" s="416">
        <v>0</v>
      </c>
      <c r="L19" s="416">
        <v>0</v>
      </c>
      <c r="M19" s="416">
        <v>0</v>
      </c>
      <c r="N19" s="416">
        <v>0</v>
      </c>
      <c r="O19" s="416">
        <v>0</v>
      </c>
      <c r="P19" s="416">
        <v>0</v>
      </c>
      <c r="Q19" s="416">
        <v>0</v>
      </c>
      <c r="R19" s="416">
        <v>0</v>
      </c>
      <c r="S19" s="416">
        <v>0</v>
      </c>
      <c r="T19" s="416">
        <v>0</v>
      </c>
      <c r="U19" s="416">
        <v>0</v>
      </c>
      <c r="V19" s="416">
        <v>0</v>
      </c>
      <c r="W19" s="416">
        <v>0</v>
      </c>
      <c r="X19" s="416">
        <v>0</v>
      </c>
      <c r="Y19" s="416">
        <v>0</v>
      </c>
      <c r="Z19" s="416">
        <v>0</v>
      </c>
      <c r="AA19" s="416">
        <v>0</v>
      </c>
      <c r="AB19" s="416">
        <v>0</v>
      </c>
      <c r="AC19" s="416">
        <v>0</v>
      </c>
      <c r="AD19" s="416">
        <v>0</v>
      </c>
      <c r="AE19" s="416">
        <v>0</v>
      </c>
      <c r="AF19" s="416">
        <v>0</v>
      </c>
      <c r="AG19" s="416">
        <v>0</v>
      </c>
      <c r="AH19" s="416">
        <v>0</v>
      </c>
      <c r="AI19" s="416">
        <v>0</v>
      </c>
      <c r="AJ19" s="416">
        <v>0</v>
      </c>
      <c r="AK19" s="416">
        <v>0</v>
      </c>
      <c r="AL19" s="416">
        <v>0</v>
      </c>
      <c r="AM19" s="416">
        <v>0</v>
      </c>
      <c r="AN19" s="416">
        <v>0</v>
      </c>
      <c r="AO19" s="416">
        <v>0</v>
      </c>
      <c r="AP19" s="416">
        <v>0</v>
      </c>
      <c r="AQ19" s="416">
        <v>0</v>
      </c>
      <c r="AR19" s="416">
        <v>0</v>
      </c>
      <c r="AS19" s="416">
        <v>0</v>
      </c>
      <c r="AT19" s="416">
        <v>0</v>
      </c>
      <c r="AU19" s="416">
        <v>0</v>
      </c>
      <c r="AV19" s="416">
        <v>0</v>
      </c>
      <c r="AW19" s="416">
        <v>0</v>
      </c>
      <c r="AX19" s="416">
        <v>0</v>
      </c>
      <c r="AY19" s="416">
        <v>0</v>
      </c>
      <c r="AZ19" s="416">
        <v>0</v>
      </c>
      <c r="BA19" s="416">
        <v>0</v>
      </c>
      <c r="BB19" s="416">
        <v>0</v>
      </c>
      <c r="BC19" s="416">
        <v>0</v>
      </c>
      <c r="BD19" s="416">
        <v>0</v>
      </c>
      <c r="BE19" s="416">
        <v>0</v>
      </c>
      <c r="BF19" s="416">
        <v>0</v>
      </c>
      <c r="BG19" s="416">
        <v>0</v>
      </c>
      <c r="BH19" s="416">
        <v>0</v>
      </c>
      <c r="BI19" s="416">
        <v>0</v>
      </c>
      <c r="BJ19" s="416">
        <v>0</v>
      </c>
      <c r="BK19" s="416">
        <v>0</v>
      </c>
      <c r="BL19" s="416">
        <v>0</v>
      </c>
      <c r="BM19" s="416">
        <v>0</v>
      </c>
      <c r="BN19" s="416">
        <v>0</v>
      </c>
      <c r="BO19" s="416">
        <v>0</v>
      </c>
      <c r="BP19" s="416">
        <v>0</v>
      </c>
      <c r="BQ19" s="416">
        <v>0</v>
      </c>
      <c r="BR19" s="416">
        <v>0</v>
      </c>
      <c r="BS19" s="416">
        <v>0</v>
      </c>
      <c r="BT19" s="416">
        <v>0</v>
      </c>
      <c r="BU19" s="416">
        <v>0</v>
      </c>
      <c r="BV19" s="416">
        <v>0</v>
      </c>
      <c r="BW19" s="416">
        <v>0</v>
      </c>
      <c r="BX19" s="416">
        <v>0</v>
      </c>
      <c r="BY19" s="416">
        <v>0</v>
      </c>
      <c r="BZ19" s="416">
        <v>0</v>
      </c>
      <c r="CC19" s="420"/>
      <c r="CD19" s="415" t="s">
        <v>464</v>
      </c>
      <c r="CE19" s="420">
        <f t="shared" si="0"/>
        <v>0</v>
      </c>
      <c r="CF19" s="420">
        <f t="shared" si="1"/>
        <v>0</v>
      </c>
      <c r="CG19" s="420">
        <f t="shared" si="2"/>
        <v>0</v>
      </c>
      <c r="CH19" s="420"/>
      <c r="CI19" s="420"/>
      <c r="CJ19" s="420"/>
      <c r="CK19" s="420"/>
      <c r="CL19" s="420"/>
      <c r="CM19" s="420"/>
      <c r="CN19" s="420"/>
      <c r="CO19" s="420"/>
      <c r="CP19" s="420"/>
      <c r="CQ19" s="420"/>
      <c r="CR19" s="420"/>
      <c r="CS19" s="420"/>
      <c r="CT19" s="21"/>
    </row>
    <row r="20" spans="3:98" hidden="1" outlineLevel="1">
      <c r="C20" s="415" t="s">
        <v>465</v>
      </c>
      <c r="D20" s="416">
        <v>0</v>
      </c>
      <c r="E20" s="416">
        <v>0</v>
      </c>
      <c r="F20" s="416">
        <v>0</v>
      </c>
      <c r="G20" s="416">
        <v>0</v>
      </c>
      <c r="H20" s="416">
        <v>0</v>
      </c>
      <c r="I20" s="416">
        <v>0</v>
      </c>
      <c r="J20" s="416">
        <v>0</v>
      </c>
      <c r="K20" s="416">
        <v>0</v>
      </c>
      <c r="L20" s="416">
        <v>0</v>
      </c>
      <c r="M20" s="416">
        <v>0</v>
      </c>
      <c r="N20" s="416">
        <v>0</v>
      </c>
      <c r="O20" s="416">
        <v>0</v>
      </c>
      <c r="P20" s="416">
        <v>0</v>
      </c>
      <c r="Q20" s="416">
        <v>0</v>
      </c>
      <c r="R20" s="416">
        <v>0</v>
      </c>
      <c r="S20" s="416">
        <v>0</v>
      </c>
      <c r="T20" s="416">
        <v>0</v>
      </c>
      <c r="U20" s="416">
        <v>0</v>
      </c>
      <c r="V20" s="416">
        <v>0</v>
      </c>
      <c r="W20" s="416">
        <v>0</v>
      </c>
      <c r="X20" s="416">
        <v>0</v>
      </c>
      <c r="Y20" s="416">
        <v>0</v>
      </c>
      <c r="Z20" s="416">
        <v>0</v>
      </c>
      <c r="AA20" s="416">
        <v>0</v>
      </c>
      <c r="AB20" s="416">
        <v>0</v>
      </c>
      <c r="AC20" s="416">
        <v>0</v>
      </c>
      <c r="AD20" s="416">
        <v>0</v>
      </c>
      <c r="AE20" s="416">
        <v>0</v>
      </c>
      <c r="AF20" s="416">
        <v>0</v>
      </c>
      <c r="AG20" s="416">
        <v>0</v>
      </c>
      <c r="AH20" s="416">
        <v>0</v>
      </c>
      <c r="AI20" s="416">
        <v>0</v>
      </c>
      <c r="AJ20" s="416">
        <v>0</v>
      </c>
      <c r="AK20" s="416">
        <v>0</v>
      </c>
      <c r="AL20" s="416">
        <v>0</v>
      </c>
      <c r="AM20" s="416">
        <v>0</v>
      </c>
      <c r="AN20" s="416">
        <v>0</v>
      </c>
      <c r="AO20" s="416">
        <v>0</v>
      </c>
      <c r="AP20" s="416">
        <v>0</v>
      </c>
      <c r="AQ20" s="416">
        <v>0</v>
      </c>
      <c r="AR20" s="416">
        <v>0</v>
      </c>
      <c r="AS20" s="416">
        <v>0</v>
      </c>
      <c r="AT20" s="416">
        <v>0</v>
      </c>
      <c r="AU20" s="416">
        <v>0</v>
      </c>
      <c r="AV20" s="416">
        <v>0</v>
      </c>
      <c r="AW20" s="416">
        <v>0</v>
      </c>
      <c r="AX20" s="416">
        <v>0</v>
      </c>
      <c r="AY20" s="416">
        <v>0</v>
      </c>
      <c r="AZ20" s="416">
        <v>0</v>
      </c>
      <c r="BA20" s="416">
        <v>0</v>
      </c>
      <c r="BB20" s="416">
        <v>0</v>
      </c>
      <c r="BC20" s="416">
        <v>0</v>
      </c>
      <c r="BD20" s="416">
        <v>0</v>
      </c>
      <c r="BE20" s="416">
        <v>0</v>
      </c>
      <c r="BF20" s="416">
        <v>0</v>
      </c>
      <c r="BG20" s="416">
        <v>0</v>
      </c>
      <c r="BH20" s="416">
        <v>0</v>
      </c>
      <c r="BI20" s="416">
        <v>0</v>
      </c>
      <c r="BJ20" s="416">
        <v>0</v>
      </c>
      <c r="BK20" s="416">
        <v>0</v>
      </c>
      <c r="BL20" s="416">
        <v>0</v>
      </c>
      <c r="BM20" s="416">
        <v>0</v>
      </c>
      <c r="BN20" s="416">
        <v>0</v>
      </c>
      <c r="BO20" s="416">
        <v>0</v>
      </c>
      <c r="BP20" s="416">
        <v>0</v>
      </c>
      <c r="BQ20" s="416">
        <v>0</v>
      </c>
      <c r="BR20" s="416">
        <v>0</v>
      </c>
      <c r="BS20" s="416">
        <v>0</v>
      </c>
      <c r="BT20" s="416">
        <v>0</v>
      </c>
      <c r="BU20" s="416">
        <v>0</v>
      </c>
      <c r="BV20" s="416">
        <v>0</v>
      </c>
      <c r="BW20" s="416">
        <v>0</v>
      </c>
      <c r="BX20" s="416">
        <v>0</v>
      </c>
      <c r="BY20" s="416">
        <v>0</v>
      </c>
      <c r="BZ20" s="416">
        <v>0</v>
      </c>
      <c r="CC20" s="420"/>
      <c r="CD20" s="415" t="s">
        <v>465</v>
      </c>
      <c r="CE20" s="420">
        <f t="shared" si="0"/>
        <v>0</v>
      </c>
      <c r="CF20" s="420">
        <f t="shared" si="1"/>
        <v>0</v>
      </c>
      <c r="CG20" s="420">
        <f t="shared" si="2"/>
        <v>0</v>
      </c>
      <c r="CH20" s="420"/>
      <c r="CI20" s="420"/>
      <c r="CJ20" s="420"/>
      <c r="CK20" s="420"/>
      <c r="CL20" s="420"/>
      <c r="CM20" s="420"/>
      <c r="CN20" s="420"/>
      <c r="CO20" s="420"/>
      <c r="CP20" s="420"/>
      <c r="CQ20" s="420"/>
      <c r="CR20" s="420"/>
      <c r="CS20" s="420"/>
      <c r="CT20" s="21"/>
    </row>
    <row r="21" spans="3:98" hidden="1" outlineLevel="1">
      <c r="C21" s="415" t="s">
        <v>466</v>
      </c>
      <c r="D21" s="416">
        <v>0</v>
      </c>
      <c r="E21" s="416">
        <v>0</v>
      </c>
      <c r="F21" s="416">
        <v>0</v>
      </c>
      <c r="G21" s="416">
        <v>0</v>
      </c>
      <c r="H21" s="416">
        <v>0</v>
      </c>
      <c r="I21" s="416">
        <v>0</v>
      </c>
      <c r="J21" s="416">
        <v>0</v>
      </c>
      <c r="K21" s="416">
        <v>0</v>
      </c>
      <c r="L21" s="416">
        <v>0</v>
      </c>
      <c r="M21" s="416">
        <v>0</v>
      </c>
      <c r="N21" s="416">
        <v>0</v>
      </c>
      <c r="O21" s="416">
        <v>0</v>
      </c>
      <c r="P21" s="416">
        <v>0</v>
      </c>
      <c r="Q21" s="416">
        <v>0</v>
      </c>
      <c r="R21" s="416">
        <v>0</v>
      </c>
      <c r="S21" s="416">
        <v>0</v>
      </c>
      <c r="T21" s="416">
        <v>0</v>
      </c>
      <c r="U21" s="416">
        <v>0</v>
      </c>
      <c r="V21" s="416">
        <v>0</v>
      </c>
      <c r="W21" s="416">
        <v>0</v>
      </c>
      <c r="X21" s="416">
        <v>0</v>
      </c>
      <c r="Y21" s="416">
        <v>0</v>
      </c>
      <c r="Z21" s="416">
        <v>0</v>
      </c>
      <c r="AA21" s="416">
        <v>0</v>
      </c>
      <c r="AB21" s="416">
        <v>0</v>
      </c>
      <c r="AC21" s="416">
        <v>0</v>
      </c>
      <c r="AD21" s="416">
        <v>0</v>
      </c>
      <c r="AE21" s="416">
        <v>0</v>
      </c>
      <c r="AF21" s="416">
        <v>0</v>
      </c>
      <c r="AG21" s="416">
        <v>0</v>
      </c>
      <c r="AH21" s="416">
        <v>0</v>
      </c>
      <c r="AI21" s="416">
        <v>0</v>
      </c>
      <c r="AJ21" s="416">
        <v>0</v>
      </c>
      <c r="AK21" s="416">
        <v>0</v>
      </c>
      <c r="AL21" s="416">
        <v>0</v>
      </c>
      <c r="AM21" s="416">
        <v>0</v>
      </c>
      <c r="AN21" s="416">
        <v>0</v>
      </c>
      <c r="AO21" s="416">
        <v>0</v>
      </c>
      <c r="AP21" s="416">
        <v>0</v>
      </c>
      <c r="AQ21" s="416">
        <v>0</v>
      </c>
      <c r="AR21" s="416">
        <v>0</v>
      </c>
      <c r="AS21" s="416">
        <v>0</v>
      </c>
      <c r="AT21" s="416">
        <v>0</v>
      </c>
      <c r="AU21" s="416">
        <v>0</v>
      </c>
      <c r="AV21" s="416">
        <v>0</v>
      </c>
      <c r="AW21" s="416">
        <v>0</v>
      </c>
      <c r="AX21" s="416">
        <v>0</v>
      </c>
      <c r="AY21" s="416">
        <v>0</v>
      </c>
      <c r="AZ21" s="416">
        <v>0</v>
      </c>
      <c r="BA21" s="416">
        <v>0</v>
      </c>
      <c r="BB21" s="416">
        <v>0</v>
      </c>
      <c r="BC21" s="416">
        <v>0</v>
      </c>
      <c r="BD21" s="416">
        <v>0</v>
      </c>
      <c r="BE21" s="416">
        <v>0</v>
      </c>
      <c r="BF21" s="416">
        <v>0</v>
      </c>
      <c r="BG21" s="416">
        <v>0</v>
      </c>
      <c r="BH21" s="416">
        <v>0</v>
      </c>
      <c r="BI21" s="416">
        <v>0</v>
      </c>
      <c r="BJ21" s="416">
        <v>0</v>
      </c>
      <c r="BK21" s="416">
        <v>0</v>
      </c>
      <c r="BL21" s="416">
        <v>0</v>
      </c>
      <c r="BM21" s="416">
        <v>0</v>
      </c>
      <c r="BN21" s="416">
        <v>0</v>
      </c>
      <c r="BO21" s="416">
        <v>0</v>
      </c>
      <c r="BP21" s="416">
        <v>0</v>
      </c>
      <c r="BQ21" s="416">
        <v>0</v>
      </c>
      <c r="BR21" s="416">
        <v>0</v>
      </c>
      <c r="BS21" s="416">
        <v>0</v>
      </c>
      <c r="BT21" s="416">
        <v>0</v>
      </c>
      <c r="BU21" s="416">
        <v>0</v>
      </c>
      <c r="BV21" s="416">
        <v>0</v>
      </c>
      <c r="BW21" s="416">
        <v>0</v>
      </c>
      <c r="BX21" s="416">
        <v>0</v>
      </c>
      <c r="BY21" s="416">
        <v>0</v>
      </c>
      <c r="BZ21" s="416">
        <v>0</v>
      </c>
      <c r="CC21" s="420"/>
      <c r="CD21" s="415" t="s">
        <v>466</v>
      </c>
      <c r="CE21" s="420">
        <f t="shared" si="0"/>
        <v>0</v>
      </c>
      <c r="CF21" s="420">
        <f t="shared" si="1"/>
        <v>0</v>
      </c>
      <c r="CG21" s="420">
        <f t="shared" si="2"/>
        <v>0</v>
      </c>
      <c r="CH21" s="420"/>
      <c r="CI21" s="420"/>
      <c r="CJ21" s="420"/>
      <c r="CK21" s="420"/>
      <c r="CL21" s="420"/>
      <c r="CM21" s="420"/>
      <c r="CN21" s="420"/>
      <c r="CO21" s="420"/>
      <c r="CP21" s="420"/>
      <c r="CQ21" s="420"/>
      <c r="CR21" s="420"/>
      <c r="CS21" s="420"/>
      <c r="CT21" s="21"/>
    </row>
    <row r="22" spans="3:98" hidden="1" outlineLevel="1">
      <c r="C22" s="415" t="s">
        <v>467</v>
      </c>
      <c r="D22" s="416">
        <v>0</v>
      </c>
      <c r="E22" s="416">
        <v>0</v>
      </c>
      <c r="F22" s="416">
        <v>0</v>
      </c>
      <c r="G22" s="416">
        <v>0</v>
      </c>
      <c r="H22" s="416">
        <v>0</v>
      </c>
      <c r="I22" s="416">
        <v>0</v>
      </c>
      <c r="J22" s="416">
        <v>0</v>
      </c>
      <c r="K22" s="416">
        <v>0</v>
      </c>
      <c r="L22" s="416">
        <v>0</v>
      </c>
      <c r="M22" s="416">
        <v>0</v>
      </c>
      <c r="N22" s="416">
        <v>0</v>
      </c>
      <c r="O22" s="416">
        <v>0</v>
      </c>
      <c r="P22" s="416">
        <v>0</v>
      </c>
      <c r="Q22" s="416">
        <v>0</v>
      </c>
      <c r="R22" s="416">
        <v>0</v>
      </c>
      <c r="S22" s="416">
        <v>0</v>
      </c>
      <c r="T22" s="416">
        <v>0</v>
      </c>
      <c r="U22" s="416">
        <v>0</v>
      </c>
      <c r="V22" s="416">
        <v>0</v>
      </c>
      <c r="W22" s="416">
        <v>0</v>
      </c>
      <c r="X22" s="416">
        <v>0</v>
      </c>
      <c r="Y22" s="416">
        <v>0</v>
      </c>
      <c r="Z22" s="416">
        <v>0</v>
      </c>
      <c r="AA22" s="416">
        <v>0</v>
      </c>
      <c r="AB22" s="416">
        <v>0</v>
      </c>
      <c r="AC22" s="416">
        <v>0</v>
      </c>
      <c r="AD22" s="416">
        <v>0</v>
      </c>
      <c r="AE22" s="416">
        <v>0</v>
      </c>
      <c r="AF22" s="416">
        <v>0</v>
      </c>
      <c r="AG22" s="416">
        <v>0</v>
      </c>
      <c r="AH22" s="416">
        <v>0</v>
      </c>
      <c r="AI22" s="416">
        <v>0</v>
      </c>
      <c r="AJ22" s="416">
        <v>0</v>
      </c>
      <c r="AK22" s="416">
        <v>0</v>
      </c>
      <c r="AL22" s="416">
        <v>0</v>
      </c>
      <c r="AM22" s="416">
        <v>0</v>
      </c>
      <c r="AN22" s="416">
        <v>0</v>
      </c>
      <c r="AO22" s="416">
        <v>0</v>
      </c>
      <c r="AP22" s="416">
        <v>0</v>
      </c>
      <c r="AQ22" s="416">
        <v>0</v>
      </c>
      <c r="AR22" s="416">
        <v>0</v>
      </c>
      <c r="AS22" s="416">
        <v>0</v>
      </c>
      <c r="AT22" s="416">
        <v>0</v>
      </c>
      <c r="AU22" s="416">
        <v>0</v>
      </c>
      <c r="AV22" s="416">
        <v>0</v>
      </c>
      <c r="AW22" s="416">
        <v>0</v>
      </c>
      <c r="AX22" s="416">
        <v>0</v>
      </c>
      <c r="AY22" s="416">
        <v>0</v>
      </c>
      <c r="AZ22" s="416">
        <v>0</v>
      </c>
      <c r="BA22" s="416">
        <v>0</v>
      </c>
      <c r="BB22" s="416">
        <v>0</v>
      </c>
      <c r="BC22" s="416">
        <v>0</v>
      </c>
      <c r="BD22" s="416">
        <v>0</v>
      </c>
      <c r="BE22" s="416">
        <v>0</v>
      </c>
      <c r="BF22" s="416">
        <v>0</v>
      </c>
      <c r="BG22" s="416">
        <v>0</v>
      </c>
      <c r="BH22" s="416">
        <v>0</v>
      </c>
      <c r="BI22" s="416">
        <v>0</v>
      </c>
      <c r="BJ22" s="416">
        <v>0</v>
      </c>
      <c r="BK22" s="416">
        <v>0</v>
      </c>
      <c r="BL22" s="416">
        <v>0</v>
      </c>
      <c r="BM22" s="416">
        <v>0</v>
      </c>
      <c r="BN22" s="416">
        <v>0</v>
      </c>
      <c r="BO22" s="416">
        <v>0</v>
      </c>
      <c r="BP22" s="416">
        <v>0</v>
      </c>
      <c r="BQ22" s="416">
        <v>0</v>
      </c>
      <c r="BR22" s="416">
        <v>0</v>
      </c>
      <c r="BS22" s="416">
        <v>0</v>
      </c>
      <c r="BT22" s="416">
        <v>0</v>
      </c>
      <c r="BU22" s="416">
        <v>0</v>
      </c>
      <c r="BV22" s="416">
        <v>0</v>
      </c>
      <c r="BW22" s="416">
        <v>0</v>
      </c>
      <c r="BX22" s="416">
        <v>0</v>
      </c>
      <c r="BY22" s="416">
        <v>0</v>
      </c>
      <c r="BZ22" s="416">
        <v>0</v>
      </c>
      <c r="CC22" s="420"/>
      <c r="CD22" s="415" t="s">
        <v>467</v>
      </c>
      <c r="CE22" s="420">
        <f t="shared" si="0"/>
        <v>0</v>
      </c>
      <c r="CF22" s="420">
        <f t="shared" si="1"/>
        <v>0</v>
      </c>
      <c r="CG22" s="420">
        <f t="shared" si="2"/>
        <v>0</v>
      </c>
      <c r="CH22" s="420"/>
      <c r="CI22" s="420"/>
      <c r="CJ22" s="420"/>
      <c r="CK22" s="420"/>
      <c r="CL22" s="420"/>
      <c r="CM22" s="420"/>
      <c r="CN22" s="420"/>
      <c r="CO22" s="420"/>
      <c r="CP22" s="420"/>
      <c r="CQ22" s="420"/>
      <c r="CR22" s="420"/>
      <c r="CS22" s="420"/>
      <c r="CT22" s="21"/>
    </row>
    <row r="23" spans="3:98" hidden="1" outlineLevel="1">
      <c r="C23" s="415" t="s">
        <v>468</v>
      </c>
      <c r="D23" s="416">
        <v>0</v>
      </c>
      <c r="E23" s="416">
        <v>0</v>
      </c>
      <c r="F23" s="416">
        <v>0</v>
      </c>
      <c r="G23" s="416">
        <v>0</v>
      </c>
      <c r="H23" s="416">
        <v>0</v>
      </c>
      <c r="I23" s="416">
        <v>0</v>
      </c>
      <c r="J23" s="416">
        <v>0</v>
      </c>
      <c r="K23" s="416">
        <v>0</v>
      </c>
      <c r="L23" s="416">
        <v>0</v>
      </c>
      <c r="M23" s="416">
        <v>0</v>
      </c>
      <c r="N23" s="416">
        <v>0</v>
      </c>
      <c r="O23" s="416">
        <v>0</v>
      </c>
      <c r="P23" s="416">
        <v>0</v>
      </c>
      <c r="Q23" s="416">
        <v>0</v>
      </c>
      <c r="R23" s="416">
        <v>0</v>
      </c>
      <c r="S23" s="416">
        <v>0</v>
      </c>
      <c r="T23" s="416">
        <v>0</v>
      </c>
      <c r="U23" s="416">
        <v>0</v>
      </c>
      <c r="V23" s="416">
        <v>0</v>
      </c>
      <c r="W23" s="416">
        <v>0</v>
      </c>
      <c r="X23" s="416">
        <v>0</v>
      </c>
      <c r="Y23" s="416">
        <v>0</v>
      </c>
      <c r="Z23" s="416">
        <v>0</v>
      </c>
      <c r="AA23" s="416">
        <v>0</v>
      </c>
      <c r="AB23" s="416">
        <v>0</v>
      </c>
      <c r="AC23" s="416">
        <v>0</v>
      </c>
      <c r="AD23" s="416">
        <v>0</v>
      </c>
      <c r="AE23" s="416">
        <v>0</v>
      </c>
      <c r="AF23" s="416">
        <v>0</v>
      </c>
      <c r="AG23" s="416">
        <v>0</v>
      </c>
      <c r="AH23" s="416">
        <v>0</v>
      </c>
      <c r="AI23" s="416">
        <v>0</v>
      </c>
      <c r="AJ23" s="416">
        <v>0</v>
      </c>
      <c r="AK23" s="416">
        <v>0</v>
      </c>
      <c r="AL23" s="416">
        <v>0</v>
      </c>
      <c r="AM23" s="416">
        <v>0</v>
      </c>
      <c r="AN23" s="416">
        <v>0</v>
      </c>
      <c r="AO23" s="416">
        <v>0</v>
      </c>
      <c r="AP23" s="416">
        <v>0</v>
      </c>
      <c r="AQ23" s="416">
        <v>0</v>
      </c>
      <c r="AR23" s="416">
        <v>0</v>
      </c>
      <c r="AS23" s="416">
        <v>0</v>
      </c>
      <c r="AT23" s="416">
        <v>0</v>
      </c>
      <c r="AU23" s="416">
        <v>0</v>
      </c>
      <c r="AV23" s="416">
        <v>0</v>
      </c>
      <c r="AW23" s="416">
        <v>0</v>
      </c>
      <c r="AX23" s="416">
        <v>0</v>
      </c>
      <c r="AY23" s="416">
        <v>0</v>
      </c>
      <c r="AZ23" s="416">
        <v>0</v>
      </c>
      <c r="BA23" s="416">
        <v>0</v>
      </c>
      <c r="BB23" s="416">
        <v>0</v>
      </c>
      <c r="BC23" s="416">
        <v>0</v>
      </c>
      <c r="BD23" s="416">
        <v>0</v>
      </c>
      <c r="BE23" s="416">
        <v>0</v>
      </c>
      <c r="BF23" s="416">
        <v>0</v>
      </c>
      <c r="BG23" s="416">
        <v>0</v>
      </c>
      <c r="BH23" s="416">
        <v>0</v>
      </c>
      <c r="BI23" s="416">
        <v>0</v>
      </c>
      <c r="BJ23" s="416">
        <v>0</v>
      </c>
      <c r="BK23" s="416">
        <v>0</v>
      </c>
      <c r="BL23" s="416">
        <v>0</v>
      </c>
      <c r="BM23" s="416">
        <v>0</v>
      </c>
      <c r="BN23" s="416">
        <v>0</v>
      </c>
      <c r="BO23" s="416">
        <v>0</v>
      </c>
      <c r="BP23" s="416">
        <v>0</v>
      </c>
      <c r="BQ23" s="416">
        <v>0</v>
      </c>
      <c r="BR23" s="416">
        <v>0</v>
      </c>
      <c r="BS23" s="416">
        <v>0</v>
      </c>
      <c r="BT23" s="416">
        <v>0</v>
      </c>
      <c r="BU23" s="416">
        <v>0</v>
      </c>
      <c r="BV23" s="416">
        <v>0</v>
      </c>
      <c r="BW23" s="416">
        <v>0</v>
      </c>
      <c r="BX23" s="416">
        <v>0</v>
      </c>
      <c r="BY23" s="416">
        <v>0</v>
      </c>
      <c r="BZ23" s="416">
        <v>0</v>
      </c>
      <c r="CC23" s="420"/>
      <c r="CD23" s="415" t="s">
        <v>468</v>
      </c>
      <c r="CE23" s="420">
        <f t="shared" si="0"/>
        <v>0</v>
      </c>
      <c r="CF23" s="420">
        <f t="shared" si="1"/>
        <v>0</v>
      </c>
      <c r="CG23" s="420">
        <f t="shared" si="2"/>
        <v>0</v>
      </c>
      <c r="CH23" s="420"/>
      <c r="CI23" s="420"/>
      <c r="CJ23" s="420"/>
      <c r="CK23" s="420"/>
      <c r="CL23" s="420"/>
      <c r="CM23" s="420"/>
      <c r="CN23" s="420"/>
      <c r="CO23" s="420"/>
      <c r="CP23" s="420"/>
      <c r="CQ23" s="420"/>
      <c r="CR23" s="420"/>
      <c r="CS23" s="420"/>
      <c r="CT23" s="21"/>
    </row>
    <row r="24" spans="3:98" collapsed="1">
      <c r="C24" s="417" t="s">
        <v>99</v>
      </c>
      <c r="D24" s="416">
        <v>0</v>
      </c>
      <c r="E24" s="416">
        <v>0</v>
      </c>
      <c r="F24" s="416">
        <v>0</v>
      </c>
      <c r="G24" s="416">
        <v>0</v>
      </c>
      <c r="H24" s="416">
        <v>0</v>
      </c>
      <c r="I24" s="416">
        <v>0</v>
      </c>
      <c r="J24" s="416">
        <v>0</v>
      </c>
      <c r="K24" s="416">
        <v>0</v>
      </c>
      <c r="L24" s="416">
        <v>0</v>
      </c>
      <c r="M24" s="416">
        <v>0</v>
      </c>
      <c r="N24" s="416">
        <v>0</v>
      </c>
      <c r="O24" s="416">
        <v>0</v>
      </c>
      <c r="P24" s="416">
        <v>0</v>
      </c>
      <c r="Q24" s="416">
        <v>0</v>
      </c>
      <c r="R24" s="416">
        <v>0</v>
      </c>
      <c r="S24" s="416">
        <v>0</v>
      </c>
      <c r="T24" s="416">
        <v>0</v>
      </c>
      <c r="U24" s="416">
        <v>0</v>
      </c>
      <c r="V24" s="416">
        <v>0</v>
      </c>
      <c r="W24" s="416">
        <v>0</v>
      </c>
      <c r="X24" s="416">
        <v>0</v>
      </c>
      <c r="Y24" s="416">
        <v>0</v>
      </c>
      <c r="Z24" s="416">
        <v>0</v>
      </c>
      <c r="AA24" s="416">
        <v>0</v>
      </c>
      <c r="AB24" s="416">
        <v>0</v>
      </c>
      <c r="AC24" s="416">
        <v>0</v>
      </c>
      <c r="AD24" s="416">
        <v>0</v>
      </c>
      <c r="AE24" s="416">
        <v>0</v>
      </c>
      <c r="AF24" s="416">
        <v>0</v>
      </c>
      <c r="AG24" s="416">
        <v>0</v>
      </c>
      <c r="AH24" s="416">
        <v>0</v>
      </c>
      <c r="AI24" s="416">
        <v>0</v>
      </c>
      <c r="AJ24" s="416">
        <v>0</v>
      </c>
      <c r="AK24" s="416">
        <v>0</v>
      </c>
      <c r="AL24" s="416">
        <v>0</v>
      </c>
      <c r="AM24" s="416">
        <v>0</v>
      </c>
      <c r="AN24" s="416">
        <v>0</v>
      </c>
      <c r="AO24" s="416">
        <v>0</v>
      </c>
      <c r="AP24" s="416">
        <v>0</v>
      </c>
      <c r="AQ24" s="416">
        <v>0</v>
      </c>
      <c r="AR24" s="416">
        <v>0</v>
      </c>
      <c r="AS24" s="416">
        <v>0</v>
      </c>
      <c r="AT24" s="416">
        <v>0</v>
      </c>
      <c r="AU24" s="416">
        <v>0</v>
      </c>
      <c r="AV24" s="416">
        <v>0</v>
      </c>
      <c r="AW24" s="416">
        <v>0</v>
      </c>
      <c r="AX24" s="416">
        <v>0</v>
      </c>
      <c r="AY24" s="416">
        <v>0</v>
      </c>
      <c r="AZ24" s="416">
        <v>0</v>
      </c>
      <c r="BA24" s="416">
        <v>0</v>
      </c>
      <c r="BB24" s="416">
        <v>0</v>
      </c>
      <c r="BC24" s="416">
        <v>0</v>
      </c>
      <c r="BD24" s="416">
        <v>0</v>
      </c>
      <c r="BE24" s="416">
        <v>0</v>
      </c>
      <c r="BF24" s="416">
        <v>82.055000000000007</v>
      </c>
      <c r="BG24" s="416">
        <v>25.407</v>
      </c>
      <c r="BH24" s="416">
        <v>23.395</v>
      </c>
      <c r="BI24" s="416">
        <v>36.765999999999998</v>
      </c>
      <c r="BJ24" s="416">
        <v>49.945999999999998</v>
      </c>
      <c r="BK24" s="416">
        <v>135.51400000000001</v>
      </c>
      <c r="BL24" s="416">
        <v>234.066</v>
      </c>
      <c r="BM24" s="416">
        <v>335.42599999999999</v>
      </c>
      <c r="BN24" s="416">
        <v>197.251</v>
      </c>
      <c r="BO24" s="416">
        <v>501.18099999999998</v>
      </c>
      <c r="BP24" s="416">
        <v>1267.924</v>
      </c>
      <c r="BQ24" s="416">
        <v>277.82600000000002</v>
      </c>
      <c r="BR24" s="416">
        <v>167.18700000000001</v>
      </c>
      <c r="BS24" s="416">
        <v>101.876</v>
      </c>
      <c r="BT24" s="416">
        <v>82.991</v>
      </c>
      <c r="BU24" s="416">
        <v>629.88</v>
      </c>
      <c r="BV24" s="416">
        <v>96.369</v>
      </c>
      <c r="BW24" s="416">
        <v>108.2</v>
      </c>
      <c r="BX24" s="416">
        <v>90.576999999999998</v>
      </c>
      <c r="BY24" s="416">
        <v>0</v>
      </c>
      <c r="BZ24" s="416">
        <v>0</v>
      </c>
      <c r="CC24" s="420"/>
      <c r="CD24" s="417" t="s">
        <v>99</v>
      </c>
      <c r="CE24" s="420">
        <f t="shared" si="0"/>
        <v>0</v>
      </c>
      <c r="CF24" s="420">
        <f t="shared" si="1"/>
        <v>0</v>
      </c>
      <c r="CG24" s="420">
        <f t="shared" si="2"/>
        <v>0</v>
      </c>
      <c r="CH24" s="420">
        <f t="shared" ref="CH24:CH87" si="3">W24</f>
        <v>0</v>
      </c>
      <c r="CI24" s="420">
        <f t="shared" ref="CI24:CI87" si="4">AB24</f>
        <v>0</v>
      </c>
      <c r="CJ24" s="420">
        <f t="shared" ref="CJ24:CJ87" si="5">AG24</f>
        <v>0</v>
      </c>
      <c r="CK24" s="420">
        <f t="shared" ref="CK24:CK87" si="6">AL24</f>
        <v>0</v>
      </c>
      <c r="CL24" s="420">
        <f t="shared" ref="CL24:CL87" si="7">AQ24</f>
        <v>0</v>
      </c>
      <c r="CM24" s="420">
        <f t="shared" ref="CM24:CM87" si="8">AV24</f>
        <v>0</v>
      </c>
      <c r="CN24" s="420">
        <f t="shared" ref="CN24:CN87" si="9">BA24</f>
        <v>0</v>
      </c>
      <c r="CO24" s="420">
        <f t="shared" ref="CO24:CO87" si="10">BF24</f>
        <v>82.055000000000007</v>
      </c>
      <c r="CP24" s="420">
        <f t="shared" ref="CP24:CP87" si="11">BK24</f>
        <v>135.51400000000001</v>
      </c>
      <c r="CQ24" s="420">
        <f t="shared" ref="CQ24:CQ87" si="12">BP24</f>
        <v>1267.924</v>
      </c>
      <c r="CR24" s="420">
        <f t="shared" ref="CR24:CR87" si="13">BU24</f>
        <v>629.88</v>
      </c>
      <c r="CS24" s="420">
        <f t="shared" ref="CS24:CS87" si="14">BZ24</f>
        <v>0</v>
      </c>
      <c r="CT24" s="21"/>
    </row>
    <row r="25" spans="3:98">
      <c r="C25" s="421" t="s">
        <v>6</v>
      </c>
      <c r="D25" s="422">
        <v>0</v>
      </c>
      <c r="E25" s="422">
        <v>0</v>
      </c>
      <c r="F25" s="422">
        <v>0</v>
      </c>
      <c r="G25" s="422">
        <v>0</v>
      </c>
      <c r="H25" s="422">
        <v>0</v>
      </c>
      <c r="I25" s="422">
        <v>0</v>
      </c>
      <c r="J25" s="422">
        <v>0</v>
      </c>
      <c r="K25" s="422">
        <v>0</v>
      </c>
      <c r="L25" s="422">
        <v>0</v>
      </c>
      <c r="M25" s="422">
        <v>0</v>
      </c>
      <c r="N25" s="422">
        <v>0</v>
      </c>
      <c r="O25" s="422">
        <v>0</v>
      </c>
      <c r="P25" s="422">
        <v>0</v>
      </c>
      <c r="Q25" s="422">
        <v>0</v>
      </c>
      <c r="R25" s="422">
        <v>0</v>
      </c>
      <c r="S25" s="422">
        <v>0</v>
      </c>
      <c r="T25" s="422">
        <v>0</v>
      </c>
      <c r="U25" s="422">
        <v>0</v>
      </c>
      <c r="V25" s="422">
        <v>0</v>
      </c>
      <c r="W25" s="422">
        <v>0</v>
      </c>
      <c r="X25" s="422">
        <v>0</v>
      </c>
      <c r="Y25" s="422">
        <v>0</v>
      </c>
      <c r="Z25" s="422">
        <v>0</v>
      </c>
      <c r="AA25" s="422">
        <v>0</v>
      </c>
      <c r="AB25" s="422">
        <v>0</v>
      </c>
      <c r="AC25" s="422">
        <v>0</v>
      </c>
      <c r="AD25" s="422">
        <v>0</v>
      </c>
      <c r="AE25" s="422">
        <v>0</v>
      </c>
      <c r="AF25" s="422">
        <v>0</v>
      </c>
      <c r="AG25" s="422">
        <v>0</v>
      </c>
      <c r="AH25" s="422">
        <v>0</v>
      </c>
      <c r="AI25" s="422">
        <v>0</v>
      </c>
      <c r="AJ25" s="422">
        <v>0</v>
      </c>
      <c r="AK25" s="422">
        <v>0</v>
      </c>
      <c r="AL25" s="422">
        <v>0</v>
      </c>
      <c r="AM25" s="422">
        <v>0</v>
      </c>
      <c r="AN25" s="422">
        <v>0</v>
      </c>
      <c r="AO25" s="422">
        <v>0</v>
      </c>
      <c r="AP25" s="422">
        <v>0</v>
      </c>
      <c r="AQ25" s="422">
        <v>0</v>
      </c>
      <c r="AR25" s="422">
        <v>0</v>
      </c>
      <c r="AS25" s="422">
        <v>0</v>
      </c>
      <c r="AT25" s="422">
        <v>0</v>
      </c>
      <c r="AU25" s="422">
        <v>0</v>
      </c>
      <c r="AV25" s="422">
        <v>0</v>
      </c>
      <c r="AW25" s="422">
        <v>0</v>
      </c>
      <c r="AX25" s="422">
        <v>0</v>
      </c>
      <c r="AY25" s="422">
        <v>0</v>
      </c>
      <c r="AZ25" s="422">
        <v>0</v>
      </c>
      <c r="BA25" s="422">
        <v>0</v>
      </c>
      <c r="BB25" s="422">
        <v>0</v>
      </c>
      <c r="BC25" s="422">
        <v>0</v>
      </c>
      <c r="BD25" s="422">
        <v>0</v>
      </c>
      <c r="BE25" s="422">
        <v>0</v>
      </c>
      <c r="BF25" s="422">
        <v>451.68</v>
      </c>
      <c r="BG25" s="422">
        <v>165.22300000000001</v>
      </c>
      <c r="BH25" s="422">
        <v>162.98699999999999</v>
      </c>
      <c r="BI25" s="422">
        <v>278.59100000000001</v>
      </c>
      <c r="BJ25" s="422">
        <v>535.16600000000005</v>
      </c>
      <c r="BK25" s="422">
        <v>1141.9670000000001</v>
      </c>
      <c r="BL25" s="422">
        <v>1567.046</v>
      </c>
      <c r="BM25" s="422">
        <v>1892.5360000000001</v>
      </c>
      <c r="BN25" s="422">
        <v>1114.6569999999999</v>
      </c>
      <c r="BO25" s="422">
        <v>1997.2819999999999</v>
      </c>
      <c r="BP25" s="422">
        <v>6571.52</v>
      </c>
      <c r="BQ25" s="422">
        <v>888.61</v>
      </c>
      <c r="BR25" s="422">
        <v>641.13800000000003</v>
      </c>
      <c r="BS25" s="422">
        <v>488.46300000000002</v>
      </c>
      <c r="BT25" s="422">
        <v>546.11699999999996</v>
      </c>
      <c r="BU25" s="422">
        <v>2564.328</v>
      </c>
      <c r="BV25" s="422">
        <v>676.16</v>
      </c>
      <c r="BW25" s="422">
        <v>599.71100000000001</v>
      </c>
      <c r="BX25" s="422">
        <v>583.57100000000003</v>
      </c>
      <c r="BY25" s="422">
        <v>0</v>
      </c>
      <c r="BZ25" s="422">
        <v>0</v>
      </c>
      <c r="CC25" s="420"/>
      <c r="CD25" s="421" t="s">
        <v>6</v>
      </c>
      <c r="CE25" s="423">
        <f t="shared" si="0"/>
        <v>0</v>
      </c>
      <c r="CF25" s="423">
        <f t="shared" si="1"/>
        <v>0</v>
      </c>
      <c r="CG25" s="423">
        <f t="shared" si="2"/>
        <v>0</v>
      </c>
      <c r="CH25" s="423">
        <f t="shared" si="3"/>
        <v>0</v>
      </c>
      <c r="CI25" s="423">
        <f t="shared" si="4"/>
        <v>0</v>
      </c>
      <c r="CJ25" s="423">
        <f t="shared" si="5"/>
        <v>0</v>
      </c>
      <c r="CK25" s="423">
        <f t="shared" si="6"/>
        <v>0</v>
      </c>
      <c r="CL25" s="423">
        <f t="shared" si="7"/>
        <v>0</v>
      </c>
      <c r="CM25" s="423">
        <f t="shared" si="8"/>
        <v>0</v>
      </c>
      <c r="CN25" s="423">
        <f t="shared" si="9"/>
        <v>0</v>
      </c>
      <c r="CO25" s="423">
        <f t="shared" si="10"/>
        <v>451.68</v>
      </c>
      <c r="CP25" s="423">
        <f t="shared" si="11"/>
        <v>1141.9670000000001</v>
      </c>
      <c r="CQ25" s="423">
        <f t="shared" si="12"/>
        <v>6571.52</v>
      </c>
      <c r="CR25" s="423">
        <f t="shared" si="13"/>
        <v>2564.328</v>
      </c>
      <c r="CS25" s="423">
        <f t="shared" si="14"/>
        <v>0</v>
      </c>
      <c r="CT25" s="21"/>
    </row>
    <row r="26" spans="3:98" ht="4.5" customHeight="1">
      <c r="D26" s="416">
        <v>0</v>
      </c>
      <c r="E26" s="416">
        <v>0</v>
      </c>
      <c r="F26" s="416">
        <v>0</v>
      </c>
      <c r="G26" s="416">
        <v>0</v>
      </c>
      <c r="H26" s="416">
        <v>0</v>
      </c>
      <c r="I26" s="416">
        <v>0</v>
      </c>
      <c r="J26" s="416">
        <v>0</v>
      </c>
      <c r="K26" s="416">
        <v>0</v>
      </c>
      <c r="L26" s="416">
        <v>0</v>
      </c>
      <c r="M26" s="416">
        <v>0</v>
      </c>
      <c r="N26" s="416">
        <v>0</v>
      </c>
      <c r="O26" s="416">
        <v>0</v>
      </c>
      <c r="P26" s="416">
        <v>0</v>
      </c>
      <c r="Q26" s="416">
        <v>0</v>
      </c>
      <c r="R26" s="416">
        <v>0</v>
      </c>
      <c r="S26" s="416">
        <v>0</v>
      </c>
      <c r="T26" s="416">
        <v>0</v>
      </c>
      <c r="U26" s="416">
        <v>0</v>
      </c>
      <c r="V26" s="416">
        <v>0</v>
      </c>
      <c r="W26" s="416">
        <v>0</v>
      </c>
      <c r="X26" s="416">
        <v>0</v>
      </c>
      <c r="Y26" s="416">
        <v>0</v>
      </c>
      <c r="Z26" s="416">
        <v>0</v>
      </c>
      <c r="AA26" s="416">
        <v>0</v>
      </c>
      <c r="AB26" s="416">
        <v>0</v>
      </c>
      <c r="AC26" s="416">
        <v>0</v>
      </c>
      <c r="AD26" s="416">
        <v>0</v>
      </c>
      <c r="AE26" s="416">
        <v>0</v>
      </c>
      <c r="AF26" s="416">
        <v>0</v>
      </c>
      <c r="AG26" s="416">
        <v>0</v>
      </c>
      <c r="AH26" s="416">
        <v>0</v>
      </c>
      <c r="AI26" s="416">
        <v>0</v>
      </c>
      <c r="AJ26" s="416">
        <v>0</v>
      </c>
      <c r="AK26" s="416">
        <v>0</v>
      </c>
      <c r="AL26" s="416">
        <v>0</v>
      </c>
      <c r="AM26" s="416">
        <v>0</v>
      </c>
      <c r="AN26" s="416">
        <v>0</v>
      </c>
      <c r="AO26" s="416">
        <v>0</v>
      </c>
      <c r="AP26" s="416">
        <v>0</v>
      </c>
      <c r="AQ26" s="416">
        <v>0</v>
      </c>
      <c r="AR26" s="416">
        <v>0</v>
      </c>
      <c r="AS26" s="416">
        <v>0</v>
      </c>
      <c r="AT26" s="416">
        <v>0</v>
      </c>
      <c r="AU26" s="416">
        <v>0</v>
      </c>
      <c r="AV26" s="416">
        <v>0</v>
      </c>
      <c r="AW26" s="416">
        <v>0</v>
      </c>
      <c r="AX26" s="416">
        <v>0</v>
      </c>
      <c r="AY26" s="416">
        <v>0</v>
      </c>
      <c r="AZ26" s="416">
        <v>0</v>
      </c>
      <c r="BA26" s="416">
        <v>0</v>
      </c>
      <c r="BB26" s="416">
        <v>0</v>
      </c>
      <c r="BC26" s="416">
        <v>0</v>
      </c>
      <c r="BD26" s="416">
        <v>0</v>
      </c>
      <c r="BE26" s="416">
        <v>0</v>
      </c>
      <c r="BF26" s="416">
        <v>0</v>
      </c>
      <c r="BG26" s="416">
        <v>0</v>
      </c>
      <c r="BH26" s="416">
        <v>0</v>
      </c>
      <c r="BI26" s="416">
        <v>0</v>
      </c>
      <c r="BJ26" s="416">
        <v>0</v>
      </c>
      <c r="BK26" s="416">
        <v>0</v>
      </c>
      <c r="BL26" s="416">
        <v>0</v>
      </c>
      <c r="BM26" s="416">
        <v>0</v>
      </c>
      <c r="BN26" s="416">
        <v>0</v>
      </c>
      <c r="BO26" s="416">
        <v>0</v>
      </c>
      <c r="BP26" s="416">
        <v>0</v>
      </c>
      <c r="BQ26" s="416">
        <v>0</v>
      </c>
      <c r="BR26" s="416">
        <v>0</v>
      </c>
      <c r="BS26" s="416">
        <v>0</v>
      </c>
      <c r="BT26" s="416">
        <v>0</v>
      </c>
      <c r="BU26" s="416">
        <v>0</v>
      </c>
      <c r="BV26" s="416">
        <v>0</v>
      </c>
      <c r="BW26" s="416">
        <v>0</v>
      </c>
      <c r="BX26" s="416">
        <v>0</v>
      </c>
      <c r="BY26" s="416">
        <v>0</v>
      </c>
      <c r="BZ26" s="416">
        <v>0</v>
      </c>
      <c r="CC26" s="420"/>
      <c r="CD26" s="58"/>
      <c r="CE26" s="420">
        <f t="shared" si="0"/>
        <v>0</v>
      </c>
      <c r="CF26" s="420">
        <f t="shared" si="1"/>
        <v>0</v>
      </c>
      <c r="CG26" s="420">
        <f t="shared" si="2"/>
        <v>0</v>
      </c>
      <c r="CH26" s="420">
        <f t="shared" si="3"/>
        <v>0</v>
      </c>
      <c r="CI26" s="420">
        <f t="shared" si="4"/>
        <v>0</v>
      </c>
      <c r="CJ26" s="420">
        <f t="shared" si="5"/>
        <v>0</v>
      </c>
      <c r="CK26" s="420">
        <f t="shared" si="6"/>
        <v>0</v>
      </c>
      <c r="CL26" s="420">
        <f t="shared" si="7"/>
        <v>0</v>
      </c>
      <c r="CM26" s="420">
        <f t="shared" si="8"/>
        <v>0</v>
      </c>
      <c r="CN26" s="420">
        <f t="shared" si="9"/>
        <v>0</v>
      </c>
      <c r="CO26" s="420">
        <f t="shared" si="10"/>
        <v>0</v>
      </c>
      <c r="CP26" s="420">
        <f t="shared" si="11"/>
        <v>0</v>
      </c>
      <c r="CQ26" s="420">
        <f t="shared" si="12"/>
        <v>0</v>
      </c>
      <c r="CR26" s="420">
        <f t="shared" si="13"/>
        <v>0</v>
      </c>
      <c r="CS26" s="420">
        <f t="shared" si="14"/>
        <v>0</v>
      </c>
      <c r="CT26" s="21"/>
    </row>
    <row r="27" spans="3:98" hidden="1" outlineLevel="1">
      <c r="C27" s="415" t="s">
        <v>469</v>
      </c>
      <c r="D27" s="416">
        <v>0</v>
      </c>
      <c r="E27" s="416">
        <v>0</v>
      </c>
      <c r="F27" s="416">
        <v>0</v>
      </c>
      <c r="G27" s="416">
        <v>0</v>
      </c>
      <c r="H27" s="416">
        <v>0</v>
      </c>
      <c r="I27" s="416">
        <v>0</v>
      </c>
      <c r="J27" s="416">
        <v>0</v>
      </c>
      <c r="K27" s="416">
        <v>0</v>
      </c>
      <c r="L27" s="416">
        <v>0</v>
      </c>
      <c r="M27" s="416">
        <v>0</v>
      </c>
      <c r="N27" s="416">
        <v>0</v>
      </c>
      <c r="O27" s="416">
        <v>0</v>
      </c>
      <c r="P27" s="416">
        <v>0</v>
      </c>
      <c r="Q27" s="416">
        <v>0</v>
      </c>
      <c r="R27" s="416">
        <v>0</v>
      </c>
      <c r="S27" s="416">
        <v>0</v>
      </c>
      <c r="T27" s="416">
        <v>0</v>
      </c>
      <c r="U27" s="416">
        <v>0</v>
      </c>
      <c r="V27" s="416">
        <v>0</v>
      </c>
      <c r="W27" s="416">
        <v>0</v>
      </c>
      <c r="X27" s="416">
        <v>0</v>
      </c>
      <c r="Y27" s="416">
        <v>0</v>
      </c>
      <c r="Z27" s="416">
        <v>0</v>
      </c>
      <c r="AA27" s="416">
        <v>0</v>
      </c>
      <c r="AB27" s="416">
        <v>0</v>
      </c>
      <c r="AC27" s="416">
        <v>0</v>
      </c>
      <c r="AD27" s="416">
        <v>0</v>
      </c>
      <c r="AE27" s="416">
        <v>0</v>
      </c>
      <c r="AF27" s="416">
        <v>0</v>
      </c>
      <c r="AG27" s="416">
        <v>0</v>
      </c>
      <c r="AH27" s="416">
        <v>0</v>
      </c>
      <c r="AI27" s="416">
        <v>0</v>
      </c>
      <c r="AJ27" s="416">
        <v>0</v>
      </c>
      <c r="AK27" s="416">
        <v>0</v>
      </c>
      <c r="AL27" s="416">
        <v>0</v>
      </c>
      <c r="AM27" s="416">
        <v>0</v>
      </c>
      <c r="AN27" s="416">
        <v>0</v>
      </c>
      <c r="AO27" s="416">
        <v>0</v>
      </c>
      <c r="AP27" s="416">
        <v>0</v>
      </c>
      <c r="AQ27" s="416">
        <v>0</v>
      </c>
      <c r="AR27" s="416">
        <v>0</v>
      </c>
      <c r="AS27" s="416">
        <v>0</v>
      </c>
      <c r="AT27" s="416">
        <v>0</v>
      </c>
      <c r="AU27" s="416">
        <v>0</v>
      </c>
      <c r="AV27" s="416">
        <v>0</v>
      </c>
      <c r="AW27" s="416">
        <v>0</v>
      </c>
      <c r="AX27" s="416">
        <v>0</v>
      </c>
      <c r="AY27" s="416">
        <v>0</v>
      </c>
      <c r="AZ27" s="416">
        <v>0</v>
      </c>
      <c r="BA27" s="416">
        <v>0</v>
      </c>
      <c r="BB27" s="416">
        <v>0</v>
      </c>
      <c r="BC27" s="416">
        <v>0</v>
      </c>
      <c r="BD27" s="416">
        <v>0</v>
      </c>
      <c r="BE27" s="416">
        <v>0</v>
      </c>
      <c r="BF27" s="416">
        <v>0</v>
      </c>
      <c r="BG27" s="416">
        <v>0</v>
      </c>
      <c r="BH27" s="416">
        <v>0</v>
      </c>
      <c r="BI27" s="416">
        <v>0</v>
      </c>
      <c r="BJ27" s="416">
        <v>0</v>
      </c>
      <c r="BK27" s="416">
        <v>0</v>
      </c>
      <c r="BL27" s="416">
        <v>0</v>
      </c>
      <c r="BM27" s="416">
        <v>0</v>
      </c>
      <c r="BN27" s="416">
        <v>0</v>
      </c>
      <c r="BO27" s="416">
        <v>0</v>
      </c>
      <c r="BP27" s="416">
        <v>0</v>
      </c>
      <c r="BQ27" s="416">
        <v>0</v>
      </c>
      <c r="BR27" s="416">
        <v>0</v>
      </c>
      <c r="BS27" s="416">
        <v>183.05699999999999</v>
      </c>
      <c r="BT27" s="416">
        <v>0</v>
      </c>
      <c r="BU27" s="416">
        <v>0</v>
      </c>
      <c r="BV27" s="416">
        <v>0</v>
      </c>
      <c r="BW27" s="416">
        <v>0</v>
      </c>
      <c r="BX27" s="416">
        <v>172.42099999999999</v>
      </c>
      <c r="BY27" s="416">
        <v>0</v>
      </c>
      <c r="BZ27" s="416">
        <v>0</v>
      </c>
      <c r="CC27" s="420"/>
      <c r="CD27" s="415" t="s">
        <v>469</v>
      </c>
      <c r="CE27" s="420">
        <f t="shared" si="0"/>
        <v>0</v>
      </c>
      <c r="CF27" s="420">
        <f t="shared" si="1"/>
        <v>0</v>
      </c>
      <c r="CG27" s="420">
        <f t="shared" si="2"/>
        <v>0</v>
      </c>
      <c r="CH27" s="420">
        <f t="shared" si="3"/>
        <v>0</v>
      </c>
      <c r="CI27" s="420">
        <f t="shared" si="4"/>
        <v>0</v>
      </c>
      <c r="CJ27" s="420">
        <f t="shared" si="5"/>
        <v>0</v>
      </c>
      <c r="CK27" s="420">
        <f t="shared" si="6"/>
        <v>0</v>
      </c>
      <c r="CL27" s="420">
        <f t="shared" si="7"/>
        <v>0</v>
      </c>
      <c r="CM27" s="420">
        <f t="shared" si="8"/>
        <v>0</v>
      </c>
      <c r="CN27" s="420">
        <f t="shared" si="9"/>
        <v>0</v>
      </c>
      <c r="CO27" s="420">
        <f t="shared" si="10"/>
        <v>0</v>
      </c>
      <c r="CP27" s="420">
        <f t="shared" si="11"/>
        <v>0</v>
      </c>
      <c r="CQ27" s="420">
        <f t="shared" si="12"/>
        <v>0</v>
      </c>
      <c r="CR27" s="420">
        <f t="shared" si="13"/>
        <v>0</v>
      </c>
      <c r="CS27" s="420">
        <f t="shared" si="14"/>
        <v>0</v>
      </c>
      <c r="CT27" s="21"/>
    </row>
    <row r="28" spans="3:98" hidden="1" outlineLevel="2">
      <c r="C28" s="424" t="s">
        <v>470</v>
      </c>
      <c r="D28" s="416">
        <v>0</v>
      </c>
      <c r="E28" s="416">
        <v>0</v>
      </c>
      <c r="F28" s="416">
        <v>0</v>
      </c>
      <c r="G28" s="416">
        <v>0</v>
      </c>
      <c r="H28" s="416">
        <v>0</v>
      </c>
      <c r="I28" s="416">
        <v>0</v>
      </c>
      <c r="J28" s="416">
        <v>0</v>
      </c>
      <c r="K28" s="416">
        <v>0</v>
      </c>
      <c r="L28" s="416">
        <v>0</v>
      </c>
      <c r="M28" s="416">
        <v>0</v>
      </c>
      <c r="N28" s="416">
        <v>0</v>
      </c>
      <c r="O28" s="416">
        <v>0</v>
      </c>
      <c r="P28" s="416">
        <v>0</v>
      </c>
      <c r="Q28" s="416">
        <v>0</v>
      </c>
      <c r="R28" s="416">
        <v>0</v>
      </c>
      <c r="S28" s="416">
        <v>0</v>
      </c>
      <c r="T28" s="416">
        <v>0</v>
      </c>
      <c r="U28" s="416">
        <v>0</v>
      </c>
      <c r="V28" s="416">
        <v>0</v>
      </c>
      <c r="W28" s="416">
        <v>0</v>
      </c>
      <c r="X28" s="416">
        <v>0</v>
      </c>
      <c r="Y28" s="416">
        <v>0</v>
      </c>
      <c r="Z28" s="416">
        <v>0</v>
      </c>
      <c r="AA28" s="416">
        <v>0</v>
      </c>
      <c r="AB28" s="416">
        <v>0</v>
      </c>
      <c r="AC28" s="416">
        <v>0</v>
      </c>
      <c r="AD28" s="416">
        <v>0</v>
      </c>
      <c r="AE28" s="416">
        <v>0</v>
      </c>
      <c r="AF28" s="416">
        <v>0</v>
      </c>
      <c r="AG28" s="416">
        <v>0</v>
      </c>
      <c r="AH28" s="416">
        <v>0</v>
      </c>
      <c r="AI28" s="416">
        <v>0</v>
      </c>
      <c r="AJ28" s="416">
        <v>0</v>
      </c>
      <c r="AK28" s="416">
        <v>0</v>
      </c>
      <c r="AL28" s="416">
        <v>0</v>
      </c>
      <c r="AM28" s="416">
        <v>0</v>
      </c>
      <c r="AN28" s="416">
        <v>0</v>
      </c>
      <c r="AO28" s="416">
        <v>0</v>
      </c>
      <c r="AP28" s="416">
        <v>0</v>
      </c>
      <c r="AQ28" s="416">
        <v>0</v>
      </c>
      <c r="AR28" s="416">
        <v>0</v>
      </c>
      <c r="AS28" s="416">
        <v>0</v>
      </c>
      <c r="AT28" s="416">
        <v>0</v>
      </c>
      <c r="AU28" s="416">
        <v>0</v>
      </c>
      <c r="AV28" s="416">
        <v>0</v>
      </c>
      <c r="AW28" s="416">
        <v>0</v>
      </c>
      <c r="AX28" s="416">
        <v>0</v>
      </c>
      <c r="AY28" s="416">
        <v>0</v>
      </c>
      <c r="AZ28" s="416">
        <v>0</v>
      </c>
      <c r="BA28" s="416">
        <v>0</v>
      </c>
      <c r="BB28" s="416">
        <v>0</v>
      </c>
      <c r="BC28" s="416">
        <v>0</v>
      </c>
      <c r="BD28" s="416">
        <v>0</v>
      </c>
      <c r="BE28" s="416">
        <v>0</v>
      </c>
      <c r="BF28" s="416">
        <v>0</v>
      </c>
      <c r="BG28" s="416">
        <v>0</v>
      </c>
      <c r="BH28" s="416">
        <v>0</v>
      </c>
      <c r="BI28" s="416">
        <v>0</v>
      </c>
      <c r="BJ28" s="416">
        <v>0</v>
      </c>
      <c r="BK28" s="416">
        <v>0</v>
      </c>
      <c r="BL28" s="416">
        <v>0</v>
      </c>
      <c r="BM28" s="416">
        <v>0</v>
      </c>
      <c r="BN28" s="416">
        <v>0</v>
      </c>
      <c r="BO28" s="416">
        <v>0</v>
      </c>
      <c r="BP28" s="416">
        <v>0</v>
      </c>
      <c r="BQ28" s="416">
        <v>0</v>
      </c>
      <c r="BR28" s="416">
        <v>0</v>
      </c>
      <c r="BS28" s="416">
        <v>0</v>
      </c>
      <c r="BT28" s="416">
        <v>0</v>
      </c>
      <c r="BU28" s="416">
        <v>0</v>
      </c>
      <c r="BV28" s="416">
        <v>0</v>
      </c>
      <c r="BW28" s="416">
        <v>0</v>
      </c>
      <c r="BX28" s="416">
        <v>0</v>
      </c>
      <c r="BY28" s="416">
        <v>0</v>
      </c>
      <c r="BZ28" s="416">
        <v>0</v>
      </c>
      <c r="CC28" s="420"/>
      <c r="CD28" s="424" t="s">
        <v>470</v>
      </c>
      <c r="CE28" s="420">
        <f t="shared" si="0"/>
        <v>0</v>
      </c>
      <c r="CF28" s="420">
        <f t="shared" si="1"/>
        <v>0</v>
      </c>
      <c r="CG28" s="420">
        <f t="shared" si="2"/>
        <v>0</v>
      </c>
      <c r="CH28" s="420">
        <f t="shared" si="3"/>
        <v>0</v>
      </c>
      <c r="CI28" s="420">
        <f t="shared" si="4"/>
        <v>0</v>
      </c>
      <c r="CJ28" s="420">
        <f t="shared" si="5"/>
        <v>0</v>
      </c>
      <c r="CK28" s="420">
        <f t="shared" si="6"/>
        <v>0</v>
      </c>
      <c r="CL28" s="420">
        <f t="shared" si="7"/>
        <v>0</v>
      </c>
      <c r="CM28" s="420">
        <f t="shared" si="8"/>
        <v>0</v>
      </c>
      <c r="CN28" s="420">
        <f t="shared" si="9"/>
        <v>0</v>
      </c>
      <c r="CO28" s="420">
        <f t="shared" si="10"/>
        <v>0</v>
      </c>
      <c r="CP28" s="420">
        <f t="shared" si="11"/>
        <v>0</v>
      </c>
      <c r="CQ28" s="420">
        <f t="shared" si="12"/>
        <v>0</v>
      </c>
      <c r="CR28" s="420">
        <f t="shared" si="13"/>
        <v>0</v>
      </c>
      <c r="CS28" s="420">
        <f t="shared" si="14"/>
        <v>0</v>
      </c>
      <c r="CT28" s="21"/>
    </row>
    <row r="29" spans="3:98" hidden="1" outlineLevel="2">
      <c r="C29" s="424" t="s">
        <v>471</v>
      </c>
      <c r="D29" s="416">
        <v>0</v>
      </c>
      <c r="E29" s="416">
        <v>0</v>
      </c>
      <c r="F29" s="416">
        <v>0</v>
      </c>
      <c r="G29" s="416">
        <v>0</v>
      </c>
      <c r="H29" s="416">
        <v>0</v>
      </c>
      <c r="I29" s="416">
        <v>0</v>
      </c>
      <c r="J29" s="416">
        <v>0</v>
      </c>
      <c r="K29" s="416">
        <v>0</v>
      </c>
      <c r="L29" s="416">
        <v>0</v>
      </c>
      <c r="M29" s="416">
        <v>0</v>
      </c>
      <c r="N29" s="416">
        <v>0</v>
      </c>
      <c r="O29" s="416">
        <v>0</v>
      </c>
      <c r="P29" s="416">
        <v>0</v>
      </c>
      <c r="Q29" s="416">
        <v>0</v>
      </c>
      <c r="R29" s="416">
        <v>0</v>
      </c>
      <c r="S29" s="416">
        <v>0</v>
      </c>
      <c r="T29" s="416">
        <v>0</v>
      </c>
      <c r="U29" s="416">
        <v>0</v>
      </c>
      <c r="V29" s="416">
        <v>0</v>
      </c>
      <c r="W29" s="416">
        <v>0</v>
      </c>
      <c r="X29" s="416">
        <v>0</v>
      </c>
      <c r="Y29" s="416">
        <v>0</v>
      </c>
      <c r="Z29" s="416">
        <v>0</v>
      </c>
      <c r="AA29" s="416">
        <v>0</v>
      </c>
      <c r="AB29" s="416">
        <v>0</v>
      </c>
      <c r="AC29" s="416">
        <v>0</v>
      </c>
      <c r="AD29" s="416">
        <v>0</v>
      </c>
      <c r="AE29" s="416">
        <v>0</v>
      </c>
      <c r="AF29" s="416">
        <v>0</v>
      </c>
      <c r="AG29" s="416">
        <v>0</v>
      </c>
      <c r="AH29" s="416">
        <v>0</v>
      </c>
      <c r="AI29" s="416">
        <v>0</v>
      </c>
      <c r="AJ29" s="416">
        <v>0</v>
      </c>
      <c r="AK29" s="416">
        <v>0</v>
      </c>
      <c r="AL29" s="416">
        <v>0</v>
      </c>
      <c r="AM29" s="416">
        <v>0</v>
      </c>
      <c r="AN29" s="416">
        <v>0</v>
      </c>
      <c r="AO29" s="416">
        <v>0</v>
      </c>
      <c r="AP29" s="416">
        <v>0</v>
      </c>
      <c r="AQ29" s="416">
        <v>0</v>
      </c>
      <c r="AR29" s="416">
        <v>0</v>
      </c>
      <c r="AS29" s="416">
        <v>0</v>
      </c>
      <c r="AT29" s="416">
        <v>0</v>
      </c>
      <c r="AU29" s="416">
        <v>0</v>
      </c>
      <c r="AV29" s="416">
        <v>0</v>
      </c>
      <c r="AW29" s="416">
        <v>0</v>
      </c>
      <c r="AX29" s="416">
        <v>0</v>
      </c>
      <c r="AY29" s="416">
        <v>0</v>
      </c>
      <c r="AZ29" s="416">
        <v>0</v>
      </c>
      <c r="BA29" s="416">
        <v>0</v>
      </c>
      <c r="BB29" s="416">
        <v>0</v>
      </c>
      <c r="BC29" s="416">
        <v>0</v>
      </c>
      <c r="BD29" s="416">
        <v>0</v>
      </c>
      <c r="BE29" s="416">
        <v>0</v>
      </c>
      <c r="BF29" s="416">
        <v>0</v>
      </c>
      <c r="BG29" s="416">
        <v>0</v>
      </c>
      <c r="BH29" s="416">
        <v>0</v>
      </c>
      <c r="BI29" s="416">
        <v>0</v>
      </c>
      <c r="BJ29" s="416">
        <v>0</v>
      </c>
      <c r="BK29" s="416">
        <v>0</v>
      </c>
      <c r="BL29" s="416">
        <v>0</v>
      </c>
      <c r="BM29" s="416">
        <v>0</v>
      </c>
      <c r="BN29" s="416">
        <v>0</v>
      </c>
      <c r="BO29" s="416">
        <v>0</v>
      </c>
      <c r="BP29" s="416">
        <v>0</v>
      </c>
      <c r="BQ29" s="416">
        <v>0</v>
      </c>
      <c r="BR29" s="416">
        <v>0</v>
      </c>
      <c r="BS29" s="416">
        <v>0</v>
      </c>
      <c r="BT29" s="416">
        <v>0</v>
      </c>
      <c r="BU29" s="416">
        <v>0</v>
      </c>
      <c r="BV29" s="416">
        <v>0</v>
      </c>
      <c r="BW29" s="416">
        <v>0</v>
      </c>
      <c r="BX29" s="416">
        <v>0</v>
      </c>
      <c r="BY29" s="416">
        <v>0</v>
      </c>
      <c r="BZ29" s="416">
        <v>0</v>
      </c>
      <c r="CC29" s="420"/>
      <c r="CD29" s="424" t="s">
        <v>471</v>
      </c>
      <c r="CE29" s="420">
        <f t="shared" si="0"/>
        <v>0</v>
      </c>
      <c r="CF29" s="420">
        <f t="shared" si="1"/>
        <v>0</v>
      </c>
      <c r="CG29" s="420">
        <f t="shared" si="2"/>
        <v>0</v>
      </c>
      <c r="CH29" s="420">
        <f t="shared" si="3"/>
        <v>0</v>
      </c>
      <c r="CI29" s="420">
        <f t="shared" si="4"/>
        <v>0</v>
      </c>
      <c r="CJ29" s="420">
        <f t="shared" si="5"/>
        <v>0</v>
      </c>
      <c r="CK29" s="420">
        <f t="shared" si="6"/>
        <v>0</v>
      </c>
      <c r="CL29" s="420">
        <f t="shared" si="7"/>
        <v>0</v>
      </c>
      <c r="CM29" s="420">
        <f t="shared" si="8"/>
        <v>0</v>
      </c>
      <c r="CN29" s="420">
        <f t="shared" si="9"/>
        <v>0</v>
      </c>
      <c r="CO29" s="420">
        <f t="shared" si="10"/>
        <v>0</v>
      </c>
      <c r="CP29" s="420">
        <f t="shared" si="11"/>
        <v>0</v>
      </c>
      <c r="CQ29" s="420">
        <f t="shared" si="12"/>
        <v>0</v>
      </c>
      <c r="CR29" s="420">
        <f t="shared" si="13"/>
        <v>0</v>
      </c>
      <c r="CS29" s="420">
        <f t="shared" si="14"/>
        <v>0</v>
      </c>
      <c r="CT29" s="21"/>
    </row>
    <row r="30" spans="3:98" hidden="1" outlineLevel="2">
      <c r="C30" s="424" t="s">
        <v>472</v>
      </c>
      <c r="D30" s="416">
        <v>0</v>
      </c>
      <c r="E30" s="416">
        <v>0</v>
      </c>
      <c r="F30" s="416">
        <v>0</v>
      </c>
      <c r="G30" s="416">
        <v>0</v>
      </c>
      <c r="H30" s="416">
        <v>0</v>
      </c>
      <c r="I30" s="416">
        <v>0</v>
      </c>
      <c r="J30" s="416">
        <v>0</v>
      </c>
      <c r="K30" s="416">
        <v>0</v>
      </c>
      <c r="L30" s="416">
        <v>0</v>
      </c>
      <c r="M30" s="416">
        <v>0</v>
      </c>
      <c r="N30" s="416">
        <v>0</v>
      </c>
      <c r="O30" s="416">
        <v>0</v>
      </c>
      <c r="P30" s="416">
        <v>0</v>
      </c>
      <c r="Q30" s="416">
        <v>0</v>
      </c>
      <c r="R30" s="416">
        <v>0</v>
      </c>
      <c r="S30" s="416">
        <v>0</v>
      </c>
      <c r="T30" s="416">
        <v>0</v>
      </c>
      <c r="U30" s="416">
        <v>0</v>
      </c>
      <c r="V30" s="416">
        <v>0</v>
      </c>
      <c r="W30" s="416">
        <v>0</v>
      </c>
      <c r="X30" s="416">
        <v>0</v>
      </c>
      <c r="Y30" s="416">
        <v>0</v>
      </c>
      <c r="Z30" s="416">
        <v>0</v>
      </c>
      <c r="AA30" s="416">
        <v>0</v>
      </c>
      <c r="AB30" s="416">
        <v>0</v>
      </c>
      <c r="AC30" s="416">
        <v>0</v>
      </c>
      <c r="AD30" s="416">
        <v>0</v>
      </c>
      <c r="AE30" s="416">
        <v>0</v>
      </c>
      <c r="AF30" s="416">
        <v>0</v>
      </c>
      <c r="AG30" s="416">
        <v>0</v>
      </c>
      <c r="AH30" s="416">
        <v>0</v>
      </c>
      <c r="AI30" s="416">
        <v>0</v>
      </c>
      <c r="AJ30" s="416">
        <v>0</v>
      </c>
      <c r="AK30" s="416">
        <v>0</v>
      </c>
      <c r="AL30" s="416">
        <v>0</v>
      </c>
      <c r="AM30" s="416">
        <v>0</v>
      </c>
      <c r="AN30" s="416">
        <v>0</v>
      </c>
      <c r="AO30" s="416">
        <v>0</v>
      </c>
      <c r="AP30" s="416">
        <v>0</v>
      </c>
      <c r="AQ30" s="416">
        <v>0</v>
      </c>
      <c r="AR30" s="416">
        <v>0</v>
      </c>
      <c r="AS30" s="416">
        <v>0</v>
      </c>
      <c r="AT30" s="416">
        <v>0</v>
      </c>
      <c r="AU30" s="416">
        <v>0</v>
      </c>
      <c r="AV30" s="416">
        <v>0</v>
      </c>
      <c r="AW30" s="416">
        <v>0</v>
      </c>
      <c r="AX30" s="416">
        <v>0</v>
      </c>
      <c r="AY30" s="416">
        <v>0</v>
      </c>
      <c r="AZ30" s="416">
        <v>0</v>
      </c>
      <c r="BA30" s="416">
        <v>0</v>
      </c>
      <c r="BB30" s="416">
        <v>0</v>
      </c>
      <c r="BC30" s="416">
        <v>0</v>
      </c>
      <c r="BD30" s="416">
        <v>0</v>
      </c>
      <c r="BE30" s="416">
        <v>0</v>
      </c>
      <c r="BF30" s="416">
        <v>0</v>
      </c>
      <c r="BG30" s="416">
        <v>0</v>
      </c>
      <c r="BH30" s="416">
        <v>0</v>
      </c>
      <c r="BI30" s="416">
        <v>0</v>
      </c>
      <c r="BJ30" s="416">
        <v>0</v>
      </c>
      <c r="BK30" s="416">
        <v>0</v>
      </c>
      <c r="BL30" s="416">
        <v>0</v>
      </c>
      <c r="BM30" s="416">
        <v>0</v>
      </c>
      <c r="BN30" s="416">
        <v>0</v>
      </c>
      <c r="BO30" s="416">
        <v>0</v>
      </c>
      <c r="BP30" s="416">
        <v>0</v>
      </c>
      <c r="BQ30" s="416">
        <v>0</v>
      </c>
      <c r="BR30" s="416">
        <v>0</v>
      </c>
      <c r="BS30" s="416">
        <v>0</v>
      </c>
      <c r="BT30" s="416">
        <v>0</v>
      </c>
      <c r="BU30" s="416">
        <v>0</v>
      </c>
      <c r="BV30" s="416">
        <v>0</v>
      </c>
      <c r="BW30" s="416">
        <v>0</v>
      </c>
      <c r="BX30" s="416">
        <v>0</v>
      </c>
      <c r="BY30" s="416">
        <v>0</v>
      </c>
      <c r="BZ30" s="416">
        <v>0</v>
      </c>
      <c r="CC30" s="420"/>
      <c r="CD30" s="424" t="s">
        <v>472</v>
      </c>
      <c r="CE30" s="420">
        <f t="shared" si="0"/>
        <v>0</v>
      </c>
      <c r="CF30" s="420">
        <f t="shared" si="1"/>
        <v>0</v>
      </c>
      <c r="CG30" s="420">
        <f t="shared" si="2"/>
        <v>0</v>
      </c>
      <c r="CH30" s="420">
        <f t="shared" si="3"/>
        <v>0</v>
      </c>
      <c r="CI30" s="420">
        <f t="shared" si="4"/>
        <v>0</v>
      </c>
      <c r="CJ30" s="420">
        <f t="shared" si="5"/>
        <v>0</v>
      </c>
      <c r="CK30" s="420">
        <f t="shared" si="6"/>
        <v>0</v>
      </c>
      <c r="CL30" s="420">
        <f t="shared" si="7"/>
        <v>0</v>
      </c>
      <c r="CM30" s="420">
        <f t="shared" si="8"/>
        <v>0</v>
      </c>
      <c r="CN30" s="420">
        <f t="shared" si="9"/>
        <v>0</v>
      </c>
      <c r="CO30" s="420">
        <f t="shared" si="10"/>
        <v>0</v>
      </c>
      <c r="CP30" s="420">
        <f t="shared" si="11"/>
        <v>0</v>
      </c>
      <c r="CQ30" s="420">
        <f t="shared" si="12"/>
        <v>0</v>
      </c>
      <c r="CR30" s="420">
        <f t="shared" si="13"/>
        <v>0</v>
      </c>
      <c r="CS30" s="420">
        <f t="shared" si="14"/>
        <v>0</v>
      </c>
      <c r="CT30" s="21"/>
    </row>
    <row r="31" spans="3:98" hidden="1" outlineLevel="2">
      <c r="C31" s="424" t="s">
        <v>473</v>
      </c>
      <c r="D31" s="416">
        <v>0</v>
      </c>
      <c r="E31" s="416">
        <v>0</v>
      </c>
      <c r="F31" s="416">
        <v>0</v>
      </c>
      <c r="G31" s="416">
        <v>0</v>
      </c>
      <c r="H31" s="416">
        <v>0</v>
      </c>
      <c r="I31" s="416">
        <v>0</v>
      </c>
      <c r="J31" s="416">
        <v>0</v>
      </c>
      <c r="K31" s="416">
        <v>0</v>
      </c>
      <c r="L31" s="416">
        <v>0</v>
      </c>
      <c r="M31" s="416">
        <v>0</v>
      </c>
      <c r="N31" s="416">
        <v>0</v>
      </c>
      <c r="O31" s="416">
        <v>0</v>
      </c>
      <c r="P31" s="416">
        <v>0</v>
      </c>
      <c r="Q31" s="416">
        <v>0</v>
      </c>
      <c r="R31" s="416">
        <v>0</v>
      </c>
      <c r="S31" s="416">
        <v>0</v>
      </c>
      <c r="T31" s="416">
        <v>0</v>
      </c>
      <c r="U31" s="416">
        <v>0</v>
      </c>
      <c r="V31" s="416">
        <v>0</v>
      </c>
      <c r="W31" s="416">
        <v>0</v>
      </c>
      <c r="X31" s="416">
        <v>0</v>
      </c>
      <c r="Y31" s="416">
        <v>0</v>
      </c>
      <c r="Z31" s="416">
        <v>0</v>
      </c>
      <c r="AA31" s="416">
        <v>0</v>
      </c>
      <c r="AB31" s="416">
        <v>0</v>
      </c>
      <c r="AC31" s="416">
        <v>0</v>
      </c>
      <c r="AD31" s="416">
        <v>0</v>
      </c>
      <c r="AE31" s="416">
        <v>0</v>
      </c>
      <c r="AF31" s="416">
        <v>0</v>
      </c>
      <c r="AG31" s="416">
        <v>0</v>
      </c>
      <c r="AH31" s="416">
        <v>0</v>
      </c>
      <c r="AI31" s="416">
        <v>0</v>
      </c>
      <c r="AJ31" s="416">
        <v>0</v>
      </c>
      <c r="AK31" s="416">
        <v>0</v>
      </c>
      <c r="AL31" s="416">
        <v>0</v>
      </c>
      <c r="AM31" s="416">
        <v>0</v>
      </c>
      <c r="AN31" s="416">
        <v>0</v>
      </c>
      <c r="AO31" s="416">
        <v>0</v>
      </c>
      <c r="AP31" s="416">
        <v>0</v>
      </c>
      <c r="AQ31" s="416">
        <v>0</v>
      </c>
      <c r="AR31" s="416">
        <v>0</v>
      </c>
      <c r="AS31" s="416">
        <v>0</v>
      </c>
      <c r="AT31" s="416">
        <v>0</v>
      </c>
      <c r="AU31" s="416">
        <v>0</v>
      </c>
      <c r="AV31" s="416">
        <v>0</v>
      </c>
      <c r="AW31" s="416">
        <v>0</v>
      </c>
      <c r="AX31" s="416">
        <v>0</v>
      </c>
      <c r="AY31" s="416">
        <v>0</v>
      </c>
      <c r="AZ31" s="416">
        <v>0</v>
      </c>
      <c r="BA31" s="416">
        <v>0</v>
      </c>
      <c r="BB31" s="416">
        <v>0</v>
      </c>
      <c r="BC31" s="416">
        <v>0</v>
      </c>
      <c r="BD31" s="416">
        <v>0</v>
      </c>
      <c r="BE31" s="416">
        <v>0</v>
      </c>
      <c r="BF31" s="416">
        <v>0</v>
      </c>
      <c r="BG31" s="416">
        <v>0</v>
      </c>
      <c r="BH31" s="416">
        <v>0</v>
      </c>
      <c r="BI31" s="416">
        <v>0</v>
      </c>
      <c r="BJ31" s="416">
        <v>0</v>
      </c>
      <c r="BK31" s="416">
        <v>0</v>
      </c>
      <c r="BL31" s="416">
        <v>0</v>
      </c>
      <c r="BM31" s="416">
        <v>0</v>
      </c>
      <c r="BN31" s="416">
        <v>0</v>
      </c>
      <c r="BO31" s="416">
        <v>0</v>
      </c>
      <c r="BP31" s="416">
        <v>0</v>
      </c>
      <c r="BQ31" s="416">
        <v>0</v>
      </c>
      <c r="BR31" s="416">
        <v>0</v>
      </c>
      <c r="BS31" s="416">
        <v>0</v>
      </c>
      <c r="BT31" s="416">
        <v>0</v>
      </c>
      <c r="BU31" s="416">
        <v>0</v>
      </c>
      <c r="BV31" s="416">
        <v>0</v>
      </c>
      <c r="BW31" s="416">
        <v>0</v>
      </c>
      <c r="BX31" s="416">
        <v>0</v>
      </c>
      <c r="BY31" s="416">
        <v>0</v>
      </c>
      <c r="BZ31" s="416">
        <v>0</v>
      </c>
      <c r="CC31" s="420"/>
      <c r="CD31" s="424" t="s">
        <v>473</v>
      </c>
      <c r="CE31" s="420">
        <f t="shared" si="0"/>
        <v>0</v>
      </c>
      <c r="CF31" s="420">
        <f t="shared" si="1"/>
        <v>0</v>
      </c>
      <c r="CG31" s="420">
        <f t="shared" si="2"/>
        <v>0</v>
      </c>
      <c r="CH31" s="420">
        <f t="shared" si="3"/>
        <v>0</v>
      </c>
      <c r="CI31" s="420">
        <f t="shared" si="4"/>
        <v>0</v>
      </c>
      <c r="CJ31" s="420">
        <f t="shared" si="5"/>
        <v>0</v>
      </c>
      <c r="CK31" s="420">
        <f t="shared" si="6"/>
        <v>0</v>
      </c>
      <c r="CL31" s="420">
        <f t="shared" si="7"/>
        <v>0</v>
      </c>
      <c r="CM31" s="420">
        <f t="shared" si="8"/>
        <v>0</v>
      </c>
      <c r="CN31" s="420">
        <f t="shared" si="9"/>
        <v>0</v>
      </c>
      <c r="CO31" s="420">
        <f t="shared" si="10"/>
        <v>0</v>
      </c>
      <c r="CP31" s="420">
        <f t="shared" si="11"/>
        <v>0</v>
      </c>
      <c r="CQ31" s="420">
        <f t="shared" si="12"/>
        <v>0</v>
      </c>
      <c r="CR31" s="420">
        <f t="shared" si="13"/>
        <v>0</v>
      </c>
      <c r="CS31" s="420">
        <f t="shared" si="14"/>
        <v>0</v>
      </c>
      <c r="CT31" s="21"/>
    </row>
    <row r="32" spans="3:98" hidden="1" outlineLevel="2">
      <c r="C32" s="424" t="s">
        <v>474</v>
      </c>
      <c r="D32" s="416">
        <v>0</v>
      </c>
      <c r="E32" s="416">
        <v>0</v>
      </c>
      <c r="F32" s="416">
        <v>0</v>
      </c>
      <c r="G32" s="416">
        <v>0</v>
      </c>
      <c r="H32" s="416">
        <v>0</v>
      </c>
      <c r="I32" s="416">
        <v>0</v>
      </c>
      <c r="J32" s="416">
        <v>0</v>
      </c>
      <c r="K32" s="416">
        <v>0</v>
      </c>
      <c r="L32" s="416">
        <v>0</v>
      </c>
      <c r="M32" s="416">
        <v>0</v>
      </c>
      <c r="N32" s="416">
        <v>0</v>
      </c>
      <c r="O32" s="416">
        <v>0</v>
      </c>
      <c r="P32" s="416">
        <v>0</v>
      </c>
      <c r="Q32" s="416">
        <v>0</v>
      </c>
      <c r="R32" s="416">
        <v>0</v>
      </c>
      <c r="S32" s="416">
        <v>0</v>
      </c>
      <c r="T32" s="416">
        <v>0</v>
      </c>
      <c r="U32" s="416">
        <v>0</v>
      </c>
      <c r="V32" s="416">
        <v>0</v>
      </c>
      <c r="W32" s="416">
        <v>0</v>
      </c>
      <c r="X32" s="416">
        <v>0</v>
      </c>
      <c r="Y32" s="416">
        <v>0</v>
      </c>
      <c r="Z32" s="416">
        <v>0</v>
      </c>
      <c r="AA32" s="416">
        <v>0</v>
      </c>
      <c r="AB32" s="416">
        <v>0</v>
      </c>
      <c r="AC32" s="416">
        <v>0</v>
      </c>
      <c r="AD32" s="416">
        <v>0</v>
      </c>
      <c r="AE32" s="416">
        <v>0</v>
      </c>
      <c r="AF32" s="416">
        <v>0</v>
      </c>
      <c r="AG32" s="416">
        <v>0</v>
      </c>
      <c r="AH32" s="416">
        <v>0</v>
      </c>
      <c r="AI32" s="416">
        <v>0</v>
      </c>
      <c r="AJ32" s="416">
        <v>0</v>
      </c>
      <c r="AK32" s="416">
        <v>0</v>
      </c>
      <c r="AL32" s="416">
        <v>0</v>
      </c>
      <c r="AM32" s="416">
        <v>0</v>
      </c>
      <c r="AN32" s="416">
        <v>0</v>
      </c>
      <c r="AO32" s="416">
        <v>0</v>
      </c>
      <c r="AP32" s="416">
        <v>0</v>
      </c>
      <c r="AQ32" s="416">
        <v>0</v>
      </c>
      <c r="AR32" s="416">
        <v>0</v>
      </c>
      <c r="AS32" s="416">
        <v>0</v>
      </c>
      <c r="AT32" s="416">
        <v>0</v>
      </c>
      <c r="AU32" s="416">
        <v>0</v>
      </c>
      <c r="AV32" s="416">
        <v>0</v>
      </c>
      <c r="AW32" s="416">
        <v>0</v>
      </c>
      <c r="AX32" s="416">
        <v>0</v>
      </c>
      <c r="AY32" s="416">
        <v>0</v>
      </c>
      <c r="AZ32" s="416">
        <v>0</v>
      </c>
      <c r="BA32" s="416">
        <v>0</v>
      </c>
      <c r="BB32" s="416">
        <v>0</v>
      </c>
      <c r="BC32" s="416">
        <v>0</v>
      </c>
      <c r="BD32" s="416">
        <v>0</v>
      </c>
      <c r="BE32" s="416">
        <v>0</v>
      </c>
      <c r="BF32" s="416">
        <v>0</v>
      </c>
      <c r="BG32" s="416">
        <v>0</v>
      </c>
      <c r="BH32" s="416">
        <v>0</v>
      </c>
      <c r="BI32" s="416">
        <v>0</v>
      </c>
      <c r="BJ32" s="416">
        <v>0</v>
      </c>
      <c r="BK32" s="416">
        <v>0</v>
      </c>
      <c r="BL32" s="416">
        <v>0</v>
      </c>
      <c r="BM32" s="416">
        <v>0</v>
      </c>
      <c r="BN32" s="416">
        <v>0</v>
      </c>
      <c r="BO32" s="416">
        <v>0</v>
      </c>
      <c r="BP32" s="416">
        <v>0</v>
      </c>
      <c r="BQ32" s="416">
        <v>0</v>
      </c>
      <c r="BR32" s="416">
        <v>0</v>
      </c>
      <c r="BS32" s="416">
        <v>0</v>
      </c>
      <c r="BT32" s="416">
        <v>0</v>
      </c>
      <c r="BU32" s="416">
        <v>0</v>
      </c>
      <c r="BV32" s="416">
        <v>0</v>
      </c>
      <c r="BW32" s="416">
        <v>0</v>
      </c>
      <c r="BX32" s="416">
        <v>0</v>
      </c>
      <c r="BY32" s="416">
        <v>0</v>
      </c>
      <c r="BZ32" s="416">
        <v>0</v>
      </c>
      <c r="CC32" s="420"/>
      <c r="CD32" s="424" t="s">
        <v>474</v>
      </c>
      <c r="CE32" s="420">
        <f t="shared" si="0"/>
        <v>0</v>
      </c>
      <c r="CF32" s="420">
        <f t="shared" si="1"/>
        <v>0</v>
      </c>
      <c r="CG32" s="420">
        <f t="shared" si="2"/>
        <v>0</v>
      </c>
      <c r="CH32" s="420">
        <f t="shared" si="3"/>
        <v>0</v>
      </c>
      <c r="CI32" s="420">
        <f t="shared" si="4"/>
        <v>0</v>
      </c>
      <c r="CJ32" s="420">
        <f t="shared" si="5"/>
        <v>0</v>
      </c>
      <c r="CK32" s="420">
        <f t="shared" si="6"/>
        <v>0</v>
      </c>
      <c r="CL32" s="420">
        <f t="shared" si="7"/>
        <v>0</v>
      </c>
      <c r="CM32" s="420">
        <f t="shared" si="8"/>
        <v>0</v>
      </c>
      <c r="CN32" s="420">
        <f t="shared" si="9"/>
        <v>0</v>
      </c>
      <c r="CO32" s="420">
        <f t="shared" si="10"/>
        <v>0</v>
      </c>
      <c r="CP32" s="420">
        <f t="shared" si="11"/>
        <v>0</v>
      </c>
      <c r="CQ32" s="420">
        <f t="shared" si="12"/>
        <v>0</v>
      </c>
      <c r="CR32" s="420">
        <f t="shared" si="13"/>
        <v>0</v>
      </c>
      <c r="CS32" s="420">
        <f t="shared" si="14"/>
        <v>0</v>
      </c>
      <c r="CT32" s="21"/>
    </row>
    <row r="33" spans="3:98" hidden="1" outlineLevel="2">
      <c r="C33" s="424" t="s">
        <v>475</v>
      </c>
      <c r="D33" s="416">
        <v>0</v>
      </c>
      <c r="E33" s="416">
        <v>0</v>
      </c>
      <c r="F33" s="416">
        <v>0</v>
      </c>
      <c r="G33" s="416">
        <v>0</v>
      </c>
      <c r="H33" s="416">
        <v>0</v>
      </c>
      <c r="I33" s="416">
        <v>0</v>
      </c>
      <c r="J33" s="416">
        <v>0</v>
      </c>
      <c r="K33" s="416">
        <v>0</v>
      </c>
      <c r="L33" s="416">
        <v>0</v>
      </c>
      <c r="M33" s="416">
        <v>0</v>
      </c>
      <c r="N33" s="416">
        <v>0</v>
      </c>
      <c r="O33" s="416">
        <v>0</v>
      </c>
      <c r="P33" s="416">
        <v>0</v>
      </c>
      <c r="Q33" s="416">
        <v>0</v>
      </c>
      <c r="R33" s="416">
        <v>0</v>
      </c>
      <c r="S33" s="416">
        <v>0</v>
      </c>
      <c r="T33" s="416">
        <v>0</v>
      </c>
      <c r="U33" s="416">
        <v>0</v>
      </c>
      <c r="V33" s="416">
        <v>0</v>
      </c>
      <c r="W33" s="416">
        <v>0</v>
      </c>
      <c r="X33" s="416">
        <v>0</v>
      </c>
      <c r="Y33" s="416">
        <v>0</v>
      </c>
      <c r="Z33" s="416">
        <v>0</v>
      </c>
      <c r="AA33" s="416">
        <v>0</v>
      </c>
      <c r="AB33" s="416">
        <v>0</v>
      </c>
      <c r="AC33" s="416">
        <v>0</v>
      </c>
      <c r="AD33" s="416">
        <v>0</v>
      </c>
      <c r="AE33" s="416">
        <v>0</v>
      </c>
      <c r="AF33" s="416">
        <v>0</v>
      </c>
      <c r="AG33" s="416">
        <v>0</v>
      </c>
      <c r="AH33" s="416">
        <v>0</v>
      </c>
      <c r="AI33" s="416">
        <v>0</v>
      </c>
      <c r="AJ33" s="416">
        <v>0</v>
      </c>
      <c r="AK33" s="416">
        <v>0</v>
      </c>
      <c r="AL33" s="416">
        <v>0</v>
      </c>
      <c r="AM33" s="416">
        <v>0</v>
      </c>
      <c r="AN33" s="416">
        <v>0</v>
      </c>
      <c r="AO33" s="416">
        <v>0</v>
      </c>
      <c r="AP33" s="416">
        <v>0</v>
      </c>
      <c r="AQ33" s="416">
        <v>0</v>
      </c>
      <c r="AR33" s="416">
        <v>0</v>
      </c>
      <c r="AS33" s="416">
        <v>0</v>
      </c>
      <c r="AT33" s="416">
        <v>0</v>
      </c>
      <c r="AU33" s="416">
        <v>0</v>
      </c>
      <c r="AV33" s="416">
        <v>0</v>
      </c>
      <c r="AW33" s="416">
        <v>0</v>
      </c>
      <c r="AX33" s="416">
        <v>0</v>
      </c>
      <c r="AY33" s="416">
        <v>0</v>
      </c>
      <c r="AZ33" s="416">
        <v>0</v>
      </c>
      <c r="BA33" s="416">
        <v>0</v>
      </c>
      <c r="BB33" s="416">
        <v>0</v>
      </c>
      <c r="BC33" s="416">
        <v>0</v>
      </c>
      <c r="BD33" s="416">
        <v>0</v>
      </c>
      <c r="BE33" s="416">
        <v>0</v>
      </c>
      <c r="BF33" s="416">
        <v>0</v>
      </c>
      <c r="BG33" s="416">
        <v>0</v>
      </c>
      <c r="BH33" s="416">
        <v>0</v>
      </c>
      <c r="BI33" s="416">
        <v>0</v>
      </c>
      <c r="BJ33" s="416">
        <v>0</v>
      </c>
      <c r="BK33" s="416">
        <v>0</v>
      </c>
      <c r="BL33" s="416">
        <v>0</v>
      </c>
      <c r="BM33" s="416">
        <v>0</v>
      </c>
      <c r="BN33" s="416">
        <v>0</v>
      </c>
      <c r="BO33" s="416">
        <v>0</v>
      </c>
      <c r="BP33" s="416">
        <v>0</v>
      </c>
      <c r="BQ33" s="416">
        <v>0</v>
      </c>
      <c r="BR33" s="416">
        <v>0</v>
      </c>
      <c r="BS33" s="416">
        <v>0</v>
      </c>
      <c r="BT33" s="416">
        <v>0</v>
      </c>
      <c r="BU33" s="416">
        <v>0</v>
      </c>
      <c r="BV33" s="416">
        <v>0</v>
      </c>
      <c r="BW33" s="416">
        <v>0</v>
      </c>
      <c r="BX33" s="416">
        <v>0</v>
      </c>
      <c r="BY33" s="416">
        <v>0</v>
      </c>
      <c r="BZ33" s="416">
        <v>0</v>
      </c>
      <c r="CC33" s="420"/>
      <c r="CD33" s="424" t="s">
        <v>475</v>
      </c>
      <c r="CE33" s="420">
        <f t="shared" si="0"/>
        <v>0</v>
      </c>
      <c r="CF33" s="420">
        <f t="shared" si="1"/>
        <v>0</v>
      </c>
      <c r="CG33" s="420">
        <f t="shared" si="2"/>
        <v>0</v>
      </c>
      <c r="CH33" s="420">
        <f t="shared" si="3"/>
        <v>0</v>
      </c>
      <c r="CI33" s="420">
        <f t="shared" si="4"/>
        <v>0</v>
      </c>
      <c r="CJ33" s="420">
        <f t="shared" si="5"/>
        <v>0</v>
      </c>
      <c r="CK33" s="420">
        <f t="shared" si="6"/>
        <v>0</v>
      </c>
      <c r="CL33" s="420">
        <f t="shared" si="7"/>
        <v>0</v>
      </c>
      <c r="CM33" s="420">
        <f t="shared" si="8"/>
        <v>0</v>
      </c>
      <c r="CN33" s="420">
        <f t="shared" si="9"/>
        <v>0</v>
      </c>
      <c r="CO33" s="420">
        <f t="shared" si="10"/>
        <v>0</v>
      </c>
      <c r="CP33" s="420">
        <f t="shared" si="11"/>
        <v>0</v>
      </c>
      <c r="CQ33" s="420">
        <f t="shared" si="12"/>
        <v>0</v>
      </c>
      <c r="CR33" s="420">
        <f t="shared" si="13"/>
        <v>0</v>
      </c>
      <c r="CS33" s="420">
        <f t="shared" si="14"/>
        <v>0</v>
      </c>
      <c r="CT33" s="21"/>
    </row>
    <row r="34" spans="3:98" hidden="1" outlineLevel="1">
      <c r="C34" s="415" t="s">
        <v>103</v>
      </c>
      <c r="D34" s="416">
        <v>0</v>
      </c>
      <c r="E34" s="416">
        <v>0</v>
      </c>
      <c r="F34" s="416">
        <v>0</v>
      </c>
      <c r="G34" s="416">
        <v>0</v>
      </c>
      <c r="H34" s="416">
        <v>0</v>
      </c>
      <c r="I34" s="416">
        <v>0</v>
      </c>
      <c r="J34" s="416">
        <v>0</v>
      </c>
      <c r="K34" s="416">
        <v>0</v>
      </c>
      <c r="L34" s="416">
        <v>0</v>
      </c>
      <c r="M34" s="416">
        <v>0</v>
      </c>
      <c r="N34" s="416">
        <v>0</v>
      </c>
      <c r="O34" s="416">
        <v>0</v>
      </c>
      <c r="P34" s="416">
        <v>0</v>
      </c>
      <c r="Q34" s="416">
        <v>0</v>
      </c>
      <c r="R34" s="416">
        <v>0</v>
      </c>
      <c r="S34" s="416">
        <v>0</v>
      </c>
      <c r="T34" s="416">
        <v>0</v>
      </c>
      <c r="U34" s="416">
        <v>0</v>
      </c>
      <c r="V34" s="416">
        <v>0</v>
      </c>
      <c r="W34" s="416">
        <v>0</v>
      </c>
      <c r="X34" s="416">
        <v>0</v>
      </c>
      <c r="Y34" s="416">
        <v>0</v>
      </c>
      <c r="Z34" s="416">
        <v>0</v>
      </c>
      <c r="AA34" s="416">
        <v>0</v>
      </c>
      <c r="AB34" s="416">
        <v>0</v>
      </c>
      <c r="AC34" s="416">
        <v>0</v>
      </c>
      <c r="AD34" s="416">
        <v>0</v>
      </c>
      <c r="AE34" s="416">
        <v>0</v>
      </c>
      <c r="AF34" s="416">
        <v>0</v>
      </c>
      <c r="AG34" s="416">
        <v>0</v>
      </c>
      <c r="AH34" s="416">
        <v>0</v>
      </c>
      <c r="AI34" s="416">
        <v>0</v>
      </c>
      <c r="AJ34" s="416">
        <v>0</v>
      </c>
      <c r="AK34" s="416">
        <v>0</v>
      </c>
      <c r="AL34" s="416">
        <v>0</v>
      </c>
      <c r="AM34" s="416">
        <v>0</v>
      </c>
      <c r="AN34" s="416">
        <v>0</v>
      </c>
      <c r="AO34" s="416">
        <v>0</v>
      </c>
      <c r="AP34" s="416">
        <v>0</v>
      </c>
      <c r="AQ34" s="416">
        <v>0</v>
      </c>
      <c r="AR34" s="416">
        <v>0</v>
      </c>
      <c r="AS34" s="416">
        <v>0</v>
      </c>
      <c r="AT34" s="416">
        <v>0</v>
      </c>
      <c r="AU34" s="416">
        <v>0</v>
      </c>
      <c r="AV34" s="416">
        <v>0</v>
      </c>
      <c r="AW34" s="416">
        <v>0</v>
      </c>
      <c r="AX34" s="416">
        <v>0</v>
      </c>
      <c r="AY34" s="416">
        <v>0</v>
      </c>
      <c r="AZ34" s="416">
        <v>0</v>
      </c>
      <c r="BA34" s="416">
        <v>0</v>
      </c>
      <c r="BB34" s="416">
        <v>0</v>
      </c>
      <c r="BC34" s="416">
        <v>0</v>
      </c>
      <c r="BD34" s="416">
        <v>0</v>
      </c>
      <c r="BE34" s="416">
        <v>0</v>
      </c>
      <c r="BF34" s="416">
        <v>231.929</v>
      </c>
      <c r="BG34" s="416">
        <v>58.957999999999998</v>
      </c>
      <c r="BH34" s="416">
        <v>51.988</v>
      </c>
      <c r="BI34" s="416">
        <v>71.433000000000007</v>
      </c>
      <c r="BJ34" s="416">
        <v>97.501000000000005</v>
      </c>
      <c r="BK34" s="416">
        <v>279.88</v>
      </c>
      <c r="BL34" s="416">
        <v>121.23099999999999</v>
      </c>
      <c r="BM34" s="416">
        <v>248.19499999999999</v>
      </c>
      <c r="BN34" s="416">
        <v>242.642</v>
      </c>
      <c r="BO34" s="416">
        <v>297.32400000000001</v>
      </c>
      <c r="BP34" s="416">
        <v>909.39200000000005</v>
      </c>
      <c r="BQ34" s="416">
        <v>413.57799999999997</v>
      </c>
      <c r="BR34" s="416">
        <v>470.16899999999998</v>
      </c>
      <c r="BS34" s="416">
        <v>146.49799999999999</v>
      </c>
      <c r="BT34" s="416">
        <v>941.22799999999995</v>
      </c>
      <c r="BU34" s="416">
        <v>1600.586</v>
      </c>
      <c r="BV34" s="416">
        <v>248.761</v>
      </c>
      <c r="BW34" s="416">
        <v>258.988</v>
      </c>
      <c r="BX34" s="416">
        <v>83.084000000000003</v>
      </c>
      <c r="BY34" s="416">
        <v>0</v>
      </c>
      <c r="BZ34" s="416">
        <v>0</v>
      </c>
      <c r="CC34" s="420"/>
      <c r="CD34" s="415" t="s">
        <v>103</v>
      </c>
      <c r="CE34" s="420">
        <f t="shared" si="0"/>
        <v>0</v>
      </c>
      <c r="CF34" s="420">
        <f t="shared" si="1"/>
        <v>0</v>
      </c>
      <c r="CG34" s="420">
        <f t="shared" si="2"/>
        <v>0</v>
      </c>
      <c r="CH34" s="420">
        <f t="shared" si="3"/>
        <v>0</v>
      </c>
      <c r="CI34" s="420">
        <f t="shared" si="4"/>
        <v>0</v>
      </c>
      <c r="CJ34" s="420">
        <f t="shared" si="5"/>
        <v>0</v>
      </c>
      <c r="CK34" s="420">
        <f t="shared" si="6"/>
        <v>0</v>
      </c>
      <c r="CL34" s="420">
        <f t="shared" si="7"/>
        <v>0</v>
      </c>
      <c r="CM34" s="420">
        <f t="shared" si="8"/>
        <v>0</v>
      </c>
      <c r="CN34" s="420">
        <f t="shared" si="9"/>
        <v>0</v>
      </c>
      <c r="CO34" s="420">
        <f t="shared" si="10"/>
        <v>231.929</v>
      </c>
      <c r="CP34" s="420">
        <f t="shared" si="11"/>
        <v>279.88</v>
      </c>
      <c r="CQ34" s="420">
        <f t="shared" si="12"/>
        <v>909.39200000000005</v>
      </c>
      <c r="CR34" s="420">
        <f t="shared" si="13"/>
        <v>1600.586</v>
      </c>
      <c r="CS34" s="420">
        <f t="shared" si="14"/>
        <v>0</v>
      </c>
      <c r="CT34" s="21"/>
    </row>
    <row r="35" spans="3:98" hidden="1" outlineLevel="1">
      <c r="C35" s="415" t="s">
        <v>476</v>
      </c>
      <c r="D35" s="416">
        <v>0</v>
      </c>
      <c r="E35" s="416">
        <v>0</v>
      </c>
      <c r="F35" s="416">
        <v>0</v>
      </c>
      <c r="G35" s="416">
        <v>0</v>
      </c>
      <c r="H35" s="416">
        <v>0</v>
      </c>
      <c r="I35" s="416">
        <v>0</v>
      </c>
      <c r="J35" s="416">
        <v>0</v>
      </c>
      <c r="K35" s="416">
        <v>0</v>
      </c>
      <c r="L35" s="416">
        <v>0</v>
      </c>
      <c r="M35" s="416">
        <v>0</v>
      </c>
      <c r="N35" s="416">
        <v>0</v>
      </c>
      <c r="O35" s="416">
        <v>0</v>
      </c>
      <c r="P35" s="416">
        <v>0</v>
      </c>
      <c r="Q35" s="416">
        <v>0</v>
      </c>
      <c r="R35" s="416">
        <v>0</v>
      </c>
      <c r="S35" s="416">
        <v>0</v>
      </c>
      <c r="T35" s="416">
        <v>0</v>
      </c>
      <c r="U35" s="416">
        <v>0</v>
      </c>
      <c r="V35" s="416">
        <v>0</v>
      </c>
      <c r="W35" s="416">
        <v>0</v>
      </c>
      <c r="X35" s="416">
        <v>0</v>
      </c>
      <c r="Y35" s="416">
        <v>0</v>
      </c>
      <c r="Z35" s="416">
        <v>0</v>
      </c>
      <c r="AA35" s="416">
        <v>0</v>
      </c>
      <c r="AB35" s="416">
        <v>0</v>
      </c>
      <c r="AC35" s="416">
        <v>0</v>
      </c>
      <c r="AD35" s="416">
        <v>0</v>
      </c>
      <c r="AE35" s="416">
        <v>0</v>
      </c>
      <c r="AF35" s="416">
        <v>0</v>
      </c>
      <c r="AG35" s="416">
        <v>0</v>
      </c>
      <c r="AH35" s="416">
        <v>0</v>
      </c>
      <c r="AI35" s="416">
        <v>0</v>
      </c>
      <c r="AJ35" s="416">
        <v>0</v>
      </c>
      <c r="AK35" s="416">
        <v>0</v>
      </c>
      <c r="AL35" s="416">
        <v>0</v>
      </c>
      <c r="AM35" s="416">
        <v>0</v>
      </c>
      <c r="AN35" s="416">
        <v>0</v>
      </c>
      <c r="AO35" s="416">
        <v>0</v>
      </c>
      <c r="AP35" s="416">
        <v>0</v>
      </c>
      <c r="AQ35" s="416">
        <v>0</v>
      </c>
      <c r="AR35" s="416">
        <v>0</v>
      </c>
      <c r="AS35" s="416">
        <v>0</v>
      </c>
      <c r="AT35" s="416">
        <v>0</v>
      </c>
      <c r="AU35" s="416">
        <v>0</v>
      </c>
      <c r="AV35" s="416">
        <v>0</v>
      </c>
      <c r="AW35" s="416">
        <v>0</v>
      </c>
      <c r="AX35" s="416">
        <v>0</v>
      </c>
      <c r="AY35" s="416">
        <v>0</v>
      </c>
      <c r="AZ35" s="416">
        <v>0</v>
      </c>
      <c r="BA35" s="416">
        <v>0</v>
      </c>
      <c r="BB35" s="416">
        <v>0</v>
      </c>
      <c r="BC35" s="416">
        <v>0</v>
      </c>
      <c r="BD35" s="416">
        <v>0</v>
      </c>
      <c r="BE35" s="416">
        <v>0</v>
      </c>
      <c r="BF35" s="416">
        <v>0</v>
      </c>
      <c r="BG35" s="416">
        <v>0</v>
      </c>
      <c r="BH35" s="416">
        <v>0</v>
      </c>
      <c r="BI35" s="416">
        <v>0</v>
      </c>
      <c r="BJ35" s="416">
        <v>0</v>
      </c>
      <c r="BK35" s="416">
        <v>0</v>
      </c>
      <c r="BL35" s="416">
        <v>0</v>
      </c>
      <c r="BM35" s="416">
        <v>0</v>
      </c>
      <c r="BN35" s="416">
        <v>0</v>
      </c>
      <c r="BO35" s="416">
        <v>0</v>
      </c>
      <c r="BP35" s="416">
        <v>0</v>
      </c>
      <c r="BQ35" s="416">
        <v>0</v>
      </c>
      <c r="BR35" s="416">
        <v>0</v>
      </c>
      <c r="BS35" s="416">
        <v>0</v>
      </c>
      <c r="BT35" s="416">
        <v>0</v>
      </c>
      <c r="BU35" s="416">
        <v>0</v>
      </c>
      <c r="BV35" s="416">
        <v>0</v>
      </c>
      <c r="BW35" s="416">
        <v>0</v>
      </c>
      <c r="BX35" s="416">
        <v>0</v>
      </c>
      <c r="BY35" s="416">
        <v>0</v>
      </c>
      <c r="BZ35" s="416">
        <v>0</v>
      </c>
      <c r="CC35" s="420"/>
      <c r="CD35" s="415" t="s">
        <v>476</v>
      </c>
      <c r="CE35" s="420">
        <f t="shared" si="0"/>
        <v>0</v>
      </c>
      <c r="CF35" s="420">
        <f t="shared" si="1"/>
        <v>0</v>
      </c>
      <c r="CG35" s="420">
        <f t="shared" si="2"/>
        <v>0</v>
      </c>
      <c r="CH35" s="420">
        <f t="shared" si="3"/>
        <v>0</v>
      </c>
      <c r="CI35" s="420">
        <f t="shared" si="4"/>
        <v>0</v>
      </c>
      <c r="CJ35" s="420">
        <f t="shared" si="5"/>
        <v>0</v>
      </c>
      <c r="CK35" s="420">
        <f t="shared" si="6"/>
        <v>0</v>
      </c>
      <c r="CL35" s="420">
        <f t="shared" si="7"/>
        <v>0</v>
      </c>
      <c r="CM35" s="420">
        <f t="shared" si="8"/>
        <v>0</v>
      </c>
      <c r="CN35" s="420">
        <f t="shared" si="9"/>
        <v>0</v>
      </c>
      <c r="CO35" s="420">
        <f t="shared" si="10"/>
        <v>0</v>
      </c>
      <c r="CP35" s="420">
        <f t="shared" si="11"/>
        <v>0</v>
      </c>
      <c r="CQ35" s="420">
        <f t="shared" si="12"/>
        <v>0</v>
      </c>
      <c r="CR35" s="420">
        <f t="shared" si="13"/>
        <v>0</v>
      </c>
      <c r="CS35" s="420">
        <f t="shared" si="14"/>
        <v>0</v>
      </c>
      <c r="CT35" s="21"/>
    </row>
    <row r="36" spans="3:98" hidden="1" outlineLevel="1">
      <c r="C36" s="415" t="s">
        <v>477</v>
      </c>
      <c r="D36" s="416">
        <v>0</v>
      </c>
      <c r="E36" s="416">
        <v>0</v>
      </c>
      <c r="F36" s="416">
        <v>0</v>
      </c>
      <c r="G36" s="416">
        <v>0</v>
      </c>
      <c r="H36" s="416">
        <v>0</v>
      </c>
      <c r="I36" s="416">
        <v>0</v>
      </c>
      <c r="J36" s="416">
        <v>0</v>
      </c>
      <c r="K36" s="416">
        <v>0</v>
      </c>
      <c r="L36" s="416">
        <v>0</v>
      </c>
      <c r="M36" s="416">
        <v>0</v>
      </c>
      <c r="N36" s="416">
        <v>0</v>
      </c>
      <c r="O36" s="416">
        <v>0</v>
      </c>
      <c r="P36" s="416">
        <v>0</v>
      </c>
      <c r="Q36" s="416">
        <v>0</v>
      </c>
      <c r="R36" s="416">
        <v>0</v>
      </c>
      <c r="S36" s="416">
        <v>0</v>
      </c>
      <c r="T36" s="416">
        <v>0</v>
      </c>
      <c r="U36" s="416">
        <v>0</v>
      </c>
      <c r="V36" s="416">
        <v>0</v>
      </c>
      <c r="W36" s="416">
        <v>0</v>
      </c>
      <c r="X36" s="416">
        <v>0</v>
      </c>
      <c r="Y36" s="416">
        <v>0</v>
      </c>
      <c r="Z36" s="416">
        <v>0</v>
      </c>
      <c r="AA36" s="416">
        <v>0</v>
      </c>
      <c r="AB36" s="416">
        <v>0</v>
      </c>
      <c r="AC36" s="416">
        <v>0</v>
      </c>
      <c r="AD36" s="416">
        <v>0</v>
      </c>
      <c r="AE36" s="416">
        <v>0</v>
      </c>
      <c r="AF36" s="416">
        <v>0</v>
      </c>
      <c r="AG36" s="416">
        <v>0</v>
      </c>
      <c r="AH36" s="416">
        <v>0</v>
      </c>
      <c r="AI36" s="416">
        <v>0</v>
      </c>
      <c r="AJ36" s="416">
        <v>0</v>
      </c>
      <c r="AK36" s="416">
        <v>0</v>
      </c>
      <c r="AL36" s="416">
        <v>0</v>
      </c>
      <c r="AM36" s="416">
        <v>0</v>
      </c>
      <c r="AN36" s="416">
        <v>0</v>
      </c>
      <c r="AO36" s="416">
        <v>0</v>
      </c>
      <c r="AP36" s="416">
        <v>0</v>
      </c>
      <c r="AQ36" s="416">
        <v>0</v>
      </c>
      <c r="AR36" s="416">
        <v>0</v>
      </c>
      <c r="AS36" s="416">
        <v>0</v>
      </c>
      <c r="AT36" s="416">
        <v>0</v>
      </c>
      <c r="AU36" s="416">
        <v>0</v>
      </c>
      <c r="AV36" s="416">
        <v>0</v>
      </c>
      <c r="AW36" s="416">
        <v>0</v>
      </c>
      <c r="AX36" s="416">
        <v>0</v>
      </c>
      <c r="AY36" s="416">
        <v>0</v>
      </c>
      <c r="AZ36" s="416">
        <v>0</v>
      </c>
      <c r="BA36" s="416">
        <v>0</v>
      </c>
      <c r="BB36" s="416">
        <v>0</v>
      </c>
      <c r="BC36" s="416">
        <v>0</v>
      </c>
      <c r="BD36" s="416">
        <v>0</v>
      </c>
      <c r="BE36" s="416">
        <v>0</v>
      </c>
      <c r="BF36" s="416">
        <v>0</v>
      </c>
      <c r="BG36" s="416">
        <v>0</v>
      </c>
      <c r="BH36" s="416">
        <v>0</v>
      </c>
      <c r="BI36" s="416">
        <v>0</v>
      </c>
      <c r="BJ36" s="416">
        <v>0</v>
      </c>
      <c r="BK36" s="416">
        <v>0</v>
      </c>
      <c r="BL36" s="416">
        <v>0</v>
      </c>
      <c r="BM36" s="416">
        <v>0</v>
      </c>
      <c r="BN36" s="416">
        <v>0</v>
      </c>
      <c r="BO36" s="416">
        <v>0</v>
      </c>
      <c r="BP36" s="416">
        <v>0</v>
      </c>
      <c r="BQ36" s="416">
        <v>0</v>
      </c>
      <c r="BR36" s="416">
        <v>0</v>
      </c>
      <c r="BS36" s="416">
        <v>41.04</v>
      </c>
      <c r="BT36" s="416">
        <v>0</v>
      </c>
      <c r="BU36" s="416">
        <v>0</v>
      </c>
      <c r="BV36" s="416">
        <v>0</v>
      </c>
      <c r="BW36" s="416">
        <v>0</v>
      </c>
      <c r="BX36" s="416">
        <v>35.277000000000001</v>
      </c>
      <c r="BY36" s="416">
        <v>0</v>
      </c>
      <c r="BZ36" s="416">
        <v>0</v>
      </c>
      <c r="CC36" s="420"/>
      <c r="CD36" s="415" t="s">
        <v>477</v>
      </c>
      <c r="CE36" s="420">
        <f t="shared" si="0"/>
        <v>0</v>
      </c>
      <c r="CF36" s="420">
        <f t="shared" si="1"/>
        <v>0</v>
      </c>
      <c r="CG36" s="420">
        <f t="shared" si="2"/>
        <v>0</v>
      </c>
      <c r="CH36" s="420">
        <f t="shared" si="3"/>
        <v>0</v>
      </c>
      <c r="CI36" s="420">
        <f t="shared" si="4"/>
        <v>0</v>
      </c>
      <c r="CJ36" s="420">
        <f t="shared" si="5"/>
        <v>0</v>
      </c>
      <c r="CK36" s="420">
        <f t="shared" si="6"/>
        <v>0</v>
      </c>
      <c r="CL36" s="420">
        <f t="shared" si="7"/>
        <v>0</v>
      </c>
      <c r="CM36" s="420">
        <f t="shared" si="8"/>
        <v>0</v>
      </c>
      <c r="CN36" s="420">
        <f t="shared" si="9"/>
        <v>0</v>
      </c>
      <c r="CO36" s="420">
        <f t="shared" si="10"/>
        <v>0</v>
      </c>
      <c r="CP36" s="420">
        <f t="shared" si="11"/>
        <v>0</v>
      </c>
      <c r="CQ36" s="420">
        <f t="shared" si="12"/>
        <v>0</v>
      </c>
      <c r="CR36" s="420">
        <f t="shared" si="13"/>
        <v>0</v>
      </c>
      <c r="CS36" s="420">
        <f t="shared" si="14"/>
        <v>0</v>
      </c>
      <c r="CT36" s="21"/>
    </row>
    <row r="37" spans="3:98" hidden="1" outlineLevel="2">
      <c r="C37" s="424" t="s">
        <v>478</v>
      </c>
      <c r="D37" s="416">
        <v>0</v>
      </c>
      <c r="E37" s="416">
        <v>0</v>
      </c>
      <c r="F37" s="416">
        <v>0</v>
      </c>
      <c r="G37" s="416">
        <v>0</v>
      </c>
      <c r="H37" s="416">
        <v>0</v>
      </c>
      <c r="I37" s="416">
        <v>0</v>
      </c>
      <c r="J37" s="416">
        <v>0</v>
      </c>
      <c r="K37" s="416">
        <v>0</v>
      </c>
      <c r="L37" s="416">
        <v>0</v>
      </c>
      <c r="M37" s="416">
        <v>0</v>
      </c>
      <c r="N37" s="416">
        <v>0</v>
      </c>
      <c r="O37" s="416">
        <v>0</v>
      </c>
      <c r="P37" s="416">
        <v>0</v>
      </c>
      <c r="Q37" s="416">
        <v>0</v>
      </c>
      <c r="R37" s="416">
        <v>0</v>
      </c>
      <c r="S37" s="416">
        <v>0</v>
      </c>
      <c r="T37" s="416">
        <v>0</v>
      </c>
      <c r="U37" s="416">
        <v>0</v>
      </c>
      <c r="V37" s="416">
        <v>0</v>
      </c>
      <c r="W37" s="416">
        <v>0</v>
      </c>
      <c r="X37" s="416">
        <v>0</v>
      </c>
      <c r="Y37" s="416">
        <v>0</v>
      </c>
      <c r="Z37" s="416">
        <v>0</v>
      </c>
      <c r="AA37" s="416">
        <v>0</v>
      </c>
      <c r="AB37" s="416">
        <v>0</v>
      </c>
      <c r="AC37" s="416">
        <v>0</v>
      </c>
      <c r="AD37" s="416">
        <v>0</v>
      </c>
      <c r="AE37" s="416">
        <v>0</v>
      </c>
      <c r="AF37" s="416">
        <v>0</v>
      </c>
      <c r="AG37" s="416">
        <v>0</v>
      </c>
      <c r="AH37" s="416">
        <v>0</v>
      </c>
      <c r="AI37" s="416">
        <v>0</v>
      </c>
      <c r="AJ37" s="416">
        <v>0</v>
      </c>
      <c r="AK37" s="416">
        <v>0</v>
      </c>
      <c r="AL37" s="416">
        <v>0</v>
      </c>
      <c r="AM37" s="416">
        <v>0</v>
      </c>
      <c r="AN37" s="416">
        <v>0</v>
      </c>
      <c r="AO37" s="416">
        <v>0</v>
      </c>
      <c r="AP37" s="416">
        <v>0</v>
      </c>
      <c r="AQ37" s="416">
        <v>0</v>
      </c>
      <c r="AR37" s="416">
        <v>0</v>
      </c>
      <c r="AS37" s="416">
        <v>0</v>
      </c>
      <c r="AT37" s="416">
        <v>0</v>
      </c>
      <c r="AU37" s="416">
        <v>0</v>
      </c>
      <c r="AV37" s="416">
        <v>0</v>
      </c>
      <c r="AW37" s="416">
        <v>0</v>
      </c>
      <c r="AX37" s="416">
        <v>0</v>
      </c>
      <c r="AY37" s="416">
        <v>0</v>
      </c>
      <c r="AZ37" s="416">
        <v>0</v>
      </c>
      <c r="BA37" s="416">
        <v>0</v>
      </c>
      <c r="BB37" s="416">
        <v>0</v>
      </c>
      <c r="BC37" s="416">
        <v>0</v>
      </c>
      <c r="BD37" s="416">
        <v>0</v>
      </c>
      <c r="BE37" s="416">
        <v>0</v>
      </c>
      <c r="BF37" s="416">
        <v>0</v>
      </c>
      <c r="BG37" s="416">
        <v>0</v>
      </c>
      <c r="BH37" s="416">
        <v>0</v>
      </c>
      <c r="BI37" s="416">
        <v>0</v>
      </c>
      <c r="BJ37" s="416">
        <v>0</v>
      </c>
      <c r="BK37" s="416">
        <v>0</v>
      </c>
      <c r="BL37" s="416">
        <v>0</v>
      </c>
      <c r="BM37" s="416">
        <v>0</v>
      </c>
      <c r="BN37" s="416">
        <v>0</v>
      </c>
      <c r="BO37" s="416">
        <v>0</v>
      </c>
      <c r="BP37" s="416">
        <v>0</v>
      </c>
      <c r="BQ37" s="416">
        <v>0</v>
      </c>
      <c r="BR37" s="416">
        <v>0</v>
      </c>
      <c r="BS37" s="416">
        <v>0</v>
      </c>
      <c r="BT37" s="416">
        <v>0</v>
      </c>
      <c r="BU37" s="416">
        <v>0</v>
      </c>
      <c r="BV37" s="416">
        <v>0</v>
      </c>
      <c r="BW37" s="416">
        <v>0</v>
      </c>
      <c r="BX37" s="416">
        <v>0</v>
      </c>
      <c r="BY37" s="416">
        <v>0</v>
      </c>
      <c r="BZ37" s="416">
        <v>0</v>
      </c>
      <c r="CC37" s="420"/>
      <c r="CD37" s="424" t="s">
        <v>478</v>
      </c>
      <c r="CE37" s="420">
        <f t="shared" si="0"/>
        <v>0</v>
      </c>
      <c r="CF37" s="420">
        <f t="shared" si="1"/>
        <v>0</v>
      </c>
      <c r="CG37" s="420">
        <f t="shared" si="2"/>
        <v>0</v>
      </c>
      <c r="CH37" s="420">
        <f t="shared" si="3"/>
        <v>0</v>
      </c>
      <c r="CI37" s="420">
        <f t="shared" si="4"/>
        <v>0</v>
      </c>
      <c r="CJ37" s="420">
        <f t="shared" si="5"/>
        <v>0</v>
      </c>
      <c r="CK37" s="420">
        <f t="shared" si="6"/>
        <v>0</v>
      </c>
      <c r="CL37" s="420">
        <f t="shared" si="7"/>
        <v>0</v>
      </c>
      <c r="CM37" s="420">
        <f t="shared" si="8"/>
        <v>0</v>
      </c>
      <c r="CN37" s="420">
        <f t="shared" si="9"/>
        <v>0</v>
      </c>
      <c r="CO37" s="420">
        <f t="shared" si="10"/>
        <v>0</v>
      </c>
      <c r="CP37" s="420">
        <f t="shared" si="11"/>
        <v>0</v>
      </c>
      <c r="CQ37" s="420">
        <f t="shared" si="12"/>
        <v>0</v>
      </c>
      <c r="CR37" s="420">
        <f t="shared" si="13"/>
        <v>0</v>
      </c>
      <c r="CS37" s="420">
        <f t="shared" si="14"/>
        <v>0</v>
      </c>
      <c r="CT37" s="21"/>
    </row>
    <row r="38" spans="3:98" hidden="1" outlineLevel="2">
      <c r="C38" s="424" t="s">
        <v>479</v>
      </c>
      <c r="D38" s="416">
        <v>0</v>
      </c>
      <c r="E38" s="416">
        <v>0</v>
      </c>
      <c r="F38" s="416">
        <v>0</v>
      </c>
      <c r="G38" s="416">
        <v>0</v>
      </c>
      <c r="H38" s="416">
        <v>0</v>
      </c>
      <c r="I38" s="416">
        <v>0</v>
      </c>
      <c r="J38" s="416">
        <v>0</v>
      </c>
      <c r="K38" s="416">
        <v>0</v>
      </c>
      <c r="L38" s="416">
        <v>0</v>
      </c>
      <c r="M38" s="416">
        <v>0</v>
      </c>
      <c r="N38" s="416">
        <v>0</v>
      </c>
      <c r="O38" s="416">
        <v>0</v>
      </c>
      <c r="P38" s="416">
        <v>0</v>
      </c>
      <c r="Q38" s="416">
        <v>0</v>
      </c>
      <c r="R38" s="416">
        <v>0</v>
      </c>
      <c r="S38" s="416">
        <v>0</v>
      </c>
      <c r="T38" s="416">
        <v>0</v>
      </c>
      <c r="U38" s="416">
        <v>0</v>
      </c>
      <c r="V38" s="416">
        <v>0</v>
      </c>
      <c r="W38" s="416">
        <v>0</v>
      </c>
      <c r="X38" s="416">
        <v>0</v>
      </c>
      <c r="Y38" s="416">
        <v>0</v>
      </c>
      <c r="Z38" s="416">
        <v>0</v>
      </c>
      <c r="AA38" s="416">
        <v>0</v>
      </c>
      <c r="AB38" s="416">
        <v>0</v>
      </c>
      <c r="AC38" s="416">
        <v>0</v>
      </c>
      <c r="AD38" s="416">
        <v>0</v>
      </c>
      <c r="AE38" s="416">
        <v>0</v>
      </c>
      <c r="AF38" s="416">
        <v>0</v>
      </c>
      <c r="AG38" s="416">
        <v>0</v>
      </c>
      <c r="AH38" s="416">
        <v>0</v>
      </c>
      <c r="AI38" s="416">
        <v>0</v>
      </c>
      <c r="AJ38" s="416">
        <v>0</v>
      </c>
      <c r="AK38" s="416">
        <v>0</v>
      </c>
      <c r="AL38" s="416">
        <v>0</v>
      </c>
      <c r="AM38" s="416">
        <v>0</v>
      </c>
      <c r="AN38" s="416">
        <v>0</v>
      </c>
      <c r="AO38" s="416">
        <v>0</v>
      </c>
      <c r="AP38" s="416">
        <v>0</v>
      </c>
      <c r="AQ38" s="416">
        <v>0</v>
      </c>
      <c r="AR38" s="416">
        <v>0</v>
      </c>
      <c r="AS38" s="416">
        <v>0</v>
      </c>
      <c r="AT38" s="416">
        <v>0</v>
      </c>
      <c r="AU38" s="416">
        <v>0</v>
      </c>
      <c r="AV38" s="416">
        <v>0</v>
      </c>
      <c r="AW38" s="416">
        <v>0</v>
      </c>
      <c r="AX38" s="416">
        <v>0</v>
      </c>
      <c r="AY38" s="416">
        <v>0</v>
      </c>
      <c r="AZ38" s="416">
        <v>0</v>
      </c>
      <c r="BA38" s="416">
        <v>0</v>
      </c>
      <c r="BB38" s="416">
        <v>0</v>
      </c>
      <c r="BC38" s="416">
        <v>0</v>
      </c>
      <c r="BD38" s="416">
        <v>0</v>
      </c>
      <c r="BE38" s="416">
        <v>0</v>
      </c>
      <c r="BF38" s="416">
        <v>0</v>
      </c>
      <c r="BG38" s="416">
        <v>0</v>
      </c>
      <c r="BH38" s="416">
        <v>0</v>
      </c>
      <c r="BI38" s="416">
        <v>0</v>
      </c>
      <c r="BJ38" s="416">
        <v>0</v>
      </c>
      <c r="BK38" s="416">
        <v>0</v>
      </c>
      <c r="BL38" s="416">
        <v>0</v>
      </c>
      <c r="BM38" s="416">
        <v>0</v>
      </c>
      <c r="BN38" s="416">
        <v>0</v>
      </c>
      <c r="BO38" s="416">
        <v>0</v>
      </c>
      <c r="BP38" s="416">
        <v>0</v>
      </c>
      <c r="BQ38" s="416">
        <v>0</v>
      </c>
      <c r="BR38" s="416">
        <v>0</v>
      </c>
      <c r="BS38" s="416">
        <v>0</v>
      </c>
      <c r="BT38" s="416">
        <v>0</v>
      </c>
      <c r="BU38" s="416">
        <v>0</v>
      </c>
      <c r="BV38" s="416">
        <v>0</v>
      </c>
      <c r="BW38" s="416">
        <v>0</v>
      </c>
      <c r="BX38" s="416">
        <v>0</v>
      </c>
      <c r="BY38" s="416">
        <v>0</v>
      </c>
      <c r="BZ38" s="416">
        <v>0</v>
      </c>
      <c r="CC38" s="420"/>
      <c r="CD38" s="424" t="s">
        <v>479</v>
      </c>
      <c r="CE38" s="420">
        <f t="shared" si="0"/>
        <v>0</v>
      </c>
      <c r="CF38" s="420">
        <f t="shared" si="1"/>
        <v>0</v>
      </c>
      <c r="CG38" s="420">
        <f t="shared" si="2"/>
        <v>0</v>
      </c>
      <c r="CH38" s="420">
        <f t="shared" si="3"/>
        <v>0</v>
      </c>
      <c r="CI38" s="420">
        <f t="shared" si="4"/>
        <v>0</v>
      </c>
      <c r="CJ38" s="420">
        <f t="shared" si="5"/>
        <v>0</v>
      </c>
      <c r="CK38" s="420">
        <f t="shared" si="6"/>
        <v>0</v>
      </c>
      <c r="CL38" s="420">
        <f t="shared" si="7"/>
        <v>0</v>
      </c>
      <c r="CM38" s="420">
        <f t="shared" si="8"/>
        <v>0</v>
      </c>
      <c r="CN38" s="420">
        <f t="shared" si="9"/>
        <v>0</v>
      </c>
      <c r="CO38" s="420">
        <f t="shared" si="10"/>
        <v>0</v>
      </c>
      <c r="CP38" s="420">
        <f t="shared" si="11"/>
        <v>0</v>
      </c>
      <c r="CQ38" s="420">
        <f t="shared" si="12"/>
        <v>0</v>
      </c>
      <c r="CR38" s="420">
        <f t="shared" si="13"/>
        <v>0</v>
      </c>
      <c r="CS38" s="420">
        <f t="shared" si="14"/>
        <v>0</v>
      </c>
      <c r="CT38" s="21"/>
    </row>
    <row r="39" spans="3:98" hidden="1" outlineLevel="2">
      <c r="C39" s="424" t="s">
        <v>480</v>
      </c>
      <c r="D39" s="416">
        <v>0</v>
      </c>
      <c r="E39" s="416">
        <v>0</v>
      </c>
      <c r="F39" s="416">
        <v>0</v>
      </c>
      <c r="G39" s="416">
        <v>0</v>
      </c>
      <c r="H39" s="416">
        <v>0</v>
      </c>
      <c r="I39" s="416">
        <v>0</v>
      </c>
      <c r="J39" s="416">
        <v>0</v>
      </c>
      <c r="K39" s="416">
        <v>0</v>
      </c>
      <c r="L39" s="416">
        <v>0</v>
      </c>
      <c r="M39" s="416">
        <v>0</v>
      </c>
      <c r="N39" s="416">
        <v>0</v>
      </c>
      <c r="O39" s="416">
        <v>0</v>
      </c>
      <c r="P39" s="416">
        <v>0</v>
      </c>
      <c r="Q39" s="416">
        <v>0</v>
      </c>
      <c r="R39" s="416">
        <v>0</v>
      </c>
      <c r="S39" s="416">
        <v>0</v>
      </c>
      <c r="T39" s="416">
        <v>0</v>
      </c>
      <c r="U39" s="416">
        <v>0</v>
      </c>
      <c r="V39" s="416">
        <v>0</v>
      </c>
      <c r="W39" s="416">
        <v>0</v>
      </c>
      <c r="X39" s="416">
        <v>0</v>
      </c>
      <c r="Y39" s="416">
        <v>0</v>
      </c>
      <c r="Z39" s="416">
        <v>0</v>
      </c>
      <c r="AA39" s="416">
        <v>0</v>
      </c>
      <c r="AB39" s="416">
        <v>0</v>
      </c>
      <c r="AC39" s="416">
        <v>0</v>
      </c>
      <c r="AD39" s="416">
        <v>0</v>
      </c>
      <c r="AE39" s="416">
        <v>0</v>
      </c>
      <c r="AF39" s="416">
        <v>0</v>
      </c>
      <c r="AG39" s="416">
        <v>0</v>
      </c>
      <c r="AH39" s="416">
        <v>0</v>
      </c>
      <c r="AI39" s="416">
        <v>0</v>
      </c>
      <c r="AJ39" s="416">
        <v>0</v>
      </c>
      <c r="AK39" s="416">
        <v>0</v>
      </c>
      <c r="AL39" s="416">
        <v>0</v>
      </c>
      <c r="AM39" s="416">
        <v>0</v>
      </c>
      <c r="AN39" s="416">
        <v>0</v>
      </c>
      <c r="AO39" s="416">
        <v>0</v>
      </c>
      <c r="AP39" s="416">
        <v>0</v>
      </c>
      <c r="AQ39" s="416">
        <v>0</v>
      </c>
      <c r="AR39" s="416">
        <v>0</v>
      </c>
      <c r="AS39" s="416">
        <v>0</v>
      </c>
      <c r="AT39" s="416">
        <v>0</v>
      </c>
      <c r="AU39" s="416">
        <v>0</v>
      </c>
      <c r="AV39" s="416">
        <v>0</v>
      </c>
      <c r="AW39" s="416">
        <v>0</v>
      </c>
      <c r="AX39" s="416">
        <v>0</v>
      </c>
      <c r="AY39" s="416">
        <v>0</v>
      </c>
      <c r="AZ39" s="416">
        <v>0</v>
      </c>
      <c r="BA39" s="416">
        <v>0</v>
      </c>
      <c r="BB39" s="416">
        <v>0</v>
      </c>
      <c r="BC39" s="416">
        <v>0</v>
      </c>
      <c r="BD39" s="416">
        <v>0</v>
      </c>
      <c r="BE39" s="416">
        <v>0</v>
      </c>
      <c r="BF39" s="416">
        <v>0</v>
      </c>
      <c r="BG39" s="416">
        <v>0</v>
      </c>
      <c r="BH39" s="416">
        <v>0</v>
      </c>
      <c r="BI39" s="416">
        <v>0</v>
      </c>
      <c r="BJ39" s="416">
        <v>0</v>
      </c>
      <c r="BK39" s="416">
        <v>0</v>
      </c>
      <c r="BL39" s="416">
        <v>0</v>
      </c>
      <c r="BM39" s="416">
        <v>0</v>
      </c>
      <c r="BN39" s="416">
        <v>0</v>
      </c>
      <c r="BO39" s="416">
        <v>0</v>
      </c>
      <c r="BP39" s="416">
        <v>0</v>
      </c>
      <c r="BQ39" s="416">
        <v>0</v>
      </c>
      <c r="BR39" s="416">
        <v>0</v>
      </c>
      <c r="BS39" s="416">
        <v>0</v>
      </c>
      <c r="BT39" s="416">
        <v>0</v>
      </c>
      <c r="BU39" s="416">
        <v>0</v>
      </c>
      <c r="BV39" s="416">
        <v>0</v>
      </c>
      <c r="BW39" s="416">
        <v>0</v>
      </c>
      <c r="BX39" s="416">
        <v>0</v>
      </c>
      <c r="BY39" s="416">
        <v>0</v>
      </c>
      <c r="BZ39" s="416">
        <v>0</v>
      </c>
      <c r="CC39" s="420"/>
      <c r="CD39" s="424" t="s">
        <v>480</v>
      </c>
      <c r="CE39" s="420">
        <f t="shared" si="0"/>
        <v>0</v>
      </c>
      <c r="CF39" s="420">
        <f t="shared" si="1"/>
        <v>0</v>
      </c>
      <c r="CG39" s="420">
        <f t="shared" si="2"/>
        <v>0</v>
      </c>
      <c r="CH39" s="420">
        <f t="shared" si="3"/>
        <v>0</v>
      </c>
      <c r="CI39" s="420">
        <f t="shared" si="4"/>
        <v>0</v>
      </c>
      <c r="CJ39" s="420">
        <f t="shared" si="5"/>
        <v>0</v>
      </c>
      <c r="CK39" s="420">
        <f t="shared" si="6"/>
        <v>0</v>
      </c>
      <c r="CL39" s="420">
        <f t="shared" si="7"/>
        <v>0</v>
      </c>
      <c r="CM39" s="420">
        <f t="shared" si="8"/>
        <v>0</v>
      </c>
      <c r="CN39" s="420">
        <f t="shared" si="9"/>
        <v>0</v>
      </c>
      <c r="CO39" s="420">
        <f t="shared" si="10"/>
        <v>0</v>
      </c>
      <c r="CP39" s="420">
        <f t="shared" si="11"/>
        <v>0</v>
      </c>
      <c r="CQ39" s="420">
        <f t="shared" si="12"/>
        <v>0</v>
      </c>
      <c r="CR39" s="420">
        <f t="shared" si="13"/>
        <v>0</v>
      </c>
      <c r="CS39" s="420">
        <f t="shared" si="14"/>
        <v>0</v>
      </c>
      <c r="CT39" s="21"/>
    </row>
    <row r="40" spans="3:98" hidden="1" outlineLevel="2">
      <c r="C40" s="424" t="s">
        <v>481</v>
      </c>
      <c r="D40" s="416">
        <v>0</v>
      </c>
      <c r="E40" s="416">
        <v>0</v>
      </c>
      <c r="F40" s="416">
        <v>0</v>
      </c>
      <c r="G40" s="416">
        <v>0</v>
      </c>
      <c r="H40" s="416">
        <v>0</v>
      </c>
      <c r="I40" s="416">
        <v>0</v>
      </c>
      <c r="J40" s="416">
        <v>0</v>
      </c>
      <c r="K40" s="416">
        <v>0</v>
      </c>
      <c r="L40" s="416">
        <v>0</v>
      </c>
      <c r="M40" s="416">
        <v>0</v>
      </c>
      <c r="N40" s="416">
        <v>0</v>
      </c>
      <c r="O40" s="416">
        <v>0</v>
      </c>
      <c r="P40" s="416">
        <v>0</v>
      </c>
      <c r="Q40" s="416">
        <v>0</v>
      </c>
      <c r="R40" s="416">
        <v>0</v>
      </c>
      <c r="S40" s="416">
        <v>0</v>
      </c>
      <c r="T40" s="416">
        <v>0</v>
      </c>
      <c r="U40" s="416">
        <v>0</v>
      </c>
      <c r="V40" s="416">
        <v>0</v>
      </c>
      <c r="W40" s="416">
        <v>0</v>
      </c>
      <c r="X40" s="416">
        <v>0</v>
      </c>
      <c r="Y40" s="416">
        <v>0</v>
      </c>
      <c r="Z40" s="416">
        <v>0</v>
      </c>
      <c r="AA40" s="416">
        <v>0</v>
      </c>
      <c r="AB40" s="416">
        <v>0</v>
      </c>
      <c r="AC40" s="416">
        <v>0</v>
      </c>
      <c r="AD40" s="416">
        <v>0</v>
      </c>
      <c r="AE40" s="416">
        <v>0</v>
      </c>
      <c r="AF40" s="416">
        <v>0</v>
      </c>
      <c r="AG40" s="416">
        <v>0</v>
      </c>
      <c r="AH40" s="416">
        <v>0</v>
      </c>
      <c r="AI40" s="416">
        <v>0</v>
      </c>
      <c r="AJ40" s="416">
        <v>0</v>
      </c>
      <c r="AK40" s="416">
        <v>0</v>
      </c>
      <c r="AL40" s="416">
        <v>0</v>
      </c>
      <c r="AM40" s="416">
        <v>0</v>
      </c>
      <c r="AN40" s="416">
        <v>0</v>
      </c>
      <c r="AO40" s="416">
        <v>0</v>
      </c>
      <c r="AP40" s="416">
        <v>0</v>
      </c>
      <c r="AQ40" s="416">
        <v>0</v>
      </c>
      <c r="AR40" s="416">
        <v>0</v>
      </c>
      <c r="AS40" s="416">
        <v>0</v>
      </c>
      <c r="AT40" s="416">
        <v>0</v>
      </c>
      <c r="AU40" s="416">
        <v>0</v>
      </c>
      <c r="AV40" s="416">
        <v>0</v>
      </c>
      <c r="AW40" s="416">
        <v>0</v>
      </c>
      <c r="AX40" s="416">
        <v>0</v>
      </c>
      <c r="AY40" s="416">
        <v>0</v>
      </c>
      <c r="AZ40" s="416">
        <v>0</v>
      </c>
      <c r="BA40" s="416">
        <v>0</v>
      </c>
      <c r="BB40" s="416">
        <v>0</v>
      </c>
      <c r="BC40" s="416">
        <v>0</v>
      </c>
      <c r="BD40" s="416">
        <v>0</v>
      </c>
      <c r="BE40" s="416">
        <v>0</v>
      </c>
      <c r="BF40" s="416">
        <v>0</v>
      </c>
      <c r="BG40" s="416">
        <v>0</v>
      </c>
      <c r="BH40" s="416">
        <v>0</v>
      </c>
      <c r="BI40" s="416">
        <v>0</v>
      </c>
      <c r="BJ40" s="416">
        <v>0</v>
      </c>
      <c r="BK40" s="416">
        <v>0</v>
      </c>
      <c r="BL40" s="416">
        <v>0</v>
      </c>
      <c r="BM40" s="416">
        <v>0</v>
      </c>
      <c r="BN40" s="416">
        <v>0</v>
      </c>
      <c r="BO40" s="416">
        <v>0</v>
      </c>
      <c r="BP40" s="416">
        <v>0</v>
      </c>
      <c r="BQ40" s="416">
        <v>0</v>
      </c>
      <c r="BR40" s="416">
        <v>0</v>
      </c>
      <c r="BS40" s="416">
        <v>0</v>
      </c>
      <c r="BT40" s="416">
        <v>0</v>
      </c>
      <c r="BU40" s="416">
        <v>0</v>
      </c>
      <c r="BV40" s="416">
        <v>0</v>
      </c>
      <c r="BW40" s="416">
        <v>0</v>
      </c>
      <c r="BX40" s="416">
        <v>0</v>
      </c>
      <c r="BY40" s="416">
        <v>0</v>
      </c>
      <c r="BZ40" s="416">
        <v>0</v>
      </c>
      <c r="CC40" s="420"/>
      <c r="CD40" s="424" t="s">
        <v>481</v>
      </c>
      <c r="CE40" s="420">
        <f t="shared" si="0"/>
        <v>0</v>
      </c>
      <c r="CF40" s="420">
        <f t="shared" si="1"/>
        <v>0</v>
      </c>
      <c r="CG40" s="420">
        <f t="shared" si="2"/>
        <v>0</v>
      </c>
      <c r="CH40" s="420">
        <f t="shared" si="3"/>
        <v>0</v>
      </c>
      <c r="CI40" s="420">
        <f t="shared" si="4"/>
        <v>0</v>
      </c>
      <c r="CJ40" s="420">
        <f t="shared" si="5"/>
        <v>0</v>
      </c>
      <c r="CK40" s="420">
        <f t="shared" si="6"/>
        <v>0</v>
      </c>
      <c r="CL40" s="420">
        <f t="shared" si="7"/>
        <v>0</v>
      </c>
      <c r="CM40" s="420">
        <f t="shared" si="8"/>
        <v>0</v>
      </c>
      <c r="CN40" s="420">
        <f t="shared" si="9"/>
        <v>0</v>
      </c>
      <c r="CO40" s="420">
        <f t="shared" si="10"/>
        <v>0</v>
      </c>
      <c r="CP40" s="420">
        <f t="shared" si="11"/>
        <v>0</v>
      </c>
      <c r="CQ40" s="420">
        <f t="shared" si="12"/>
        <v>0</v>
      </c>
      <c r="CR40" s="420">
        <f t="shared" si="13"/>
        <v>0</v>
      </c>
      <c r="CS40" s="420">
        <f t="shared" si="14"/>
        <v>0</v>
      </c>
      <c r="CT40" s="21"/>
    </row>
    <row r="41" spans="3:98" hidden="1" outlineLevel="1">
      <c r="C41" s="415" t="s">
        <v>482</v>
      </c>
      <c r="D41" s="416">
        <v>0</v>
      </c>
      <c r="E41" s="416">
        <v>0</v>
      </c>
      <c r="F41" s="416">
        <v>0</v>
      </c>
      <c r="G41" s="416">
        <v>0</v>
      </c>
      <c r="H41" s="416">
        <v>0</v>
      </c>
      <c r="I41" s="416">
        <v>0</v>
      </c>
      <c r="J41" s="416">
        <v>0</v>
      </c>
      <c r="K41" s="416">
        <v>0</v>
      </c>
      <c r="L41" s="416">
        <v>0</v>
      </c>
      <c r="M41" s="416">
        <v>0</v>
      </c>
      <c r="N41" s="416">
        <v>0</v>
      </c>
      <c r="O41" s="416">
        <v>0</v>
      </c>
      <c r="P41" s="416">
        <v>0</v>
      </c>
      <c r="Q41" s="416">
        <v>0</v>
      </c>
      <c r="R41" s="416">
        <v>0</v>
      </c>
      <c r="S41" s="416">
        <v>0</v>
      </c>
      <c r="T41" s="416">
        <v>0</v>
      </c>
      <c r="U41" s="416">
        <v>0</v>
      </c>
      <c r="V41" s="416">
        <v>0</v>
      </c>
      <c r="W41" s="416">
        <v>0</v>
      </c>
      <c r="X41" s="416">
        <v>0</v>
      </c>
      <c r="Y41" s="416">
        <v>0</v>
      </c>
      <c r="Z41" s="416">
        <v>0</v>
      </c>
      <c r="AA41" s="416">
        <v>0</v>
      </c>
      <c r="AB41" s="416">
        <v>0</v>
      </c>
      <c r="AC41" s="416">
        <v>0</v>
      </c>
      <c r="AD41" s="416">
        <v>0</v>
      </c>
      <c r="AE41" s="416">
        <v>0</v>
      </c>
      <c r="AF41" s="416">
        <v>0</v>
      </c>
      <c r="AG41" s="416">
        <v>0</v>
      </c>
      <c r="AH41" s="416">
        <v>0</v>
      </c>
      <c r="AI41" s="416">
        <v>0</v>
      </c>
      <c r="AJ41" s="416">
        <v>0</v>
      </c>
      <c r="AK41" s="416">
        <v>0</v>
      </c>
      <c r="AL41" s="416">
        <v>0</v>
      </c>
      <c r="AM41" s="416">
        <v>0</v>
      </c>
      <c r="AN41" s="416">
        <v>0</v>
      </c>
      <c r="AO41" s="416">
        <v>0</v>
      </c>
      <c r="AP41" s="416">
        <v>0</v>
      </c>
      <c r="AQ41" s="416">
        <v>0</v>
      </c>
      <c r="AR41" s="416">
        <v>0</v>
      </c>
      <c r="AS41" s="416">
        <v>0</v>
      </c>
      <c r="AT41" s="416">
        <v>0</v>
      </c>
      <c r="AU41" s="416">
        <v>0</v>
      </c>
      <c r="AV41" s="416">
        <v>0</v>
      </c>
      <c r="AW41" s="416">
        <v>0</v>
      </c>
      <c r="AX41" s="416">
        <v>0</v>
      </c>
      <c r="AY41" s="416">
        <v>0</v>
      </c>
      <c r="AZ41" s="416">
        <v>0</v>
      </c>
      <c r="BA41" s="416">
        <v>0</v>
      </c>
      <c r="BB41" s="416">
        <v>0</v>
      </c>
      <c r="BC41" s="416">
        <v>0</v>
      </c>
      <c r="BD41" s="416">
        <v>0</v>
      </c>
      <c r="BE41" s="416">
        <v>0</v>
      </c>
      <c r="BF41" s="416">
        <v>0</v>
      </c>
      <c r="BG41" s="416">
        <v>0</v>
      </c>
      <c r="BH41" s="416">
        <v>0</v>
      </c>
      <c r="BI41" s="416">
        <v>0</v>
      </c>
      <c r="BJ41" s="416">
        <v>0</v>
      </c>
      <c r="BK41" s="416">
        <v>0</v>
      </c>
      <c r="BL41" s="416">
        <v>0</v>
      </c>
      <c r="BM41" s="416">
        <v>0</v>
      </c>
      <c r="BN41" s="416">
        <v>0</v>
      </c>
      <c r="BO41" s="416">
        <v>0</v>
      </c>
      <c r="BP41" s="416">
        <v>0</v>
      </c>
      <c r="BQ41" s="416">
        <v>0</v>
      </c>
      <c r="BR41" s="416">
        <v>0</v>
      </c>
      <c r="BS41" s="416">
        <v>0</v>
      </c>
      <c r="BT41" s="416">
        <v>0</v>
      </c>
      <c r="BU41" s="416">
        <v>0</v>
      </c>
      <c r="BV41" s="416">
        <v>0</v>
      </c>
      <c r="BW41" s="416">
        <v>0</v>
      </c>
      <c r="BX41" s="416">
        <v>0</v>
      </c>
      <c r="BY41" s="416">
        <v>0</v>
      </c>
      <c r="BZ41" s="416">
        <v>0</v>
      </c>
      <c r="CC41" s="420"/>
      <c r="CD41" s="415" t="s">
        <v>482</v>
      </c>
      <c r="CE41" s="420">
        <f t="shared" si="0"/>
        <v>0</v>
      </c>
      <c r="CF41" s="420">
        <f t="shared" si="1"/>
        <v>0</v>
      </c>
      <c r="CG41" s="420">
        <f t="shared" si="2"/>
        <v>0</v>
      </c>
      <c r="CH41" s="420">
        <f t="shared" si="3"/>
        <v>0</v>
      </c>
      <c r="CI41" s="420">
        <f t="shared" si="4"/>
        <v>0</v>
      </c>
      <c r="CJ41" s="420">
        <f t="shared" si="5"/>
        <v>0</v>
      </c>
      <c r="CK41" s="420">
        <f t="shared" si="6"/>
        <v>0</v>
      </c>
      <c r="CL41" s="420">
        <f t="shared" si="7"/>
        <v>0</v>
      </c>
      <c r="CM41" s="420">
        <f t="shared" si="8"/>
        <v>0</v>
      </c>
      <c r="CN41" s="420">
        <f t="shared" si="9"/>
        <v>0</v>
      </c>
      <c r="CO41" s="420">
        <f t="shared" si="10"/>
        <v>0</v>
      </c>
      <c r="CP41" s="420">
        <f t="shared" si="11"/>
        <v>0</v>
      </c>
      <c r="CQ41" s="420">
        <f t="shared" si="12"/>
        <v>0</v>
      </c>
      <c r="CR41" s="420">
        <f t="shared" si="13"/>
        <v>0</v>
      </c>
      <c r="CS41" s="420">
        <f t="shared" si="14"/>
        <v>0</v>
      </c>
      <c r="CT41" s="21"/>
    </row>
    <row r="42" spans="3:98" hidden="1" outlineLevel="1">
      <c r="C42" s="415" t="s">
        <v>483</v>
      </c>
      <c r="D42" s="416">
        <v>0</v>
      </c>
      <c r="E42" s="416">
        <v>0</v>
      </c>
      <c r="F42" s="416">
        <v>0</v>
      </c>
      <c r="G42" s="416">
        <v>0</v>
      </c>
      <c r="H42" s="416">
        <v>0</v>
      </c>
      <c r="I42" s="416">
        <v>0</v>
      </c>
      <c r="J42" s="416">
        <v>0</v>
      </c>
      <c r="K42" s="416">
        <v>0</v>
      </c>
      <c r="L42" s="416">
        <v>0</v>
      </c>
      <c r="M42" s="416">
        <v>0</v>
      </c>
      <c r="N42" s="416">
        <v>0</v>
      </c>
      <c r="O42" s="416">
        <v>0</v>
      </c>
      <c r="P42" s="416">
        <v>0</v>
      </c>
      <c r="Q42" s="416">
        <v>0</v>
      </c>
      <c r="R42" s="416">
        <v>0</v>
      </c>
      <c r="S42" s="416">
        <v>0</v>
      </c>
      <c r="T42" s="416">
        <v>0</v>
      </c>
      <c r="U42" s="416">
        <v>0</v>
      </c>
      <c r="V42" s="416">
        <v>0</v>
      </c>
      <c r="W42" s="416">
        <v>0</v>
      </c>
      <c r="X42" s="416">
        <v>0</v>
      </c>
      <c r="Y42" s="416">
        <v>0</v>
      </c>
      <c r="Z42" s="416">
        <v>0</v>
      </c>
      <c r="AA42" s="416">
        <v>0</v>
      </c>
      <c r="AB42" s="416">
        <v>0</v>
      </c>
      <c r="AC42" s="416">
        <v>0</v>
      </c>
      <c r="AD42" s="416">
        <v>0</v>
      </c>
      <c r="AE42" s="416">
        <v>0</v>
      </c>
      <c r="AF42" s="416">
        <v>0</v>
      </c>
      <c r="AG42" s="416">
        <v>0</v>
      </c>
      <c r="AH42" s="416">
        <v>0</v>
      </c>
      <c r="AI42" s="416">
        <v>0</v>
      </c>
      <c r="AJ42" s="416">
        <v>0</v>
      </c>
      <c r="AK42" s="416">
        <v>0</v>
      </c>
      <c r="AL42" s="416">
        <v>0</v>
      </c>
      <c r="AM42" s="416">
        <v>0</v>
      </c>
      <c r="AN42" s="416">
        <v>0</v>
      </c>
      <c r="AO42" s="416">
        <v>0</v>
      </c>
      <c r="AP42" s="416">
        <v>0</v>
      </c>
      <c r="AQ42" s="416">
        <v>0</v>
      </c>
      <c r="AR42" s="416">
        <v>0</v>
      </c>
      <c r="AS42" s="416">
        <v>0</v>
      </c>
      <c r="AT42" s="416">
        <v>0</v>
      </c>
      <c r="AU42" s="416">
        <v>0</v>
      </c>
      <c r="AV42" s="416">
        <v>0</v>
      </c>
      <c r="AW42" s="416">
        <v>0</v>
      </c>
      <c r="AX42" s="416">
        <v>0</v>
      </c>
      <c r="AY42" s="416">
        <v>0</v>
      </c>
      <c r="AZ42" s="416">
        <v>0</v>
      </c>
      <c r="BA42" s="416">
        <v>0</v>
      </c>
      <c r="BB42" s="416">
        <v>0</v>
      </c>
      <c r="BC42" s="416">
        <v>0</v>
      </c>
      <c r="BD42" s="416">
        <v>0</v>
      </c>
      <c r="BE42" s="416">
        <v>0</v>
      </c>
      <c r="BF42" s="416">
        <v>0</v>
      </c>
      <c r="BG42" s="416">
        <v>0</v>
      </c>
      <c r="BH42" s="416">
        <v>0</v>
      </c>
      <c r="BI42" s="416">
        <v>0</v>
      </c>
      <c r="BJ42" s="416">
        <v>0</v>
      </c>
      <c r="BK42" s="416">
        <v>0</v>
      </c>
      <c r="BL42" s="416">
        <v>0</v>
      </c>
      <c r="BM42" s="416">
        <v>0</v>
      </c>
      <c r="BN42" s="416">
        <v>0</v>
      </c>
      <c r="BO42" s="416">
        <v>0</v>
      </c>
      <c r="BP42" s="416">
        <v>0</v>
      </c>
      <c r="BQ42" s="416">
        <v>0</v>
      </c>
      <c r="BR42" s="416">
        <v>0</v>
      </c>
      <c r="BS42" s="416">
        <v>0</v>
      </c>
      <c r="BT42" s="416">
        <v>0</v>
      </c>
      <c r="BU42" s="416">
        <v>0</v>
      </c>
      <c r="BV42" s="416">
        <v>0</v>
      </c>
      <c r="BW42" s="416">
        <v>0</v>
      </c>
      <c r="BX42" s="416">
        <v>0</v>
      </c>
      <c r="BY42" s="416">
        <v>0</v>
      </c>
      <c r="BZ42" s="416">
        <v>0</v>
      </c>
      <c r="CC42" s="420"/>
      <c r="CD42" s="415" t="s">
        <v>483</v>
      </c>
      <c r="CE42" s="420">
        <f t="shared" si="0"/>
        <v>0</v>
      </c>
      <c r="CF42" s="420">
        <f t="shared" si="1"/>
        <v>0</v>
      </c>
      <c r="CG42" s="420">
        <f t="shared" si="2"/>
        <v>0</v>
      </c>
      <c r="CH42" s="420">
        <f t="shared" si="3"/>
        <v>0</v>
      </c>
      <c r="CI42" s="420">
        <f t="shared" si="4"/>
        <v>0</v>
      </c>
      <c r="CJ42" s="420">
        <f t="shared" si="5"/>
        <v>0</v>
      </c>
      <c r="CK42" s="420">
        <f t="shared" si="6"/>
        <v>0</v>
      </c>
      <c r="CL42" s="420">
        <f t="shared" si="7"/>
        <v>0</v>
      </c>
      <c r="CM42" s="420">
        <f t="shared" si="8"/>
        <v>0</v>
      </c>
      <c r="CN42" s="420">
        <f t="shared" si="9"/>
        <v>0</v>
      </c>
      <c r="CO42" s="420">
        <f t="shared" si="10"/>
        <v>0</v>
      </c>
      <c r="CP42" s="420">
        <f t="shared" si="11"/>
        <v>0</v>
      </c>
      <c r="CQ42" s="420">
        <f t="shared" si="12"/>
        <v>0</v>
      </c>
      <c r="CR42" s="420">
        <f t="shared" si="13"/>
        <v>0</v>
      </c>
      <c r="CS42" s="420">
        <f t="shared" si="14"/>
        <v>0</v>
      </c>
      <c r="CT42" s="21"/>
    </row>
    <row r="43" spans="3:98" hidden="1" outlineLevel="1">
      <c r="C43" s="415" t="s">
        <v>484</v>
      </c>
      <c r="D43" s="416">
        <v>0</v>
      </c>
      <c r="E43" s="416">
        <v>0</v>
      </c>
      <c r="F43" s="416">
        <v>0</v>
      </c>
      <c r="G43" s="416">
        <v>0</v>
      </c>
      <c r="H43" s="416">
        <v>0</v>
      </c>
      <c r="I43" s="416">
        <v>0</v>
      </c>
      <c r="J43" s="416">
        <v>0</v>
      </c>
      <c r="K43" s="416">
        <v>0</v>
      </c>
      <c r="L43" s="416">
        <v>0</v>
      </c>
      <c r="M43" s="416">
        <v>0</v>
      </c>
      <c r="N43" s="416">
        <v>0</v>
      </c>
      <c r="O43" s="416">
        <v>0</v>
      </c>
      <c r="P43" s="416">
        <v>0</v>
      </c>
      <c r="Q43" s="416">
        <v>0</v>
      </c>
      <c r="R43" s="416">
        <v>0</v>
      </c>
      <c r="S43" s="416">
        <v>0</v>
      </c>
      <c r="T43" s="416">
        <v>0</v>
      </c>
      <c r="U43" s="416">
        <v>0</v>
      </c>
      <c r="V43" s="416">
        <v>0</v>
      </c>
      <c r="W43" s="416">
        <v>0</v>
      </c>
      <c r="X43" s="416">
        <v>0</v>
      </c>
      <c r="Y43" s="416">
        <v>0</v>
      </c>
      <c r="Z43" s="416">
        <v>0</v>
      </c>
      <c r="AA43" s="416">
        <v>0</v>
      </c>
      <c r="AB43" s="416">
        <v>0</v>
      </c>
      <c r="AC43" s="416">
        <v>0</v>
      </c>
      <c r="AD43" s="416">
        <v>0</v>
      </c>
      <c r="AE43" s="416">
        <v>0</v>
      </c>
      <c r="AF43" s="416">
        <v>0</v>
      </c>
      <c r="AG43" s="416">
        <v>0</v>
      </c>
      <c r="AH43" s="416">
        <v>0</v>
      </c>
      <c r="AI43" s="416">
        <v>0</v>
      </c>
      <c r="AJ43" s="416">
        <v>0</v>
      </c>
      <c r="AK43" s="416">
        <v>0</v>
      </c>
      <c r="AL43" s="416">
        <v>0</v>
      </c>
      <c r="AM43" s="416">
        <v>0</v>
      </c>
      <c r="AN43" s="416">
        <v>0</v>
      </c>
      <c r="AO43" s="416">
        <v>0</v>
      </c>
      <c r="AP43" s="416">
        <v>0</v>
      </c>
      <c r="AQ43" s="416">
        <v>0</v>
      </c>
      <c r="AR43" s="416">
        <v>0</v>
      </c>
      <c r="AS43" s="416">
        <v>0</v>
      </c>
      <c r="AT43" s="416">
        <v>0</v>
      </c>
      <c r="AU43" s="416">
        <v>0</v>
      </c>
      <c r="AV43" s="416">
        <v>0</v>
      </c>
      <c r="AW43" s="416">
        <v>0</v>
      </c>
      <c r="AX43" s="416">
        <v>0</v>
      </c>
      <c r="AY43" s="416">
        <v>0</v>
      </c>
      <c r="AZ43" s="416">
        <v>0</v>
      </c>
      <c r="BA43" s="416">
        <v>0</v>
      </c>
      <c r="BB43" s="416">
        <v>0</v>
      </c>
      <c r="BC43" s="416">
        <v>0</v>
      </c>
      <c r="BD43" s="416">
        <v>0</v>
      </c>
      <c r="BE43" s="416">
        <v>0</v>
      </c>
      <c r="BF43" s="416">
        <v>0</v>
      </c>
      <c r="BG43" s="416">
        <v>0</v>
      </c>
      <c r="BH43" s="416">
        <v>0</v>
      </c>
      <c r="BI43" s="416">
        <v>0</v>
      </c>
      <c r="BJ43" s="416">
        <v>0</v>
      </c>
      <c r="BK43" s="416">
        <v>0</v>
      </c>
      <c r="BL43" s="416">
        <v>0</v>
      </c>
      <c r="BM43" s="416">
        <v>0</v>
      </c>
      <c r="BN43" s="416">
        <v>0</v>
      </c>
      <c r="BO43" s="416">
        <v>0</v>
      </c>
      <c r="BP43" s="416">
        <v>0</v>
      </c>
      <c r="BQ43" s="416">
        <v>0</v>
      </c>
      <c r="BR43" s="416">
        <v>0</v>
      </c>
      <c r="BS43" s="416">
        <v>0</v>
      </c>
      <c r="BT43" s="416">
        <v>0</v>
      </c>
      <c r="BU43" s="416">
        <v>0</v>
      </c>
      <c r="BV43" s="416">
        <v>0</v>
      </c>
      <c r="BW43" s="416">
        <v>0</v>
      </c>
      <c r="BX43" s="416">
        <v>0</v>
      </c>
      <c r="BY43" s="416">
        <v>0</v>
      </c>
      <c r="BZ43" s="416">
        <v>0</v>
      </c>
      <c r="CC43" s="420"/>
      <c r="CD43" s="415" t="s">
        <v>484</v>
      </c>
      <c r="CE43" s="420">
        <f t="shared" ref="CE43:CE74" si="15">H43</f>
        <v>0</v>
      </c>
      <c r="CF43" s="420">
        <f t="shared" si="1"/>
        <v>0</v>
      </c>
      <c r="CG43" s="420">
        <f t="shared" si="2"/>
        <v>0</v>
      </c>
      <c r="CH43" s="420">
        <f t="shared" si="3"/>
        <v>0</v>
      </c>
      <c r="CI43" s="420">
        <f t="shared" si="4"/>
        <v>0</v>
      </c>
      <c r="CJ43" s="420">
        <f t="shared" si="5"/>
        <v>0</v>
      </c>
      <c r="CK43" s="420">
        <f t="shared" si="6"/>
        <v>0</v>
      </c>
      <c r="CL43" s="420">
        <f t="shared" si="7"/>
        <v>0</v>
      </c>
      <c r="CM43" s="420">
        <f t="shared" si="8"/>
        <v>0</v>
      </c>
      <c r="CN43" s="420">
        <f t="shared" si="9"/>
        <v>0</v>
      </c>
      <c r="CO43" s="420">
        <f t="shared" si="10"/>
        <v>0</v>
      </c>
      <c r="CP43" s="420">
        <f t="shared" si="11"/>
        <v>0</v>
      </c>
      <c r="CQ43" s="420">
        <f t="shared" si="12"/>
        <v>0</v>
      </c>
      <c r="CR43" s="420">
        <f t="shared" si="13"/>
        <v>0</v>
      </c>
      <c r="CS43" s="420">
        <f t="shared" si="14"/>
        <v>0</v>
      </c>
      <c r="CT43" s="21"/>
    </row>
    <row r="44" spans="3:98" hidden="1" outlineLevel="1">
      <c r="C44" s="415" t="s">
        <v>485</v>
      </c>
      <c r="D44" s="416">
        <v>0</v>
      </c>
      <c r="E44" s="416">
        <v>0</v>
      </c>
      <c r="F44" s="416">
        <v>0</v>
      </c>
      <c r="G44" s="416">
        <v>0</v>
      </c>
      <c r="H44" s="416">
        <v>0</v>
      </c>
      <c r="I44" s="416">
        <v>0</v>
      </c>
      <c r="J44" s="416">
        <v>0</v>
      </c>
      <c r="K44" s="416">
        <v>0</v>
      </c>
      <c r="L44" s="416">
        <v>0</v>
      </c>
      <c r="M44" s="416">
        <v>0</v>
      </c>
      <c r="N44" s="416">
        <v>0</v>
      </c>
      <c r="O44" s="416">
        <v>0</v>
      </c>
      <c r="P44" s="416">
        <v>0</v>
      </c>
      <c r="Q44" s="416">
        <v>0</v>
      </c>
      <c r="R44" s="416">
        <v>0</v>
      </c>
      <c r="S44" s="416">
        <v>0</v>
      </c>
      <c r="T44" s="416">
        <v>0</v>
      </c>
      <c r="U44" s="416">
        <v>0</v>
      </c>
      <c r="V44" s="416">
        <v>0</v>
      </c>
      <c r="W44" s="416">
        <v>0</v>
      </c>
      <c r="X44" s="416">
        <v>0</v>
      </c>
      <c r="Y44" s="416">
        <v>0</v>
      </c>
      <c r="Z44" s="416">
        <v>0</v>
      </c>
      <c r="AA44" s="416">
        <v>0</v>
      </c>
      <c r="AB44" s="416">
        <v>0</v>
      </c>
      <c r="AC44" s="416">
        <v>0</v>
      </c>
      <c r="AD44" s="416">
        <v>0</v>
      </c>
      <c r="AE44" s="416">
        <v>0</v>
      </c>
      <c r="AF44" s="416">
        <v>0</v>
      </c>
      <c r="AG44" s="416">
        <v>0</v>
      </c>
      <c r="AH44" s="416">
        <v>0</v>
      </c>
      <c r="AI44" s="416">
        <v>0</v>
      </c>
      <c r="AJ44" s="416">
        <v>0</v>
      </c>
      <c r="AK44" s="416">
        <v>0</v>
      </c>
      <c r="AL44" s="416">
        <v>0</v>
      </c>
      <c r="AM44" s="416">
        <v>0</v>
      </c>
      <c r="AN44" s="416">
        <v>0</v>
      </c>
      <c r="AO44" s="416">
        <v>0</v>
      </c>
      <c r="AP44" s="416">
        <v>0</v>
      </c>
      <c r="AQ44" s="416">
        <v>0</v>
      </c>
      <c r="AR44" s="416">
        <v>0</v>
      </c>
      <c r="AS44" s="416">
        <v>0</v>
      </c>
      <c r="AT44" s="416">
        <v>0</v>
      </c>
      <c r="AU44" s="416">
        <v>0</v>
      </c>
      <c r="AV44" s="416">
        <v>0</v>
      </c>
      <c r="AW44" s="416">
        <v>0</v>
      </c>
      <c r="AX44" s="416">
        <v>0</v>
      </c>
      <c r="AY44" s="416">
        <v>0</v>
      </c>
      <c r="AZ44" s="416">
        <v>0</v>
      </c>
      <c r="BA44" s="416">
        <v>0</v>
      </c>
      <c r="BB44" s="416">
        <v>0</v>
      </c>
      <c r="BC44" s="416">
        <v>0</v>
      </c>
      <c r="BD44" s="416">
        <v>0</v>
      </c>
      <c r="BE44" s="416">
        <v>0</v>
      </c>
      <c r="BF44" s="416">
        <v>24.15</v>
      </c>
      <c r="BG44" s="416">
        <v>9.9209999999999994</v>
      </c>
      <c r="BH44" s="416">
        <v>11.382999999999999</v>
      </c>
      <c r="BI44" s="416">
        <v>11.977</v>
      </c>
      <c r="BJ44" s="416">
        <v>23.501000000000001</v>
      </c>
      <c r="BK44" s="416">
        <v>56.781999999999996</v>
      </c>
      <c r="BL44" s="416">
        <v>117.99</v>
      </c>
      <c r="BM44" s="416">
        <v>195.733</v>
      </c>
      <c r="BN44" s="416">
        <v>105.395</v>
      </c>
      <c r="BO44" s="416">
        <v>244.572</v>
      </c>
      <c r="BP44" s="416">
        <v>663.68899999999996</v>
      </c>
      <c r="BQ44" s="416">
        <v>200.20400000000001</v>
      </c>
      <c r="BR44" s="416">
        <v>140.89400000000001</v>
      </c>
      <c r="BS44" s="416">
        <v>44.45</v>
      </c>
      <c r="BT44" s="416">
        <v>201.41499999999999</v>
      </c>
      <c r="BU44" s="416">
        <v>510.089</v>
      </c>
      <c r="BV44" s="416">
        <v>63.975999999999999</v>
      </c>
      <c r="BW44" s="416">
        <v>83.852999999999994</v>
      </c>
      <c r="BX44" s="416">
        <v>40.026000000000003</v>
      </c>
      <c r="BY44" s="416">
        <v>0</v>
      </c>
      <c r="BZ44" s="416">
        <v>0</v>
      </c>
      <c r="CC44" s="420"/>
      <c r="CD44" s="415" t="s">
        <v>485</v>
      </c>
      <c r="CE44" s="420">
        <f t="shared" si="15"/>
        <v>0</v>
      </c>
      <c r="CF44" s="420">
        <f t="shared" si="1"/>
        <v>0</v>
      </c>
      <c r="CG44" s="420">
        <f t="shared" si="2"/>
        <v>0</v>
      </c>
      <c r="CH44" s="420">
        <f t="shared" si="3"/>
        <v>0</v>
      </c>
      <c r="CI44" s="420">
        <f t="shared" si="4"/>
        <v>0</v>
      </c>
      <c r="CJ44" s="420">
        <f t="shared" si="5"/>
        <v>0</v>
      </c>
      <c r="CK44" s="420">
        <f t="shared" si="6"/>
        <v>0</v>
      </c>
      <c r="CL44" s="420">
        <f t="shared" si="7"/>
        <v>0</v>
      </c>
      <c r="CM44" s="420">
        <f t="shared" si="8"/>
        <v>0</v>
      </c>
      <c r="CN44" s="420">
        <f t="shared" si="9"/>
        <v>0</v>
      </c>
      <c r="CO44" s="420">
        <f t="shared" si="10"/>
        <v>24.15</v>
      </c>
      <c r="CP44" s="420">
        <f t="shared" si="11"/>
        <v>56.781999999999996</v>
      </c>
      <c r="CQ44" s="420">
        <f t="shared" si="12"/>
        <v>663.68899999999996</v>
      </c>
      <c r="CR44" s="420">
        <f t="shared" si="13"/>
        <v>510.089</v>
      </c>
      <c r="CS44" s="420">
        <f t="shared" si="14"/>
        <v>0</v>
      </c>
      <c r="CT44" s="21"/>
    </row>
    <row r="45" spans="3:98" collapsed="1">
      <c r="C45" s="417" t="s">
        <v>102</v>
      </c>
      <c r="D45" s="416">
        <v>0</v>
      </c>
      <c r="E45" s="416">
        <v>0</v>
      </c>
      <c r="F45" s="416">
        <v>0</v>
      </c>
      <c r="G45" s="416">
        <v>0</v>
      </c>
      <c r="H45" s="416">
        <v>0</v>
      </c>
      <c r="I45" s="416">
        <v>0</v>
      </c>
      <c r="J45" s="416">
        <v>0</v>
      </c>
      <c r="K45" s="416">
        <v>0</v>
      </c>
      <c r="L45" s="416">
        <v>0</v>
      </c>
      <c r="M45" s="416">
        <v>0</v>
      </c>
      <c r="N45" s="416">
        <v>0</v>
      </c>
      <c r="O45" s="416">
        <v>0</v>
      </c>
      <c r="P45" s="416">
        <v>0</v>
      </c>
      <c r="Q45" s="416">
        <v>0</v>
      </c>
      <c r="R45" s="416">
        <v>0</v>
      </c>
      <c r="S45" s="416">
        <v>0</v>
      </c>
      <c r="T45" s="416">
        <v>0</v>
      </c>
      <c r="U45" s="416">
        <v>0</v>
      </c>
      <c r="V45" s="416">
        <v>0</v>
      </c>
      <c r="W45" s="416">
        <v>0</v>
      </c>
      <c r="X45" s="416">
        <v>0</v>
      </c>
      <c r="Y45" s="416">
        <v>0</v>
      </c>
      <c r="Z45" s="416">
        <v>0</v>
      </c>
      <c r="AA45" s="416">
        <v>0</v>
      </c>
      <c r="AB45" s="416">
        <v>0</v>
      </c>
      <c r="AC45" s="416">
        <v>0</v>
      </c>
      <c r="AD45" s="416">
        <v>0</v>
      </c>
      <c r="AE45" s="416">
        <v>0</v>
      </c>
      <c r="AF45" s="416">
        <v>0</v>
      </c>
      <c r="AG45" s="416">
        <v>0</v>
      </c>
      <c r="AH45" s="416">
        <v>0</v>
      </c>
      <c r="AI45" s="416">
        <v>0</v>
      </c>
      <c r="AJ45" s="416">
        <v>0</v>
      </c>
      <c r="AK45" s="416">
        <v>0</v>
      </c>
      <c r="AL45" s="416">
        <v>0</v>
      </c>
      <c r="AM45" s="416">
        <v>0</v>
      </c>
      <c r="AN45" s="416">
        <v>0</v>
      </c>
      <c r="AO45" s="416">
        <v>0</v>
      </c>
      <c r="AP45" s="416">
        <v>0</v>
      </c>
      <c r="AQ45" s="416">
        <v>0</v>
      </c>
      <c r="AR45" s="416">
        <v>0</v>
      </c>
      <c r="AS45" s="416">
        <v>0</v>
      </c>
      <c r="AT45" s="416">
        <v>0</v>
      </c>
      <c r="AU45" s="416">
        <v>0</v>
      </c>
      <c r="AV45" s="416">
        <v>0</v>
      </c>
      <c r="AW45" s="416">
        <v>0</v>
      </c>
      <c r="AX45" s="416">
        <v>0</v>
      </c>
      <c r="AY45" s="416">
        <v>0</v>
      </c>
      <c r="AZ45" s="416">
        <v>0</v>
      </c>
      <c r="BA45" s="416">
        <v>0</v>
      </c>
      <c r="BB45" s="416">
        <v>0</v>
      </c>
      <c r="BC45" s="416">
        <v>0</v>
      </c>
      <c r="BD45" s="416">
        <v>0</v>
      </c>
      <c r="BE45" s="416">
        <v>0</v>
      </c>
      <c r="BF45" s="416">
        <v>256.07900000000001</v>
      </c>
      <c r="BG45" s="416">
        <v>68.879000000000005</v>
      </c>
      <c r="BH45" s="416">
        <v>63.371000000000002</v>
      </c>
      <c r="BI45" s="416">
        <v>83.41</v>
      </c>
      <c r="BJ45" s="416">
        <v>121.002</v>
      </c>
      <c r="BK45" s="416">
        <v>336.66199999999998</v>
      </c>
      <c r="BL45" s="416">
        <v>239.221</v>
      </c>
      <c r="BM45" s="416">
        <v>443.928</v>
      </c>
      <c r="BN45" s="416">
        <v>348.03699999999998</v>
      </c>
      <c r="BO45" s="416">
        <v>541.89599999999996</v>
      </c>
      <c r="BP45" s="416">
        <v>1573.0809999999999</v>
      </c>
      <c r="BQ45" s="416">
        <v>613.78200000000004</v>
      </c>
      <c r="BR45" s="416">
        <v>611.06299999999999</v>
      </c>
      <c r="BS45" s="416">
        <v>415.04500000000002</v>
      </c>
      <c r="BT45" s="416">
        <v>470.78500000000003</v>
      </c>
      <c r="BU45" s="416">
        <v>2110.6750000000002</v>
      </c>
      <c r="BV45" s="416">
        <v>312.73700000000002</v>
      </c>
      <c r="BW45" s="416">
        <v>342.84100000000001</v>
      </c>
      <c r="BX45" s="416">
        <v>330.80799999999999</v>
      </c>
      <c r="BY45" s="416">
        <v>0</v>
      </c>
      <c r="BZ45" s="416">
        <v>0</v>
      </c>
      <c r="CC45" s="420"/>
      <c r="CD45" s="417" t="s">
        <v>102</v>
      </c>
      <c r="CE45" s="420">
        <f t="shared" si="15"/>
        <v>0</v>
      </c>
      <c r="CF45" s="420">
        <f t="shared" si="1"/>
        <v>0</v>
      </c>
      <c r="CG45" s="420">
        <f t="shared" si="2"/>
        <v>0</v>
      </c>
      <c r="CH45" s="420">
        <f t="shared" si="3"/>
        <v>0</v>
      </c>
      <c r="CI45" s="420">
        <f t="shared" si="4"/>
        <v>0</v>
      </c>
      <c r="CJ45" s="420">
        <f t="shared" si="5"/>
        <v>0</v>
      </c>
      <c r="CK45" s="420">
        <f t="shared" si="6"/>
        <v>0</v>
      </c>
      <c r="CL45" s="420">
        <f t="shared" si="7"/>
        <v>0</v>
      </c>
      <c r="CM45" s="420">
        <f t="shared" si="8"/>
        <v>0</v>
      </c>
      <c r="CN45" s="420">
        <f t="shared" si="9"/>
        <v>0</v>
      </c>
      <c r="CO45" s="420">
        <f t="shared" si="10"/>
        <v>256.07900000000001</v>
      </c>
      <c r="CP45" s="420">
        <f t="shared" si="11"/>
        <v>336.66199999999998</v>
      </c>
      <c r="CQ45" s="420">
        <f t="shared" si="12"/>
        <v>1573.0809999999999</v>
      </c>
      <c r="CR45" s="420">
        <f t="shared" si="13"/>
        <v>2110.6750000000002</v>
      </c>
      <c r="CS45" s="420">
        <f t="shared" si="14"/>
        <v>0</v>
      </c>
      <c r="CT45" s="21"/>
    </row>
    <row r="46" spans="3:98">
      <c r="C46" s="417" t="s">
        <v>486</v>
      </c>
      <c r="D46" s="416">
        <v>0</v>
      </c>
      <c r="E46" s="416">
        <v>0</v>
      </c>
      <c r="F46" s="416">
        <v>0</v>
      </c>
      <c r="G46" s="416">
        <v>0</v>
      </c>
      <c r="H46" s="416">
        <v>0</v>
      </c>
      <c r="I46" s="416">
        <v>0</v>
      </c>
      <c r="J46" s="416">
        <v>0</v>
      </c>
      <c r="K46" s="416">
        <v>0</v>
      </c>
      <c r="L46" s="416">
        <v>0</v>
      </c>
      <c r="M46" s="416">
        <v>0</v>
      </c>
      <c r="N46" s="416">
        <v>0</v>
      </c>
      <c r="O46" s="416">
        <v>0</v>
      </c>
      <c r="P46" s="416">
        <v>0</v>
      </c>
      <c r="Q46" s="416">
        <v>0</v>
      </c>
      <c r="R46" s="416">
        <v>0</v>
      </c>
      <c r="S46" s="416">
        <v>0</v>
      </c>
      <c r="T46" s="416">
        <v>0</v>
      </c>
      <c r="U46" s="416">
        <v>0</v>
      </c>
      <c r="V46" s="416">
        <v>0</v>
      </c>
      <c r="W46" s="416">
        <v>0</v>
      </c>
      <c r="X46" s="416">
        <v>0</v>
      </c>
      <c r="Y46" s="416">
        <v>0</v>
      </c>
      <c r="Z46" s="416">
        <v>0</v>
      </c>
      <c r="AA46" s="416">
        <v>0</v>
      </c>
      <c r="AB46" s="416">
        <v>0</v>
      </c>
      <c r="AC46" s="416">
        <v>0</v>
      </c>
      <c r="AD46" s="416">
        <v>0</v>
      </c>
      <c r="AE46" s="416">
        <v>0</v>
      </c>
      <c r="AF46" s="416">
        <v>0</v>
      </c>
      <c r="AG46" s="416">
        <v>0</v>
      </c>
      <c r="AH46" s="416">
        <v>0</v>
      </c>
      <c r="AI46" s="416">
        <v>0</v>
      </c>
      <c r="AJ46" s="416">
        <v>0</v>
      </c>
      <c r="AK46" s="416">
        <v>0</v>
      </c>
      <c r="AL46" s="416">
        <v>0</v>
      </c>
      <c r="AM46" s="416">
        <v>0</v>
      </c>
      <c r="AN46" s="416">
        <v>0</v>
      </c>
      <c r="AO46" s="416">
        <v>0</v>
      </c>
      <c r="AP46" s="416">
        <v>0</v>
      </c>
      <c r="AQ46" s="416">
        <v>0</v>
      </c>
      <c r="AR46" s="416">
        <v>0</v>
      </c>
      <c r="AS46" s="416">
        <v>0</v>
      </c>
      <c r="AT46" s="416">
        <v>0</v>
      </c>
      <c r="AU46" s="416">
        <v>0</v>
      </c>
      <c r="AV46" s="416">
        <v>0</v>
      </c>
      <c r="AW46" s="416">
        <v>0</v>
      </c>
      <c r="AX46" s="416">
        <v>0</v>
      </c>
      <c r="AY46" s="416">
        <v>0</v>
      </c>
      <c r="AZ46" s="416">
        <v>0</v>
      </c>
      <c r="BA46" s="416">
        <v>0</v>
      </c>
      <c r="BB46" s="416">
        <v>0</v>
      </c>
      <c r="BC46" s="416">
        <v>0</v>
      </c>
      <c r="BD46" s="416">
        <v>0</v>
      </c>
      <c r="BE46" s="416">
        <v>0</v>
      </c>
      <c r="BF46" s="416">
        <v>0</v>
      </c>
      <c r="BG46" s="416">
        <v>0</v>
      </c>
      <c r="BH46" s="416">
        <v>0</v>
      </c>
      <c r="BI46" s="416">
        <v>0</v>
      </c>
      <c r="BJ46" s="416">
        <v>0</v>
      </c>
      <c r="BK46" s="416">
        <v>0</v>
      </c>
      <c r="BL46" s="416">
        <v>0</v>
      </c>
      <c r="BM46" s="416">
        <v>0</v>
      </c>
      <c r="BN46" s="416">
        <v>0</v>
      </c>
      <c r="BO46" s="416">
        <v>0</v>
      </c>
      <c r="BP46" s="416">
        <v>0</v>
      </c>
      <c r="BQ46" s="416">
        <v>0</v>
      </c>
      <c r="BR46" s="416">
        <v>0</v>
      </c>
      <c r="BS46" s="416">
        <v>0</v>
      </c>
      <c r="BT46" s="416">
        <v>0</v>
      </c>
      <c r="BU46" s="416">
        <v>0</v>
      </c>
      <c r="BV46" s="416">
        <v>0</v>
      </c>
      <c r="BW46" s="416">
        <v>0</v>
      </c>
      <c r="BX46" s="416">
        <v>0</v>
      </c>
      <c r="BY46" s="416">
        <v>0</v>
      </c>
      <c r="BZ46" s="416">
        <v>0</v>
      </c>
      <c r="CC46" s="420"/>
      <c r="CD46" s="417" t="s">
        <v>486</v>
      </c>
      <c r="CE46" s="420">
        <f t="shared" si="15"/>
        <v>0</v>
      </c>
      <c r="CF46" s="420">
        <f t="shared" si="1"/>
        <v>0</v>
      </c>
      <c r="CG46" s="420">
        <f t="shared" si="2"/>
        <v>0</v>
      </c>
      <c r="CH46" s="420">
        <f t="shared" si="3"/>
        <v>0</v>
      </c>
      <c r="CI46" s="420">
        <f t="shared" si="4"/>
        <v>0</v>
      </c>
      <c r="CJ46" s="420">
        <f t="shared" si="5"/>
        <v>0</v>
      </c>
      <c r="CK46" s="420">
        <f t="shared" si="6"/>
        <v>0</v>
      </c>
      <c r="CL46" s="420">
        <f t="shared" si="7"/>
        <v>0</v>
      </c>
      <c r="CM46" s="420">
        <f t="shared" si="8"/>
        <v>0</v>
      </c>
      <c r="CN46" s="420">
        <f t="shared" si="9"/>
        <v>0</v>
      </c>
      <c r="CO46" s="420">
        <f t="shared" si="10"/>
        <v>0</v>
      </c>
      <c r="CP46" s="420">
        <f t="shared" si="11"/>
        <v>0</v>
      </c>
      <c r="CQ46" s="420">
        <f t="shared" si="12"/>
        <v>0</v>
      </c>
      <c r="CR46" s="420">
        <f t="shared" si="13"/>
        <v>0</v>
      </c>
      <c r="CS46" s="420">
        <f t="shared" si="14"/>
        <v>0</v>
      </c>
      <c r="CT46" s="21"/>
    </row>
    <row r="47" spans="3:98">
      <c r="C47" s="417" t="s">
        <v>487</v>
      </c>
      <c r="D47" s="416">
        <v>0</v>
      </c>
      <c r="E47" s="416">
        <v>0</v>
      </c>
      <c r="F47" s="416">
        <v>0</v>
      </c>
      <c r="G47" s="416">
        <v>0</v>
      </c>
      <c r="H47" s="416">
        <v>0</v>
      </c>
      <c r="I47" s="416">
        <v>0</v>
      </c>
      <c r="J47" s="416">
        <v>0</v>
      </c>
      <c r="K47" s="416">
        <v>0</v>
      </c>
      <c r="L47" s="416">
        <v>0</v>
      </c>
      <c r="M47" s="416">
        <v>0</v>
      </c>
      <c r="N47" s="416">
        <v>0</v>
      </c>
      <c r="O47" s="416">
        <v>0</v>
      </c>
      <c r="P47" s="416">
        <v>0</v>
      </c>
      <c r="Q47" s="416">
        <v>0</v>
      </c>
      <c r="R47" s="416">
        <v>0</v>
      </c>
      <c r="S47" s="416">
        <v>0</v>
      </c>
      <c r="T47" s="416">
        <v>0</v>
      </c>
      <c r="U47" s="416">
        <v>0</v>
      </c>
      <c r="V47" s="416">
        <v>0</v>
      </c>
      <c r="W47" s="416">
        <v>0</v>
      </c>
      <c r="X47" s="416">
        <v>0</v>
      </c>
      <c r="Y47" s="416">
        <v>0</v>
      </c>
      <c r="Z47" s="416">
        <v>0</v>
      </c>
      <c r="AA47" s="416">
        <v>0</v>
      </c>
      <c r="AB47" s="416">
        <v>0</v>
      </c>
      <c r="AC47" s="416">
        <v>0</v>
      </c>
      <c r="AD47" s="416">
        <v>0</v>
      </c>
      <c r="AE47" s="416">
        <v>0</v>
      </c>
      <c r="AF47" s="416">
        <v>0</v>
      </c>
      <c r="AG47" s="416">
        <v>0</v>
      </c>
      <c r="AH47" s="416">
        <v>0</v>
      </c>
      <c r="AI47" s="416">
        <v>0</v>
      </c>
      <c r="AJ47" s="416">
        <v>0</v>
      </c>
      <c r="AK47" s="416">
        <v>0</v>
      </c>
      <c r="AL47" s="416">
        <v>0</v>
      </c>
      <c r="AM47" s="416">
        <v>0</v>
      </c>
      <c r="AN47" s="416">
        <v>0</v>
      </c>
      <c r="AO47" s="416">
        <v>0</v>
      </c>
      <c r="AP47" s="416">
        <v>0</v>
      </c>
      <c r="AQ47" s="416">
        <v>0</v>
      </c>
      <c r="AR47" s="416">
        <v>0</v>
      </c>
      <c r="AS47" s="416">
        <v>0</v>
      </c>
      <c r="AT47" s="416">
        <v>0</v>
      </c>
      <c r="AU47" s="416">
        <v>0</v>
      </c>
      <c r="AV47" s="416">
        <v>0</v>
      </c>
      <c r="AW47" s="416">
        <v>0</v>
      </c>
      <c r="AX47" s="416">
        <v>0</v>
      </c>
      <c r="AY47" s="416">
        <v>0</v>
      </c>
      <c r="AZ47" s="416">
        <v>0</v>
      </c>
      <c r="BA47" s="416">
        <v>0</v>
      </c>
      <c r="BB47" s="416">
        <v>0</v>
      </c>
      <c r="BC47" s="416">
        <v>0</v>
      </c>
      <c r="BD47" s="416">
        <v>0</v>
      </c>
      <c r="BE47" s="416">
        <v>0</v>
      </c>
      <c r="BF47" s="416">
        <v>0</v>
      </c>
      <c r="BG47" s="416">
        <v>0</v>
      </c>
      <c r="BH47" s="416">
        <v>0</v>
      </c>
      <c r="BI47" s="416">
        <v>0</v>
      </c>
      <c r="BJ47" s="416">
        <v>0</v>
      </c>
      <c r="BK47" s="416">
        <v>0</v>
      </c>
      <c r="BL47" s="416">
        <v>0</v>
      </c>
      <c r="BM47" s="416">
        <v>0</v>
      </c>
      <c r="BN47" s="416">
        <v>0</v>
      </c>
      <c r="BO47" s="416">
        <v>0</v>
      </c>
      <c r="BP47" s="416">
        <v>0</v>
      </c>
      <c r="BQ47" s="416">
        <v>0</v>
      </c>
      <c r="BR47" s="416">
        <v>0</v>
      </c>
      <c r="BS47" s="416">
        <v>0</v>
      </c>
      <c r="BT47" s="416">
        <v>0</v>
      </c>
      <c r="BU47" s="416">
        <v>0</v>
      </c>
      <c r="BV47" s="416">
        <v>0</v>
      </c>
      <c r="BW47" s="416">
        <v>0</v>
      </c>
      <c r="BX47" s="416">
        <v>0</v>
      </c>
      <c r="BY47" s="416">
        <v>0</v>
      </c>
      <c r="BZ47" s="416">
        <v>0</v>
      </c>
      <c r="CC47" s="420"/>
      <c r="CD47" s="417" t="s">
        <v>487</v>
      </c>
      <c r="CE47" s="420">
        <f t="shared" si="15"/>
        <v>0</v>
      </c>
      <c r="CF47" s="420">
        <f t="shared" si="1"/>
        <v>0</v>
      </c>
      <c r="CG47" s="420">
        <f t="shared" si="2"/>
        <v>0</v>
      </c>
      <c r="CH47" s="420">
        <f t="shared" si="3"/>
        <v>0</v>
      </c>
      <c r="CI47" s="420">
        <f t="shared" si="4"/>
        <v>0</v>
      </c>
      <c r="CJ47" s="420">
        <f t="shared" si="5"/>
        <v>0</v>
      </c>
      <c r="CK47" s="420">
        <f t="shared" si="6"/>
        <v>0</v>
      </c>
      <c r="CL47" s="420">
        <f t="shared" si="7"/>
        <v>0</v>
      </c>
      <c r="CM47" s="420">
        <f t="shared" si="8"/>
        <v>0</v>
      </c>
      <c r="CN47" s="420">
        <f t="shared" si="9"/>
        <v>0</v>
      </c>
      <c r="CO47" s="420">
        <f t="shared" si="10"/>
        <v>0</v>
      </c>
      <c r="CP47" s="420">
        <f t="shared" si="11"/>
        <v>0</v>
      </c>
      <c r="CQ47" s="420">
        <f t="shared" si="12"/>
        <v>0</v>
      </c>
      <c r="CR47" s="420">
        <f t="shared" si="13"/>
        <v>0</v>
      </c>
      <c r="CS47" s="420">
        <f t="shared" si="14"/>
        <v>0</v>
      </c>
      <c r="CT47" s="21"/>
    </row>
    <row r="48" spans="3:98">
      <c r="C48" s="417" t="s">
        <v>104</v>
      </c>
      <c r="D48" s="416">
        <v>0</v>
      </c>
      <c r="E48" s="416">
        <v>0</v>
      </c>
      <c r="F48" s="416">
        <v>0</v>
      </c>
      <c r="G48" s="416">
        <v>0</v>
      </c>
      <c r="H48" s="416">
        <v>0</v>
      </c>
      <c r="I48" s="416">
        <v>0</v>
      </c>
      <c r="J48" s="416">
        <v>0</v>
      </c>
      <c r="K48" s="416">
        <v>0</v>
      </c>
      <c r="L48" s="416">
        <v>0</v>
      </c>
      <c r="M48" s="416">
        <v>0</v>
      </c>
      <c r="N48" s="416">
        <v>0</v>
      </c>
      <c r="O48" s="416">
        <v>0</v>
      </c>
      <c r="P48" s="416">
        <v>0</v>
      </c>
      <c r="Q48" s="416">
        <v>0</v>
      </c>
      <c r="R48" s="416">
        <v>0</v>
      </c>
      <c r="S48" s="416">
        <v>0</v>
      </c>
      <c r="T48" s="416">
        <v>0</v>
      </c>
      <c r="U48" s="416">
        <v>0</v>
      </c>
      <c r="V48" s="416">
        <v>0</v>
      </c>
      <c r="W48" s="416">
        <v>0</v>
      </c>
      <c r="X48" s="416">
        <v>0</v>
      </c>
      <c r="Y48" s="416">
        <v>0</v>
      </c>
      <c r="Z48" s="416">
        <v>0</v>
      </c>
      <c r="AA48" s="416">
        <v>0</v>
      </c>
      <c r="AB48" s="416">
        <v>0</v>
      </c>
      <c r="AC48" s="416">
        <v>0</v>
      </c>
      <c r="AD48" s="416">
        <v>0</v>
      </c>
      <c r="AE48" s="416">
        <v>0</v>
      </c>
      <c r="AF48" s="416">
        <v>0</v>
      </c>
      <c r="AG48" s="416">
        <v>0</v>
      </c>
      <c r="AH48" s="416">
        <v>0</v>
      </c>
      <c r="AI48" s="416">
        <v>0</v>
      </c>
      <c r="AJ48" s="416">
        <v>0</v>
      </c>
      <c r="AK48" s="416">
        <v>0</v>
      </c>
      <c r="AL48" s="416">
        <v>0</v>
      </c>
      <c r="AM48" s="416">
        <v>0</v>
      </c>
      <c r="AN48" s="416">
        <v>0</v>
      </c>
      <c r="AO48" s="416">
        <v>0</v>
      </c>
      <c r="AP48" s="416">
        <v>0</v>
      </c>
      <c r="AQ48" s="416">
        <v>0</v>
      </c>
      <c r="AR48" s="416">
        <v>0</v>
      </c>
      <c r="AS48" s="416">
        <v>0</v>
      </c>
      <c r="AT48" s="416">
        <v>0</v>
      </c>
      <c r="AU48" s="416">
        <v>0</v>
      </c>
      <c r="AV48" s="416">
        <v>0</v>
      </c>
      <c r="AW48" s="416">
        <v>0</v>
      </c>
      <c r="AX48" s="416">
        <v>0</v>
      </c>
      <c r="AY48" s="416">
        <v>0</v>
      </c>
      <c r="AZ48" s="416">
        <v>0</v>
      </c>
      <c r="BA48" s="416">
        <v>0</v>
      </c>
      <c r="BB48" s="416">
        <v>0</v>
      </c>
      <c r="BC48" s="416">
        <v>0</v>
      </c>
      <c r="BD48" s="416">
        <v>0</v>
      </c>
      <c r="BE48" s="416">
        <v>0</v>
      </c>
      <c r="BF48" s="416">
        <v>185.04400000000001</v>
      </c>
      <c r="BG48" s="416">
        <v>47.137999999999998</v>
      </c>
      <c r="BH48" s="416">
        <v>60.777000000000001</v>
      </c>
      <c r="BI48" s="416">
        <v>73.319000000000003</v>
      </c>
      <c r="BJ48" s="416">
        <v>90.498000000000005</v>
      </c>
      <c r="BK48" s="416">
        <v>271.73200000000003</v>
      </c>
      <c r="BL48" s="416">
        <v>184.22499999999999</v>
      </c>
      <c r="BM48" s="416">
        <v>291.46100000000001</v>
      </c>
      <c r="BN48" s="416">
        <v>356.26400000000001</v>
      </c>
      <c r="BO48" s="416">
        <v>459.61099999999999</v>
      </c>
      <c r="BP48" s="416">
        <v>1291.5609999999999</v>
      </c>
      <c r="BQ48" s="416">
        <v>570.66399999999999</v>
      </c>
      <c r="BR48" s="416">
        <v>609.24900000000002</v>
      </c>
      <c r="BS48" s="416">
        <v>556.33799999999997</v>
      </c>
      <c r="BT48" s="416">
        <v>590.10299999999995</v>
      </c>
      <c r="BU48" s="416">
        <v>2326.3539999999998</v>
      </c>
      <c r="BV48" s="416">
        <v>358.03100000000001</v>
      </c>
      <c r="BW48" s="416">
        <v>320.66699999999997</v>
      </c>
      <c r="BX48" s="416">
        <v>322.75599999999997</v>
      </c>
      <c r="BY48" s="416">
        <v>0</v>
      </c>
      <c r="BZ48" s="416">
        <v>0</v>
      </c>
      <c r="CC48" s="420"/>
      <c r="CD48" s="417" t="s">
        <v>104</v>
      </c>
      <c r="CE48" s="420">
        <f t="shared" si="15"/>
        <v>0</v>
      </c>
      <c r="CF48" s="420">
        <f t="shared" si="1"/>
        <v>0</v>
      </c>
      <c r="CG48" s="420">
        <f t="shared" si="2"/>
        <v>0</v>
      </c>
      <c r="CH48" s="420">
        <f t="shared" si="3"/>
        <v>0</v>
      </c>
      <c r="CI48" s="420">
        <f t="shared" si="4"/>
        <v>0</v>
      </c>
      <c r="CJ48" s="420">
        <f t="shared" si="5"/>
        <v>0</v>
      </c>
      <c r="CK48" s="420">
        <f t="shared" si="6"/>
        <v>0</v>
      </c>
      <c r="CL48" s="420">
        <f t="shared" si="7"/>
        <v>0</v>
      </c>
      <c r="CM48" s="420">
        <f t="shared" si="8"/>
        <v>0</v>
      </c>
      <c r="CN48" s="420">
        <f t="shared" si="9"/>
        <v>0</v>
      </c>
      <c r="CO48" s="420">
        <f t="shared" si="10"/>
        <v>185.04400000000001</v>
      </c>
      <c r="CP48" s="420">
        <f t="shared" si="11"/>
        <v>271.73200000000003</v>
      </c>
      <c r="CQ48" s="420">
        <f t="shared" si="12"/>
        <v>1291.5609999999999</v>
      </c>
      <c r="CR48" s="420">
        <f t="shared" si="13"/>
        <v>2326.3539999999998</v>
      </c>
      <c r="CS48" s="420">
        <f t="shared" si="14"/>
        <v>0</v>
      </c>
      <c r="CT48" s="21"/>
    </row>
    <row r="49" spans="3:98" hidden="1" outlineLevel="1">
      <c r="C49" s="415" t="s">
        <v>9</v>
      </c>
      <c r="D49" s="416">
        <v>0</v>
      </c>
      <c r="E49" s="416">
        <v>0</v>
      </c>
      <c r="F49" s="416">
        <v>0</v>
      </c>
      <c r="G49" s="416">
        <v>0</v>
      </c>
      <c r="H49" s="416">
        <v>0</v>
      </c>
      <c r="I49" s="416">
        <v>0</v>
      </c>
      <c r="J49" s="416">
        <v>0</v>
      </c>
      <c r="K49" s="416">
        <v>0</v>
      </c>
      <c r="L49" s="416">
        <v>0</v>
      </c>
      <c r="M49" s="416">
        <v>0</v>
      </c>
      <c r="N49" s="416">
        <v>0</v>
      </c>
      <c r="O49" s="416">
        <v>0</v>
      </c>
      <c r="P49" s="416">
        <v>0</v>
      </c>
      <c r="Q49" s="416">
        <v>0</v>
      </c>
      <c r="R49" s="416">
        <v>0</v>
      </c>
      <c r="S49" s="416">
        <v>0</v>
      </c>
      <c r="T49" s="416">
        <v>0</v>
      </c>
      <c r="U49" s="416">
        <v>0</v>
      </c>
      <c r="V49" s="416">
        <v>0</v>
      </c>
      <c r="W49" s="416">
        <v>0</v>
      </c>
      <c r="X49" s="416">
        <v>0</v>
      </c>
      <c r="Y49" s="416">
        <v>0</v>
      </c>
      <c r="Z49" s="416">
        <v>0</v>
      </c>
      <c r="AA49" s="416">
        <v>0</v>
      </c>
      <c r="AB49" s="416">
        <v>0</v>
      </c>
      <c r="AC49" s="416">
        <v>0</v>
      </c>
      <c r="AD49" s="416">
        <v>0</v>
      </c>
      <c r="AE49" s="416">
        <v>0</v>
      </c>
      <c r="AF49" s="416">
        <v>0</v>
      </c>
      <c r="AG49" s="416">
        <v>0</v>
      </c>
      <c r="AH49" s="416">
        <v>0</v>
      </c>
      <c r="AI49" s="416">
        <v>0</v>
      </c>
      <c r="AJ49" s="416">
        <v>0</v>
      </c>
      <c r="AK49" s="416">
        <v>0</v>
      </c>
      <c r="AL49" s="416">
        <v>0</v>
      </c>
      <c r="AM49" s="416">
        <v>0</v>
      </c>
      <c r="AN49" s="416">
        <v>0</v>
      </c>
      <c r="AO49" s="416">
        <v>0</v>
      </c>
      <c r="AP49" s="416">
        <v>0</v>
      </c>
      <c r="AQ49" s="416">
        <v>0</v>
      </c>
      <c r="AR49" s="416">
        <v>0</v>
      </c>
      <c r="AS49" s="416">
        <v>0</v>
      </c>
      <c r="AT49" s="416">
        <v>0</v>
      </c>
      <c r="AU49" s="416">
        <v>0</v>
      </c>
      <c r="AV49" s="416">
        <v>0</v>
      </c>
      <c r="AW49" s="416">
        <v>0</v>
      </c>
      <c r="AX49" s="416">
        <v>0</v>
      </c>
      <c r="AY49" s="416">
        <v>0</v>
      </c>
      <c r="AZ49" s="416">
        <v>0</v>
      </c>
      <c r="BA49" s="416">
        <v>0</v>
      </c>
      <c r="BB49" s="416">
        <v>0</v>
      </c>
      <c r="BC49" s="416">
        <v>0</v>
      </c>
      <c r="BD49" s="416">
        <v>0</v>
      </c>
      <c r="BE49" s="416">
        <v>0</v>
      </c>
      <c r="BF49" s="416">
        <v>0</v>
      </c>
      <c r="BG49" s="416">
        <v>0</v>
      </c>
      <c r="BH49" s="416">
        <v>0</v>
      </c>
      <c r="BI49" s="416">
        <v>0</v>
      </c>
      <c r="BJ49" s="416">
        <v>0</v>
      </c>
      <c r="BK49" s="416">
        <v>0</v>
      </c>
      <c r="BL49" s="416">
        <v>0</v>
      </c>
      <c r="BM49" s="416">
        <v>0</v>
      </c>
      <c r="BN49" s="416">
        <v>0</v>
      </c>
      <c r="BO49" s="416">
        <v>0</v>
      </c>
      <c r="BP49" s="416">
        <v>0</v>
      </c>
      <c r="BQ49" s="416">
        <v>0</v>
      </c>
      <c r="BR49" s="416">
        <v>0</v>
      </c>
      <c r="BS49" s="416">
        <v>0</v>
      </c>
      <c r="BT49" s="416">
        <v>0</v>
      </c>
      <c r="BU49" s="416">
        <v>0</v>
      </c>
      <c r="BV49" s="416">
        <v>0</v>
      </c>
      <c r="BW49" s="416">
        <v>0</v>
      </c>
      <c r="BX49" s="416">
        <v>0</v>
      </c>
      <c r="BY49" s="416">
        <v>0</v>
      </c>
      <c r="BZ49" s="416">
        <v>0</v>
      </c>
      <c r="CC49" s="420"/>
      <c r="CD49" s="415" t="s">
        <v>9</v>
      </c>
      <c r="CE49" s="420">
        <f t="shared" si="15"/>
        <v>0</v>
      </c>
      <c r="CF49" s="420">
        <f t="shared" si="1"/>
        <v>0</v>
      </c>
      <c r="CG49" s="420">
        <f t="shared" si="2"/>
        <v>0</v>
      </c>
      <c r="CH49" s="420">
        <f t="shared" si="3"/>
        <v>0</v>
      </c>
      <c r="CI49" s="420">
        <f t="shared" si="4"/>
        <v>0</v>
      </c>
      <c r="CJ49" s="420">
        <f t="shared" si="5"/>
        <v>0</v>
      </c>
      <c r="CK49" s="420">
        <f t="shared" si="6"/>
        <v>0</v>
      </c>
      <c r="CL49" s="420">
        <f t="shared" si="7"/>
        <v>0</v>
      </c>
      <c r="CM49" s="420">
        <f t="shared" si="8"/>
        <v>0</v>
      </c>
      <c r="CN49" s="420">
        <f t="shared" si="9"/>
        <v>0</v>
      </c>
      <c r="CO49" s="420">
        <f t="shared" si="10"/>
        <v>0</v>
      </c>
      <c r="CP49" s="420">
        <f t="shared" si="11"/>
        <v>0</v>
      </c>
      <c r="CQ49" s="420">
        <f t="shared" si="12"/>
        <v>0</v>
      </c>
      <c r="CR49" s="420">
        <f t="shared" si="13"/>
        <v>0</v>
      </c>
      <c r="CS49" s="420">
        <f t="shared" si="14"/>
        <v>0</v>
      </c>
      <c r="CT49" s="21"/>
    </row>
    <row r="50" spans="3:98" hidden="1" outlineLevel="2">
      <c r="C50" s="424" t="s">
        <v>8</v>
      </c>
      <c r="D50" s="416">
        <v>0</v>
      </c>
      <c r="E50" s="416">
        <v>0</v>
      </c>
      <c r="F50" s="416">
        <v>0</v>
      </c>
      <c r="G50" s="416">
        <v>0</v>
      </c>
      <c r="H50" s="416">
        <v>0</v>
      </c>
      <c r="I50" s="416">
        <v>0</v>
      </c>
      <c r="J50" s="416">
        <v>0</v>
      </c>
      <c r="K50" s="416">
        <v>0</v>
      </c>
      <c r="L50" s="416">
        <v>0</v>
      </c>
      <c r="M50" s="416">
        <v>0</v>
      </c>
      <c r="N50" s="416">
        <v>0</v>
      </c>
      <c r="O50" s="416">
        <v>0</v>
      </c>
      <c r="P50" s="416">
        <v>0</v>
      </c>
      <c r="Q50" s="416">
        <v>0</v>
      </c>
      <c r="R50" s="416">
        <v>0</v>
      </c>
      <c r="S50" s="416">
        <v>0</v>
      </c>
      <c r="T50" s="416">
        <v>0</v>
      </c>
      <c r="U50" s="416">
        <v>0</v>
      </c>
      <c r="V50" s="416">
        <v>0</v>
      </c>
      <c r="W50" s="416">
        <v>0</v>
      </c>
      <c r="X50" s="416">
        <v>0</v>
      </c>
      <c r="Y50" s="416">
        <v>0</v>
      </c>
      <c r="Z50" s="416">
        <v>0</v>
      </c>
      <c r="AA50" s="416">
        <v>0</v>
      </c>
      <c r="AB50" s="416">
        <v>0</v>
      </c>
      <c r="AC50" s="416">
        <v>0</v>
      </c>
      <c r="AD50" s="416">
        <v>0</v>
      </c>
      <c r="AE50" s="416">
        <v>0</v>
      </c>
      <c r="AF50" s="416">
        <v>0</v>
      </c>
      <c r="AG50" s="416">
        <v>0</v>
      </c>
      <c r="AH50" s="416">
        <v>0</v>
      </c>
      <c r="AI50" s="416">
        <v>0</v>
      </c>
      <c r="AJ50" s="416">
        <v>0</v>
      </c>
      <c r="AK50" s="416">
        <v>0</v>
      </c>
      <c r="AL50" s="416">
        <v>0</v>
      </c>
      <c r="AM50" s="416">
        <v>0</v>
      </c>
      <c r="AN50" s="416">
        <v>0</v>
      </c>
      <c r="AO50" s="416">
        <v>0</v>
      </c>
      <c r="AP50" s="416">
        <v>0</v>
      </c>
      <c r="AQ50" s="416">
        <v>0</v>
      </c>
      <c r="AR50" s="416">
        <v>0</v>
      </c>
      <c r="AS50" s="416">
        <v>0</v>
      </c>
      <c r="AT50" s="416">
        <v>0</v>
      </c>
      <c r="AU50" s="416">
        <v>0</v>
      </c>
      <c r="AV50" s="416">
        <v>0</v>
      </c>
      <c r="AW50" s="416">
        <v>0</v>
      </c>
      <c r="AX50" s="416">
        <v>0</v>
      </c>
      <c r="AY50" s="416">
        <v>0</v>
      </c>
      <c r="AZ50" s="416">
        <v>0</v>
      </c>
      <c r="BA50" s="416">
        <v>0</v>
      </c>
      <c r="BB50" s="416">
        <v>0</v>
      </c>
      <c r="BC50" s="416">
        <v>0</v>
      </c>
      <c r="BD50" s="416">
        <v>0</v>
      </c>
      <c r="BE50" s="416">
        <v>0</v>
      </c>
      <c r="BF50" s="416">
        <v>0</v>
      </c>
      <c r="BG50" s="416">
        <v>0</v>
      </c>
      <c r="BH50" s="416">
        <v>0</v>
      </c>
      <c r="BI50" s="416">
        <v>0</v>
      </c>
      <c r="BJ50" s="416">
        <v>0</v>
      </c>
      <c r="BK50" s="416">
        <v>0</v>
      </c>
      <c r="BL50" s="416">
        <v>0</v>
      </c>
      <c r="BM50" s="416">
        <v>0</v>
      </c>
      <c r="BN50" s="416">
        <v>0</v>
      </c>
      <c r="BO50" s="416">
        <v>0</v>
      </c>
      <c r="BP50" s="416">
        <v>0</v>
      </c>
      <c r="BQ50" s="416">
        <v>0</v>
      </c>
      <c r="BR50" s="416">
        <v>0</v>
      </c>
      <c r="BS50" s="416">
        <v>0</v>
      </c>
      <c r="BT50" s="416">
        <v>0</v>
      </c>
      <c r="BU50" s="416">
        <v>0</v>
      </c>
      <c r="BV50" s="416">
        <v>0</v>
      </c>
      <c r="BW50" s="416">
        <v>0</v>
      </c>
      <c r="BX50" s="416">
        <v>0</v>
      </c>
      <c r="BY50" s="416">
        <v>0</v>
      </c>
      <c r="BZ50" s="416">
        <v>0</v>
      </c>
      <c r="CC50" s="420"/>
      <c r="CD50" s="424" t="s">
        <v>8</v>
      </c>
      <c r="CE50" s="420">
        <f t="shared" si="15"/>
        <v>0</v>
      </c>
      <c r="CF50" s="420">
        <f t="shared" si="1"/>
        <v>0</v>
      </c>
      <c r="CG50" s="420">
        <f t="shared" si="2"/>
        <v>0</v>
      </c>
      <c r="CH50" s="420">
        <f t="shared" si="3"/>
        <v>0</v>
      </c>
      <c r="CI50" s="420">
        <f t="shared" si="4"/>
        <v>0</v>
      </c>
      <c r="CJ50" s="420">
        <f t="shared" si="5"/>
        <v>0</v>
      </c>
      <c r="CK50" s="420">
        <f t="shared" si="6"/>
        <v>0</v>
      </c>
      <c r="CL50" s="420">
        <f t="shared" si="7"/>
        <v>0</v>
      </c>
      <c r="CM50" s="420">
        <f t="shared" si="8"/>
        <v>0</v>
      </c>
      <c r="CN50" s="420">
        <f t="shared" si="9"/>
        <v>0</v>
      </c>
      <c r="CO50" s="420">
        <f t="shared" si="10"/>
        <v>0</v>
      </c>
      <c r="CP50" s="420">
        <f t="shared" si="11"/>
        <v>0</v>
      </c>
      <c r="CQ50" s="420">
        <f t="shared" si="12"/>
        <v>0</v>
      </c>
      <c r="CR50" s="420">
        <f t="shared" si="13"/>
        <v>0</v>
      </c>
      <c r="CS50" s="420">
        <f t="shared" si="14"/>
        <v>0</v>
      </c>
      <c r="CT50" s="21"/>
    </row>
    <row r="51" spans="3:98" hidden="1" outlineLevel="2">
      <c r="C51" s="424" t="s">
        <v>14</v>
      </c>
      <c r="D51" s="416">
        <v>0</v>
      </c>
      <c r="E51" s="416">
        <v>0</v>
      </c>
      <c r="F51" s="416">
        <v>0</v>
      </c>
      <c r="G51" s="416">
        <v>0</v>
      </c>
      <c r="H51" s="416">
        <v>0</v>
      </c>
      <c r="I51" s="416">
        <v>0</v>
      </c>
      <c r="J51" s="416">
        <v>0</v>
      </c>
      <c r="K51" s="416">
        <v>0</v>
      </c>
      <c r="L51" s="416">
        <v>0</v>
      </c>
      <c r="M51" s="416">
        <v>0</v>
      </c>
      <c r="N51" s="416">
        <v>0</v>
      </c>
      <c r="O51" s="416">
        <v>0</v>
      </c>
      <c r="P51" s="416">
        <v>0</v>
      </c>
      <c r="Q51" s="416">
        <v>0</v>
      </c>
      <c r="R51" s="416">
        <v>0</v>
      </c>
      <c r="S51" s="416">
        <v>0</v>
      </c>
      <c r="T51" s="416">
        <v>0</v>
      </c>
      <c r="U51" s="416">
        <v>0</v>
      </c>
      <c r="V51" s="416">
        <v>0</v>
      </c>
      <c r="W51" s="416">
        <v>0</v>
      </c>
      <c r="X51" s="416">
        <v>0</v>
      </c>
      <c r="Y51" s="416">
        <v>0</v>
      </c>
      <c r="Z51" s="416">
        <v>0</v>
      </c>
      <c r="AA51" s="416">
        <v>0</v>
      </c>
      <c r="AB51" s="416">
        <v>0</v>
      </c>
      <c r="AC51" s="416">
        <v>0</v>
      </c>
      <c r="AD51" s="416">
        <v>0</v>
      </c>
      <c r="AE51" s="416">
        <v>0</v>
      </c>
      <c r="AF51" s="416">
        <v>0</v>
      </c>
      <c r="AG51" s="416">
        <v>0</v>
      </c>
      <c r="AH51" s="416">
        <v>0</v>
      </c>
      <c r="AI51" s="416">
        <v>0</v>
      </c>
      <c r="AJ51" s="416">
        <v>0</v>
      </c>
      <c r="AK51" s="416">
        <v>0</v>
      </c>
      <c r="AL51" s="416">
        <v>0</v>
      </c>
      <c r="AM51" s="416">
        <v>0</v>
      </c>
      <c r="AN51" s="416">
        <v>0</v>
      </c>
      <c r="AO51" s="416">
        <v>0</v>
      </c>
      <c r="AP51" s="416">
        <v>0</v>
      </c>
      <c r="AQ51" s="416">
        <v>0</v>
      </c>
      <c r="AR51" s="416">
        <v>0</v>
      </c>
      <c r="AS51" s="416">
        <v>0</v>
      </c>
      <c r="AT51" s="416">
        <v>0</v>
      </c>
      <c r="AU51" s="416">
        <v>0</v>
      </c>
      <c r="AV51" s="416">
        <v>0</v>
      </c>
      <c r="AW51" s="416">
        <v>0</v>
      </c>
      <c r="AX51" s="416">
        <v>0</v>
      </c>
      <c r="AY51" s="416">
        <v>0</v>
      </c>
      <c r="AZ51" s="416">
        <v>0</v>
      </c>
      <c r="BA51" s="416">
        <v>0</v>
      </c>
      <c r="BB51" s="416">
        <v>0</v>
      </c>
      <c r="BC51" s="416">
        <v>0</v>
      </c>
      <c r="BD51" s="416">
        <v>0</v>
      </c>
      <c r="BE51" s="416">
        <v>0</v>
      </c>
      <c r="BF51" s="416">
        <v>0</v>
      </c>
      <c r="BG51" s="416">
        <v>0</v>
      </c>
      <c r="BH51" s="416">
        <v>0</v>
      </c>
      <c r="BI51" s="416">
        <v>0</v>
      </c>
      <c r="BJ51" s="416">
        <v>0</v>
      </c>
      <c r="BK51" s="416">
        <v>0</v>
      </c>
      <c r="BL51" s="416">
        <v>0</v>
      </c>
      <c r="BM51" s="416">
        <v>0</v>
      </c>
      <c r="BN51" s="416">
        <v>0</v>
      </c>
      <c r="BO51" s="416">
        <v>0</v>
      </c>
      <c r="BP51" s="416">
        <v>0</v>
      </c>
      <c r="BQ51" s="416">
        <v>0</v>
      </c>
      <c r="BR51" s="416">
        <v>0</v>
      </c>
      <c r="BS51" s="416">
        <v>0</v>
      </c>
      <c r="BT51" s="416">
        <v>0</v>
      </c>
      <c r="BU51" s="416">
        <v>0</v>
      </c>
      <c r="BV51" s="416">
        <v>0</v>
      </c>
      <c r="BW51" s="416">
        <v>0</v>
      </c>
      <c r="BX51" s="416">
        <v>0</v>
      </c>
      <c r="BY51" s="416">
        <v>0</v>
      </c>
      <c r="BZ51" s="416">
        <v>0</v>
      </c>
      <c r="CC51" s="420"/>
      <c r="CD51" s="424" t="s">
        <v>14</v>
      </c>
      <c r="CE51" s="420">
        <f t="shared" si="15"/>
        <v>0</v>
      </c>
      <c r="CF51" s="420">
        <f t="shared" si="1"/>
        <v>0</v>
      </c>
      <c r="CG51" s="420">
        <f t="shared" si="2"/>
        <v>0</v>
      </c>
      <c r="CH51" s="420">
        <f t="shared" si="3"/>
        <v>0</v>
      </c>
      <c r="CI51" s="420">
        <f t="shared" si="4"/>
        <v>0</v>
      </c>
      <c r="CJ51" s="420">
        <f t="shared" si="5"/>
        <v>0</v>
      </c>
      <c r="CK51" s="420">
        <f t="shared" si="6"/>
        <v>0</v>
      </c>
      <c r="CL51" s="420">
        <f t="shared" si="7"/>
        <v>0</v>
      </c>
      <c r="CM51" s="420">
        <f t="shared" si="8"/>
        <v>0</v>
      </c>
      <c r="CN51" s="420">
        <f t="shared" si="9"/>
        <v>0</v>
      </c>
      <c r="CO51" s="420">
        <f t="shared" si="10"/>
        <v>0</v>
      </c>
      <c r="CP51" s="420">
        <f t="shared" si="11"/>
        <v>0</v>
      </c>
      <c r="CQ51" s="420">
        <f t="shared" si="12"/>
        <v>0</v>
      </c>
      <c r="CR51" s="420">
        <f t="shared" si="13"/>
        <v>0</v>
      </c>
      <c r="CS51" s="420">
        <f t="shared" si="14"/>
        <v>0</v>
      </c>
      <c r="CT51" s="21"/>
    </row>
    <row r="52" spans="3:98" hidden="1" outlineLevel="1">
      <c r="C52" s="415" t="s">
        <v>488</v>
      </c>
      <c r="D52" s="416">
        <v>0</v>
      </c>
      <c r="E52" s="416">
        <v>0</v>
      </c>
      <c r="F52" s="416">
        <v>0</v>
      </c>
      <c r="G52" s="416">
        <v>0</v>
      </c>
      <c r="H52" s="416">
        <v>0</v>
      </c>
      <c r="I52" s="416">
        <v>0</v>
      </c>
      <c r="J52" s="416">
        <v>0</v>
      </c>
      <c r="K52" s="416">
        <v>0</v>
      </c>
      <c r="L52" s="416">
        <v>0</v>
      </c>
      <c r="M52" s="416">
        <v>0</v>
      </c>
      <c r="N52" s="416">
        <v>0</v>
      </c>
      <c r="O52" s="416">
        <v>0</v>
      </c>
      <c r="P52" s="416">
        <v>0</v>
      </c>
      <c r="Q52" s="416">
        <v>0</v>
      </c>
      <c r="R52" s="416">
        <v>0</v>
      </c>
      <c r="S52" s="416">
        <v>0</v>
      </c>
      <c r="T52" s="416">
        <v>0</v>
      </c>
      <c r="U52" s="416">
        <v>0</v>
      </c>
      <c r="V52" s="416">
        <v>0</v>
      </c>
      <c r="W52" s="416">
        <v>0</v>
      </c>
      <c r="X52" s="416">
        <v>0</v>
      </c>
      <c r="Y52" s="416">
        <v>0</v>
      </c>
      <c r="Z52" s="416">
        <v>0</v>
      </c>
      <c r="AA52" s="416">
        <v>0</v>
      </c>
      <c r="AB52" s="416">
        <v>0</v>
      </c>
      <c r="AC52" s="416">
        <v>0</v>
      </c>
      <c r="AD52" s="416">
        <v>0</v>
      </c>
      <c r="AE52" s="416">
        <v>0</v>
      </c>
      <c r="AF52" s="416">
        <v>0</v>
      </c>
      <c r="AG52" s="416">
        <v>0</v>
      </c>
      <c r="AH52" s="416">
        <v>0</v>
      </c>
      <c r="AI52" s="416">
        <v>0</v>
      </c>
      <c r="AJ52" s="416">
        <v>0</v>
      </c>
      <c r="AK52" s="416">
        <v>0</v>
      </c>
      <c r="AL52" s="416">
        <v>0</v>
      </c>
      <c r="AM52" s="416">
        <v>0</v>
      </c>
      <c r="AN52" s="416">
        <v>0</v>
      </c>
      <c r="AO52" s="416">
        <v>0</v>
      </c>
      <c r="AP52" s="416">
        <v>0</v>
      </c>
      <c r="AQ52" s="416">
        <v>0</v>
      </c>
      <c r="AR52" s="416">
        <v>0</v>
      </c>
      <c r="AS52" s="416">
        <v>0</v>
      </c>
      <c r="AT52" s="416">
        <v>0</v>
      </c>
      <c r="AU52" s="416">
        <v>0</v>
      </c>
      <c r="AV52" s="416">
        <v>0</v>
      </c>
      <c r="AW52" s="416">
        <v>0</v>
      </c>
      <c r="AX52" s="416">
        <v>0</v>
      </c>
      <c r="AY52" s="416">
        <v>0</v>
      </c>
      <c r="AZ52" s="416">
        <v>0</v>
      </c>
      <c r="BA52" s="416">
        <v>0</v>
      </c>
      <c r="BB52" s="416">
        <v>0</v>
      </c>
      <c r="BC52" s="416">
        <v>0</v>
      </c>
      <c r="BD52" s="416">
        <v>0</v>
      </c>
      <c r="BE52" s="416">
        <v>0</v>
      </c>
      <c r="BF52" s="416">
        <v>0</v>
      </c>
      <c r="BG52" s="416">
        <v>0</v>
      </c>
      <c r="BH52" s="416">
        <v>0</v>
      </c>
      <c r="BI52" s="416">
        <v>0</v>
      </c>
      <c r="BJ52" s="416">
        <v>0</v>
      </c>
      <c r="BK52" s="416">
        <v>0</v>
      </c>
      <c r="BL52" s="416">
        <v>0</v>
      </c>
      <c r="BM52" s="416">
        <v>0</v>
      </c>
      <c r="BN52" s="416">
        <v>0</v>
      </c>
      <c r="BO52" s="416">
        <v>0</v>
      </c>
      <c r="BP52" s="416">
        <v>0</v>
      </c>
      <c r="BQ52" s="416">
        <v>0</v>
      </c>
      <c r="BR52" s="416">
        <v>0</v>
      </c>
      <c r="BS52" s="416">
        <v>0</v>
      </c>
      <c r="BT52" s="416">
        <v>0</v>
      </c>
      <c r="BU52" s="416">
        <v>0</v>
      </c>
      <c r="BV52" s="416">
        <v>0</v>
      </c>
      <c r="BW52" s="416">
        <v>0</v>
      </c>
      <c r="BX52" s="416">
        <v>0</v>
      </c>
      <c r="BY52" s="416">
        <v>0</v>
      </c>
      <c r="BZ52" s="416">
        <v>0</v>
      </c>
      <c r="CC52" s="420"/>
      <c r="CD52" s="415" t="s">
        <v>488</v>
      </c>
      <c r="CE52" s="420">
        <f t="shared" si="15"/>
        <v>0</v>
      </c>
      <c r="CF52" s="420">
        <f t="shared" si="1"/>
        <v>0</v>
      </c>
      <c r="CG52" s="420">
        <f t="shared" si="2"/>
        <v>0</v>
      </c>
      <c r="CH52" s="420">
        <f t="shared" si="3"/>
        <v>0</v>
      </c>
      <c r="CI52" s="420">
        <f t="shared" si="4"/>
        <v>0</v>
      </c>
      <c r="CJ52" s="420">
        <f t="shared" si="5"/>
        <v>0</v>
      </c>
      <c r="CK52" s="420">
        <f t="shared" si="6"/>
        <v>0</v>
      </c>
      <c r="CL52" s="420">
        <f t="shared" si="7"/>
        <v>0</v>
      </c>
      <c r="CM52" s="420">
        <f t="shared" si="8"/>
        <v>0</v>
      </c>
      <c r="CN52" s="420">
        <f t="shared" si="9"/>
        <v>0</v>
      </c>
      <c r="CO52" s="420">
        <f t="shared" si="10"/>
        <v>0</v>
      </c>
      <c r="CP52" s="420">
        <f t="shared" si="11"/>
        <v>0</v>
      </c>
      <c r="CQ52" s="420">
        <f t="shared" si="12"/>
        <v>0</v>
      </c>
      <c r="CR52" s="420">
        <f t="shared" si="13"/>
        <v>0</v>
      </c>
      <c r="CS52" s="420">
        <f t="shared" si="14"/>
        <v>0</v>
      </c>
      <c r="CT52" s="21"/>
    </row>
    <row r="53" spans="3:98" collapsed="1">
      <c r="C53" s="417" t="s">
        <v>10</v>
      </c>
      <c r="D53" s="416">
        <v>0</v>
      </c>
      <c r="E53" s="416">
        <v>0</v>
      </c>
      <c r="F53" s="416">
        <v>0</v>
      </c>
      <c r="G53" s="416">
        <v>0</v>
      </c>
      <c r="H53" s="416">
        <v>0</v>
      </c>
      <c r="I53" s="416">
        <v>0</v>
      </c>
      <c r="J53" s="416">
        <v>0</v>
      </c>
      <c r="K53" s="416">
        <v>0</v>
      </c>
      <c r="L53" s="416">
        <v>0</v>
      </c>
      <c r="M53" s="416">
        <v>0</v>
      </c>
      <c r="N53" s="416">
        <v>0</v>
      </c>
      <c r="O53" s="416">
        <v>0</v>
      </c>
      <c r="P53" s="416">
        <v>0</v>
      </c>
      <c r="Q53" s="416">
        <v>0</v>
      </c>
      <c r="R53" s="416">
        <v>0</v>
      </c>
      <c r="S53" s="416">
        <v>0</v>
      </c>
      <c r="T53" s="416">
        <v>0</v>
      </c>
      <c r="U53" s="416">
        <v>0</v>
      </c>
      <c r="V53" s="416">
        <v>0</v>
      </c>
      <c r="W53" s="416">
        <v>0</v>
      </c>
      <c r="X53" s="416">
        <v>0</v>
      </c>
      <c r="Y53" s="416">
        <v>0</v>
      </c>
      <c r="Z53" s="416">
        <v>0</v>
      </c>
      <c r="AA53" s="416">
        <v>0</v>
      </c>
      <c r="AB53" s="416">
        <v>0</v>
      </c>
      <c r="AC53" s="416">
        <v>0</v>
      </c>
      <c r="AD53" s="416">
        <v>0</v>
      </c>
      <c r="AE53" s="416">
        <v>0</v>
      </c>
      <c r="AF53" s="416">
        <v>0</v>
      </c>
      <c r="AG53" s="416">
        <v>0</v>
      </c>
      <c r="AH53" s="416">
        <v>0</v>
      </c>
      <c r="AI53" s="416">
        <v>0</v>
      </c>
      <c r="AJ53" s="416">
        <v>0</v>
      </c>
      <c r="AK53" s="416">
        <v>0</v>
      </c>
      <c r="AL53" s="416">
        <v>0</v>
      </c>
      <c r="AM53" s="416">
        <v>0</v>
      </c>
      <c r="AN53" s="416">
        <v>0</v>
      </c>
      <c r="AO53" s="416">
        <v>0</v>
      </c>
      <c r="AP53" s="416">
        <v>0</v>
      </c>
      <c r="AQ53" s="416">
        <v>0</v>
      </c>
      <c r="AR53" s="416">
        <v>0</v>
      </c>
      <c r="AS53" s="416">
        <v>0</v>
      </c>
      <c r="AT53" s="416">
        <v>0</v>
      </c>
      <c r="AU53" s="416">
        <v>0</v>
      </c>
      <c r="AV53" s="416">
        <v>0</v>
      </c>
      <c r="AW53" s="416">
        <v>0</v>
      </c>
      <c r="AX53" s="416">
        <v>0</v>
      </c>
      <c r="AY53" s="416">
        <v>0</v>
      </c>
      <c r="AZ53" s="416">
        <v>0</v>
      </c>
      <c r="BA53" s="416">
        <v>0</v>
      </c>
      <c r="BB53" s="416">
        <v>0</v>
      </c>
      <c r="BC53" s="416">
        <v>0</v>
      </c>
      <c r="BD53" s="416">
        <v>0</v>
      </c>
      <c r="BE53" s="416">
        <v>0</v>
      </c>
      <c r="BF53" s="416">
        <v>0</v>
      </c>
      <c r="BG53" s="416">
        <v>0</v>
      </c>
      <c r="BH53" s="416">
        <v>0</v>
      </c>
      <c r="BI53" s="416">
        <v>0</v>
      </c>
      <c r="BJ53" s="416">
        <v>0</v>
      </c>
      <c r="BK53" s="416">
        <v>0</v>
      </c>
      <c r="BL53" s="416">
        <v>0</v>
      </c>
      <c r="BM53" s="416">
        <v>0</v>
      </c>
      <c r="BN53" s="416">
        <v>0</v>
      </c>
      <c r="BO53" s="416">
        <v>0</v>
      </c>
      <c r="BP53" s="416">
        <v>0</v>
      </c>
      <c r="BQ53" s="416">
        <v>0</v>
      </c>
      <c r="BR53" s="416">
        <v>0</v>
      </c>
      <c r="BS53" s="416">
        <v>0</v>
      </c>
      <c r="BT53" s="416">
        <v>0</v>
      </c>
      <c r="BU53" s="416">
        <v>0</v>
      </c>
      <c r="BV53" s="416">
        <v>0</v>
      </c>
      <c r="BW53" s="416">
        <v>0</v>
      </c>
      <c r="BX53" s="416">
        <v>0</v>
      </c>
      <c r="BY53" s="416">
        <v>0</v>
      </c>
      <c r="BZ53" s="416">
        <v>0</v>
      </c>
      <c r="CC53" s="420"/>
      <c r="CD53" s="417" t="s">
        <v>10</v>
      </c>
      <c r="CE53" s="420">
        <f t="shared" si="15"/>
        <v>0</v>
      </c>
      <c r="CF53" s="420">
        <f t="shared" si="1"/>
        <v>0</v>
      </c>
      <c r="CG53" s="420">
        <f t="shared" si="2"/>
        <v>0</v>
      </c>
      <c r="CH53" s="420">
        <f t="shared" si="3"/>
        <v>0</v>
      </c>
      <c r="CI53" s="420">
        <f t="shared" si="4"/>
        <v>0</v>
      </c>
      <c r="CJ53" s="420">
        <f t="shared" si="5"/>
        <v>0</v>
      </c>
      <c r="CK53" s="420">
        <f t="shared" si="6"/>
        <v>0</v>
      </c>
      <c r="CL53" s="420">
        <f t="shared" si="7"/>
        <v>0</v>
      </c>
      <c r="CM53" s="420">
        <f t="shared" si="8"/>
        <v>0</v>
      </c>
      <c r="CN53" s="420">
        <f t="shared" si="9"/>
        <v>0</v>
      </c>
      <c r="CO53" s="420">
        <f t="shared" si="10"/>
        <v>0</v>
      </c>
      <c r="CP53" s="420">
        <f t="shared" si="11"/>
        <v>0</v>
      </c>
      <c r="CQ53" s="420">
        <f t="shared" si="12"/>
        <v>0</v>
      </c>
      <c r="CR53" s="420">
        <f t="shared" si="13"/>
        <v>0</v>
      </c>
      <c r="CS53" s="420">
        <f t="shared" si="14"/>
        <v>0</v>
      </c>
      <c r="CT53" s="21"/>
    </row>
    <row r="54" spans="3:98">
      <c r="C54" s="417" t="s">
        <v>489</v>
      </c>
      <c r="D54" s="416">
        <v>0</v>
      </c>
      <c r="E54" s="416">
        <v>0</v>
      </c>
      <c r="F54" s="416">
        <v>0</v>
      </c>
      <c r="G54" s="416">
        <v>0</v>
      </c>
      <c r="H54" s="416">
        <v>0</v>
      </c>
      <c r="I54" s="416">
        <v>0</v>
      </c>
      <c r="J54" s="416">
        <v>0</v>
      </c>
      <c r="K54" s="416">
        <v>0</v>
      </c>
      <c r="L54" s="416">
        <v>0</v>
      </c>
      <c r="M54" s="416">
        <v>0</v>
      </c>
      <c r="N54" s="416">
        <v>0</v>
      </c>
      <c r="O54" s="416">
        <v>0</v>
      </c>
      <c r="P54" s="416">
        <v>0</v>
      </c>
      <c r="Q54" s="416">
        <v>0</v>
      </c>
      <c r="R54" s="416">
        <v>0</v>
      </c>
      <c r="S54" s="416">
        <v>0</v>
      </c>
      <c r="T54" s="416">
        <v>0</v>
      </c>
      <c r="U54" s="416">
        <v>0</v>
      </c>
      <c r="V54" s="416">
        <v>0</v>
      </c>
      <c r="W54" s="416">
        <v>0</v>
      </c>
      <c r="X54" s="416">
        <v>0</v>
      </c>
      <c r="Y54" s="416">
        <v>0</v>
      </c>
      <c r="Z54" s="416">
        <v>0</v>
      </c>
      <c r="AA54" s="416">
        <v>0</v>
      </c>
      <c r="AB54" s="416">
        <v>0</v>
      </c>
      <c r="AC54" s="416">
        <v>0</v>
      </c>
      <c r="AD54" s="416">
        <v>0</v>
      </c>
      <c r="AE54" s="416">
        <v>0</v>
      </c>
      <c r="AF54" s="416">
        <v>0</v>
      </c>
      <c r="AG54" s="416">
        <v>0</v>
      </c>
      <c r="AH54" s="416">
        <v>0</v>
      </c>
      <c r="AI54" s="416">
        <v>0</v>
      </c>
      <c r="AJ54" s="416">
        <v>0</v>
      </c>
      <c r="AK54" s="416">
        <v>0</v>
      </c>
      <c r="AL54" s="416">
        <v>0</v>
      </c>
      <c r="AM54" s="416">
        <v>0</v>
      </c>
      <c r="AN54" s="416">
        <v>0</v>
      </c>
      <c r="AO54" s="416">
        <v>0</v>
      </c>
      <c r="AP54" s="416">
        <v>0</v>
      </c>
      <c r="AQ54" s="416">
        <v>0</v>
      </c>
      <c r="AR54" s="416">
        <v>0</v>
      </c>
      <c r="AS54" s="416">
        <v>0</v>
      </c>
      <c r="AT54" s="416">
        <v>0</v>
      </c>
      <c r="AU54" s="416">
        <v>0</v>
      </c>
      <c r="AV54" s="416">
        <v>0</v>
      </c>
      <c r="AW54" s="416">
        <v>0</v>
      </c>
      <c r="AX54" s="416">
        <v>0</v>
      </c>
      <c r="AY54" s="416">
        <v>0</v>
      </c>
      <c r="AZ54" s="416">
        <v>0</v>
      </c>
      <c r="BA54" s="416">
        <v>0</v>
      </c>
      <c r="BB54" s="416">
        <v>0</v>
      </c>
      <c r="BC54" s="416">
        <v>0</v>
      </c>
      <c r="BD54" s="416">
        <v>0</v>
      </c>
      <c r="BE54" s="416">
        <v>0</v>
      </c>
      <c r="BF54" s="416">
        <v>0</v>
      </c>
      <c r="BG54" s="416">
        <v>0</v>
      </c>
      <c r="BH54" s="416">
        <v>0</v>
      </c>
      <c r="BI54" s="416">
        <v>0</v>
      </c>
      <c r="BJ54" s="416">
        <v>0</v>
      </c>
      <c r="BK54" s="416">
        <v>0</v>
      </c>
      <c r="BL54" s="416">
        <v>0</v>
      </c>
      <c r="BM54" s="416">
        <v>0</v>
      </c>
      <c r="BN54" s="416">
        <v>0</v>
      </c>
      <c r="BO54" s="416">
        <v>0</v>
      </c>
      <c r="BP54" s="416">
        <v>0</v>
      </c>
      <c r="BQ54" s="416">
        <v>0</v>
      </c>
      <c r="BR54" s="416">
        <v>0</v>
      </c>
      <c r="BS54" s="416">
        <v>0</v>
      </c>
      <c r="BT54" s="416">
        <v>0</v>
      </c>
      <c r="BU54" s="416">
        <v>0</v>
      </c>
      <c r="BV54" s="416">
        <v>0</v>
      </c>
      <c r="BW54" s="416">
        <v>0</v>
      </c>
      <c r="BX54" s="416">
        <v>0</v>
      </c>
      <c r="BY54" s="416">
        <v>0</v>
      </c>
      <c r="BZ54" s="416">
        <v>0</v>
      </c>
      <c r="CC54" s="420"/>
      <c r="CD54" s="417" t="s">
        <v>489</v>
      </c>
      <c r="CE54" s="420">
        <f t="shared" si="15"/>
        <v>0</v>
      </c>
      <c r="CF54" s="420">
        <f t="shared" si="1"/>
        <v>0</v>
      </c>
      <c r="CG54" s="420">
        <f t="shared" si="2"/>
        <v>0</v>
      </c>
      <c r="CH54" s="420">
        <f t="shared" si="3"/>
        <v>0</v>
      </c>
      <c r="CI54" s="420">
        <f t="shared" si="4"/>
        <v>0</v>
      </c>
      <c r="CJ54" s="420">
        <f t="shared" si="5"/>
        <v>0</v>
      </c>
      <c r="CK54" s="420">
        <f t="shared" si="6"/>
        <v>0</v>
      </c>
      <c r="CL54" s="420">
        <f t="shared" si="7"/>
        <v>0</v>
      </c>
      <c r="CM54" s="420">
        <f t="shared" si="8"/>
        <v>0</v>
      </c>
      <c r="CN54" s="420">
        <f t="shared" si="9"/>
        <v>0</v>
      </c>
      <c r="CO54" s="420">
        <f t="shared" si="10"/>
        <v>0</v>
      </c>
      <c r="CP54" s="420">
        <f t="shared" si="11"/>
        <v>0</v>
      </c>
      <c r="CQ54" s="420">
        <f t="shared" si="12"/>
        <v>0</v>
      </c>
      <c r="CR54" s="420">
        <f t="shared" si="13"/>
        <v>0</v>
      </c>
      <c r="CS54" s="420">
        <f t="shared" si="14"/>
        <v>0</v>
      </c>
      <c r="CT54" s="21"/>
    </row>
    <row r="55" spans="3:98">
      <c r="C55" s="417" t="s">
        <v>490</v>
      </c>
      <c r="D55" s="416">
        <v>0</v>
      </c>
      <c r="E55" s="416">
        <v>0</v>
      </c>
      <c r="F55" s="416">
        <v>0</v>
      </c>
      <c r="G55" s="416">
        <v>0</v>
      </c>
      <c r="H55" s="416">
        <v>0</v>
      </c>
      <c r="I55" s="416">
        <v>0</v>
      </c>
      <c r="J55" s="416">
        <v>0</v>
      </c>
      <c r="K55" s="416">
        <v>0</v>
      </c>
      <c r="L55" s="416">
        <v>0</v>
      </c>
      <c r="M55" s="416">
        <v>0</v>
      </c>
      <c r="N55" s="416">
        <v>0</v>
      </c>
      <c r="O55" s="416">
        <v>0</v>
      </c>
      <c r="P55" s="416">
        <v>0</v>
      </c>
      <c r="Q55" s="416">
        <v>0</v>
      </c>
      <c r="R55" s="416">
        <v>0</v>
      </c>
      <c r="S55" s="416">
        <v>0</v>
      </c>
      <c r="T55" s="416">
        <v>0</v>
      </c>
      <c r="U55" s="416">
        <v>0</v>
      </c>
      <c r="V55" s="416">
        <v>0</v>
      </c>
      <c r="W55" s="416">
        <v>0</v>
      </c>
      <c r="X55" s="416">
        <v>0</v>
      </c>
      <c r="Y55" s="416">
        <v>0</v>
      </c>
      <c r="Z55" s="416">
        <v>0</v>
      </c>
      <c r="AA55" s="416">
        <v>0</v>
      </c>
      <c r="AB55" s="416">
        <v>0</v>
      </c>
      <c r="AC55" s="416">
        <v>0</v>
      </c>
      <c r="AD55" s="416">
        <v>0</v>
      </c>
      <c r="AE55" s="416">
        <v>0</v>
      </c>
      <c r="AF55" s="416">
        <v>0</v>
      </c>
      <c r="AG55" s="416">
        <v>0</v>
      </c>
      <c r="AH55" s="416">
        <v>0</v>
      </c>
      <c r="AI55" s="416">
        <v>0</v>
      </c>
      <c r="AJ55" s="416">
        <v>0</v>
      </c>
      <c r="AK55" s="416">
        <v>0</v>
      </c>
      <c r="AL55" s="416">
        <v>0</v>
      </c>
      <c r="AM55" s="416">
        <v>0</v>
      </c>
      <c r="AN55" s="416">
        <v>0</v>
      </c>
      <c r="AO55" s="416">
        <v>0</v>
      </c>
      <c r="AP55" s="416">
        <v>0</v>
      </c>
      <c r="AQ55" s="416">
        <v>0</v>
      </c>
      <c r="AR55" s="416">
        <v>0</v>
      </c>
      <c r="AS55" s="416">
        <v>0</v>
      </c>
      <c r="AT55" s="416">
        <v>0</v>
      </c>
      <c r="AU55" s="416">
        <v>0</v>
      </c>
      <c r="AV55" s="416">
        <v>0</v>
      </c>
      <c r="AW55" s="416">
        <v>0</v>
      </c>
      <c r="AX55" s="416">
        <v>0</v>
      </c>
      <c r="AY55" s="416">
        <v>0</v>
      </c>
      <c r="AZ55" s="416">
        <v>0</v>
      </c>
      <c r="BA55" s="416">
        <v>0</v>
      </c>
      <c r="BB55" s="416">
        <v>0</v>
      </c>
      <c r="BC55" s="416">
        <v>0</v>
      </c>
      <c r="BD55" s="416">
        <v>0</v>
      </c>
      <c r="BE55" s="416">
        <v>0</v>
      </c>
      <c r="BF55" s="416">
        <v>0</v>
      </c>
      <c r="BG55" s="416">
        <v>0</v>
      </c>
      <c r="BH55" s="416">
        <v>0</v>
      </c>
      <c r="BI55" s="416">
        <v>0</v>
      </c>
      <c r="BJ55" s="416">
        <v>0</v>
      </c>
      <c r="BK55" s="416">
        <v>0</v>
      </c>
      <c r="BL55" s="416">
        <v>0</v>
      </c>
      <c r="BM55" s="416">
        <v>0</v>
      </c>
      <c r="BN55" s="416">
        <v>0</v>
      </c>
      <c r="BO55" s="416">
        <v>0</v>
      </c>
      <c r="BP55" s="416">
        <v>0</v>
      </c>
      <c r="BQ55" s="416">
        <v>0</v>
      </c>
      <c r="BR55" s="416">
        <v>0</v>
      </c>
      <c r="BS55" s="416">
        <v>0</v>
      </c>
      <c r="BT55" s="416">
        <v>0</v>
      </c>
      <c r="BU55" s="416">
        <v>0</v>
      </c>
      <c r="BV55" s="416">
        <v>0</v>
      </c>
      <c r="BW55" s="416">
        <v>0</v>
      </c>
      <c r="BX55" s="416">
        <v>0</v>
      </c>
      <c r="BY55" s="416">
        <v>0</v>
      </c>
      <c r="BZ55" s="416">
        <v>0</v>
      </c>
      <c r="CC55" s="420"/>
      <c r="CD55" s="417" t="s">
        <v>490</v>
      </c>
      <c r="CE55" s="420">
        <f t="shared" si="15"/>
        <v>0</v>
      </c>
      <c r="CF55" s="420">
        <f t="shared" si="1"/>
        <v>0</v>
      </c>
      <c r="CG55" s="420">
        <f t="shared" si="2"/>
        <v>0</v>
      </c>
      <c r="CH55" s="420">
        <f t="shared" si="3"/>
        <v>0</v>
      </c>
      <c r="CI55" s="420">
        <f t="shared" si="4"/>
        <v>0</v>
      </c>
      <c r="CJ55" s="420">
        <f t="shared" si="5"/>
        <v>0</v>
      </c>
      <c r="CK55" s="420">
        <f t="shared" si="6"/>
        <v>0</v>
      </c>
      <c r="CL55" s="420">
        <f t="shared" si="7"/>
        <v>0</v>
      </c>
      <c r="CM55" s="420">
        <f t="shared" si="8"/>
        <v>0</v>
      </c>
      <c r="CN55" s="420">
        <f t="shared" si="9"/>
        <v>0</v>
      </c>
      <c r="CO55" s="420">
        <f t="shared" si="10"/>
        <v>0</v>
      </c>
      <c r="CP55" s="420">
        <f t="shared" si="11"/>
        <v>0</v>
      </c>
      <c r="CQ55" s="420">
        <f t="shared" si="12"/>
        <v>0</v>
      </c>
      <c r="CR55" s="420">
        <f t="shared" si="13"/>
        <v>0</v>
      </c>
      <c r="CS55" s="420">
        <f t="shared" si="14"/>
        <v>0</v>
      </c>
      <c r="CT55" s="21"/>
    </row>
    <row r="56" spans="3:98" hidden="1" outlineLevel="1">
      <c r="C56" s="415" t="s">
        <v>492</v>
      </c>
      <c r="D56" s="416">
        <v>0</v>
      </c>
      <c r="E56" s="416">
        <v>0</v>
      </c>
      <c r="F56" s="416">
        <v>0</v>
      </c>
      <c r="G56" s="416">
        <v>0</v>
      </c>
      <c r="H56" s="416">
        <v>0</v>
      </c>
      <c r="I56" s="416">
        <v>0</v>
      </c>
      <c r="J56" s="416">
        <v>0</v>
      </c>
      <c r="K56" s="416">
        <v>0</v>
      </c>
      <c r="L56" s="416">
        <v>0</v>
      </c>
      <c r="M56" s="416">
        <v>0</v>
      </c>
      <c r="N56" s="416">
        <v>0</v>
      </c>
      <c r="O56" s="416">
        <v>0</v>
      </c>
      <c r="P56" s="416">
        <v>0</v>
      </c>
      <c r="Q56" s="416">
        <v>0</v>
      </c>
      <c r="R56" s="416">
        <v>0</v>
      </c>
      <c r="S56" s="416">
        <v>0</v>
      </c>
      <c r="T56" s="416">
        <v>0</v>
      </c>
      <c r="U56" s="416">
        <v>0</v>
      </c>
      <c r="V56" s="416">
        <v>0</v>
      </c>
      <c r="W56" s="416">
        <v>0</v>
      </c>
      <c r="X56" s="416">
        <v>0</v>
      </c>
      <c r="Y56" s="416">
        <v>0</v>
      </c>
      <c r="Z56" s="416">
        <v>0</v>
      </c>
      <c r="AA56" s="416">
        <v>0</v>
      </c>
      <c r="AB56" s="416">
        <v>0</v>
      </c>
      <c r="AC56" s="416">
        <v>0</v>
      </c>
      <c r="AD56" s="416">
        <v>0</v>
      </c>
      <c r="AE56" s="416">
        <v>0</v>
      </c>
      <c r="AF56" s="416">
        <v>0</v>
      </c>
      <c r="AG56" s="416">
        <v>0</v>
      </c>
      <c r="AH56" s="416">
        <v>0</v>
      </c>
      <c r="AI56" s="416">
        <v>0</v>
      </c>
      <c r="AJ56" s="416">
        <v>0</v>
      </c>
      <c r="AK56" s="416">
        <v>0</v>
      </c>
      <c r="AL56" s="416">
        <v>0</v>
      </c>
      <c r="AM56" s="416">
        <v>0</v>
      </c>
      <c r="AN56" s="416">
        <v>0</v>
      </c>
      <c r="AO56" s="416">
        <v>0</v>
      </c>
      <c r="AP56" s="416">
        <v>0</v>
      </c>
      <c r="AQ56" s="416">
        <v>0</v>
      </c>
      <c r="AR56" s="416">
        <v>0</v>
      </c>
      <c r="AS56" s="416">
        <v>0</v>
      </c>
      <c r="AT56" s="416">
        <v>0</v>
      </c>
      <c r="AU56" s="416">
        <v>0</v>
      </c>
      <c r="AV56" s="416">
        <v>0</v>
      </c>
      <c r="AW56" s="416">
        <v>0</v>
      </c>
      <c r="AX56" s="416">
        <v>0</v>
      </c>
      <c r="AY56" s="416">
        <v>0</v>
      </c>
      <c r="AZ56" s="416">
        <v>0</v>
      </c>
      <c r="BA56" s="416">
        <v>0</v>
      </c>
      <c r="BB56" s="416">
        <v>0</v>
      </c>
      <c r="BC56" s="416">
        <v>0</v>
      </c>
      <c r="BD56" s="416">
        <v>0</v>
      </c>
      <c r="BE56" s="416">
        <v>0</v>
      </c>
      <c r="BF56" s="416">
        <v>0</v>
      </c>
      <c r="BG56" s="416">
        <v>0</v>
      </c>
      <c r="BH56" s="416">
        <v>0</v>
      </c>
      <c r="BI56" s="416">
        <v>0</v>
      </c>
      <c r="BJ56" s="416">
        <v>0</v>
      </c>
      <c r="BK56" s="416">
        <v>0</v>
      </c>
      <c r="BL56" s="416">
        <v>0</v>
      </c>
      <c r="BM56" s="416">
        <v>0</v>
      </c>
      <c r="BN56" s="416">
        <v>0</v>
      </c>
      <c r="BO56" s="416">
        <v>0</v>
      </c>
      <c r="BP56" s="416">
        <v>0</v>
      </c>
      <c r="BQ56" s="416">
        <v>0</v>
      </c>
      <c r="BR56" s="416">
        <v>0</v>
      </c>
      <c r="BS56" s="416">
        <v>0</v>
      </c>
      <c r="BT56" s="416">
        <v>0</v>
      </c>
      <c r="BU56" s="416">
        <v>0</v>
      </c>
      <c r="BV56" s="416">
        <v>0</v>
      </c>
      <c r="BW56" s="416">
        <v>0</v>
      </c>
      <c r="BX56" s="416">
        <v>0</v>
      </c>
      <c r="BY56" s="416">
        <v>0</v>
      </c>
      <c r="BZ56" s="416">
        <v>0</v>
      </c>
      <c r="CC56" s="420"/>
      <c r="CD56" s="415" t="s">
        <v>492</v>
      </c>
      <c r="CE56" s="420">
        <f t="shared" si="15"/>
        <v>0</v>
      </c>
      <c r="CF56" s="420">
        <f t="shared" si="1"/>
        <v>0</v>
      </c>
      <c r="CG56" s="420">
        <f t="shared" si="2"/>
        <v>0</v>
      </c>
      <c r="CH56" s="420">
        <f t="shared" si="3"/>
        <v>0</v>
      </c>
      <c r="CI56" s="420">
        <f t="shared" si="4"/>
        <v>0</v>
      </c>
      <c r="CJ56" s="420">
        <f t="shared" si="5"/>
        <v>0</v>
      </c>
      <c r="CK56" s="420">
        <f t="shared" si="6"/>
        <v>0</v>
      </c>
      <c r="CL56" s="420">
        <f t="shared" si="7"/>
        <v>0</v>
      </c>
      <c r="CM56" s="420">
        <f t="shared" si="8"/>
        <v>0</v>
      </c>
      <c r="CN56" s="420">
        <f t="shared" si="9"/>
        <v>0</v>
      </c>
      <c r="CO56" s="420">
        <f t="shared" si="10"/>
        <v>0</v>
      </c>
      <c r="CP56" s="420">
        <f t="shared" si="11"/>
        <v>0</v>
      </c>
      <c r="CQ56" s="420">
        <f t="shared" si="12"/>
        <v>0</v>
      </c>
      <c r="CR56" s="420">
        <f t="shared" si="13"/>
        <v>0</v>
      </c>
      <c r="CS56" s="420">
        <f t="shared" si="14"/>
        <v>0</v>
      </c>
      <c r="CT56" s="21"/>
    </row>
    <row r="57" spans="3:98" hidden="1" outlineLevel="1">
      <c r="C57" s="415" t="s">
        <v>493</v>
      </c>
      <c r="D57" s="416">
        <v>0</v>
      </c>
      <c r="E57" s="416">
        <v>0</v>
      </c>
      <c r="F57" s="416">
        <v>0</v>
      </c>
      <c r="G57" s="416">
        <v>0</v>
      </c>
      <c r="H57" s="416">
        <v>0</v>
      </c>
      <c r="I57" s="416">
        <v>0</v>
      </c>
      <c r="J57" s="416">
        <v>0</v>
      </c>
      <c r="K57" s="416">
        <v>0</v>
      </c>
      <c r="L57" s="416">
        <v>0</v>
      </c>
      <c r="M57" s="416">
        <v>0</v>
      </c>
      <c r="N57" s="416">
        <v>0</v>
      </c>
      <c r="O57" s="416">
        <v>0</v>
      </c>
      <c r="P57" s="416">
        <v>0</v>
      </c>
      <c r="Q57" s="416">
        <v>0</v>
      </c>
      <c r="R57" s="416">
        <v>0</v>
      </c>
      <c r="S57" s="416">
        <v>0</v>
      </c>
      <c r="T57" s="416">
        <v>0</v>
      </c>
      <c r="U57" s="416">
        <v>0</v>
      </c>
      <c r="V57" s="416">
        <v>0</v>
      </c>
      <c r="W57" s="416">
        <v>0</v>
      </c>
      <c r="X57" s="416">
        <v>0</v>
      </c>
      <c r="Y57" s="416">
        <v>0</v>
      </c>
      <c r="Z57" s="416">
        <v>0</v>
      </c>
      <c r="AA57" s="416">
        <v>0</v>
      </c>
      <c r="AB57" s="416">
        <v>0</v>
      </c>
      <c r="AC57" s="416">
        <v>0</v>
      </c>
      <c r="AD57" s="416">
        <v>0</v>
      </c>
      <c r="AE57" s="416">
        <v>0</v>
      </c>
      <c r="AF57" s="416">
        <v>0</v>
      </c>
      <c r="AG57" s="416">
        <v>0</v>
      </c>
      <c r="AH57" s="416">
        <v>0</v>
      </c>
      <c r="AI57" s="416">
        <v>0</v>
      </c>
      <c r="AJ57" s="416">
        <v>0</v>
      </c>
      <c r="AK57" s="416">
        <v>0</v>
      </c>
      <c r="AL57" s="416">
        <v>0</v>
      </c>
      <c r="AM57" s="416">
        <v>0</v>
      </c>
      <c r="AN57" s="416">
        <v>0</v>
      </c>
      <c r="AO57" s="416">
        <v>0</v>
      </c>
      <c r="AP57" s="416">
        <v>0</v>
      </c>
      <c r="AQ57" s="416">
        <v>0</v>
      </c>
      <c r="AR57" s="416">
        <v>0</v>
      </c>
      <c r="AS57" s="416">
        <v>0</v>
      </c>
      <c r="AT57" s="416">
        <v>0</v>
      </c>
      <c r="AU57" s="416">
        <v>0</v>
      </c>
      <c r="AV57" s="416">
        <v>0</v>
      </c>
      <c r="AW57" s="416">
        <v>0</v>
      </c>
      <c r="AX57" s="416">
        <v>0</v>
      </c>
      <c r="AY57" s="416">
        <v>0</v>
      </c>
      <c r="AZ57" s="416">
        <v>0</v>
      </c>
      <c r="BA57" s="416">
        <v>0</v>
      </c>
      <c r="BB57" s="416">
        <v>0</v>
      </c>
      <c r="BC57" s="416">
        <v>0</v>
      </c>
      <c r="BD57" s="416">
        <v>0</v>
      </c>
      <c r="BE57" s="416">
        <v>0</v>
      </c>
      <c r="BF57" s="416">
        <v>0</v>
      </c>
      <c r="BG57" s="416">
        <v>0</v>
      </c>
      <c r="BH57" s="416">
        <v>0</v>
      </c>
      <c r="BI57" s="416">
        <v>0</v>
      </c>
      <c r="BJ57" s="416">
        <v>0</v>
      </c>
      <c r="BK57" s="416">
        <v>0</v>
      </c>
      <c r="BL57" s="416">
        <v>0</v>
      </c>
      <c r="BM57" s="416">
        <v>0</v>
      </c>
      <c r="BN57" s="416">
        <v>0</v>
      </c>
      <c r="BO57" s="416">
        <v>0</v>
      </c>
      <c r="BP57" s="416">
        <v>0</v>
      </c>
      <c r="BQ57" s="416">
        <v>0</v>
      </c>
      <c r="BR57" s="416">
        <v>0</v>
      </c>
      <c r="BS57" s="416">
        <v>0</v>
      </c>
      <c r="BT57" s="416">
        <v>0</v>
      </c>
      <c r="BU57" s="416">
        <v>0</v>
      </c>
      <c r="BV57" s="416">
        <v>0</v>
      </c>
      <c r="BW57" s="416">
        <v>0</v>
      </c>
      <c r="BX57" s="416">
        <v>0</v>
      </c>
      <c r="BY57" s="416">
        <v>0</v>
      </c>
      <c r="BZ57" s="416">
        <v>0</v>
      </c>
      <c r="CC57" s="420"/>
      <c r="CD57" s="415" t="s">
        <v>493</v>
      </c>
      <c r="CE57" s="420">
        <f t="shared" si="15"/>
        <v>0</v>
      </c>
      <c r="CF57" s="420">
        <f t="shared" si="1"/>
        <v>0</v>
      </c>
      <c r="CG57" s="420">
        <f t="shared" si="2"/>
        <v>0</v>
      </c>
      <c r="CH57" s="420">
        <f t="shared" si="3"/>
        <v>0</v>
      </c>
      <c r="CI57" s="420">
        <f t="shared" si="4"/>
        <v>0</v>
      </c>
      <c r="CJ57" s="420">
        <f t="shared" si="5"/>
        <v>0</v>
      </c>
      <c r="CK57" s="420">
        <f t="shared" si="6"/>
        <v>0</v>
      </c>
      <c r="CL57" s="420">
        <f t="shared" si="7"/>
        <v>0</v>
      </c>
      <c r="CM57" s="420">
        <f t="shared" si="8"/>
        <v>0</v>
      </c>
      <c r="CN57" s="420">
        <f t="shared" si="9"/>
        <v>0</v>
      </c>
      <c r="CO57" s="420">
        <f t="shared" si="10"/>
        <v>0</v>
      </c>
      <c r="CP57" s="420">
        <f t="shared" si="11"/>
        <v>0</v>
      </c>
      <c r="CQ57" s="420">
        <f t="shared" si="12"/>
        <v>0</v>
      </c>
      <c r="CR57" s="420">
        <f t="shared" si="13"/>
        <v>0</v>
      </c>
      <c r="CS57" s="420">
        <f t="shared" si="14"/>
        <v>0</v>
      </c>
      <c r="CT57" s="21"/>
    </row>
    <row r="58" spans="3:98" collapsed="1">
      <c r="C58" s="417" t="s">
        <v>491</v>
      </c>
      <c r="D58" s="416">
        <v>0</v>
      </c>
      <c r="E58" s="416">
        <v>0</v>
      </c>
      <c r="F58" s="416">
        <v>0</v>
      </c>
      <c r="G58" s="416">
        <v>0</v>
      </c>
      <c r="H58" s="416">
        <v>0</v>
      </c>
      <c r="I58" s="416">
        <v>0</v>
      </c>
      <c r="J58" s="416">
        <v>0</v>
      </c>
      <c r="K58" s="416">
        <v>0</v>
      </c>
      <c r="L58" s="416">
        <v>0</v>
      </c>
      <c r="M58" s="416">
        <v>0</v>
      </c>
      <c r="N58" s="416">
        <v>0</v>
      </c>
      <c r="O58" s="416">
        <v>0</v>
      </c>
      <c r="P58" s="416">
        <v>0</v>
      </c>
      <c r="Q58" s="416">
        <v>0</v>
      </c>
      <c r="R58" s="416">
        <v>0</v>
      </c>
      <c r="S58" s="416">
        <v>0</v>
      </c>
      <c r="T58" s="416">
        <v>0</v>
      </c>
      <c r="U58" s="416">
        <v>0</v>
      </c>
      <c r="V58" s="416">
        <v>0</v>
      </c>
      <c r="W58" s="416">
        <v>0</v>
      </c>
      <c r="X58" s="416">
        <v>0</v>
      </c>
      <c r="Y58" s="416">
        <v>0</v>
      </c>
      <c r="Z58" s="416">
        <v>0</v>
      </c>
      <c r="AA58" s="416">
        <v>0</v>
      </c>
      <c r="AB58" s="416">
        <v>0</v>
      </c>
      <c r="AC58" s="416">
        <v>0</v>
      </c>
      <c r="AD58" s="416">
        <v>0</v>
      </c>
      <c r="AE58" s="416">
        <v>0</v>
      </c>
      <c r="AF58" s="416">
        <v>0</v>
      </c>
      <c r="AG58" s="416">
        <v>0</v>
      </c>
      <c r="AH58" s="416">
        <v>0</v>
      </c>
      <c r="AI58" s="416">
        <v>0</v>
      </c>
      <c r="AJ58" s="416">
        <v>0</v>
      </c>
      <c r="AK58" s="416">
        <v>0</v>
      </c>
      <c r="AL58" s="416">
        <v>0</v>
      </c>
      <c r="AM58" s="416">
        <v>0</v>
      </c>
      <c r="AN58" s="416">
        <v>0</v>
      </c>
      <c r="AO58" s="416">
        <v>0</v>
      </c>
      <c r="AP58" s="416">
        <v>0</v>
      </c>
      <c r="AQ58" s="416">
        <v>0</v>
      </c>
      <c r="AR58" s="416">
        <v>0</v>
      </c>
      <c r="AS58" s="416">
        <v>0</v>
      </c>
      <c r="AT58" s="416">
        <v>0</v>
      </c>
      <c r="AU58" s="416">
        <v>0</v>
      </c>
      <c r="AV58" s="416">
        <v>0</v>
      </c>
      <c r="AW58" s="416">
        <v>0</v>
      </c>
      <c r="AX58" s="416">
        <v>0</v>
      </c>
      <c r="AY58" s="416">
        <v>0</v>
      </c>
      <c r="AZ58" s="416">
        <v>0</v>
      </c>
      <c r="BA58" s="416">
        <v>0</v>
      </c>
      <c r="BB58" s="416">
        <v>0</v>
      </c>
      <c r="BC58" s="416">
        <v>0</v>
      </c>
      <c r="BD58" s="416">
        <v>0</v>
      </c>
      <c r="BE58" s="416">
        <v>0</v>
      </c>
      <c r="BF58" s="416">
        <v>0</v>
      </c>
      <c r="BG58" s="416">
        <v>0</v>
      </c>
      <c r="BH58" s="416">
        <v>0</v>
      </c>
      <c r="BI58" s="416">
        <v>0</v>
      </c>
      <c r="BJ58" s="416">
        <v>0</v>
      </c>
      <c r="BK58" s="416">
        <v>0</v>
      </c>
      <c r="BL58" s="416">
        <v>0</v>
      </c>
      <c r="BM58" s="416">
        <v>0</v>
      </c>
      <c r="BN58" s="416">
        <v>0</v>
      </c>
      <c r="BO58" s="416">
        <v>0</v>
      </c>
      <c r="BP58" s="416">
        <v>0</v>
      </c>
      <c r="BQ58" s="416">
        <v>0</v>
      </c>
      <c r="BR58" s="416">
        <v>0</v>
      </c>
      <c r="BS58" s="416">
        <v>0</v>
      </c>
      <c r="BT58" s="416">
        <v>0</v>
      </c>
      <c r="BU58" s="416">
        <v>0</v>
      </c>
      <c r="BV58" s="416">
        <v>0</v>
      </c>
      <c r="BW58" s="416">
        <v>0</v>
      </c>
      <c r="BX58" s="416">
        <v>0</v>
      </c>
      <c r="BY58" s="416">
        <v>0</v>
      </c>
      <c r="BZ58" s="416">
        <v>0</v>
      </c>
      <c r="CC58" s="420"/>
      <c r="CD58" s="417" t="s">
        <v>491</v>
      </c>
      <c r="CE58" s="420">
        <f t="shared" si="15"/>
        <v>0</v>
      </c>
      <c r="CF58" s="420">
        <f t="shared" si="1"/>
        <v>0</v>
      </c>
      <c r="CG58" s="420">
        <f t="shared" si="2"/>
        <v>0</v>
      </c>
      <c r="CH58" s="420">
        <f t="shared" si="3"/>
        <v>0</v>
      </c>
      <c r="CI58" s="420">
        <f t="shared" si="4"/>
        <v>0</v>
      </c>
      <c r="CJ58" s="420">
        <f t="shared" si="5"/>
        <v>0</v>
      </c>
      <c r="CK58" s="420">
        <f t="shared" si="6"/>
        <v>0</v>
      </c>
      <c r="CL58" s="420">
        <f t="shared" si="7"/>
        <v>0</v>
      </c>
      <c r="CM58" s="420">
        <f t="shared" si="8"/>
        <v>0</v>
      </c>
      <c r="CN58" s="420">
        <f t="shared" si="9"/>
        <v>0</v>
      </c>
      <c r="CO58" s="420">
        <f t="shared" si="10"/>
        <v>0</v>
      </c>
      <c r="CP58" s="420">
        <f t="shared" si="11"/>
        <v>0</v>
      </c>
      <c r="CQ58" s="420">
        <f t="shared" si="12"/>
        <v>0</v>
      </c>
      <c r="CR58" s="420">
        <f t="shared" si="13"/>
        <v>0</v>
      </c>
      <c r="CS58" s="420">
        <f t="shared" si="14"/>
        <v>0</v>
      </c>
      <c r="CT58" s="21"/>
    </row>
    <row r="59" spans="3:98" hidden="1" outlineLevel="1">
      <c r="C59" s="415" t="s">
        <v>494</v>
      </c>
      <c r="D59" s="416">
        <v>0</v>
      </c>
      <c r="E59" s="416">
        <v>0</v>
      </c>
      <c r="F59" s="416">
        <v>0</v>
      </c>
      <c r="G59" s="416">
        <v>0</v>
      </c>
      <c r="H59" s="416">
        <v>0</v>
      </c>
      <c r="I59" s="416">
        <v>0</v>
      </c>
      <c r="J59" s="416">
        <v>0</v>
      </c>
      <c r="K59" s="416">
        <v>0</v>
      </c>
      <c r="L59" s="416">
        <v>0</v>
      </c>
      <c r="M59" s="416">
        <v>0</v>
      </c>
      <c r="N59" s="416">
        <v>0</v>
      </c>
      <c r="O59" s="416">
        <v>0</v>
      </c>
      <c r="P59" s="416">
        <v>0</v>
      </c>
      <c r="Q59" s="416">
        <v>0</v>
      </c>
      <c r="R59" s="416">
        <v>0</v>
      </c>
      <c r="S59" s="416">
        <v>0</v>
      </c>
      <c r="T59" s="416">
        <v>0</v>
      </c>
      <c r="U59" s="416">
        <v>0</v>
      </c>
      <c r="V59" s="416">
        <v>0</v>
      </c>
      <c r="W59" s="416">
        <v>0</v>
      </c>
      <c r="X59" s="416">
        <v>0</v>
      </c>
      <c r="Y59" s="416">
        <v>0</v>
      </c>
      <c r="Z59" s="416">
        <v>0</v>
      </c>
      <c r="AA59" s="416">
        <v>0</v>
      </c>
      <c r="AB59" s="416">
        <v>0</v>
      </c>
      <c r="AC59" s="416">
        <v>0</v>
      </c>
      <c r="AD59" s="416">
        <v>0</v>
      </c>
      <c r="AE59" s="416">
        <v>0</v>
      </c>
      <c r="AF59" s="416">
        <v>0</v>
      </c>
      <c r="AG59" s="416">
        <v>0</v>
      </c>
      <c r="AH59" s="416">
        <v>0</v>
      </c>
      <c r="AI59" s="416">
        <v>0</v>
      </c>
      <c r="AJ59" s="416">
        <v>0</v>
      </c>
      <c r="AK59" s="416">
        <v>0</v>
      </c>
      <c r="AL59" s="416">
        <v>0</v>
      </c>
      <c r="AM59" s="416">
        <v>0</v>
      </c>
      <c r="AN59" s="416">
        <v>0</v>
      </c>
      <c r="AO59" s="416">
        <v>0</v>
      </c>
      <c r="AP59" s="416">
        <v>0</v>
      </c>
      <c r="AQ59" s="416">
        <v>0</v>
      </c>
      <c r="AR59" s="416">
        <v>0</v>
      </c>
      <c r="AS59" s="416">
        <v>0</v>
      </c>
      <c r="AT59" s="416">
        <v>0</v>
      </c>
      <c r="AU59" s="416">
        <v>0</v>
      </c>
      <c r="AV59" s="416">
        <v>0</v>
      </c>
      <c r="AW59" s="416">
        <v>0</v>
      </c>
      <c r="AX59" s="416">
        <v>0</v>
      </c>
      <c r="AY59" s="416">
        <v>0</v>
      </c>
      <c r="AZ59" s="416">
        <v>0</v>
      </c>
      <c r="BA59" s="416">
        <v>0</v>
      </c>
      <c r="BB59" s="416">
        <v>0</v>
      </c>
      <c r="BC59" s="416">
        <v>0</v>
      </c>
      <c r="BD59" s="416">
        <v>0</v>
      </c>
      <c r="BE59" s="416">
        <v>0</v>
      </c>
      <c r="BF59" s="416">
        <v>0</v>
      </c>
      <c r="BG59" s="416">
        <v>0</v>
      </c>
      <c r="BH59" s="416">
        <v>0</v>
      </c>
      <c r="BI59" s="416">
        <v>0</v>
      </c>
      <c r="BJ59" s="416">
        <v>0</v>
      </c>
      <c r="BK59" s="416">
        <v>0</v>
      </c>
      <c r="BL59" s="416">
        <v>0</v>
      </c>
      <c r="BM59" s="416">
        <v>0</v>
      </c>
      <c r="BN59" s="416">
        <v>0</v>
      </c>
      <c r="BO59" s="416">
        <v>0</v>
      </c>
      <c r="BP59" s="416">
        <v>0</v>
      </c>
      <c r="BQ59" s="416">
        <v>0</v>
      </c>
      <c r="BR59" s="416">
        <v>0</v>
      </c>
      <c r="BS59" s="416">
        <v>0</v>
      </c>
      <c r="BT59" s="416">
        <v>0</v>
      </c>
      <c r="BU59" s="416">
        <v>0</v>
      </c>
      <c r="BV59" s="416">
        <v>0</v>
      </c>
      <c r="BW59" s="416">
        <v>0</v>
      </c>
      <c r="BX59" s="416">
        <v>0</v>
      </c>
      <c r="BY59" s="416">
        <v>0</v>
      </c>
      <c r="BZ59" s="416">
        <v>0</v>
      </c>
      <c r="CC59" s="420"/>
      <c r="CD59" s="415" t="s">
        <v>494</v>
      </c>
      <c r="CE59" s="420">
        <f t="shared" si="15"/>
        <v>0</v>
      </c>
      <c r="CF59" s="420">
        <f t="shared" si="1"/>
        <v>0</v>
      </c>
      <c r="CG59" s="420">
        <f t="shared" si="2"/>
        <v>0</v>
      </c>
      <c r="CH59" s="420">
        <f t="shared" si="3"/>
        <v>0</v>
      </c>
      <c r="CI59" s="420">
        <f t="shared" si="4"/>
        <v>0</v>
      </c>
      <c r="CJ59" s="420">
        <f t="shared" si="5"/>
        <v>0</v>
      </c>
      <c r="CK59" s="420">
        <f t="shared" si="6"/>
        <v>0</v>
      </c>
      <c r="CL59" s="420">
        <f t="shared" si="7"/>
        <v>0</v>
      </c>
      <c r="CM59" s="420">
        <f t="shared" si="8"/>
        <v>0</v>
      </c>
      <c r="CN59" s="420">
        <f t="shared" si="9"/>
        <v>0</v>
      </c>
      <c r="CO59" s="420">
        <f t="shared" si="10"/>
        <v>0</v>
      </c>
      <c r="CP59" s="420">
        <f t="shared" si="11"/>
        <v>0</v>
      </c>
      <c r="CQ59" s="420">
        <f t="shared" si="12"/>
        <v>0</v>
      </c>
      <c r="CR59" s="420">
        <f t="shared" si="13"/>
        <v>0</v>
      </c>
      <c r="CS59" s="420">
        <f t="shared" si="14"/>
        <v>0</v>
      </c>
      <c r="CT59" s="21"/>
    </row>
    <row r="60" spans="3:98" hidden="1" outlineLevel="1">
      <c r="C60" s="415" t="s">
        <v>495</v>
      </c>
      <c r="D60" s="416">
        <v>0</v>
      </c>
      <c r="E60" s="416">
        <v>0</v>
      </c>
      <c r="F60" s="416">
        <v>0</v>
      </c>
      <c r="G60" s="416">
        <v>0</v>
      </c>
      <c r="H60" s="416">
        <v>0</v>
      </c>
      <c r="I60" s="416">
        <v>0</v>
      </c>
      <c r="J60" s="416">
        <v>0</v>
      </c>
      <c r="K60" s="416">
        <v>0</v>
      </c>
      <c r="L60" s="416">
        <v>0</v>
      </c>
      <c r="M60" s="416">
        <v>0</v>
      </c>
      <c r="N60" s="416">
        <v>0</v>
      </c>
      <c r="O60" s="416">
        <v>0</v>
      </c>
      <c r="P60" s="416">
        <v>0</v>
      </c>
      <c r="Q60" s="416">
        <v>0</v>
      </c>
      <c r="R60" s="416">
        <v>0</v>
      </c>
      <c r="S60" s="416">
        <v>0</v>
      </c>
      <c r="T60" s="416">
        <v>0</v>
      </c>
      <c r="U60" s="416">
        <v>0</v>
      </c>
      <c r="V60" s="416">
        <v>0</v>
      </c>
      <c r="W60" s="416">
        <v>0</v>
      </c>
      <c r="X60" s="416">
        <v>0</v>
      </c>
      <c r="Y60" s="416">
        <v>0</v>
      </c>
      <c r="Z60" s="416">
        <v>0</v>
      </c>
      <c r="AA60" s="416">
        <v>0</v>
      </c>
      <c r="AB60" s="416">
        <v>0</v>
      </c>
      <c r="AC60" s="416">
        <v>0</v>
      </c>
      <c r="AD60" s="416">
        <v>0</v>
      </c>
      <c r="AE60" s="416">
        <v>0</v>
      </c>
      <c r="AF60" s="416">
        <v>0</v>
      </c>
      <c r="AG60" s="416">
        <v>0</v>
      </c>
      <c r="AH60" s="416">
        <v>0</v>
      </c>
      <c r="AI60" s="416">
        <v>0</v>
      </c>
      <c r="AJ60" s="416">
        <v>0</v>
      </c>
      <c r="AK60" s="416">
        <v>0</v>
      </c>
      <c r="AL60" s="416">
        <v>0</v>
      </c>
      <c r="AM60" s="416">
        <v>0</v>
      </c>
      <c r="AN60" s="416">
        <v>0</v>
      </c>
      <c r="AO60" s="416">
        <v>0</v>
      </c>
      <c r="AP60" s="416">
        <v>0</v>
      </c>
      <c r="AQ60" s="416">
        <v>0</v>
      </c>
      <c r="AR60" s="416">
        <v>0</v>
      </c>
      <c r="AS60" s="416">
        <v>0</v>
      </c>
      <c r="AT60" s="416">
        <v>0</v>
      </c>
      <c r="AU60" s="416">
        <v>0</v>
      </c>
      <c r="AV60" s="416">
        <v>0</v>
      </c>
      <c r="AW60" s="416">
        <v>0</v>
      </c>
      <c r="AX60" s="416">
        <v>0</v>
      </c>
      <c r="AY60" s="416">
        <v>0</v>
      </c>
      <c r="AZ60" s="416">
        <v>0</v>
      </c>
      <c r="BA60" s="416">
        <v>0</v>
      </c>
      <c r="BB60" s="416">
        <v>0</v>
      </c>
      <c r="BC60" s="416">
        <v>0</v>
      </c>
      <c r="BD60" s="416">
        <v>0</v>
      </c>
      <c r="BE60" s="416">
        <v>0</v>
      </c>
      <c r="BF60" s="416">
        <v>0</v>
      </c>
      <c r="BG60" s="416">
        <v>0</v>
      </c>
      <c r="BH60" s="416">
        <v>0</v>
      </c>
      <c r="BI60" s="416">
        <v>0</v>
      </c>
      <c r="BJ60" s="416">
        <v>0</v>
      </c>
      <c r="BK60" s="416">
        <v>0</v>
      </c>
      <c r="BL60" s="416">
        <v>0</v>
      </c>
      <c r="BM60" s="416">
        <v>0</v>
      </c>
      <c r="BN60" s="416">
        <v>0</v>
      </c>
      <c r="BO60" s="416">
        <v>0</v>
      </c>
      <c r="BP60" s="416">
        <v>0</v>
      </c>
      <c r="BQ60" s="416">
        <v>0</v>
      </c>
      <c r="BR60" s="416">
        <v>0</v>
      </c>
      <c r="BS60" s="416">
        <v>0</v>
      </c>
      <c r="BT60" s="416">
        <v>0</v>
      </c>
      <c r="BU60" s="416">
        <v>0</v>
      </c>
      <c r="BV60" s="416">
        <v>0</v>
      </c>
      <c r="BW60" s="416">
        <v>0</v>
      </c>
      <c r="BX60" s="416">
        <v>0</v>
      </c>
      <c r="BY60" s="416">
        <v>0</v>
      </c>
      <c r="BZ60" s="416">
        <v>0</v>
      </c>
      <c r="CC60" s="420"/>
      <c r="CD60" s="415" t="s">
        <v>495</v>
      </c>
      <c r="CE60" s="420">
        <f t="shared" si="15"/>
        <v>0</v>
      </c>
      <c r="CF60" s="420">
        <f t="shared" si="1"/>
        <v>0</v>
      </c>
      <c r="CG60" s="420">
        <f t="shared" si="2"/>
        <v>0</v>
      </c>
      <c r="CH60" s="420">
        <f t="shared" si="3"/>
        <v>0</v>
      </c>
      <c r="CI60" s="420">
        <f t="shared" si="4"/>
        <v>0</v>
      </c>
      <c r="CJ60" s="420">
        <f t="shared" si="5"/>
        <v>0</v>
      </c>
      <c r="CK60" s="420">
        <f t="shared" si="6"/>
        <v>0</v>
      </c>
      <c r="CL60" s="420">
        <f t="shared" si="7"/>
        <v>0</v>
      </c>
      <c r="CM60" s="420">
        <f t="shared" si="8"/>
        <v>0</v>
      </c>
      <c r="CN60" s="420">
        <f t="shared" si="9"/>
        <v>0</v>
      </c>
      <c r="CO60" s="420">
        <f t="shared" si="10"/>
        <v>0</v>
      </c>
      <c r="CP60" s="420">
        <f t="shared" si="11"/>
        <v>0</v>
      </c>
      <c r="CQ60" s="420">
        <f t="shared" si="12"/>
        <v>0</v>
      </c>
      <c r="CR60" s="420">
        <f t="shared" si="13"/>
        <v>0</v>
      </c>
      <c r="CS60" s="420">
        <f t="shared" si="14"/>
        <v>0</v>
      </c>
      <c r="CT60" s="21"/>
    </row>
    <row r="61" spans="3:98" hidden="1" outlineLevel="1">
      <c r="C61" s="415" t="s">
        <v>496</v>
      </c>
      <c r="D61" s="416">
        <v>0</v>
      </c>
      <c r="E61" s="416">
        <v>0</v>
      </c>
      <c r="F61" s="416">
        <v>0</v>
      </c>
      <c r="G61" s="416">
        <v>0</v>
      </c>
      <c r="H61" s="416">
        <v>0</v>
      </c>
      <c r="I61" s="416">
        <v>0</v>
      </c>
      <c r="J61" s="416">
        <v>0</v>
      </c>
      <c r="K61" s="416">
        <v>0</v>
      </c>
      <c r="L61" s="416">
        <v>0</v>
      </c>
      <c r="M61" s="416">
        <v>0</v>
      </c>
      <c r="N61" s="416">
        <v>0</v>
      </c>
      <c r="O61" s="416">
        <v>0</v>
      </c>
      <c r="P61" s="416">
        <v>0</v>
      </c>
      <c r="Q61" s="416">
        <v>0</v>
      </c>
      <c r="R61" s="416">
        <v>0</v>
      </c>
      <c r="S61" s="416">
        <v>0</v>
      </c>
      <c r="T61" s="416">
        <v>0</v>
      </c>
      <c r="U61" s="416">
        <v>0</v>
      </c>
      <c r="V61" s="416">
        <v>0</v>
      </c>
      <c r="W61" s="416">
        <v>0</v>
      </c>
      <c r="X61" s="416">
        <v>0</v>
      </c>
      <c r="Y61" s="416">
        <v>0</v>
      </c>
      <c r="Z61" s="416">
        <v>0</v>
      </c>
      <c r="AA61" s="416">
        <v>0</v>
      </c>
      <c r="AB61" s="416">
        <v>0</v>
      </c>
      <c r="AC61" s="416">
        <v>0</v>
      </c>
      <c r="AD61" s="416">
        <v>0</v>
      </c>
      <c r="AE61" s="416">
        <v>0</v>
      </c>
      <c r="AF61" s="416">
        <v>0</v>
      </c>
      <c r="AG61" s="416">
        <v>0</v>
      </c>
      <c r="AH61" s="416">
        <v>0</v>
      </c>
      <c r="AI61" s="416">
        <v>0</v>
      </c>
      <c r="AJ61" s="416">
        <v>0</v>
      </c>
      <c r="AK61" s="416">
        <v>0</v>
      </c>
      <c r="AL61" s="416">
        <v>0</v>
      </c>
      <c r="AM61" s="416">
        <v>0</v>
      </c>
      <c r="AN61" s="416">
        <v>0</v>
      </c>
      <c r="AO61" s="416">
        <v>0</v>
      </c>
      <c r="AP61" s="416">
        <v>0</v>
      </c>
      <c r="AQ61" s="416">
        <v>0</v>
      </c>
      <c r="AR61" s="416">
        <v>0</v>
      </c>
      <c r="AS61" s="416">
        <v>0</v>
      </c>
      <c r="AT61" s="416">
        <v>0</v>
      </c>
      <c r="AU61" s="416">
        <v>0</v>
      </c>
      <c r="AV61" s="416">
        <v>0</v>
      </c>
      <c r="AW61" s="416">
        <v>0</v>
      </c>
      <c r="AX61" s="416">
        <v>0</v>
      </c>
      <c r="AY61" s="416">
        <v>0</v>
      </c>
      <c r="AZ61" s="416">
        <v>0</v>
      </c>
      <c r="BA61" s="416">
        <v>0</v>
      </c>
      <c r="BB61" s="416">
        <v>0</v>
      </c>
      <c r="BC61" s="416">
        <v>0</v>
      </c>
      <c r="BD61" s="416">
        <v>0</v>
      </c>
      <c r="BE61" s="416">
        <v>0</v>
      </c>
      <c r="BF61" s="416">
        <v>46.2</v>
      </c>
      <c r="BG61" s="416">
        <v>10.430999999999999</v>
      </c>
      <c r="BH61" s="416">
        <v>-3.2469999999999999</v>
      </c>
      <c r="BI61" s="416">
        <v>20.356999999999999</v>
      </c>
      <c r="BJ61" s="416">
        <v>97.081000000000003</v>
      </c>
      <c r="BK61" s="416">
        <v>124.622</v>
      </c>
      <c r="BL61" s="416">
        <v>155.887</v>
      </c>
      <c r="BM61" s="416">
        <v>282.42200000000003</v>
      </c>
      <c r="BN61" s="416">
        <v>118.548</v>
      </c>
      <c r="BO61" s="416">
        <v>73.450999999999993</v>
      </c>
      <c r="BP61" s="416">
        <v>630.30799999999999</v>
      </c>
      <c r="BQ61" s="416">
        <v>0</v>
      </c>
      <c r="BR61" s="416">
        <v>0</v>
      </c>
      <c r="BS61" s="416">
        <v>74.584999999999994</v>
      </c>
      <c r="BT61" s="416">
        <v>685.80100000000004</v>
      </c>
      <c r="BU61" s="416">
        <v>796.80399999999997</v>
      </c>
      <c r="BV61" s="416">
        <v>0</v>
      </c>
      <c r="BW61" s="416">
        <v>0</v>
      </c>
      <c r="BX61" s="416">
        <v>15.824</v>
      </c>
      <c r="BY61" s="416">
        <v>0</v>
      </c>
      <c r="BZ61" s="416">
        <v>0</v>
      </c>
      <c r="CC61" s="420"/>
      <c r="CD61" s="415" t="s">
        <v>496</v>
      </c>
      <c r="CE61" s="420">
        <f t="shared" si="15"/>
        <v>0</v>
      </c>
      <c r="CF61" s="420">
        <f t="shared" si="1"/>
        <v>0</v>
      </c>
      <c r="CG61" s="420">
        <f t="shared" si="2"/>
        <v>0</v>
      </c>
      <c r="CH61" s="420">
        <f t="shared" si="3"/>
        <v>0</v>
      </c>
      <c r="CI61" s="420">
        <f t="shared" si="4"/>
        <v>0</v>
      </c>
      <c r="CJ61" s="420">
        <f t="shared" si="5"/>
        <v>0</v>
      </c>
      <c r="CK61" s="420">
        <f t="shared" si="6"/>
        <v>0</v>
      </c>
      <c r="CL61" s="420">
        <f t="shared" si="7"/>
        <v>0</v>
      </c>
      <c r="CM61" s="420">
        <f t="shared" si="8"/>
        <v>0</v>
      </c>
      <c r="CN61" s="420">
        <f t="shared" si="9"/>
        <v>0</v>
      </c>
      <c r="CO61" s="420">
        <f t="shared" si="10"/>
        <v>46.2</v>
      </c>
      <c r="CP61" s="420">
        <f t="shared" si="11"/>
        <v>124.622</v>
      </c>
      <c r="CQ61" s="420">
        <f t="shared" si="12"/>
        <v>630.30799999999999</v>
      </c>
      <c r="CR61" s="420">
        <f t="shared" si="13"/>
        <v>796.80399999999997</v>
      </c>
      <c r="CS61" s="420">
        <f t="shared" si="14"/>
        <v>0</v>
      </c>
      <c r="CT61" s="21"/>
    </row>
    <row r="62" spans="3:98" collapsed="1">
      <c r="C62" s="417" t="s">
        <v>105</v>
      </c>
      <c r="D62" s="416">
        <v>0</v>
      </c>
      <c r="E62" s="416">
        <v>0</v>
      </c>
      <c r="F62" s="416">
        <v>0</v>
      </c>
      <c r="G62" s="416">
        <v>0</v>
      </c>
      <c r="H62" s="416">
        <v>0</v>
      </c>
      <c r="I62" s="416">
        <v>0</v>
      </c>
      <c r="J62" s="416">
        <v>0</v>
      </c>
      <c r="K62" s="416">
        <v>0</v>
      </c>
      <c r="L62" s="416">
        <v>0</v>
      </c>
      <c r="M62" s="416">
        <v>0</v>
      </c>
      <c r="N62" s="416">
        <v>0</v>
      </c>
      <c r="O62" s="416">
        <v>0</v>
      </c>
      <c r="P62" s="416">
        <v>0</v>
      </c>
      <c r="Q62" s="416">
        <v>0</v>
      </c>
      <c r="R62" s="416">
        <v>0</v>
      </c>
      <c r="S62" s="416">
        <v>0</v>
      </c>
      <c r="T62" s="416">
        <v>0</v>
      </c>
      <c r="U62" s="416">
        <v>0</v>
      </c>
      <c r="V62" s="416">
        <v>0</v>
      </c>
      <c r="W62" s="416">
        <v>0</v>
      </c>
      <c r="X62" s="416">
        <v>0</v>
      </c>
      <c r="Y62" s="416">
        <v>0</v>
      </c>
      <c r="Z62" s="416">
        <v>0</v>
      </c>
      <c r="AA62" s="416">
        <v>0</v>
      </c>
      <c r="AB62" s="416">
        <v>0</v>
      </c>
      <c r="AC62" s="416">
        <v>0</v>
      </c>
      <c r="AD62" s="416">
        <v>0</v>
      </c>
      <c r="AE62" s="416">
        <v>0</v>
      </c>
      <c r="AF62" s="416">
        <v>0</v>
      </c>
      <c r="AG62" s="416">
        <v>0</v>
      </c>
      <c r="AH62" s="416">
        <v>0</v>
      </c>
      <c r="AI62" s="416">
        <v>0</v>
      </c>
      <c r="AJ62" s="416">
        <v>0</v>
      </c>
      <c r="AK62" s="416">
        <v>0</v>
      </c>
      <c r="AL62" s="416">
        <v>0</v>
      </c>
      <c r="AM62" s="416">
        <v>0</v>
      </c>
      <c r="AN62" s="416">
        <v>0</v>
      </c>
      <c r="AO62" s="416">
        <v>0</v>
      </c>
      <c r="AP62" s="416">
        <v>0</v>
      </c>
      <c r="AQ62" s="416">
        <v>0</v>
      </c>
      <c r="AR62" s="416">
        <v>0</v>
      </c>
      <c r="AS62" s="416">
        <v>0</v>
      </c>
      <c r="AT62" s="416">
        <v>0</v>
      </c>
      <c r="AU62" s="416">
        <v>0</v>
      </c>
      <c r="AV62" s="416">
        <v>0</v>
      </c>
      <c r="AW62" s="416">
        <v>0</v>
      </c>
      <c r="AX62" s="416">
        <v>0</v>
      </c>
      <c r="AY62" s="416">
        <v>0</v>
      </c>
      <c r="AZ62" s="416">
        <v>0</v>
      </c>
      <c r="BA62" s="416">
        <v>0</v>
      </c>
      <c r="BB62" s="416">
        <v>0</v>
      </c>
      <c r="BC62" s="416">
        <v>0</v>
      </c>
      <c r="BD62" s="416">
        <v>0</v>
      </c>
      <c r="BE62" s="416">
        <v>0</v>
      </c>
      <c r="BF62" s="416">
        <v>46.2</v>
      </c>
      <c r="BG62" s="416">
        <v>10.430999999999999</v>
      </c>
      <c r="BH62" s="416">
        <v>-3.2469999999999999</v>
      </c>
      <c r="BI62" s="416">
        <v>20.356999999999999</v>
      </c>
      <c r="BJ62" s="416">
        <v>97.081000000000003</v>
      </c>
      <c r="BK62" s="416">
        <v>124.622</v>
      </c>
      <c r="BL62" s="416">
        <v>155.887</v>
      </c>
      <c r="BM62" s="416">
        <v>282.42200000000003</v>
      </c>
      <c r="BN62" s="416">
        <v>118.548</v>
      </c>
      <c r="BO62" s="416">
        <v>73.450999999999993</v>
      </c>
      <c r="BP62" s="416">
        <v>630.30799999999999</v>
      </c>
      <c r="BQ62" s="416">
        <v>258.62700000000001</v>
      </c>
      <c r="BR62" s="416">
        <v>422.762</v>
      </c>
      <c r="BS62" s="416">
        <v>74.584999999999994</v>
      </c>
      <c r="BT62" s="416">
        <v>685.80100000000004</v>
      </c>
      <c r="BU62" s="416">
        <v>796.80399999999997</v>
      </c>
      <c r="BV62" s="416">
        <v>-15.222</v>
      </c>
      <c r="BW62" s="416">
        <v>10.813000000000001</v>
      </c>
      <c r="BX62" s="416">
        <v>15.824</v>
      </c>
      <c r="BY62" s="416">
        <v>0</v>
      </c>
      <c r="BZ62" s="416">
        <v>0</v>
      </c>
      <c r="CC62" s="420"/>
      <c r="CD62" s="417" t="s">
        <v>105</v>
      </c>
      <c r="CE62" s="425">
        <f t="shared" si="15"/>
        <v>0</v>
      </c>
      <c r="CF62" s="425">
        <f t="shared" si="1"/>
        <v>0</v>
      </c>
      <c r="CG62" s="425">
        <f t="shared" si="2"/>
        <v>0</v>
      </c>
      <c r="CH62" s="425">
        <f t="shared" si="3"/>
        <v>0</v>
      </c>
      <c r="CI62" s="425">
        <f t="shared" si="4"/>
        <v>0</v>
      </c>
      <c r="CJ62" s="425">
        <f t="shared" si="5"/>
        <v>0</v>
      </c>
      <c r="CK62" s="425">
        <f t="shared" si="6"/>
        <v>0</v>
      </c>
      <c r="CL62" s="425">
        <f t="shared" si="7"/>
        <v>0</v>
      </c>
      <c r="CM62" s="425">
        <f t="shared" si="8"/>
        <v>0</v>
      </c>
      <c r="CN62" s="425">
        <f t="shared" si="9"/>
        <v>0</v>
      </c>
      <c r="CO62" s="425">
        <f t="shared" si="10"/>
        <v>46.2</v>
      </c>
      <c r="CP62" s="425">
        <f t="shared" si="11"/>
        <v>124.622</v>
      </c>
      <c r="CQ62" s="425">
        <f t="shared" si="12"/>
        <v>630.30799999999999</v>
      </c>
      <c r="CR62" s="425">
        <f t="shared" si="13"/>
        <v>796.80399999999997</v>
      </c>
      <c r="CS62" s="425">
        <f t="shared" si="14"/>
        <v>0</v>
      </c>
      <c r="CT62" s="21"/>
    </row>
    <row r="63" spans="3:98">
      <c r="C63" s="421" t="s">
        <v>101</v>
      </c>
      <c r="D63" s="422">
        <v>0</v>
      </c>
      <c r="E63" s="422">
        <v>0</v>
      </c>
      <c r="F63" s="422">
        <v>0</v>
      </c>
      <c r="G63" s="422">
        <v>0</v>
      </c>
      <c r="H63" s="422">
        <v>0</v>
      </c>
      <c r="I63" s="422">
        <v>0</v>
      </c>
      <c r="J63" s="422">
        <v>0</v>
      </c>
      <c r="K63" s="422">
        <v>0</v>
      </c>
      <c r="L63" s="422">
        <v>0</v>
      </c>
      <c r="M63" s="422">
        <v>0</v>
      </c>
      <c r="N63" s="422">
        <v>0</v>
      </c>
      <c r="O63" s="422">
        <v>0</v>
      </c>
      <c r="P63" s="422">
        <v>0</v>
      </c>
      <c r="Q63" s="422">
        <v>0</v>
      </c>
      <c r="R63" s="422">
        <v>0</v>
      </c>
      <c r="S63" s="422">
        <v>0</v>
      </c>
      <c r="T63" s="422">
        <v>0</v>
      </c>
      <c r="U63" s="422">
        <v>0</v>
      </c>
      <c r="V63" s="422">
        <v>0</v>
      </c>
      <c r="W63" s="422">
        <v>0</v>
      </c>
      <c r="X63" s="422">
        <v>0</v>
      </c>
      <c r="Y63" s="422">
        <v>0</v>
      </c>
      <c r="Z63" s="422">
        <v>0</v>
      </c>
      <c r="AA63" s="422">
        <v>0</v>
      </c>
      <c r="AB63" s="422">
        <v>0</v>
      </c>
      <c r="AC63" s="422">
        <v>0</v>
      </c>
      <c r="AD63" s="422">
        <v>0</v>
      </c>
      <c r="AE63" s="422">
        <v>0</v>
      </c>
      <c r="AF63" s="422">
        <v>0</v>
      </c>
      <c r="AG63" s="422">
        <v>0</v>
      </c>
      <c r="AH63" s="422">
        <v>0</v>
      </c>
      <c r="AI63" s="422">
        <v>0</v>
      </c>
      <c r="AJ63" s="422">
        <v>0</v>
      </c>
      <c r="AK63" s="422">
        <v>0</v>
      </c>
      <c r="AL63" s="422">
        <v>0</v>
      </c>
      <c r="AM63" s="422">
        <v>0</v>
      </c>
      <c r="AN63" s="422">
        <v>0</v>
      </c>
      <c r="AO63" s="422">
        <v>0</v>
      </c>
      <c r="AP63" s="422">
        <v>0</v>
      </c>
      <c r="AQ63" s="422">
        <v>0</v>
      </c>
      <c r="AR63" s="422">
        <v>0</v>
      </c>
      <c r="AS63" s="422">
        <v>0</v>
      </c>
      <c r="AT63" s="422">
        <v>0</v>
      </c>
      <c r="AU63" s="422">
        <v>0</v>
      </c>
      <c r="AV63" s="422">
        <v>0</v>
      </c>
      <c r="AW63" s="422">
        <v>0</v>
      </c>
      <c r="AX63" s="422">
        <v>0</v>
      </c>
      <c r="AY63" s="422">
        <v>0</v>
      </c>
      <c r="AZ63" s="422">
        <v>0</v>
      </c>
      <c r="BA63" s="422">
        <v>0</v>
      </c>
      <c r="BB63" s="422">
        <v>0</v>
      </c>
      <c r="BC63" s="422">
        <v>0</v>
      </c>
      <c r="BD63" s="422">
        <v>0</v>
      </c>
      <c r="BE63" s="422">
        <v>0</v>
      </c>
      <c r="BF63" s="422">
        <v>487.32299999999998</v>
      </c>
      <c r="BG63" s="422">
        <v>126.44799999999999</v>
      </c>
      <c r="BH63" s="422">
        <v>120.901</v>
      </c>
      <c r="BI63" s="422">
        <v>177.08600000000001</v>
      </c>
      <c r="BJ63" s="422">
        <v>308.58100000000002</v>
      </c>
      <c r="BK63" s="422">
        <v>733.01599999999996</v>
      </c>
      <c r="BL63" s="422">
        <v>579.33299999999997</v>
      </c>
      <c r="BM63" s="422">
        <v>1017.811</v>
      </c>
      <c r="BN63" s="422">
        <v>822.84900000000005</v>
      </c>
      <c r="BO63" s="422">
        <v>1074.9580000000001</v>
      </c>
      <c r="BP63" s="422">
        <v>3494.95</v>
      </c>
      <c r="BQ63" s="422">
        <v>1443.0730000000001</v>
      </c>
      <c r="BR63" s="422">
        <v>1643.0740000000001</v>
      </c>
      <c r="BS63" s="422">
        <v>1045.9680000000001</v>
      </c>
      <c r="BT63" s="422">
        <v>1746.6890000000001</v>
      </c>
      <c r="BU63" s="422">
        <v>5233.8329999999996</v>
      </c>
      <c r="BV63" s="422">
        <v>655.54600000000005</v>
      </c>
      <c r="BW63" s="422">
        <v>674.32100000000003</v>
      </c>
      <c r="BX63" s="422">
        <v>669.38800000000003</v>
      </c>
      <c r="BY63" s="422">
        <v>0</v>
      </c>
      <c r="BZ63" s="422">
        <v>0</v>
      </c>
      <c r="CC63" s="420"/>
      <c r="CD63" s="421" t="s">
        <v>101</v>
      </c>
      <c r="CE63" s="420">
        <f t="shared" si="15"/>
        <v>0</v>
      </c>
      <c r="CF63" s="420">
        <f t="shared" si="1"/>
        <v>0</v>
      </c>
      <c r="CG63" s="420">
        <f t="shared" si="2"/>
        <v>0</v>
      </c>
      <c r="CH63" s="420">
        <f t="shared" si="3"/>
        <v>0</v>
      </c>
      <c r="CI63" s="420">
        <f t="shared" si="4"/>
        <v>0</v>
      </c>
      <c r="CJ63" s="420">
        <f t="shared" si="5"/>
        <v>0</v>
      </c>
      <c r="CK63" s="420">
        <f t="shared" si="6"/>
        <v>0</v>
      </c>
      <c r="CL63" s="420">
        <f t="shared" si="7"/>
        <v>0</v>
      </c>
      <c r="CM63" s="420">
        <f t="shared" si="8"/>
        <v>0</v>
      </c>
      <c r="CN63" s="420">
        <f t="shared" si="9"/>
        <v>0</v>
      </c>
      <c r="CO63" s="420">
        <f t="shared" si="10"/>
        <v>487.32299999999998</v>
      </c>
      <c r="CP63" s="420">
        <f t="shared" si="11"/>
        <v>733.01599999999996</v>
      </c>
      <c r="CQ63" s="420">
        <f t="shared" si="12"/>
        <v>3494.95</v>
      </c>
      <c r="CR63" s="420">
        <f t="shared" si="13"/>
        <v>5233.8329999999996</v>
      </c>
      <c r="CS63" s="420">
        <f t="shared" si="14"/>
        <v>0</v>
      </c>
      <c r="CT63" s="21"/>
    </row>
    <row r="64" spans="3:98" ht="4.5" customHeight="1">
      <c r="D64" s="416">
        <v>0</v>
      </c>
      <c r="E64" s="416">
        <v>0</v>
      </c>
      <c r="F64" s="416">
        <v>0</v>
      </c>
      <c r="G64" s="416">
        <v>0</v>
      </c>
      <c r="H64" s="416">
        <v>0</v>
      </c>
      <c r="I64" s="416">
        <v>0</v>
      </c>
      <c r="J64" s="416">
        <v>0</v>
      </c>
      <c r="K64" s="416">
        <v>0</v>
      </c>
      <c r="L64" s="416">
        <v>0</v>
      </c>
      <c r="M64" s="416">
        <v>0</v>
      </c>
      <c r="N64" s="416">
        <v>0</v>
      </c>
      <c r="O64" s="416">
        <v>0</v>
      </c>
      <c r="P64" s="416">
        <v>0</v>
      </c>
      <c r="Q64" s="416">
        <v>0</v>
      </c>
      <c r="R64" s="416">
        <v>0</v>
      </c>
      <c r="S64" s="416">
        <v>0</v>
      </c>
      <c r="T64" s="416">
        <v>0</v>
      </c>
      <c r="U64" s="416">
        <v>0</v>
      </c>
      <c r="V64" s="416">
        <v>0</v>
      </c>
      <c r="W64" s="416">
        <v>0</v>
      </c>
      <c r="X64" s="416">
        <v>0</v>
      </c>
      <c r="Y64" s="416">
        <v>0</v>
      </c>
      <c r="Z64" s="416">
        <v>0</v>
      </c>
      <c r="AA64" s="416">
        <v>0</v>
      </c>
      <c r="AB64" s="416">
        <v>0</v>
      </c>
      <c r="AC64" s="416">
        <v>0</v>
      </c>
      <c r="AD64" s="416">
        <v>0</v>
      </c>
      <c r="AE64" s="416">
        <v>0</v>
      </c>
      <c r="AF64" s="416">
        <v>0</v>
      </c>
      <c r="AG64" s="416">
        <v>0</v>
      </c>
      <c r="AH64" s="416">
        <v>0</v>
      </c>
      <c r="AI64" s="416">
        <v>0</v>
      </c>
      <c r="AJ64" s="416">
        <v>0</v>
      </c>
      <c r="AK64" s="416">
        <v>0</v>
      </c>
      <c r="AL64" s="416">
        <v>0</v>
      </c>
      <c r="AM64" s="416">
        <v>0</v>
      </c>
      <c r="AN64" s="416">
        <v>0</v>
      </c>
      <c r="AO64" s="416">
        <v>0</v>
      </c>
      <c r="AP64" s="416">
        <v>0</v>
      </c>
      <c r="AQ64" s="416">
        <v>0</v>
      </c>
      <c r="AR64" s="416">
        <v>0</v>
      </c>
      <c r="AS64" s="416">
        <v>0</v>
      </c>
      <c r="AT64" s="416">
        <v>0</v>
      </c>
      <c r="AU64" s="416">
        <v>0</v>
      </c>
      <c r="AV64" s="416">
        <v>0</v>
      </c>
      <c r="AW64" s="416">
        <v>0</v>
      </c>
      <c r="AX64" s="416">
        <v>0</v>
      </c>
      <c r="AY64" s="416">
        <v>0</v>
      </c>
      <c r="AZ64" s="416">
        <v>0</v>
      </c>
      <c r="BA64" s="416">
        <v>0</v>
      </c>
      <c r="BB64" s="416">
        <v>0</v>
      </c>
      <c r="BC64" s="416">
        <v>0</v>
      </c>
      <c r="BD64" s="416">
        <v>0</v>
      </c>
      <c r="BE64" s="416">
        <v>0</v>
      </c>
      <c r="BF64" s="416">
        <v>0</v>
      </c>
      <c r="BG64" s="416">
        <v>0</v>
      </c>
      <c r="BH64" s="416">
        <v>0</v>
      </c>
      <c r="BI64" s="416">
        <v>0</v>
      </c>
      <c r="BJ64" s="416">
        <v>0</v>
      </c>
      <c r="BK64" s="416">
        <v>0</v>
      </c>
      <c r="BL64" s="416">
        <v>0</v>
      </c>
      <c r="BM64" s="416">
        <v>0</v>
      </c>
      <c r="BN64" s="416">
        <v>0</v>
      </c>
      <c r="BO64" s="416">
        <v>0</v>
      </c>
      <c r="BP64" s="416">
        <v>0</v>
      </c>
      <c r="BQ64" s="416">
        <v>0</v>
      </c>
      <c r="BR64" s="416">
        <v>0</v>
      </c>
      <c r="BS64" s="416">
        <v>0</v>
      </c>
      <c r="BT64" s="416">
        <v>0</v>
      </c>
      <c r="BU64" s="416">
        <v>0</v>
      </c>
      <c r="BV64" s="416">
        <v>0</v>
      </c>
      <c r="BW64" s="416">
        <v>0</v>
      </c>
      <c r="BX64" s="416">
        <v>0</v>
      </c>
      <c r="BY64" s="416">
        <v>0</v>
      </c>
      <c r="BZ64" s="416">
        <v>0</v>
      </c>
      <c r="CC64" s="420"/>
      <c r="CD64" s="58"/>
      <c r="CE64" s="420">
        <f t="shared" si="15"/>
        <v>0</v>
      </c>
      <c r="CF64" s="420">
        <f t="shared" si="1"/>
        <v>0</v>
      </c>
      <c r="CG64" s="420">
        <f t="shared" si="2"/>
        <v>0</v>
      </c>
      <c r="CH64" s="420">
        <f t="shared" si="3"/>
        <v>0</v>
      </c>
      <c r="CI64" s="420">
        <f t="shared" si="4"/>
        <v>0</v>
      </c>
      <c r="CJ64" s="420">
        <f t="shared" si="5"/>
        <v>0</v>
      </c>
      <c r="CK64" s="420">
        <f t="shared" si="6"/>
        <v>0</v>
      </c>
      <c r="CL64" s="420">
        <f t="shared" si="7"/>
        <v>0</v>
      </c>
      <c r="CM64" s="420">
        <f t="shared" si="8"/>
        <v>0</v>
      </c>
      <c r="CN64" s="420">
        <f t="shared" si="9"/>
        <v>0</v>
      </c>
      <c r="CO64" s="420">
        <f t="shared" si="10"/>
        <v>0</v>
      </c>
      <c r="CP64" s="420">
        <f t="shared" si="11"/>
        <v>0</v>
      </c>
      <c r="CQ64" s="420">
        <f t="shared" si="12"/>
        <v>0</v>
      </c>
      <c r="CR64" s="420">
        <f t="shared" si="13"/>
        <v>0</v>
      </c>
      <c r="CS64" s="420">
        <f t="shared" si="14"/>
        <v>0</v>
      </c>
      <c r="CT64" s="21"/>
    </row>
    <row r="65" spans="3:98">
      <c r="C65" s="421" t="s">
        <v>106</v>
      </c>
      <c r="D65" s="422">
        <v>0</v>
      </c>
      <c r="E65" s="422">
        <v>0</v>
      </c>
      <c r="F65" s="422">
        <v>0</v>
      </c>
      <c r="G65" s="422">
        <v>0</v>
      </c>
      <c r="H65" s="422">
        <v>0</v>
      </c>
      <c r="I65" s="422">
        <v>0</v>
      </c>
      <c r="J65" s="422">
        <v>0</v>
      </c>
      <c r="K65" s="422">
        <v>0</v>
      </c>
      <c r="L65" s="422">
        <v>0</v>
      </c>
      <c r="M65" s="422">
        <v>0</v>
      </c>
      <c r="N65" s="422">
        <v>0</v>
      </c>
      <c r="O65" s="422">
        <v>0</v>
      </c>
      <c r="P65" s="422">
        <v>0</v>
      </c>
      <c r="Q65" s="422">
        <v>0</v>
      </c>
      <c r="R65" s="422">
        <v>0</v>
      </c>
      <c r="S65" s="422">
        <v>0</v>
      </c>
      <c r="T65" s="422">
        <v>0</v>
      </c>
      <c r="U65" s="422">
        <v>0</v>
      </c>
      <c r="V65" s="422">
        <v>0</v>
      </c>
      <c r="W65" s="422">
        <v>0</v>
      </c>
      <c r="X65" s="422">
        <v>0</v>
      </c>
      <c r="Y65" s="422">
        <v>0</v>
      </c>
      <c r="Z65" s="422">
        <v>0</v>
      </c>
      <c r="AA65" s="422">
        <v>0</v>
      </c>
      <c r="AB65" s="422">
        <v>0</v>
      </c>
      <c r="AC65" s="422">
        <v>0</v>
      </c>
      <c r="AD65" s="422">
        <v>0</v>
      </c>
      <c r="AE65" s="422">
        <v>0</v>
      </c>
      <c r="AF65" s="422">
        <v>0</v>
      </c>
      <c r="AG65" s="422">
        <v>0</v>
      </c>
      <c r="AH65" s="422">
        <v>0</v>
      </c>
      <c r="AI65" s="422">
        <v>0</v>
      </c>
      <c r="AJ65" s="422">
        <v>0</v>
      </c>
      <c r="AK65" s="422">
        <v>0</v>
      </c>
      <c r="AL65" s="422">
        <v>0</v>
      </c>
      <c r="AM65" s="422">
        <v>0</v>
      </c>
      <c r="AN65" s="422">
        <v>0</v>
      </c>
      <c r="AO65" s="422">
        <v>0</v>
      </c>
      <c r="AP65" s="422">
        <v>0</v>
      </c>
      <c r="AQ65" s="422">
        <v>0</v>
      </c>
      <c r="AR65" s="422">
        <v>0</v>
      </c>
      <c r="AS65" s="422">
        <v>0</v>
      </c>
      <c r="AT65" s="422">
        <v>0</v>
      </c>
      <c r="AU65" s="422">
        <v>0</v>
      </c>
      <c r="AV65" s="422">
        <v>0</v>
      </c>
      <c r="AW65" s="422">
        <v>0</v>
      </c>
      <c r="AX65" s="422">
        <v>0</v>
      </c>
      <c r="AY65" s="422">
        <v>0</v>
      </c>
      <c r="AZ65" s="422">
        <v>0</v>
      </c>
      <c r="BA65" s="422">
        <v>0</v>
      </c>
      <c r="BB65" s="422">
        <v>0</v>
      </c>
      <c r="BC65" s="422">
        <v>0</v>
      </c>
      <c r="BD65" s="422">
        <v>0</v>
      </c>
      <c r="BE65" s="422">
        <v>0</v>
      </c>
      <c r="BF65" s="422">
        <v>-35.643000000000001</v>
      </c>
      <c r="BG65" s="422">
        <v>38.774999999999999</v>
      </c>
      <c r="BH65" s="422">
        <v>42.085999999999999</v>
      </c>
      <c r="BI65" s="422">
        <v>101.505</v>
      </c>
      <c r="BJ65" s="422">
        <v>226.58500000000001</v>
      </c>
      <c r="BK65" s="422">
        <v>408.95100000000002</v>
      </c>
      <c r="BL65" s="422">
        <v>987.71299999999997</v>
      </c>
      <c r="BM65" s="422">
        <v>874.72500000000002</v>
      </c>
      <c r="BN65" s="422">
        <v>291.80799999999999</v>
      </c>
      <c r="BO65" s="422">
        <v>922.32399999999996</v>
      </c>
      <c r="BP65" s="422">
        <v>3076.57</v>
      </c>
      <c r="BQ65" s="422">
        <v>-554.46299999999997</v>
      </c>
      <c r="BR65" s="422">
        <v>-1001.936</v>
      </c>
      <c r="BS65" s="422">
        <v>-557.505</v>
      </c>
      <c r="BT65" s="422">
        <v>-1200.5719999999999</v>
      </c>
      <c r="BU65" s="422">
        <v>-2669.5050000000001</v>
      </c>
      <c r="BV65" s="422">
        <v>20.614000000000001</v>
      </c>
      <c r="BW65" s="422">
        <v>-74.61</v>
      </c>
      <c r="BX65" s="422">
        <v>-85.816999999999993</v>
      </c>
      <c r="BY65" s="422">
        <v>0</v>
      </c>
      <c r="BZ65" s="422">
        <v>0</v>
      </c>
      <c r="CC65" s="420"/>
      <c r="CD65" s="421" t="s">
        <v>106</v>
      </c>
      <c r="CE65" s="423">
        <f t="shared" si="15"/>
        <v>0</v>
      </c>
      <c r="CF65" s="423">
        <f t="shared" si="1"/>
        <v>0</v>
      </c>
      <c r="CG65" s="423">
        <f t="shared" si="2"/>
        <v>0</v>
      </c>
      <c r="CH65" s="423">
        <f t="shared" si="3"/>
        <v>0</v>
      </c>
      <c r="CI65" s="423">
        <f t="shared" si="4"/>
        <v>0</v>
      </c>
      <c r="CJ65" s="423">
        <f t="shared" si="5"/>
        <v>0</v>
      </c>
      <c r="CK65" s="423">
        <f t="shared" si="6"/>
        <v>0</v>
      </c>
      <c r="CL65" s="423">
        <f t="shared" si="7"/>
        <v>0</v>
      </c>
      <c r="CM65" s="423">
        <f t="shared" si="8"/>
        <v>0</v>
      </c>
      <c r="CN65" s="423">
        <f t="shared" si="9"/>
        <v>0</v>
      </c>
      <c r="CO65" s="423">
        <f t="shared" si="10"/>
        <v>-35.643000000000001</v>
      </c>
      <c r="CP65" s="423">
        <f t="shared" si="11"/>
        <v>408.95100000000002</v>
      </c>
      <c r="CQ65" s="423">
        <f t="shared" si="12"/>
        <v>3076.57</v>
      </c>
      <c r="CR65" s="423">
        <f t="shared" si="13"/>
        <v>-2669.5050000000001</v>
      </c>
      <c r="CS65" s="423">
        <f t="shared" si="14"/>
        <v>0</v>
      </c>
      <c r="CT65" s="21"/>
    </row>
    <row r="66" spans="3:98">
      <c r="C66" s="415"/>
      <c r="D66" s="416"/>
      <c r="E66" s="416"/>
      <c r="F66" s="416"/>
      <c r="G66" s="416"/>
      <c r="H66" s="416"/>
      <c r="I66" s="416"/>
      <c r="J66" s="416"/>
      <c r="K66" s="416"/>
      <c r="L66" s="416"/>
      <c r="M66" s="416"/>
      <c r="N66" s="416"/>
      <c r="O66" s="416"/>
      <c r="P66" s="416"/>
      <c r="Q66" s="416"/>
      <c r="R66" s="416"/>
      <c r="S66" s="416"/>
      <c r="T66" s="416"/>
      <c r="U66" s="416"/>
      <c r="V66" s="416"/>
      <c r="W66" s="416"/>
      <c r="X66" s="416"/>
      <c r="Y66" s="416"/>
      <c r="Z66" s="416"/>
      <c r="AA66" s="416"/>
      <c r="AB66" s="416"/>
      <c r="AC66" s="416"/>
      <c r="AD66" s="416"/>
      <c r="AE66" s="416"/>
      <c r="AF66" s="416"/>
      <c r="AG66" s="416"/>
      <c r="AH66" s="416"/>
      <c r="AI66" s="416"/>
      <c r="AJ66" s="416"/>
      <c r="AK66" s="416"/>
      <c r="AL66" s="416"/>
      <c r="AM66" s="416"/>
      <c r="AN66" s="416"/>
      <c r="AO66" s="416"/>
      <c r="AP66" s="416"/>
      <c r="AQ66" s="416"/>
      <c r="AR66" s="416"/>
      <c r="AS66" s="416"/>
      <c r="AT66" s="416"/>
      <c r="AU66" s="416"/>
      <c r="AV66" s="416"/>
      <c r="AW66" s="416"/>
      <c r="AX66" s="416"/>
      <c r="AY66" s="416"/>
      <c r="AZ66" s="416"/>
      <c r="BA66" s="416"/>
      <c r="BB66" s="416"/>
      <c r="BC66" s="416"/>
      <c r="BD66" s="416"/>
      <c r="BE66" s="416"/>
      <c r="BF66" s="416"/>
      <c r="BG66" s="416"/>
      <c r="BH66" s="416"/>
      <c r="BI66" s="416"/>
      <c r="BJ66" s="416"/>
      <c r="BK66" s="416"/>
      <c r="BL66" s="416"/>
      <c r="BM66" s="416"/>
      <c r="BN66" s="416"/>
      <c r="BO66" s="416"/>
      <c r="BP66" s="416"/>
      <c r="BQ66" s="416"/>
      <c r="BR66" s="416"/>
      <c r="BS66" s="416"/>
      <c r="BT66" s="416"/>
      <c r="BU66" s="416"/>
      <c r="BV66" s="416"/>
      <c r="BW66" s="416"/>
      <c r="BX66" s="416"/>
      <c r="BY66" s="416"/>
      <c r="BZ66" s="416"/>
      <c r="CC66" s="420"/>
      <c r="CD66" s="415"/>
      <c r="CE66" s="420"/>
      <c r="CF66" s="420"/>
      <c r="CG66" s="420"/>
      <c r="CH66" s="420"/>
      <c r="CI66" s="420"/>
      <c r="CJ66" s="420"/>
      <c r="CK66" s="420"/>
      <c r="CL66" s="420"/>
      <c r="CM66" s="420"/>
      <c r="CN66" s="420"/>
      <c r="CO66" s="420"/>
      <c r="CP66" s="420"/>
      <c r="CQ66" s="420"/>
      <c r="CR66" s="420"/>
      <c r="CS66" s="420"/>
      <c r="CT66" s="21"/>
    </row>
    <row r="67" spans="3:98" hidden="1" outlineLevel="2">
      <c r="C67" s="424" t="s">
        <v>110</v>
      </c>
      <c r="D67" s="416">
        <v>0</v>
      </c>
      <c r="E67" s="416">
        <v>0</v>
      </c>
      <c r="F67" s="416">
        <v>0</v>
      </c>
      <c r="G67" s="416">
        <v>0</v>
      </c>
      <c r="H67" s="416">
        <v>0</v>
      </c>
      <c r="I67" s="416">
        <v>0</v>
      </c>
      <c r="J67" s="416">
        <v>0</v>
      </c>
      <c r="K67" s="416">
        <v>0</v>
      </c>
      <c r="L67" s="416">
        <v>0</v>
      </c>
      <c r="M67" s="416">
        <v>0</v>
      </c>
      <c r="N67" s="416">
        <v>0</v>
      </c>
      <c r="O67" s="416">
        <v>0</v>
      </c>
      <c r="P67" s="416">
        <v>0</v>
      </c>
      <c r="Q67" s="416">
        <v>0</v>
      </c>
      <c r="R67" s="416">
        <v>0</v>
      </c>
      <c r="S67" s="416">
        <v>0</v>
      </c>
      <c r="T67" s="416">
        <v>0</v>
      </c>
      <c r="U67" s="416">
        <v>0</v>
      </c>
      <c r="V67" s="416">
        <v>0</v>
      </c>
      <c r="W67" s="416">
        <v>0</v>
      </c>
      <c r="X67" s="416">
        <v>0</v>
      </c>
      <c r="Y67" s="416">
        <v>0</v>
      </c>
      <c r="Z67" s="416">
        <v>0</v>
      </c>
      <c r="AA67" s="416">
        <v>0</v>
      </c>
      <c r="AB67" s="416">
        <v>0</v>
      </c>
      <c r="AC67" s="416">
        <v>0</v>
      </c>
      <c r="AD67" s="416">
        <v>0</v>
      </c>
      <c r="AE67" s="416">
        <v>0</v>
      </c>
      <c r="AF67" s="416">
        <v>0</v>
      </c>
      <c r="AG67" s="416">
        <v>0</v>
      </c>
      <c r="AH67" s="416">
        <v>0</v>
      </c>
      <c r="AI67" s="416">
        <v>0</v>
      </c>
      <c r="AJ67" s="416">
        <v>0</v>
      </c>
      <c r="AK67" s="416">
        <v>0</v>
      </c>
      <c r="AL67" s="416">
        <v>0</v>
      </c>
      <c r="AM67" s="416">
        <v>0</v>
      </c>
      <c r="AN67" s="416">
        <v>0</v>
      </c>
      <c r="AO67" s="416">
        <v>0</v>
      </c>
      <c r="AP67" s="416">
        <v>0</v>
      </c>
      <c r="AQ67" s="416">
        <v>0</v>
      </c>
      <c r="AR67" s="416">
        <v>0</v>
      </c>
      <c r="AS67" s="416">
        <v>0</v>
      </c>
      <c r="AT67" s="416">
        <v>0</v>
      </c>
      <c r="AU67" s="416">
        <v>0</v>
      </c>
      <c r="AV67" s="416">
        <v>0</v>
      </c>
      <c r="AW67" s="416">
        <v>0</v>
      </c>
      <c r="AX67" s="416">
        <v>0</v>
      </c>
      <c r="AY67" s="416">
        <v>0</v>
      </c>
      <c r="AZ67" s="416">
        <v>0</v>
      </c>
      <c r="BA67" s="416">
        <v>0</v>
      </c>
      <c r="BB67" s="416">
        <v>0</v>
      </c>
      <c r="BC67" s="416">
        <v>0</v>
      </c>
      <c r="BD67" s="416">
        <v>0</v>
      </c>
      <c r="BE67" s="416">
        <v>0</v>
      </c>
      <c r="BF67" s="416">
        <v>0</v>
      </c>
      <c r="BG67" s="416">
        <v>0</v>
      </c>
      <c r="BH67" s="416">
        <v>0</v>
      </c>
      <c r="BI67" s="416">
        <v>0</v>
      </c>
      <c r="BJ67" s="416">
        <v>0</v>
      </c>
      <c r="BK67" s="416">
        <v>0</v>
      </c>
      <c r="BL67" s="416">
        <v>0</v>
      </c>
      <c r="BM67" s="416">
        <v>0.748</v>
      </c>
      <c r="BN67" s="416">
        <v>6.9720000000000004</v>
      </c>
      <c r="BO67" s="416">
        <v>21.44</v>
      </c>
      <c r="BP67" s="416">
        <v>29.16</v>
      </c>
      <c r="BQ67" s="416">
        <v>22.138000000000002</v>
      </c>
      <c r="BR67" s="416">
        <v>23.655999999999999</v>
      </c>
      <c r="BS67" s="416">
        <v>21.507000000000001</v>
      </c>
      <c r="BT67" s="416">
        <v>21.6</v>
      </c>
      <c r="BU67" s="416">
        <v>88.900999999999996</v>
      </c>
      <c r="BV67" s="416">
        <v>21.536000000000001</v>
      </c>
      <c r="BW67" s="416">
        <v>21.672000000000001</v>
      </c>
      <c r="BX67" s="416">
        <v>20.821000000000002</v>
      </c>
      <c r="BY67" s="416">
        <v>0</v>
      </c>
      <c r="BZ67" s="416">
        <v>0</v>
      </c>
      <c r="CC67" s="420"/>
      <c r="CD67" s="424" t="s">
        <v>110</v>
      </c>
      <c r="CE67" s="420">
        <f t="shared" si="15"/>
        <v>0</v>
      </c>
      <c r="CF67" s="420">
        <f t="shared" si="1"/>
        <v>0</v>
      </c>
      <c r="CG67" s="420">
        <f t="shared" si="2"/>
        <v>0</v>
      </c>
      <c r="CH67" s="420">
        <f t="shared" si="3"/>
        <v>0</v>
      </c>
      <c r="CI67" s="420">
        <f t="shared" si="4"/>
        <v>0</v>
      </c>
      <c r="CJ67" s="420">
        <f t="shared" si="5"/>
        <v>0</v>
      </c>
      <c r="CK67" s="420">
        <f t="shared" si="6"/>
        <v>0</v>
      </c>
      <c r="CL67" s="420">
        <f t="shared" si="7"/>
        <v>0</v>
      </c>
      <c r="CM67" s="420">
        <f t="shared" si="8"/>
        <v>0</v>
      </c>
      <c r="CN67" s="420">
        <f t="shared" si="9"/>
        <v>0</v>
      </c>
      <c r="CO67" s="420">
        <f t="shared" si="10"/>
        <v>0</v>
      </c>
      <c r="CP67" s="420">
        <f t="shared" si="11"/>
        <v>0</v>
      </c>
      <c r="CQ67" s="420">
        <f t="shared" si="12"/>
        <v>29.16</v>
      </c>
      <c r="CR67" s="420">
        <f t="shared" si="13"/>
        <v>88.900999999999996</v>
      </c>
      <c r="CS67" s="420">
        <f t="shared" si="14"/>
        <v>0</v>
      </c>
      <c r="CT67" s="21"/>
    </row>
    <row r="68" spans="3:98" hidden="1" outlineLevel="3">
      <c r="C68" s="426" t="s">
        <v>497</v>
      </c>
      <c r="D68" s="416">
        <v>0</v>
      </c>
      <c r="E68" s="416">
        <v>0</v>
      </c>
      <c r="F68" s="416">
        <v>0</v>
      </c>
      <c r="G68" s="416">
        <v>0</v>
      </c>
      <c r="H68" s="416">
        <v>0</v>
      </c>
      <c r="I68" s="416">
        <v>0</v>
      </c>
      <c r="J68" s="416">
        <v>0</v>
      </c>
      <c r="K68" s="416">
        <v>0</v>
      </c>
      <c r="L68" s="416">
        <v>0</v>
      </c>
      <c r="M68" s="416">
        <v>0</v>
      </c>
      <c r="N68" s="416">
        <v>0</v>
      </c>
      <c r="O68" s="416">
        <v>0</v>
      </c>
      <c r="P68" s="416">
        <v>0</v>
      </c>
      <c r="Q68" s="416">
        <v>0</v>
      </c>
      <c r="R68" s="416">
        <v>0</v>
      </c>
      <c r="S68" s="416">
        <v>0</v>
      </c>
      <c r="T68" s="416">
        <v>0</v>
      </c>
      <c r="U68" s="416">
        <v>0</v>
      </c>
      <c r="V68" s="416">
        <v>0</v>
      </c>
      <c r="W68" s="416">
        <v>0</v>
      </c>
      <c r="X68" s="416">
        <v>0</v>
      </c>
      <c r="Y68" s="416">
        <v>0</v>
      </c>
      <c r="Z68" s="416">
        <v>0</v>
      </c>
      <c r="AA68" s="416">
        <v>0</v>
      </c>
      <c r="AB68" s="416">
        <v>0</v>
      </c>
      <c r="AC68" s="416">
        <v>0</v>
      </c>
      <c r="AD68" s="416">
        <v>0</v>
      </c>
      <c r="AE68" s="416">
        <v>0</v>
      </c>
      <c r="AF68" s="416">
        <v>0</v>
      </c>
      <c r="AG68" s="416">
        <v>0</v>
      </c>
      <c r="AH68" s="416">
        <v>0</v>
      </c>
      <c r="AI68" s="416">
        <v>0</v>
      </c>
      <c r="AJ68" s="416">
        <v>0</v>
      </c>
      <c r="AK68" s="416">
        <v>0</v>
      </c>
      <c r="AL68" s="416">
        <v>0</v>
      </c>
      <c r="AM68" s="416">
        <v>0</v>
      </c>
      <c r="AN68" s="416">
        <v>0</v>
      </c>
      <c r="AO68" s="416">
        <v>0</v>
      </c>
      <c r="AP68" s="416">
        <v>0</v>
      </c>
      <c r="AQ68" s="416">
        <v>0</v>
      </c>
      <c r="AR68" s="416">
        <v>0</v>
      </c>
      <c r="AS68" s="416">
        <v>0</v>
      </c>
      <c r="AT68" s="416">
        <v>0</v>
      </c>
      <c r="AU68" s="416">
        <v>0</v>
      </c>
      <c r="AV68" s="416">
        <v>0</v>
      </c>
      <c r="AW68" s="416">
        <v>0</v>
      </c>
      <c r="AX68" s="416">
        <v>0</v>
      </c>
      <c r="AY68" s="416">
        <v>0</v>
      </c>
      <c r="AZ68" s="416">
        <v>0</v>
      </c>
      <c r="BA68" s="416">
        <v>0</v>
      </c>
      <c r="BB68" s="416">
        <v>0</v>
      </c>
      <c r="BC68" s="416">
        <v>0</v>
      </c>
      <c r="BD68" s="416">
        <v>0</v>
      </c>
      <c r="BE68" s="416">
        <v>0</v>
      </c>
      <c r="BF68" s="416">
        <v>0</v>
      </c>
      <c r="BG68" s="416">
        <v>0</v>
      </c>
      <c r="BH68" s="416">
        <v>0</v>
      </c>
      <c r="BI68" s="416">
        <v>0</v>
      </c>
      <c r="BJ68" s="416">
        <v>0</v>
      </c>
      <c r="BK68" s="416">
        <v>0</v>
      </c>
      <c r="BL68" s="416">
        <v>0</v>
      </c>
      <c r="BM68" s="416">
        <v>0</v>
      </c>
      <c r="BN68" s="416">
        <v>0</v>
      </c>
      <c r="BO68" s="416">
        <v>0</v>
      </c>
      <c r="BP68" s="416">
        <v>0</v>
      </c>
      <c r="BQ68" s="416">
        <v>0</v>
      </c>
      <c r="BR68" s="416">
        <v>0</v>
      </c>
      <c r="BS68" s="416">
        <v>0</v>
      </c>
      <c r="BT68" s="416">
        <v>0</v>
      </c>
      <c r="BU68" s="416">
        <v>0</v>
      </c>
      <c r="BV68" s="416">
        <v>0</v>
      </c>
      <c r="BW68" s="416">
        <v>0</v>
      </c>
      <c r="BX68" s="416">
        <v>0</v>
      </c>
      <c r="BY68" s="416">
        <v>0</v>
      </c>
      <c r="BZ68" s="416">
        <v>0</v>
      </c>
      <c r="CC68" s="420"/>
      <c r="CD68" s="426" t="s">
        <v>497</v>
      </c>
      <c r="CE68" s="420">
        <f t="shared" si="15"/>
        <v>0</v>
      </c>
      <c r="CF68" s="420">
        <f t="shared" si="1"/>
        <v>0</v>
      </c>
      <c r="CG68" s="420">
        <f t="shared" si="2"/>
        <v>0</v>
      </c>
      <c r="CH68" s="420">
        <f t="shared" si="3"/>
        <v>0</v>
      </c>
      <c r="CI68" s="420">
        <f t="shared" si="4"/>
        <v>0</v>
      </c>
      <c r="CJ68" s="420">
        <f t="shared" si="5"/>
        <v>0</v>
      </c>
      <c r="CK68" s="420">
        <f t="shared" si="6"/>
        <v>0</v>
      </c>
      <c r="CL68" s="420">
        <f t="shared" si="7"/>
        <v>0</v>
      </c>
      <c r="CM68" s="420">
        <f t="shared" si="8"/>
        <v>0</v>
      </c>
      <c r="CN68" s="420">
        <f t="shared" si="9"/>
        <v>0</v>
      </c>
      <c r="CO68" s="420">
        <f t="shared" si="10"/>
        <v>0</v>
      </c>
      <c r="CP68" s="420">
        <f t="shared" si="11"/>
        <v>0</v>
      </c>
      <c r="CQ68" s="420">
        <f t="shared" si="12"/>
        <v>0</v>
      </c>
      <c r="CR68" s="420">
        <f t="shared" si="13"/>
        <v>0</v>
      </c>
      <c r="CS68" s="420">
        <f t="shared" si="14"/>
        <v>0</v>
      </c>
      <c r="CT68" s="21"/>
    </row>
    <row r="69" spans="3:98" hidden="1" outlineLevel="3">
      <c r="C69" s="426" t="s">
        <v>498</v>
      </c>
      <c r="D69" s="416">
        <v>0</v>
      </c>
      <c r="E69" s="416">
        <v>0</v>
      </c>
      <c r="F69" s="416">
        <v>0</v>
      </c>
      <c r="G69" s="416">
        <v>0</v>
      </c>
      <c r="H69" s="416">
        <v>0</v>
      </c>
      <c r="I69" s="416">
        <v>0</v>
      </c>
      <c r="J69" s="416">
        <v>0</v>
      </c>
      <c r="K69" s="416">
        <v>0</v>
      </c>
      <c r="L69" s="416">
        <v>0</v>
      </c>
      <c r="M69" s="416">
        <v>0</v>
      </c>
      <c r="N69" s="416">
        <v>0</v>
      </c>
      <c r="O69" s="416">
        <v>0</v>
      </c>
      <c r="P69" s="416">
        <v>0</v>
      </c>
      <c r="Q69" s="416">
        <v>0</v>
      </c>
      <c r="R69" s="416">
        <v>0</v>
      </c>
      <c r="S69" s="416">
        <v>0</v>
      </c>
      <c r="T69" s="416">
        <v>0</v>
      </c>
      <c r="U69" s="416">
        <v>0</v>
      </c>
      <c r="V69" s="416">
        <v>0</v>
      </c>
      <c r="W69" s="416">
        <v>0</v>
      </c>
      <c r="X69" s="416">
        <v>0</v>
      </c>
      <c r="Y69" s="416">
        <v>0</v>
      </c>
      <c r="Z69" s="416">
        <v>0</v>
      </c>
      <c r="AA69" s="416">
        <v>0</v>
      </c>
      <c r="AB69" s="416">
        <v>0</v>
      </c>
      <c r="AC69" s="416">
        <v>0</v>
      </c>
      <c r="AD69" s="416">
        <v>0</v>
      </c>
      <c r="AE69" s="416">
        <v>0</v>
      </c>
      <c r="AF69" s="416">
        <v>0</v>
      </c>
      <c r="AG69" s="416">
        <v>0</v>
      </c>
      <c r="AH69" s="416">
        <v>0</v>
      </c>
      <c r="AI69" s="416">
        <v>0</v>
      </c>
      <c r="AJ69" s="416">
        <v>0</v>
      </c>
      <c r="AK69" s="416">
        <v>0</v>
      </c>
      <c r="AL69" s="416">
        <v>0</v>
      </c>
      <c r="AM69" s="416">
        <v>0</v>
      </c>
      <c r="AN69" s="416">
        <v>0</v>
      </c>
      <c r="AO69" s="416">
        <v>0</v>
      </c>
      <c r="AP69" s="416">
        <v>0</v>
      </c>
      <c r="AQ69" s="416">
        <v>0</v>
      </c>
      <c r="AR69" s="416">
        <v>0</v>
      </c>
      <c r="AS69" s="416">
        <v>0</v>
      </c>
      <c r="AT69" s="416">
        <v>0</v>
      </c>
      <c r="AU69" s="416">
        <v>0</v>
      </c>
      <c r="AV69" s="416">
        <v>0</v>
      </c>
      <c r="AW69" s="416">
        <v>0</v>
      </c>
      <c r="AX69" s="416">
        <v>0</v>
      </c>
      <c r="AY69" s="416">
        <v>0</v>
      </c>
      <c r="AZ69" s="416">
        <v>0</v>
      </c>
      <c r="BA69" s="416">
        <v>0</v>
      </c>
      <c r="BB69" s="416">
        <v>0</v>
      </c>
      <c r="BC69" s="416">
        <v>0</v>
      </c>
      <c r="BD69" s="416">
        <v>0</v>
      </c>
      <c r="BE69" s="416">
        <v>0</v>
      </c>
      <c r="BF69" s="416">
        <v>0</v>
      </c>
      <c r="BG69" s="416">
        <v>0</v>
      </c>
      <c r="BH69" s="416">
        <v>0</v>
      </c>
      <c r="BI69" s="416">
        <v>0</v>
      </c>
      <c r="BJ69" s="416">
        <v>0</v>
      </c>
      <c r="BK69" s="416">
        <v>0</v>
      </c>
      <c r="BL69" s="416">
        <v>0</v>
      </c>
      <c r="BM69" s="416">
        <v>0</v>
      </c>
      <c r="BN69" s="416">
        <v>0</v>
      </c>
      <c r="BO69" s="416">
        <v>0</v>
      </c>
      <c r="BP69" s="416">
        <v>0</v>
      </c>
      <c r="BQ69" s="416">
        <v>0</v>
      </c>
      <c r="BR69" s="416">
        <v>0</v>
      </c>
      <c r="BS69" s="416">
        <v>0</v>
      </c>
      <c r="BT69" s="416">
        <v>0</v>
      </c>
      <c r="BU69" s="416">
        <v>0</v>
      </c>
      <c r="BV69" s="416">
        <v>0</v>
      </c>
      <c r="BW69" s="416">
        <v>0</v>
      </c>
      <c r="BX69" s="416">
        <v>0</v>
      </c>
      <c r="BY69" s="416">
        <v>0</v>
      </c>
      <c r="BZ69" s="416">
        <v>0</v>
      </c>
      <c r="CC69" s="420"/>
      <c r="CD69" s="426" t="s">
        <v>498</v>
      </c>
      <c r="CE69" s="420">
        <f t="shared" si="15"/>
        <v>0</v>
      </c>
      <c r="CF69" s="420">
        <f t="shared" si="1"/>
        <v>0</v>
      </c>
      <c r="CG69" s="420">
        <f t="shared" si="2"/>
        <v>0</v>
      </c>
      <c r="CH69" s="420">
        <f t="shared" si="3"/>
        <v>0</v>
      </c>
      <c r="CI69" s="420">
        <f t="shared" si="4"/>
        <v>0</v>
      </c>
      <c r="CJ69" s="420">
        <f t="shared" si="5"/>
        <v>0</v>
      </c>
      <c r="CK69" s="420">
        <f t="shared" si="6"/>
        <v>0</v>
      </c>
      <c r="CL69" s="420">
        <f t="shared" si="7"/>
        <v>0</v>
      </c>
      <c r="CM69" s="420">
        <f t="shared" si="8"/>
        <v>0</v>
      </c>
      <c r="CN69" s="420">
        <f t="shared" si="9"/>
        <v>0</v>
      </c>
      <c r="CO69" s="420">
        <f t="shared" si="10"/>
        <v>0</v>
      </c>
      <c r="CP69" s="420">
        <f t="shared" si="11"/>
        <v>0</v>
      </c>
      <c r="CQ69" s="420">
        <f t="shared" si="12"/>
        <v>0</v>
      </c>
      <c r="CR69" s="420">
        <f t="shared" si="13"/>
        <v>0</v>
      </c>
      <c r="CS69" s="420">
        <f t="shared" si="14"/>
        <v>0</v>
      </c>
      <c r="CT69" s="21"/>
    </row>
    <row r="70" spans="3:98" hidden="1" outlineLevel="2">
      <c r="C70" s="424" t="s">
        <v>499</v>
      </c>
      <c r="D70" s="416">
        <v>0</v>
      </c>
      <c r="E70" s="416">
        <v>0</v>
      </c>
      <c r="F70" s="416">
        <v>0</v>
      </c>
      <c r="G70" s="416">
        <v>0</v>
      </c>
      <c r="H70" s="416">
        <v>0</v>
      </c>
      <c r="I70" s="416">
        <v>0</v>
      </c>
      <c r="J70" s="416">
        <v>0</v>
      </c>
      <c r="K70" s="416">
        <v>0</v>
      </c>
      <c r="L70" s="416">
        <v>0</v>
      </c>
      <c r="M70" s="416">
        <v>0</v>
      </c>
      <c r="N70" s="416">
        <v>0</v>
      </c>
      <c r="O70" s="416">
        <v>0</v>
      </c>
      <c r="P70" s="416">
        <v>0</v>
      </c>
      <c r="Q70" s="416">
        <v>0</v>
      </c>
      <c r="R70" s="416">
        <v>0</v>
      </c>
      <c r="S70" s="416">
        <v>0</v>
      </c>
      <c r="T70" s="416">
        <v>0</v>
      </c>
      <c r="U70" s="416">
        <v>0</v>
      </c>
      <c r="V70" s="416">
        <v>0</v>
      </c>
      <c r="W70" s="416">
        <v>0</v>
      </c>
      <c r="X70" s="416">
        <v>0</v>
      </c>
      <c r="Y70" s="416">
        <v>0</v>
      </c>
      <c r="Z70" s="416">
        <v>0</v>
      </c>
      <c r="AA70" s="416">
        <v>0</v>
      </c>
      <c r="AB70" s="416">
        <v>0</v>
      </c>
      <c r="AC70" s="416">
        <v>0</v>
      </c>
      <c r="AD70" s="416">
        <v>0</v>
      </c>
      <c r="AE70" s="416">
        <v>0</v>
      </c>
      <c r="AF70" s="416">
        <v>0</v>
      </c>
      <c r="AG70" s="416">
        <v>0</v>
      </c>
      <c r="AH70" s="416">
        <v>0</v>
      </c>
      <c r="AI70" s="416">
        <v>0</v>
      </c>
      <c r="AJ70" s="416">
        <v>0</v>
      </c>
      <c r="AK70" s="416">
        <v>0</v>
      </c>
      <c r="AL70" s="416">
        <v>0</v>
      </c>
      <c r="AM70" s="416">
        <v>0</v>
      </c>
      <c r="AN70" s="416">
        <v>0</v>
      </c>
      <c r="AO70" s="416">
        <v>0</v>
      </c>
      <c r="AP70" s="416">
        <v>0</v>
      </c>
      <c r="AQ70" s="416">
        <v>0</v>
      </c>
      <c r="AR70" s="416">
        <v>0</v>
      </c>
      <c r="AS70" s="416">
        <v>0</v>
      </c>
      <c r="AT70" s="416">
        <v>0</v>
      </c>
      <c r="AU70" s="416">
        <v>0</v>
      </c>
      <c r="AV70" s="416">
        <v>0</v>
      </c>
      <c r="AW70" s="416">
        <v>0</v>
      </c>
      <c r="AX70" s="416">
        <v>0</v>
      </c>
      <c r="AY70" s="416">
        <v>0</v>
      </c>
      <c r="AZ70" s="416">
        <v>0</v>
      </c>
      <c r="BA70" s="416">
        <v>0</v>
      </c>
      <c r="BB70" s="416">
        <v>0</v>
      </c>
      <c r="BC70" s="416">
        <v>0</v>
      </c>
      <c r="BD70" s="416">
        <v>0</v>
      </c>
      <c r="BE70" s="416">
        <v>0</v>
      </c>
      <c r="BF70" s="416">
        <v>0</v>
      </c>
      <c r="BG70" s="416">
        <v>0</v>
      </c>
      <c r="BH70" s="416">
        <v>0</v>
      </c>
      <c r="BI70" s="416">
        <v>0</v>
      </c>
      <c r="BJ70" s="416">
        <v>0</v>
      </c>
      <c r="BK70" s="416">
        <v>0</v>
      </c>
      <c r="BL70" s="416">
        <v>0</v>
      </c>
      <c r="BM70" s="416">
        <v>0</v>
      </c>
      <c r="BN70" s="416">
        <v>0</v>
      </c>
      <c r="BO70" s="416">
        <v>0</v>
      </c>
      <c r="BP70" s="416">
        <v>0</v>
      </c>
      <c r="BQ70" s="416">
        <v>0</v>
      </c>
      <c r="BR70" s="416">
        <v>0</v>
      </c>
      <c r="BS70" s="416">
        <v>0</v>
      </c>
      <c r="BT70" s="416">
        <v>0</v>
      </c>
      <c r="BU70" s="416">
        <v>0</v>
      </c>
      <c r="BV70" s="416">
        <v>0</v>
      </c>
      <c r="BW70" s="416">
        <v>0</v>
      </c>
      <c r="BX70" s="416">
        <v>0</v>
      </c>
      <c r="BY70" s="416">
        <v>0</v>
      </c>
      <c r="BZ70" s="416">
        <v>0</v>
      </c>
      <c r="CC70" s="420"/>
      <c r="CD70" s="424" t="s">
        <v>499</v>
      </c>
      <c r="CE70" s="420">
        <f t="shared" si="15"/>
        <v>0</v>
      </c>
      <c r="CF70" s="420">
        <f t="shared" si="1"/>
        <v>0</v>
      </c>
      <c r="CG70" s="420">
        <f t="shared" si="2"/>
        <v>0</v>
      </c>
      <c r="CH70" s="420">
        <f t="shared" si="3"/>
        <v>0</v>
      </c>
      <c r="CI70" s="420">
        <f t="shared" si="4"/>
        <v>0</v>
      </c>
      <c r="CJ70" s="420">
        <f t="shared" si="5"/>
        <v>0</v>
      </c>
      <c r="CK70" s="420">
        <f t="shared" si="6"/>
        <v>0</v>
      </c>
      <c r="CL70" s="420">
        <f t="shared" si="7"/>
        <v>0</v>
      </c>
      <c r="CM70" s="420">
        <f t="shared" si="8"/>
        <v>0</v>
      </c>
      <c r="CN70" s="420">
        <f t="shared" si="9"/>
        <v>0</v>
      </c>
      <c r="CO70" s="420">
        <f t="shared" si="10"/>
        <v>0</v>
      </c>
      <c r="CP70" s="420">
        <f t="shared" si="11"/>
        <v>0</v>
      </c>
      <c r="CQ70" s="420">
        <f t="shared" si="12"/>
        <v>0</v>
      </c>
      <c r="CR70" s="420">
        <f t="shared" si="13"/>
        <v>0</v>
      </c>
      <c r="CS70" s="420">
        <f t="shared" si="14"/>
        <v>0</v>
      </c>
      <c r="CT70" s="21"/>
    </row>
    <row r="71" spans="3:98" hidden="1" outlineLevel="1">
      <c r="C71" s="415" t="s">
        <v>109</v>
      </c>
      <c r="D71" s="416">
        <v>0</v>
      </c>
      <c r="E71" s="416">
        <v>0</v>
      </c>
      <c r="F71" s="416">
        <v>0</v>
      </c>
      <c r="G71" s="416">
        <v>0</v>
      </c>
      <c r="H71" s="416">
        <v>0</v>
      </c>
      <c r="I71" s="416">
        <v>0</v>
      </c>
      <c r="J71" s="416">
        <v>0</v>
      </c>
      <c r="K71" s="416">
        <v>0</v>
      </c>
      <c r="L71" s="416">
        <v>0</v>
      </c>
      <c r="M71" s="416">
        <v>0</v>
      </c>
      <c r="N71" s="416">
        <v>0</v>
      </c>
      <c r="O71" s="416">
        <v>0</v>
      </c>
      <c r="P71" s="416">
        <v>0</v>
      </c>
      <c r="Q71" s="416">
        <v>0</v>
      </c>
      <c r="R71" s="416">
        <v>0</v>
      </c>
      <c r="S71" s="416">
        <v>0</v>
      </c>
      <c r="T71" s="416">
        <v>0</v>
      </c>
      <c r="U71" s="416">
        <v>0</v>
      </c>
      <c r="V71" s="416">
        <v>0</v>
      </c>
      <c r="W71" s="416">
        <v>0</v>
      </c>
      <c r="X71" s="416">
        <v>0</v>
      </c>
      <c r="Y71" s="416">
        <v>0</v>
      </c>
      <c r="Z71" s="416">
        <v>0</v>
      </c>
      <c r="AA71" s="416">
        <v>0</v>
      </c>
      <c r="AB71" s="416">
        <v>0</v>
      </c>
      <c r="AC71" s="416">
        <v>0</v>
      </c>
      <c r="AD71" s="416">
        <v>0</v>
      </c>
      <c r="AE71" s="416">
        <v>0</v>
      </c>
      <c r="AF71" s="416">
        <v>0</v>
      </c>
      <c r="AG71" s="416">
        <v>0</v>
      </c>
      <c r="AH71" s="416">
        <v>0</v>
      </c>
      <c r="AI71" s="416">
        <v>0</v>
      </c>
      <c r="AJ71" s="416">
        <v>0</v>
      </c>
      <c r="AK71" s="416">
        <v>0</v>
      </c>
      <c r="AL71" s="416">
        <v>0</v>
      </c>
      <c r="AM71" s="416">
        <v>0</v>
      </c>
      <c r="AN71" s="416">
        <v>0</v>
      </c>
      <c r="AO71" s="416">
        <v>0</v>
      </c>
      <c r="AP71" s="416">
        <v>0</v>
      </c>
      <c r="AQ71" s="416">
        <v>0</v>
      </c>
      <c r="AR71" s="416">
        <v>0</v>
      </c>
      <c r="AS71" s="416">
        <v>0</v>
      </c>
      <c r="AT71" s="416">
        <v>0</v>
      </c>
      <c r="AU71" s="416">
        <v>0</v>
      </c>
      <c r="AV71" s="416">
        <v>0</v>
      </c>
      <c r="AW71" s="416">
        <v>0</v>
      </c>
      <c r="AX71" s="416">
        <v>0</v>
      </c>
      <c r="AY71" s="416">
        <v>0</v>
      </c>
      <c r="AZ71" s="416">
        <v>0</v>
      </c>
      <c r="BA71" s="416">
        <v>0</v>
      </c>
      <c r="BB71" s="416">
        <v>0</v>
      </c>
      <c r="BC71" s="416">
        <v>0</v>
      </c>
      <c r="BD71" s="416">
        <v>0</v>
      </c>
      <c r="BE71" s="416">
        <v>0</v>
      </c>
      <c r="BF71" s="416">
        <v>0</v>
      </c>
      <c r="BG71" s="416">
        <v>0</v>
      </c>
      <c r="BH71" s="416">
        <v>0</v>
      </c>
      <c r="BI71" s="416">
        <v>0</v>
      </c>
      <c r="BJ71" s="416">
        <v>0</v>
      </c>
      <c r="BK71" s="416">
        <v>0</v>
      </c>
      <c r="BL71" s="416">
        <v>0</v>
      </c>
      <c r="BM71" s="416">
        <v>0.748</v>
      </c>
      <c r="BN71" s="416">
        <v>6.9720000000000004</v>
      </c>
      <c r="BO71" s="416">
        <v>21.44</v>
      </c>
      <c r="BP71" s="416">
        <v>29.16</v>
      </c>
      <c r="BQ71" s="416">
        <v>22.138000000000002</v>
      </c>
      <c r="BR71" s="416">
        <v>23.655999999999999</v>
      </c>
      <c r="BS71" s="416">
        <v>21.507000000000001</v>
      </c>
      <c r="BT71" s="416">
        <v>21.6</v>
      </c>
      <c r="BU71" s="416">
        <v>88.900999999999996</v>
      </c>
      <c r="BV71" s="416">
        <v>21.536000000000001</v>
      </c>
      <c r="BW71" s="416">
        <v>21.672000000000001</v>
      </c>
      <c r="BX71" s="416">
        <v>20.821000000000002</v>
      </c>
      <c r="BY71" s="416">
        <v>0</v>
      </c>
      <c r="BZ71" s="416">
        <v>0</v>
      </c>
      <c r="CC71" s="420"/>
      <c r="CD71" s="415" t="s">
        <v>109</v>
      </c>
      <c r="CE71" s="420">
        <f t="shared" si="15"/>
        <v>0</v>
      </c>
      <c r="CF71" s="420">
        <f t="shared" si="1"/>
        <v>0</v>
      </c>
      <c r="CG71" s="420">
        <f t="shared" si="2"/>
        <v>0</v>
      </c>
      <c r="CH71" s="420">
        <f t="shared" si="3"/>
        <v>0</v>
      </c>
      <c r="CI71" s="420">
        <f t="shared" si="4"/>
        <v>0</v>
      </c>
      <c r="CJ71" s="420">
        <f t="shared" si="5"/>
        <v>0</v>
      </c>
      <c r="CK71" s="420">
        <f t="shared" si="6"/>
        <v>0</v>
      </c>
      <c r="CL71" s="420">
        <f t="shared" si="7"/>
        <v>0</v>
      </c>
      <c r="CM71" s="420">
        <f t="shared" si="8"/>
        <v>0</v>
      </c>
      <c r="CN71" s="420">
        <f t="shared" si="9"/>
        <v>0</v>
      </c>
      <c r="CO71" s="420">
        <f t="shared" si="10"/>
        <v>0</v>
      </c>
      <c r="CP71" s="420">
        <f t="shared" si="11"/>
        <v>0</v>
      </c>
      <c r="CQ71" s="420">
        <f t="shared" si="12"/>
        <v>29.16</v>
      </c>
      <c r="CR71" s="420">
        <f t="shared" si="13"/>
        <v>88.900999999999996</v>
      </c>
      <c r="CS71" s="420">
        <f t="shared" si="14"/>
        <v>0</v>
      </c>
      <c r="CT71" s="21"/>
    </row>
    <row r="72" spans="3:98" hidden="1" outlineLevel="2">
      <c r="C72" s="424" t="s">
        <v>501</v>
      </c>
      <c r="D72" s="416">
        <v>0</v>
      </c>
      <c r="E72" s="416">
        <v>0</v>
      </c>
      <c r="F72" s="416">
        <v>0</v>
      </c>
      <c r="G72" s="416">
        <v>0</v>
      </c>
      <c r="H72" s="416">
        <v>0</v>
      </c>
      <c r="I72" s="416">
        <v>0</v>
      </c>
      <c r="J72" s="416">
        <v>0</v>
      </c>
      <c r="K72" s="416">
        <v>0</v>
      </c>
      <c r="L72" s="416">
        <v>0</v>
      </c>
      <c r="M72" s="416">
        <v>0</v>
      </c>
      <c r="N72" s="416">
        <v>0</v>
      </c>
      <c r="O72" s="416">
        <v>0</v>
      </c>
      <c r="P72" s="416">
        <v>0</v>
      </c>
      <c r="Q72" s="416">
        <v>0</v>
      </c>
      <c r="R72" s="416">
        <v>0</v>
      </c>
      <c r="S72" s="416">
        <v>0</v>
      </c>
      <c r="T72" s="416">
        <v>0</v>
      </c>
      <c r="U72" s="416">
        <v>0</v>
      </c>
      <c r="V72" s="416">
        <v>0</v>
      </c>
      <c r="W72" s="416">
        <v>0</v>
      </c>
      <c r="X72" s="416">
        <v>0</v>
      </c>
      <c r="Y72" s="416">
        <v>0</v>
      </c>
      <c r="Z72" s="416">
        <v>0</v>
      </c>
      <c r="AA72" s="416">
        <v>0</v>
      </c>
      <c r="AB72" s="416">
        <v>0</v>
      </c>
      <c r="AC72" s="416">
        <v>0</v>
      </c>
      <c r="AD72" s="416">
        <v>0</v>
      </c>
      <c r="AE72" s="416">
        <v>0</v>
      </c>
      <c r="AF72" s="416">
        <v>0</v>
      </c>
      <c r="AG72" s="416">
        <v>0</v>
      </c>
      <c r="AH72" s="416">
        <v>0</v>
      </c>
      <c r="AI72" s="416">
        <v>0</v>
      </c>
      <c r="AJ72" s="416">
        <v>0</v>
      </c>
      <c r="AK72" s="416">
        <v>0</v>
      </c>
      <c r="AL72" s="416">
        <v>0</v>
      </c>
      <c r="AM72" s="416">
        <v>0</v>
      </c>
      <c r="AN72" s="416">
        <v>0</v>
      </c>
      <c r="AO72" s="416">
        <v>0</v>
      </c>
      <c r="AP72" s="416">
        <v>0</v>
      </c>
      <c r="AQ72" s="416">
        <v>0</v>
      </c>
      <c r="AR72" s="416">
        <v>0</v>
      </c>
      <c r="AS72" s="416">
        <v>0</v>
      </c>
      <c r="AT72" s="416">
        <v>0</v>
      </c>
      <c r="AU72" s="416">
        <v>0</v>
      </c>
      <c r="AV72" s="416">
        <v>0</v>
      </c>
      <c r="AW72" s="416">
        <v>0</v>
      </c>
      <c r="AX72" s="416">
        <v>0</v>
      </c>
      <c r="AY72" s="416">
        <v>0</v>
      </c>
      <c r="AZ72" s="416">
        <v>0</v>
      </c>
      <c r="BA72" s="416">
        <v>0</v>
      </c>
      <c r="BB72" s="416">
        <v>0</v>
      </c>
      <c r="BC72" s="416">
        <v>0</v>
      </c>
      <c r="BD72" s="416">
        <v>0</v>
      </c>
      <c r="BE72" s="416">
        <v>0</v>
      </c>
      <c r="BF72" s="416">
        <v>0</v>
      </c>
      <c r="BG72" s="416">
        <v>0</v>
      </c>
      <c r="BH72" s="416">
        <v>0</v>
      </c>
      <c r="BI72" s="416">
        <v>0</v>
      </c>
      <c r="BJ72" s="416">
        <v>0</v>
      </c>
      <c r="BK72" s="416">
        <v>0</v>
      </c>
      <c r="BL72" s="416">
        <v>0</v>
      </c>
      <c r="BM72" s="416">
        <v>0</v>
      </c>
      <c r="BN72" s="416">
        <v>0</v>
      </c>
      <c r="BO72" s="416">
        <v>0</v>
      </c>
      <c r="BP72" s="416">
        <v>0</v>
      </c>
      <c r="BQ72" s="416">
        <v>0</v>
      </c>
      <c r="BR72" s="416">
        <v>0</v>
      </c>
      <c r="BS72" s="416">
        <v>0</v>
      </c>
      <c r="BT72" s="416">
        <v>0</v>
      </c>
      <c r="BU72" s="416">
        <v>0</v>
      </c>
      <c r="BV72" s="416">
        <v>0</v>
      </c>
      <c r="BW72" s="416">
        <v>0</v>
      </c>
      <c r="BX72" s="416">
        <v>0</v>
      </c>
      <c r="BY72" s="416">
        <v>0</v>
      </c>
      <c r="BZ72" s="416">
        <v>0</v>
      </c>
      <c r="CC72" s="420"/>
      <c r="CD72" s="424" t="s">
        <v>501</v>
      </c>
      <c r="CE72" s="420">
        <f t="shared" si="15"/>
        <v>0</v>
      </c>
      <c r="CF72" s="420">
        <f t="shared" si="1"/>
        <v>0</v>
      </c>
      <c r="CG72" s="420">
        <f t="shared" si="2"/>
        <v>0</v>
      </c>
      <c r="CH72" s="420">
        <f t="shared" si="3"/>
        <v>0</v>
      </c>
      <c r="CI72" s="420">
        <f t="shared" si="4"/>
        <v>0</v>
      </c>
      <c r="CJ72" s="420">
        <f t="shared" si="5"/>
        <v>0</v>
      </c>
      <c r="CK72" s="420">
        <f t="shared" si="6"/>
        <v>0</v>
      </c>
      <c r="CL72" s="420">
        <f t="shared" si="7"/>
        <v>0</v>
      </c>
      <c r="CM72" s="420">
        <f t="shared" si="8"/>
        <v>0</v>
      </c>
      <c r="CN72" s="420">
        <f t="shared" si="9"/>
        <v>0</v>
      </c>
      <c r="CO72" s="420">
        <f t="shared" si="10"/>
        <v>0</v>
      </c>
      <c r="CP72" s="420">
        <f t="shared" si="11"/>
        <v>0</v>
      </c>
      <c r="CQ72" s="420">
        <f t="shared" si="12"/>
        <v>0</v>
      </c>
      <c r="CR72" s="420">
        <f t="shared" si="13"/>
        <v>0</v>
      </c>
      <c r="CS72" s="420">
        <f t="shared" si="14"/>
        <v>0</v>
      </c>
      <c r="CT72" s="21"/>
    </row>
    <row r="73" spans="3:98" hidden="1" outlineLevel="2">
      <c r="C73" s="424" t="s">
        <v>502</v>
      </c>
      <c r="D73" s="416">
        <v>0</v>
      </c>
      <c r="E73" s="416">
        <v>0</v>
      </c>
      <c r="F73" s="416">
        <v>0</v>
      </c>
      <c r="G73" s="416">
        <v>0</v>
      </c>
      <c r="H73" s="416">
        <v>0</v>
      </c>
      <c r="I73" s="416">
        <v>0</v>
      </c>
      <c r="J73" s="416">
        <v>0</v>
      </c>
      <c r="K73" s="416">
        <v>0</v>
      </c>
      <c r="L73" s="416">
        <v>0</v>
      </c>
      <c r="M73" s="416">
        <v>0</v>
      </c>
      <c r="N73" s="416">
        <v>0</v>
      </c>
      <c r="O73" s="416">
        <v>0</v>
      </c>
      <c r="P73" s="416">
        <v>0</v>
      </c>
      <c r="Q73" s="416">
        <v>0</v>
      </c>
      <c r="R73" s="416">
        <v>0</v>
      </c>
      <c r="S73" s="416">
        <v>0</v>
      </c>
      <c r="T73" s="416">
        <v>0</v>
      </c>
      <c r="U73" s="416">
        <v>0</v>
      </c>
      <c r="V73" s="416">
        <v>0</v>
      </c>
      <c r="W73" s="416">
        <v>0</v>
      </c>
      <c r="X73" s="416">
        <v>0</v>
      </c>
      <c r="Y73" s="416">
        <v>0</v>
      </c>
      <c r="Z73" s="416">
        <v>0</v>
      </c>
      <c r="AA73" s="416">
        <v>0</v>
      </c>
      <c r="AB73" s="416">
        <v>0</v>
      </c>
      <c r="AC73" s="416">
        <v>0</v>
      </c>
      <c r="AD73" s="416">
        <v>0</v>
      </c>
      <c r="AE73" s="416">
        <v>0</v>
      </c>
      <c r="AF73" s="416">
        <v>0</v>
      </c>
      <c r="AG73" s="416">
        <v>0</v>
      </c>
      <c r="AH73" s="416">
        <v>0</v>
      </c>
      <c r="AI73" s="416">
        <v>0</v>
      </c>
      <c r="AJ73" s="416">
        <v>0</v>
      </c>
      <c r="AK73" s="416">
        <v>0</v>
      </c>
      <c r="AL73" s="416">
        <v>0</v>
      </c>
      <c r="AM73" s="416">
        <v>0</v>
      </c>
      <c r="AN73" s="416">
        <v>0</v>
      </c>
      <c r="AO73" s="416">
        <v>0</v>
      </c>
      <c r="AP73" s="416">
        <v>0</v>
      </c>
      <c r="AQ73" s="416">
        <v>0</v>
      </c>
      <c r="AR73" s="416">
        <v>0</v>
      </c>
      <c r="AS73" s="416">
        <v>0</v>
      </c>
      <c r="AT73" s="416">
        <v>0</v>
      </c>
      <c r="AU73" s="416">
        <v>0</v>
      </c>
      <c r="AV73" s="416">
        <v>0</v>
      </c>
      <c r="AW73" s="416">
        <v>0</v>
      </c>
      <c r="AX73" s="416">
        <v>0</v>
      </c>
      <c r="AY73" s="416">
        <v>0</v>
      </c>
      <c r="AZ73" s="416">
        <v>0</v>
      </c>
      <c r="BA73" s="416">
        <v>0</v>
      </c>
      <c r="BB73" s="416">
        <v>0</v>
      </c>
      <c r="BC73" s="416">
        <v>0</v>
      </c>
      <c r="BD73" s="416">
        <v>0</v>
      </c>
      <c r="BE73" s="416">
        <v>0</v>
      </c>
      <c r="BF73" s="416">
        <v>0</v>
      </c>
      <c r="BG73" s="416">
        <v>0</v>
      </c>
      <c r="BH73" s="416">
        <v>0</v>
      </c>
      <c r="BI73" s="416">
        <v>0</v>
      </c>
      <c r="BJ73" s="416">
        <v>0</v>
      </c>
      <c r="BK73" s="416">
        <v>0</v>
      </c>
      <c r="BL73" s="416">
        <v>0</v>
      </c>
      <c r="BM73" s="416">
        <v>0</v>
      </c>
      <c r="BN73" s="416">
        <v>0</v>
      </c>
      <c r="BO73" s="416">
        <v>0</v>
      </c>
      <c r="BP73" s="416">
        <v>0</v>
      </c>
      <c r="BQ73" s="416">
        <v>0</v>
      </c>
      <c r="BR73" s="416">
        <v>0</v>
      </c>
      <c r="BS73" s="416">
        <v>0</v>
      </c>
      <c r="BT73" s="416">
        <v>0</v>
      </c>
      <c r="BU73" s="416">
        <v>0</v>
      </c>
      <c r="BV73" s="416">
        <v>0</v>
      </c>
      <c r="BW73" s="416">
        <v>0</v>
      </c>
      <c r="BX73" s="416">
        <v>0</v>
      </c>
      <c r="BY73" s="416">
        <v>0</v>
      </c>
      <c r="BZ73" s="416">
        <v>0</v>
      </c>
      <c r="CC73" s="420"/>
      <c r="CD73" s="424" t="s">
        <v>502</v>
      </c>
      <c r="CE73" s="420">
        <f t="shared" si="15"/>
        <v>0</v>
      </c>
      <c r="CF73" s="420">
        <f t="shared" si="1"/>
        <v>0</v>
      </c>
      <c r="CG73" s="420">
        <f t="shared" si="2"/>
        <v>0</v>
      </c>
      <c r="CH73" s="420">
        <f t="shared" si="3"/>
        <v>0</v>
      </c>
      <c r="CI73" s="420">
        <f t="shared" si="4"/>
        <v>0</v>
      </c>
      <c r="CJ73" s="420">
        <f t="shared" si="5"/>
        <v>0</v>
      </c>
      <c r="CK73" s="420">
        <f t="shared" si="6"/>
        <v>0</v>
      </c>
      <c r="CL73" s="420">
        <f t="shared" si="7"/>
        <v>0</v>
      </c>
      <c r="CM73" s="420">
        <f t="shared" si="8"/>
        <v>0</v>
      </c>
      <c r="CN73" s="420">
        <f t="shared" si="9"/>
        <v>0</v>
      </c>
      <c r="CO73" s="420">
        <f t="shared" si="10"/>
        <v>0</v>
      </c>
      <c r="CP73" s="420">
        <f t="shared" si="11"/>
        <v>0</v>
      </c>
      <c r="CQ73" s="420">
        <f t="shared" si="12"/>
        <v>0</v>
      </c>
      <c r="CR73" s="420">
        <f t="shared" si="13"/>
        <v>0</v>
      </c>
      <c r="CS73" s="420">
        <f t="shared" si="14"/>
        <v>0</v>
      </c>
      <c r="CT73" s="21"/>
    </row>
    <row r="74" spans="3:98" hidden="1" outlineLevel="1">
      <c r="C74" s="415" t="s">
        <v>500</v>
      </c>
      <c r="D74" s="416">
        <v>0</v>
      </c>
      <c r="E74" s="416">
        <v>0</v>
      </c>
      <c r="F74" s="416">
        <v>0</v>
      </c>
      <c r="G74" s="416">
        <v>0</v>
      </c>
      <c r="H74" s="416">
        <v>0</v>
      </c>
      <c r="I74" s="416">
        <v>0</v>
      </c>
      <c r="J74" s="416">
        <v>0</v>
      </c>
      <c r="K74" s="416">
        <v>0</v>
      </c>
      <c r="L74" s="416">
        <v>0</v>
      </c>
      <c r="M74" s="416">
        <v>0</v>
      </c>
      <c r="N74" s="416">
        <v>0</v>
      </c>
      <c r="O74" s="416">
        <v>0</v>
      </c>
      <c r="P74" s="416">
        <v>0</v>
      </c>
      <c r="Q74" s="416">
        <v>0</v>
      </c>
      <c r="R74" s="416">
        <v>0</v>
      </c>
      <c r="S74" s="416">
        <v>0</v>
      </c>
      <c r="T74" s="416">
        <v>0</v>
      </c>
      <c r="U74" s="416">
        <v>0</v>
      </c>
      <c r="V74" s="416">
        <v>0</v>
      </c>
      <c r="W74" s="416">
        <v>0</v>
      </c>
      <c r="X74" s="416">
        <v>0</v>
      </c>
      <c r="Y74" s="416">
        <v>0</v>
      </c>
      <c r="Z74" s="416">
        <v>0</v>
      </c>
      <c r="AA74" s="416">
        <v>0</v>
      </c>
      <c r="AB74" s="416">
        <v>0</v>
      </c>
      <c r="AC74" s="416">
        <v>0</v>
      </c>
      <c r="AD74" s="416">
        <v>0</v>
      </c>
      <c r="AE74" s="416">
        <v>0</v>
      </c>
      <c r="AF74" s="416">
        <v>0</v>
      </c>
      <c r="AG74" s="416">
        <v>0</v>
      </c>
      <c r="AH74" s="416">
        <v>0</v>
      </c>
      <c r="AI74" s="416">
        <v>0</v>
      </c>
      <c r="AJ74" s="416">
        <v>0</v>
      </c>
      <c r="AK74" s="416">
        <v>0</v>
      </c>
      <c r="AL74" s="416">
        <v>0</v>
      </c>
      <c r="AM74" s="416">
        <v>0</v>
      </c>
      <c r="AN74" s="416">
        <v>0</v>
      </c>
      <c r="AO74" s="416">
        <v>0</v>
      </c>
      <c r="AP74" s="416">
        <v>0</v>
      </c>
      <c r="AQ74" s="416">
        <v>0</v>
      </c>
      <c r="AR74" s="416">
        <v>0</v>
      </c>
      <c r="AS74" s="416">
        <v>0</v>
      </c>
      <c r="AT74" s="416">
        <v>0</v>
      </c>
      <c r="AU74" s="416">
        <v>0</v>
      </c>
      <c r="AV74" s="416">
        <v>0</v>
      </c>
      <c r="AW74" s="416">
        <v>0</v>
      </c>
      <c r="AX74" s="416">
        <v>0</v>
      </c>
      <c r="AY74" s="416">
        <v>0</v>
      </c>
      <c r="AZ74" s="416">
        <v>0</v>
      </c>
      <c r="BA74" s="416">
        <v>0</v>
      </c>
      <c r="BB74" s="416">
        <v>0</v>
      </c>
      <c r="BC74" s="416">
        <v>0</v>
      </c>
      <c r="BD74" s="416">
        <v>0</v>
      </c>
      <c r="BE74" s="416">
        <v>0</v>
      </c>
      <c r="BF74" s="416">
        <v>0</v>
      </c>
      <c r="BG74" s="416">
        <v>0</v>
      </c>
      <c r="BH74" s="416">
        <v>0</v>
      </c>
      <c r="BI74" s="416">
        <v>0</v>
      </c>
      <c r="BJ74" s="416">
        <v>0</v>
      </c>
      <c r="BK74" s="416">
        <v>0</v>
      </c>
      <c r="BL74" s="416">
        <v>0</v>
      </c>
      <c r="BM74" s="416">
        <v>0</v>
      </c>
      <c r="BN74" s="416">
        <v>0</v>
      </c>
      <c r="BO74" s="416">
        <v>0</v>
      </c>
      <c r="BP74" s="416">
        <v>0</v>
      </c>
      <c r="BQ74" s="416">
        <v>0</v>
      </c>
      <c r="BR74" s="416">
        <v>0</v>
      </c>
      <c r="BS74" s="416">
        <v>0</v>
      </c>
      <c r="BT74" s="416">
        <v>0</v>
      </c>
      <c r="BU74" s="416">
        <v>0</v>
      </c>
      <c r="BV74" s="416">
        <v>0</v>
      </c>
      <c r="BW74" s="416">
        <v>0</v>
      </c>
      <c r="BX74" s="416">
        <v>0</v>
      </c>
      <c r="BY74" s="416">
        <v>0</v>
      </c>
      <c r="BZ74" s="416">
        <v>0</v>
      </c>
      <c r="CC74" s="420"/>
      <c r="CD74" s="415" t="s">
        <v>500</v>
      </c>
      <c r="CE74" s="420">
        <f t="shared" si="15"/>
        <v>0</v>
      </c>
      <c r="CF74" s="420">
        <f t="shared" si="1"/>
        <v>0</v>
      </c>
      <c r="CG74" s="420">
        <f t="shared" si="2"/>
        <v>0</v>
      </c>
      <c r="CH74" s="420">
        <f t="shared" si="3"/>
        <v>0</v>
      </c>
      <c r="CI74" s="420">
        <f t="shared" si="4"/>
        <v>0</v>
      </c>
      <c r="CJ74" s="420">
        <f t="shared" si="5"/>
        <v>0</v>
      </c>
      <c r="CK74" s="420">
        <f t="shared" si="6"/>
        <v>0</v>
      </c>
      <c r="CL74" s="420">
        <f t="shared" si="7"/>
        <v>0</v>
      </c>
      <c r="CM74" s="420">
        <f t="shared" si="8"/>
        <v>0</v>
      </c>
      <c r="CN74" s="420">
        <f t="shared" si="9"/>
        <v>0</v>
      </c>
      <c r="CO74" s="420">
        <f t="shared" si="10"/>
        <v>0</v>
      </c>
      <c r="CP74" s="420">
        <f t="shared" si="11"/>
        <v>0</v>
      </c>
      <c r="CQ74" s="420">
        <f t="shared" si="12"/>
        <v>0</v>
      </c>
      <c r="CR74" s="420">
        <f t="shared" si="13"/>
        <v>0</v>
      </c>
      <c r="CS74" s="420">
        <f t="shared" si="14"/>
        <v>0</v>
      </c>
      <c r="CT74" s="21"/>
    </row>
    <row r="75" spans="3:98" collapsed="1">
      <c r="C75" s="417" t="s">
        <v>108</v>
      </c>
      <c r="D75" s="416">
        <v>0</v>
      </c>
      <c r="E75" s="416">
        <v>0</v>
      </c>
      <c r="F75" s="416">
        <v>0</v>
      </c>
      <c r="G75" s="416">
        <v>0</v>
      </c>
      <c r="H75" s="416">
        <v>0</v>
      </c>
      <c r="I75" s="416">
        <v>0</v>
      </c>
      <c r="J75" s="416">
        <v>0</v>
      </c>
      <c r="K75" s="416">
        <v>0</v>
      </c>
      <c r="L75" s="416">
        <v>0</v>
      </c>
      <c r="M75" s="416">
        <v>0</v>
      </c>
      <c r="N75" s="416">
        <v>0</v>
      </c>
      <c r="O75" s="416">
        <v>0</v>
      </c>
      <c r="P75" s="416">
        <v>0</v>
      </c>
      <c r="Q75" s="416">
        <v>0</v>
      </c>
      <c r="R75" s="416">
        <v>0</v>
      </c>
      <c r="S75" s="416">
        <v>0</v>
      </c>
      <c r="T75" s="416">
        <v>0</v>
      </c>
      <c r="U75" s="416">
        <v>0</v>
      </c>
      <c r="V75" s="416">
        <v>0</v>
      </c>
      <c r="W75" s="416">
        <v>0</v>
      </c>
      <c r="X75" s="416">
        <v>0</v>
      </c>
      <c r="Y75" s="416">
        <v>0</v>
      </c>
      <c r="Z75" s="416">
        <v>0</v>
      </c>
      <c r="AA75" s="416">
        <v>0</v>
      </c>
      <c r="AB75" s="416">
        <v>0</v>
      </c>
      <c r="AC75" s="416">
        <v>0</v>
      </c>
      <c r="AD75" s="416">
        <v>0</v>
      </c>
      <c r="AE75" s="416">
        <v>0</v>
      </c>
      <c r="AF75" s="416">
        <v>0</v>
      </c>
      <c r="AG75" s="416">
        <v>0</v>
      </c>
      <c r="AH75" s="416">
        <v>0</v>
      </c>
      <c r="AI75" s="416">
        <v>0</v>
      </c>
      <c r="AJ75" s="416">
        <v>0</v>
      </c>
      <c r="AK75" s="416">
        <v>0</v>
      </c>
      <c r="AL75" s="416">
        <v>0</v>
      </c>
      <c r="AM75" s="416">
        <v>0</v>
      </c>
      <c r="AN75" s="416">
        <v>0</v>
      </c>
      <c r="AO75" s="416">
        <v>0</v>
      </c>
      <c r="AP75" s="416">
        <v>0</v>
      </c>
      <c r="AQ75" s="416">
        <v>0</v>
      </c>
      <c r="AR75" s="416">
        <v>0</v>
      </c>
      <c r="AS75" s="416">
        <v>0</v>
      </c>
      <c r="AT75" s="416">
        <v>0</v>
      </c>
      <c r="AU75" s="416">
        <v>0</v>
      </c>
      <c r="AV75" s="416">
        <v>0</v>
      </c>
      <c r="AW75" s="416">
        <v>0</v>
      </c>
      <c r="AX75" s="416">
        <v>0</v>
      </c>
      <c r="AY75" s="416">
        <v>0</v>
      </c>
      <c r="AZ75" s="416">
        <v>0</v>
      </c>
      <c r="BA75" s="416">
        <v>0</v>
      </c>
      <c r="BB75" s="416">
        <v>0</v>
      </c>
      <c r="BC75" s="416">
        <v>0</v>
      </c>
      <c r="BD75" s="416">
        <v>0</v>
      </c>
      <c r="BE75" s="416">
        <v>0</v>
      </c>
      <c r="BF75" s="416">
        <v>0</v>
      </c>
      <c r="BG75" s="416">
        <v>0</v>
      </c>
      <c r="BH75" s="416">
        <v>0</v>
      </c>
      <c r="BI75" s="416">
        <v>0</v>
      </c>
      <c r="BJ75" s="416">
        <v>0</v>
      </c>
      <c r="BK75" s="416">
        <v>0</v>
      </c>
      <c r="BL75" s="416">
        <v>0</v>
      </c>
      <c r="BM75" s="416">
        <v>0.748</v>
      </c>
      <c r="BN75" s="416">
        <v>6.9720000000000004</v>
      </c>
      <c r="BO75" s="416">
        <v>21.44</v>
      </c>
      <c r="BP75" s="416">
        <v>29.16</v>
      </c>
      <c r="BQ75" s="416">
        <v>22.138000000000002</v>
      </c>
      <c r="BR75" s="416">
        <v>23.655999999999999</v>
      </c>
      <c r="BS75" s="416">
        <v>21.507000000000001</v>
      </c>
      <c r="BT75" s="416">
        <v>21.6</v>
      </c>
      <c r="BU75" s="416">
        <v>88.900999999999996</v>
      </c>
      <c r="BV75" s="416">
        <v>21.536000000000001</v>
      </c>
      <c r="BW75" s="416">
        <v>21.672000000000001</v>
      </c>
      <c r="BX75" s="416">
        <v>20.821000000000002</v>
      </c>
      <c r="BY75" s="416">
        <v>0</v>
      </c>
      <c r="BZ75" s="416">
        <v>0</v>
      </c>
      <c r="CC75" s="420"/>
      <c r="CD75" s="417" t="s">
        <v>108</v>
      </c>
      <c r="CE75" s="420">
        <f t="shared" ref="CE75:CE106" si="16">H75</f>
        <v>0</v>
      </c>
      <c r="CF75" s="420">
        <f t="shared" si="1"/>
        <v>0</v>
      </c>
      <c r="CG75" s="420">
        <f t="shared" si="2"/>
        <v>0</v>
      </c>
      <c r="CH75" s="420">
        <f t="shared" si="3"/>
        <v>0</v>
      </c>
      <c r="CI75" s="420">
        <f t="shared" si="4"/>
        <v>0</v>
      </c>
      <c r="CJ75" s="420">
        <f t="shared" si="5"/>
        <v>0</v>
      </c>
      <c r="CK75" s="420">
        <f t="shared" si="6"/>
        <v>0</v>
      </c>
      <c r="CL75" s="420">
        <f t="shared" si="7"/>
        <v>0</v>
      </c>
      <c r="CM75" s="420">
        <f t="shared" si="8"/>
        <v>0</v>
      </c>
      <c r="CN75" s="420">
        <f t="shared" si="9"/>
        <v>0</v>
      </c>
      <c r="CO75" s="420">
        <f t="shared" si="10"/>
        <v>0</v>
      </c>
      <c r="CP75" s="420">
        <f t="shared" si="11"/>
        <v>0</v>
      </c>
      <c r="CQ75" s="420">
        <f t="shared" si="12"/>
        <v>29.16</v>
      </c>
      <c r="CR75" s="420">
        <f t="shared" si="13"/>
        <v>88.900999999999996</v>
      </c>
      <c r="CS75" s="420">
        <f t="shared" si="14"/>
        <v>0</v>
      </c>
      <c r="CT75" s="21"/>
    </row>
    <row r="76" spans="3:98">
      <c r="C76" s="417" t="s">
        <v>503</v>
      </c>
      <c r="D76" s="416">
        <v>0</v>
      </c>
      <c r="E76" s="416">
        <v>0</v>
      </c>
      <c r="F76" s="416">
        <v>0</v>
      </c>
      <c r="G76" s="416">
        <v>0</v>
      </c>
      <c r="H76" s="416">
        <v>0</v>
      </c>
      <c r="I76" s="416">
        <v>0</v>
      </c>
      <c r="J76" s="416">
        <v>0</v>
      </c>
      <c r="K76" s="416">
        <v>0</v>
      </c>
      <c r="L76" s="416">
        <v>0</v>
      </c>
      <c r="M76" s="416">
        <v>0</v>
      </c>
      <c r="N76" s="416">
        <v>0</v>
      </c>
      <c r="O76" s="416">
        <v>0</v>
      </c>
      <c r="P76" s="416">
        <v>0</v>
      </c>
      <c r="Q76" s="416">
        <v>0</v>
      </c>
      <c r="R76" s="416">
        <v>0</v>
      </c>
      <c r="S76" s="416">
        <v>0</v>
      </c>
      <c r="T76" s="416">
        <v>0</v>
      </c>
      <c r="U76" s="416">
        <v>0</v>
      </c>
      <c r="V76" s="416">
        <v>0</v>
      </c>
      <c r="W76" s="416">
        <v>0</v>
      </c>
      <c r="X76" s="416">
        <v>0</v>
      </c>
      <c r="Y76" s="416">
        <v>0</v>
      </c>
      <c r="Z76" s="416">
        <v>0</v>
      </c>
      <c r="AA76" s="416">
        <v>0</v>
      </c>
      <c r="AB76" s="416">
        <v>0</v>
      </c>
      <c r="AC76" s="416">
        <v>0</v>
      </c>
      <c r="AD76" s="416">
        <v>0</v>
      </c>
      <c r="AE76" s="416">
        <v>0</v>
      </c>
      <c r="AF76" s="416">
        <v>0</v>
      </c>
      <c r="AG76" s="416">
        <v>0</v>
      </c>
      <c r="AH76" s="416">
        <v>0</v>
      </c>
      <c r="AI76" s="416">
        <v>0</v>
      </c>
      <c r="AJ76" s="416">
        <v>0</v>
      </c>
      <c r="AK76" s="416">
        <v>0</v>
      </c>
      <c r="AL76" s="416">
        <v>0</v>
      </c>
      <c r="AM76" s="416">
        <v>0</v>
      </c>
      <c r="AN76" s="416">
        <v>0</v>
      </c>
      <c r="AO76" s="416">
        <v>0</v>
      </c>
      <c r="AP76" s="416">
        <v>0</v>
      </c>
      <c r="AQ76" s="416">
        <v>0</v>
      </c>
      <c r="AR76" s="416">
        <v>0</v>
      </c>
      <c r="AS76" s="416">
        <v>0</v>
      </c>
      <c r="AT76" s="416">
        <v>0</v>
      </c>
      <c r="AU76" s="416">
        <v>0</v>
      </c>
      <c r="AV76" s="416">
        <v>0</v>
      </c>
      <c r="AW76" s="416">
        <v>0</v>
      </c>
      <c r="AX76" s="416">
        <v>0</v>
      </c>
      <c r="AY76" s="416">
        <v>0</v>
      </c>
      <c r="AZ76" s="416">
        <v>0</v>
      </c>
      <c r="BA76" s="416">
        <v>0</v>
      </c>
      <c r="BB76" s="416">
        <v>0</v>
      </c>
      <c r="BC76" s="416">
        <v>0</v>
      </c>
      <c r="BD76" s="416">
        <v>0</v>
      </c>
      <c r="BE76" s="416">
        <v>0</v>
      </c>
      <c r="BF76" s="416">
        <v>0</v>
      </c>
      <c r="BG76" s="416">
        <v>0</v>
      </c>
      <c r="BH76" s="416">
        <v>0</v>
      </c>
      <c r="BI76" s="416">
        <v>0</v>
      </c>
      <c r="BJ76" s="416">
        <v>0</v>
      </c>
      <c r="BK76" s="416">
        <v>0</v>
      </c>
      <c r="BL76" s="416">
        <v>0</v>
      </c>
      <c r="BM76" s="416">
        <v>0</v>
      </c>
      <c r="BN76" s="416">
        <v>0</v>
      </c>
      <c r="BO76" s="416">
        <v>0</v>
      </c>
      <c r="BP76" s="416">
        <v>0</v>
      </c>
      <c r="BQ76" s="416">
        <v>0</v>
      </c>
      <c r="BR76" s="416">
        <v>0</v>
      </c>
      <c r="BS76" s="416">
        <v>0</v>
      </c>
      <c r="BT76" s="416">
        <v>0</v>
      </c>
      <c r="BU76" s="416">
        <v>0</v>
      </c>
      <c r="BV76" s="416">
        <v>0</v>
      </c>
      <c r="BW76" s="416">
        <v>0</v>
      </c>
      <c r="BX76" s="416">
        <v>0</v>
      </c>
      <c r="BY76" s="416">
        <v>0</v>
      </c>
      <c r="BZ76" s="416">
        <v>0</v>
      </c>
      <c r="CC76" s="420"/>
      <c r="CD76" s="417" t="s">
        <v>503</v>
      </c>
      <c r="CE76" s="420">
        <f t="shared" si="16"/>
        <v>0</v>
      </c>
      <c r="CF76" s="420">
        <f t="shared" ref="CF76:CF139" si="17">M76</f>
        <v>0</v>
      </c>
      <c r="CG76" s="420">
        <f t="shared" ref="CG76:CG139" si="18">R76</f>
        <v>0</v>
      </c>
      <c r="CH76" s="420">
        <f t="shared" si="3"/>
        <v>0</v>
      </c>
      <c r="CI76" s="420">
        <f t="shared" si="4"/>
        <v>0</v>
      </c>
      <c r="CJ76" s="420">
        <f t="shared" si="5"/>
        <v>0</v>
      </c>
      <c r="CK76" s="420">
        <f t="shared" si="6"/>
        <v>0</v>
      </c>
      <c r="CL76" s="420">
        <f t="shared" si="7"/>
        <v>0</v>
      </c>
      <c r="CM76" s="420">
        <f t="shared" si="8"/>
        <v>0</v>
      </c>
      <c r="CN76" s="420">
        <f t="shared" si="9"/>
        <v>0</v>
      </c>
      <c r="CO76" s="420">
        <f t="shared" si="10"/>
        <v>0</v>
      </c>
      <c r="CP76" s="420">
        <f t="shared" si="11"/>
        <v>0</v>
      </c>
      <c r="CQ76" s="420">
        <f t="shared" si="12"/>
        <v>0</v>
      </c>
      <c r="CR76" s="420">
        <f t="shared" si="13"/>
        <v>0</v>
      </c>
      <c r="CS76" s="420">
        <f t="shared" si="14"/>
        <v>0</v>
      </c>
      <c r="CT76" s="21"/>
    </row>
    <row r="77" spans="3:98" hidden="1" outlineLevel="1">
      <c r="C77" s="415" t="s">
        <v>504</v>
      </c>
      <c r="D77" s="416">
        <v>0</v>
      </c>
      <c r="E77" s="416">
        <v>0</v>
      </c>
      <c r="F77" s="416">
        <v>0</v>
      </c>
      <c r="G77" s="416">
        <v>0</v>
      </c>
      <c r="H77" s="416">
        <v>0</v>
      </c>
      <c r="I77" s="416">
        <v>0</v>
      </c>
      <c r="J77" s="416">
        <v>0</v>
      </c>
      <c r="K77" s="416">
        <v>0</v>
      </c>
      <c r="L77" s="416">
        <v>0</v>
      </c>
      <c r="M77" s="416">
        <v>0</v>
      </c>
      <c r="N77" s="416">
        <v>0</v>
      </c>
      <c r="O77" s="416">
        <v>0</v>
      </c>
      <c r="P77" s="416">
        <v>0</v>
      </c>
      <c r="Q77" s="416">
        <v>0</v>
      </c>
      <c r="R77" s="416">
        <v>0</v>
      </c>
      <c r="S77" s="416">
        <v>0</v>
      </c>
      <c r="T77" s="416">
        <v>0</v>
      </c>
      <c r="U77" s="416">
        <v>0</v>
      </c>
      <c r="V77" s="416">
        <v>0</v>
      </c>
      <c r="W77" s="416">
        <v>0</v>
      </c>
      <c r="X77" s="416">
        <v>0</v>
      </c>
      <c r="Y77" s="416">
        <v>0</v>
      </c>
      <c r="Z77" s="416">
        <v>0</v>
      </c>
      <c r="AA77" s="416">
        <v>0</v>
      </c>
      <c r="AB77" s="416">
        <v>0</v>
      </c>
      <c r="AC77" s="416">
        <v>0</v>
      </c>
      <c r="AD77" s="416">
        <v>0</v>
      </c>
      <c r="AE77" s="416">
        <v>0</v>
      </c>
      <c r="AF77" s="416">
        <v>0</v>
      </c>
      <c r="AG77" s="416">
        <v>0</v>
      </c>
      <c r="AH77" s="416">
        <v>0</v>
      </c>
      <c r="AI77" s="416">
        <v>0</v>
      </c>
      <c r="AJ77" s="416">
        <v>0</v>
      </c>
      <c r="AK77" s="416">
        <v>0</v>
      </c>
      <c r="AL77" s="416">
        <v>0</v>
      </c>
      <c r="AM77" s="416">
        <v>0</v>
      </c>
      <c r="AN77" s="416">
        <v>0</v>
      </c>
      <c r="AO77" s="416">
        <v>0</v>
      </c>
      <c r="AP77" s="416">
        <v>0</v>
      </c>
      <c r="AQ77" s="416">
        <v>0</v>
      </c>
      <c r="AR77" s="416">
        <v>0</v>
      </c>
      <c r="AS77" s="416">
        <v>0</v>
      </c>
      <c r="AT77" s="416">
        <v>0</v>
      </c>
      <c r="AU77" s="416">
        <v>0</v>
      </c>
      <c r="AV77" s="416">
        <v>0</v>
      </c>
      <c r="AW77" s="416">
        <v>0</v>
      </c>
      <c r="AX77" s="416">
        <v>0</v>
      </c>
      <c r="AY77" s="416">
        <v>0</v>
      </c>
      <c r="AZ77" s="416">
        <v>0</v>
      </c>
      <c r="BA77" s="416">
        <v>0</v>
      </c>
      <c r="BB77" s="416">
        <v>0</v>
      </c>
      <c r="BC77" s="416">
        <v>0</v>
      </c>
      <c r="BD77" s="416">
        <v>0</v>
      </c>
      <c r="BE77" s="416">
        <v>0</v>
      </c>
      <c r="BF77" s="416">
        <v>0</v>
      </c>
      <c r="BG77" s="416">
        <v>0</v>
      </c>
      <c r="BH77" s="416">
        <v>0</v>
      </c>
      <c r="BI77" s="416">
        <v>0</v>
      </c>
      <c r="BJ77" s="416">
        <v>0</v>
      </c>
      <c r="BK77" s="416">
        <v>0</v>
      </c>
      <c r="BL77" s="416">
        <v>0</v>
      </c>
      <c r="BM77" s="416">
        <v>0</v>
      </c>
      <c r="BN77" s="416">
        <v>0</v>
      </c>
      <c r="BO77" s="416">
        <v>0</v>
      </c>
      <c r="BP77" s="416">
        <v>0</v>
      </c>
      <c r="BQ77" s="416">
        <v>0</v>
      </c>
      <c r="BR77" s="416">
        <v>0</v>
      </c>
      <c r="BS77" s="416">
        <v>0</v>
      </c>
      <c r="BT77" s="416">
        <v>0</v>
      </c>
      <c r="BU77" s="416">
        <v>0</v>
      </c>
      <c r="BV77" s="416">
        <v>0</v>
      </c>
      <c r="BW77" s="416">
        <v>0</v>
      </c>
      <c r="BX77" s="416">
        <v>0</v>
      </c>
      <c r="BY77" s="416">
        <v>0</v>
      </c>
      <c r="BZ77" s="416">
        <v>0</v>
      </c>
      <c r="CC77" s="420"/>
      <c r="CD77" s="415" t="s">
        <v>504</v>
      </c>
      <c r="CE77" s="420">
        <f t="shared" si="16"/>
        <v>0</v>
      </c>
      <c r="CF77" s="420">
        <f t="shared" si="17"/>
        <v>0</v>
      </c>
      <c r="CG77" s="420">
        <f t="shared" si="18"/>
        <v>0</v>
      </c>
      <c r="CH77" s="420">
        <f t="shared" si="3"/>
        <v>0</v>
      </c>
      <c r="CI77" s="420">
        <f t="shared" si="4"/>
        <v>0</v>
      </c>
      <c r="CJ77" s="420">
        <f t="shared" si="5"/>
        <v>0</v>
      </c>
      <c r="CK77" s="420">
        <f t="shared" si="6"/>
        <v>0</v>
      </c>
      <c r="CL77" s="420">
        <f t="shared" si="7"/>
        <v>0</v>
      </c>
      <c r="CM77" s="420">
        <f t="shared" si="8"/>
        <v>0</v>
      </c>
      <c r="CN77" s="420">
        <f t="shared" si="9"/>
        <v>0</v>
      </c>
      <c r="CO77" s="420">
        <f t="shared" si="10"/>
        <v>0</v>
      </c>
      <c r="CP77" s="420">
        <f t="shared" si="11"/>
        <v>0</v>
      </c>
      <c r="CQ77" s="420">
        <f t="shared" si="12"/>
        <v>0</v>
      </c>
      <c r="CR77" s="420">
        <f t="shared" si="13"/>
        <v>0</v>
      </c>
      <c r="CS77" s="420">
        <f t="shared" si="14"/>
        <v>0</v>
      </c>
      <c r="CT77" s="21"/>
    </row>
    <row r="78" spans="3:98" hidden="1" outlineLevel="1">
      <c r="C78" s="415" t="s">
        <v>505</v>
      </c>
      <c r="D78" s="416">
        <v>0</v>
      </c>
      <c r="E78" s="416">
        <v>0</v>
      </c>
      <c r="F78" s="416">
        <v>0</v>
      </c>
      <c r="G78" s="416">
        <v>0</v>
      </c>
      <c r="H78" s="416">
        <v>0</v>
      </c>
      <c r="I78" s="416">
        <v>0</v>
      </c>
      <c r="J78" s="416">
        <v>0</v>
      </c>
      <c r="K78" s="416">
        <v>0</v>
      </c>
      <c r="L78" s="416">
        <v>0</v>
      </c>
      <c r="M78" s="416">
        <v>0</v>
      </c>
      <c r="N78" s="416">
        <v>0</v>
      </c>
      <c r="O78" s="416">
        <v>0</v>
      </c>
      <c r="P78" s="416">
        <v>0</v>
      </c>
      <c r="Q78" s="416">
        <v>0</v>
      </c>
      <c r="R78" s="416">
        <v>0</v>
      </c>
      <c r="S78" s="416">
        <v>0</v>
      </c>
      <c r="T78" s="416">
        <v>0</v>
      </c>
      <c r="U78" s="416">
        <v>0</v>
      </c>
      <c r="V78" s="416">
        <v>0</v>
      </c>
      <c r="W78" s="416">
        <v>0</v>
      </c>
      <c r="X78" s="416">
        <v>0</v>
      </c>
      <c r="Y78" s="416">
        <v>0</v>
      </c>
      <c r="Z78" s="416">
        <v>0</v>
      </c>
      <c r="AA78" s="416">
        <v>0</v>
      </c>
      <c r="AB78" s="416">
        <v>0</v>
      </c>
      <c r="AC78" s="416">
        <v>0</v>
      </c>
      <c r="AD78" s="416">
        <v>0</v>
      </c>
      <c r="AE78" s="416">
        <v>0</v>
      </c>
      <c r="AF78" s="416">
        <v>0</v>
      </c>
      <c r="AG78" s="416">
        <v>0</v>
      </c>
      <c r="AH78" s="416">
        <v>0</v>
      </c>
      <c r="AI78" s="416">
        <v>0</v>
      </c>
      <c r="AJ78" s="416">
        <v>0</v>
      </c>
      <c r="AK78" s="416">
        <v>0</v>
      </c>
      <c r="AL78" s="416">
        <v>0</v>
      </c>
      <c r="AM78" s="416">
        <v>0</v>
      </c>
      <c r="AN78" s="416">
        <v>0</v>
      </c>
      <c r="AO78" s="416">
        <v>0</v>
      </c>
      <c r="AP78" s="416">
        <v>0</v>
      </c>
      <c r="AQ78" s="416">
        <v>0</v>
      </c>
      <c r="AR78" s="416">
        <v>0</v>
      </c>
      <c r="AS78" s="416">
        <v>0</v>
      </c>
      <c r="AT78" s="416">
        <v>0</v>
      </c>
      <c r="AU78" s="416">
        <v>0</v>
      </c>
      <c r="AV78" s="416">
        <v>0</v>
      </c>
      <c r="AW78" s="416">
        <v>0</v>
      </c>
      <c r="AX78" s="416">
        <v>0</v>
      </c>
      <c r="AY78" s="416">
        <v>0</v>
      </c>
      <c r="AZ78" s="416">
        <v>0</v>
      </c>
      <c r="BA78" s="416">
        <v>0</v>
      </c>
      <c r="BB78" s="416">
        <v>0</v>
      </c>
      <c r="BC78" s="416">
        <v>0</v>
      </c>
      <c r="BD78" s="416">
        <v>0</v>
      </c>
      <c r="BE78" s="416">
        <v>0</v>
      </c>
      <c r="BF78" s="416">
        <v>0</v>
      </c>
      <c r="BG78" s="416">
        <v>0</v>
      </c>
      <c r="BH78" s="416">
        <v>0</v>
      </c>
      <c r="BI78" s="416">
        <v>0</v>
      </c>
      <c r="BJ78" s="416">
        <v>0</v>
      </c>
      <c r="BK78" s="416">
        <v>0</v>
      </c>
      <c r="BL78" s="416">
        <v>0</v>
      </c>
      <c r="BM78" s="416">
        <v>0</v>
      </c>
      <c r="BN78" s="416">
        <v>0</v>
      </c>
      <c r="BO78" s="416">
        <v>0</v>
      </c>
      <c r="BP78" s="416">
        <v>0</v>
      </c>
      <c r="BQ78" s="416">
        <v>0</v>
      </c>
      <c r="BR78" s="416">
        <v>0</v>
      </c>
      <c r="BS78" s="416">
        <v>3.4079999999999999</v>
      </c>
      <c r="BT78" s="416">
        <v>0</v>
      </c>
      <c r="BU78" s="416">
        <v>0</v>
      </c>
      <c r="BV78" s="416">
        <v>0</v>
      </c>
      <c r="BW78" s="416">
        <v>0</v>
      </c>
      <c r="BX78" s="416">
        <v>48.488</v>
      </c>
      <c r="BY78" s="416">
        <v>0</v>
      </c>
      <c r="BZ78" s="416">
        <v>0</v>
      </c>
      <c r="CC78" s="420"/>
      <c r="CD78" s="415" t="s">
        <v>505</v>
      </c>
      <c r="CE78" s="420">
        <f t="shared" si="16"/>
        <v>0</v>
      </c>
      <c r="CF78" s="420">
        <f t="shared" si="17"/>
        <v>0</v>
      </c>
      <c r="CG78" s="420">
        <f t="shared" si="18"/>
        <v>0</v>
      </c>
      <c r="CH78" s="420">
        <f t="shared" si="3"/>
        <v>0</v>
      </c>
      <c r="CI78" s="420">
        <f t="shared" si="4"/>
        <v>0</v>
      </c>
      <c r="CJ78" s="420">
        <f t="shared" si="5"/>
        <v>0</v>
      </c>
      <c r="CK78" s="420">
        <f t="shared" si="6"/>
        <v>0</v>
      </c>
      <c r="CL78" s="420">
        <f t="shared" si="7"/>
        <v>0</v>
      </c>
      <c r="CM78" s="420">
        <f t="shared" si="8"/>
        <v>0</v>
      </c>
      <c r="CN78" s="420">
        <f t="shared" si="9"/>
        <v>0</v>
      </c>
      <c r="CO78" s="420">
        <f t="shared" si="10"/>
        <v>0</v>
      </c>
      <c r="CP78" s="420">
        <f t="shared" si="11"/>
        <v>0</v>
      </c>
      <c r="CQ78" s="420">
        <f t="shared" si="12"/>
        <v>0</v>
      </c>
      <c r="CR78" s="420">
        <f t="shared" si="13"/>
        <v>0</v>
      </c>
      <c r="CS78" s="420">
        <f t="shared" si="14"/>
        <v>0</v>
      </c>
      <c r="CT78" s="21"/>
    </row>
    <row r="79" spans="3:98" hidden="1" outlineLevel="1">
      <c r="C79" s="415" t="s">
        <v>506</v>
      </c>
      <c r="D79" s="416">
        <v>0</v>
      </c>
      <c r="E79" s="416">
        <v>0</v>
      </c>
      <c r="F79" s="416">
        <v>0</v>
      </c>
      <c r="G79" s="416">
        <v>0</v>
      </c>
      <c r="H79" s="416">
        <v>0</v>
      </c>
      <c r="I79" s="416">
        <v>0</v>
      </c>
      <c r="J79" s="416">
        <v>0</v>
      </c>
      <c r="K79" s="416">
        <v>0</v>
      </c>
      <c r="L79" s="416">
        <v>0</v>
      </c>
      <c r="M79" s="416">
        <v>0</v>
      </c>
      <c r="N79" s="416">
        <v>0</v>
      </c>
      <c r="O79" s="416">
        <v>0</v>
      </c>
      <c r="P79" s="416">
        <v>0</v>
      </c>
      <c r="Q79" s="416">
        <v>0</v>
      </c>
      <c r="R79" s="416">
        <v>0</v>
      </c>
      <c r="S79" s="416">
        <v>0</v>
      </c>
      <c r="T79" s="416">
        <v>0</v>
      </c>
      <c r="U79" s="416">
        <v>0</v>
      </c>
      <c r="V79" s="416">
        <v>0</v>
      </c>
      <c r="W79" s="416">
        <v>0</v>
      </c>
      <c r="X79" s="416">
        <v>0</v>
      </c>
      <c r="Y79" s="416">
        <v>0</v>
      </c>
      <c r="Z79" s="416">
        <v>0</v>
      </c>
      <c r="AA79" s="416">
        <v>0</v>
      </c>
      <c r="AB79" s="416">
        <v>0</v>
      </c>
      <c r="AC79" s="416">
        <v>0</v>
      </c>
      <c r="AD79" s="416">
        <v>0</v>
      </c>
      <c r="AE79" s="416">
        <v>0</v>
      </c>
      <c r="AF79" s="416">
        <v>0</v>
      </c>
      <c r="AG79" s="416">
        <v>0</v>
      </c>
      <c r="AH79" s="416">
        <v>0</v>
      </c>
      <c r="AI79" s="416">
        <v>0</v>
      </c>
      <c r="AJ79" s="416">
        <v>0</v>
      </c>
      <c r="AK79" s="416">
        <v>0</v>
      </c>
      <c r="AL79" s="416">
        <v>0</v>
      </c>
      <c r="AM79" s="416">
        <v>0</v>
      </c>
      <c r="AN79" s="416">
        <v>0</v>
      </c>
      <c r="AO79" s="416">
        <v>0</v>
      </c>
      <c r="AP79" s="416">
        <v>0</v>
      </c>
      <c r="AQ79" s="416">
        <v>0</v>
      </c>
      <c r="AR79" s="416">
        <v>0</v>
      </c>
      <c r="AS79" s="416">
        <v>0</v>
      </c>
      <c r="AT79" s="416">
        <v>0</v>
      </c>
      <c r="AU79" s="416">
        <v>0</v>
      </c>
      <c r="AV79" s="416">
        <v>0</v>
      </c>
      <c r="AW79" s="416">
        <v>0</v>
      </c>
      <c r="AX79" s="416">
        <v>0</v>
      </c>
      <c r="AY79" s="416">
        <v>0</v>
      </c>
      <c r="AZ79" s="416">
        <v>0</v>
      </c>
      <c r="BA79" s="416">
        <v>0</v>
      </c>
      <c r="BB79" s="416">
        <v>0</v>
      </c>
      <c r="BC79" s="416">
        <v>0</v>
      </c>
      <c r="BD79" s="416">
        <v>0</v>
      </c>
      <c r="BE79" s="416">
        <v>0</v>
      </c>
      <c r="BF79" s="416">
        <v>0</v>
      </c>
      <c r="BG79" s="416">
        <v>0</v>
      </c>
      <c r="BH79" s="416">
        <v>0</v>
      </c>
      <c r="BI79" s="416">
        <v>0</v>
      </c>
      <c r="BJ79" s="416">
        <v>0</v>
      </c>
      <c r="BK79" s="416">
        <v>0</v>
      </c>
      <c r="BL79" s="416">
        <v>0</v>
      </c>
      <c r="BM79" s="416">
        <v>0</v>
      </c>
      <c r="BN79" s="416">
        <v>0</v>
      </c>
      <c r="BO79" s="416">
        <v>0</v>
      </c>
      <c r="BP79" s="416">
        <v>0</v>
      </c>
      <c r="BQ79" s="416">
        <v>0</v>
      </c>
      <c r="BR79" s="416">
        <v>0</v>
      </c>
      <c r="BS79" s="416">
        <v>0</v>
      </c>
      <c r="BT79" s="416">
        <v>0</v>
      </c>
      <c r="BU79" s="416">
        <v>0</v>
      </c>
      <c r="BV79" s="416">
        <v>0</v>
      </c>
      <c r="BW79" s="416">
        <v>0</v>
      </c>
      <c r="BX79" s="416">
        <v>0</v>
      </c>
      <c r="BY79" s="416">
        <v>0</v>
      </c>
      <c r="BZ79" s="416">
        <v>0</v>
      </c>
      <c r="CC79" s="420"/>
      <c r="CD79" s="415" t="s">
        <v>506</v>
      </c>
      <c r="CE79" s="420">
        <f t="shared" si="16"/>
        <v>0</v>
      </c>
      <c r="CF79" s="420">
        <f t="shared" si="17"/>
        <v>0</v>
      </c>
      <c r="CG79" s="420">
        <f t="shared" si="18"/>
        <v>0</v>
      </c>
      <c r="CH79" s="420">
        <f t="shared" si="3"/>
        <v>0</v>
      </c>
      <c r="CI79" s="420">
        <f t="shared" si="4"/>
        <v>0</v>
      </c>
      <c r="CJ79" s="420">
        <f t="shared" si="5"/>
        <v>0</v>
      </c>
      <c r="CK79" s="420">
        <f t="shared" si="6"/>
        <v>0</v>
      </c>
      <c r="CL79" s="420">
        <f t="shared" si="7"/>
        <v>0</v>
      </c>
      <c r="CM79" s="420">
        <f t="shared" si="8"/>
        <v>0</v>
      </c>
      <c r="CN79" s="420">
        <f t="shared" si="9"/>
        <v>0</v>
      </c>
      <c r="CO79" s="420">
        <f t="shared" si="10"/>
        <v>0</v>
      </c>
      <c r="CP79" s="420">
        <f t="shared" si="11"/>
        <v>0</v>
      </c>
      <c r="CQ79" s="420">
        <f t="shared" si="12"/>
        <v>0</v>
      </c>
      <c r="CR79" s="420">
        <f t="shared" si="13"/>
        <v>0</v>
      </c>
      <c r="CS79" s="420">
        <f t="shared" si="14"/>
        <v>0</v>
      </c>
      <c r="CT79" s="21"/>
    </row>
    <row r="80" spans="3:98" hidden="1" outlineLevel="2">
      <c r="C80" s="424" t="s">
        <v>508</v>
      </c>
      <c r="D80" s="416">
        <v>0</v>
      </c>
      <c r="E80" s="416">
        <v>0</v>
      </c>
      <c r="F80" s="416">
        <v>0</v>
      </c>
      <c r="G80" s="416">
        <v>0</v>
      </c>
      <c r="H80" s="416">
        <v>0</v>
      </c>
      <c r="I80" s="416">
        <v>0</v>
      </c>
      <c r="J80" s="416">
        <v>0</v>
      </c>
      <c r="K80" s="416">
        <v>0</v>
      </c>
      <c r="L80" s="416">
        <v>0</v>
      </c>
      <c r="M80" s="416">
        <v>0</v>
      </c>
      <c r="N80" s="416">
        <v>0</v>
      </c>
      <c r="O80" s="416">
        <v>0</v>
      </c>
      <c r="P80" s="416">
        <v>0</v>
      </c>
      <c r="Q80" s="416">
        <v>0</v>
      </c>
      <c r="R80" s="416">
        <v>0</v>
      </c>
      <c r="S80" s="416">
        <v>0</v>
      </c>
      <c r="T80" s="416">
        <v>0</v>
      </c>
      <c r="U80" s="416">
        <v>0</v>
      </c>
      <c r="V80" s="416">
        <v>0</v>
      </c>
      <c r="W80" s="416">
        <v>0</v>
      </c>
      <c r="X80" s="416">
        <v>0</v>
      </c>
      <c r="Y80" s="416">
        <v>0</v>
      </c>
      <c r="Z80" s="416">
        <v>0</v>
      </c>
      <c r="AA80" s="416">
        <v>0</v>
      </c>
      <c r="AB80" s="416">
        <v>0</v>
      </c>
      <c r="AC80" s="416">
        <v>0</v>
      </c>
      <c r="AD80" s="416">
        <v>0</v>
      </c>
      <c r="AE80" s="416">
        <v>0</v>
      </c>
      <c r="AF80" s="416">
        <v>0</v>
      </c>
      <c r="AG80" s="416">
        <v>0</v>
      </c>
      <c r="AH80" s="416">
        <v>0</v>
      </c>
      <c r="AI80" s="416">
        <v>0</v>
      </c>
      <c r="AJ80" s="416">
        <v>0</v>
      </c>
      <c r="AK80" s="416">
        <v>0</v>
      </c>
      <c r="AL80" s="416">
        <v>0</v>
      </c>
      <c r="AM80" s="416">
        <v>0</v>
      </c>
      <c r="AN80" s="416">
        <v>0</v>
      </c>
      <c r="AO80" s="416">
        <v>0</v>
      </c>
      <c r="AP80" s="416">
        <v>0</v>
      </c>
      <c r="AQ80" s="416">
        <v>0</v>
      </c>
      <c r="AR80" s="416">
        <v>0</v>
      </c>
      <c r="AS80" s="416">
        <v>0</v>
      </c>
      <c r="AT80" s="416">
        <v>0</v>
      </c>
      <c r="AU80" s="416">
        <v>0</v>
      </c>
      <c r="AV80" s="416">
        <v>0</v>
      </c>
      <c r="AW80" s="416">
        <v>0</v>
      </c>
      <c r="AX80" s="416">
        <v>0</v>
      </c>
      <c r="AY80" s="416">
        <v>0</v>
      </c>
      <c r="AZ80" s="416">
        <v>0</v>
      </c>
      <c r="BA80" s="416">
        <v>0</v>
      </c>
      <c r="BB80" s="416">
        <v>0</v>
      </c>
      <c r="BC80" s="416">
        <v>0</v>
      </c>
      <c r="BD80" s="416">
        <v>0</v>
      </c>
      <c r="BE80" s="416">
        <v>0</v>
      </c>
      <c r="BF80" s="416">
        <v>0</v>
      </c>
      <c r="BG80" s="416">
        <v>0</v>
      </c>
      <c r="BH80" s="416">
        <v>0</v>
      </c>
      <c r="BI80" s="416">
        <v>0</v>
      </c>
      <c r="BJ80" s="416">
        <v>0</v>
      </c>
      <c r="BK80" s="416">
        <v>0</v>
      </c>
      <c r="BL80" s="416">
        <v>0</v>
      </c>
      <c r="BM80" s="416">
        <v>0</v>
      </c>
      <c r="BN80" s="416">
        <v>0</v>
      </c>
      <c r="BO80" s="416">
        <v>0</v>
      </c>
      <c r="BP80" s="416">
        <v>0</v>
      </c>
      <c r="BQ80" s="416">
        <v>0</v>
      </c>
      <c r="BR80" s="416">
        <v>0</v>
      </c>
      <c r="BS80" s="416">
        <v>0</v>
      </c>
      <c r="BT80" s="416">
        <v>0</v>
      </c>
      <c r="BU80" s="416">
        <v>0</v>
      </c>
      <c r="BV80" s="416">
        <v>0</v>
      </c>
      <c r="BW80" s="416">
        <v>0</v>
      </c>
      <c r="BX80" s="416">
        <v>0</v>
      </c>
      <c r="BY80" s="416">
        <v>0</v>
      </c>
      <c r="BZ80" s="416">
        <v>0</v>
      </c>
      <c r="CC80" s="420"/>
      <c r="CD80" s="424" t="s">
        <v>508</v>
      </c>
      <c r="CE80" s="420">
        <f t="shared" si="16"/>
        <v>0</v>
      </c>
      <c r="CF80" s="420">
        <f t="shared" si="17"/>
        <v>0</v>
      </c>
      <c r="CG80" s="420">
        <f t="shared" si="18"/>
        <v>0</v>
      </c>
      <c r="CH80" s="420">
        <f t="shared" si="3"/>
        <v>0</v>
      </c>
      <c r="CI80" s="420">
        <f t="shared" si="4"/>
        <v>0</v>
      </c>
      <c r="CJ80" s="420">
        <f t="shared" si="5"/>
        <v>0</v>
      </c>
      <c r="CK80" s="420">
        <f t="shared" si="6"/>
        <v>0</v>
      </c>
      <c r="CL80" s="420">
        <f t="shared" si="7"/>
        <v>0</v>
      </c>
      <c r="CM80" s="420">
        <f t="shared" si="8"/>
        <v>0</v>
      </c>
      <c r="CN80" s="420">
        <f t="shared" si="9"/>
        <v>0</v>
      </c>
      <c r="CO80" s="420">
        <f t="shared" si="10"/>
        <v>0</v>
      </c>
      <c r="CP80" s="420">
        <f t="shared" si="11"/>
        <v>0</v>
      </c>
      <c r="CQ80" s="420">
        <f t="shared" si="12"/>
        <v>0</v>
      </c>
      <c r="CR80" s="420">
        <f t="shared" si="13"/>
        <v>0</v>
      </c>
      <c r="CS80" s="420">
        <f t="shared" si="14"/>
        <v>0</v>
      </c>
      <c r="CT80" s="21"/>
    </row>
    <row r="81" spans="3:98" hidden="1" outlineLevel="2">
      <c r="C81" s="424" t="s">
        <v>509</v>
      </c>
      <c r="D81" s="416">
        <v>0</v>
      </c>
      <c r="E81" s="416">
        <v>0</v>
      </c>
      <c r="F81" s="416">
        <v>0</v>
      </c>
      <c r="G81" s="416">
        <v>0</v>
      </c>
      <c r="H81" s="416">
        <v>0</v>
      </c>
      <c r="I81" s="416">
        <v>0</v>
      </c>
      <c r="J81" s="416">
        <v>0</v>
      </c>
      <c r="K81" s="416">
        <v>0</v>
      </c>
      <c r="L81" s="416">
        <v>0</v>
      </c>
      <c r="M81" s="416">
        <v>0</v>
      </c>
      <c r="N81" s="416">
        <v>0</v>
      </c>
      <c r="O81" s="416">
        <v>0</v>
      </c>
      <c r="P81" s="416">
        <v>0</v>
      </c>
      <c r="Q81" s="416">
        <v>0</v>
      </c>
      <c r="R81" s="416">
        <v>0</v>
      </c>
      <c r="S81" s="416">
        <v>0</v>
      </c>
      <c r="T81" s="416">
        <v>0</v>
      </c>
      <c r="U81" s="416">
        <v>0</v>
      </c>
      <c r="V81" s="416">
        <v>0</v>
      </c>
      <c r="W81" s="416">
        <v>0</v>
      </c>
      <c r="X81" s="416">
        <v>0</v>
      </c>
      <c r="Y81" s="416">
        <v>0</v>
      </c>
      <c r="Z81" s="416">
        <v>0</v>
      </c>
      <c r="AA81" s="416">
        <v>0</v>
      </c>
      <c r="AB81" s="416">
        <v>0</v>
      </c>
      <c r="AC81" s="416">
        <v>0</v>
      </c>
      <c r="AD81" s="416">
        <v>0</v>
      </c>
      <c r="AE81" s="416">
        <v>0</v>
      </c>
      <c r="AF81" s="416">
        <v>0</v>
      </c>
      <c r="AG81" s="416">
        <v>0</v>
      </c>
      <c r="AH81" s="416">
        <v>0</v>
      </c>
      <c r="AI81" s="416">
        <v>0</v>
      </c>
      <c r="AJ81" s="416">
        <v>0</v>
      </c>
      <c r="AK81" s="416">
        <v>0</v>
      </c>
      <c r="AL81" s="416">
        <v>0</v>
      </c>
      <c r="AM81" s="416">
        <v>0</v>
      </c>
      <c r="AN81" s="416">
        <v>0</v>
      </c>
      <c r="AO81" s="416">
        <v>0</v>
      </c>
      <c r="AP81" s="416">
        <v>0</v>
      </c>
      <c r="AQ81" s="416">
        <v>0</v>
      </c>
      <c r="AR81" s="416">
        <v>0</v>
      </c>
      <c r="AS81" s="416">
        <v>0</v>
      </c>
      <c r="AT81" s="416">
        <v>0</v>
      </c>
      <c r="AU81" s="416">
        <v>0</v>
      </c>
      <c r="AV81" s="416">
        <v>0</v>
      </c>
      <c r="AW81" s="416">
        <v>0</v>
      </c>
      <c r="AX81" s="416">
        <v>0</v>
      </c>
      <c r="AY81" s="416">
        <v>0</v>
      </c>
      <c r="AZ81" s="416">
        <v>0</v>
      </c>
      <c r="BA81" s="416">
        <v>0</v>
      </c>
      <c r="BB81" s="416">
        <v>0</v>
      </c>
      <c r="BC81" s="416">
        <v>0</v>
      </c>
      <c r="BD81" s="416">
        <v>0</v>
      </c>
      <c r="BE81" s="416">
        <v>0</v>
      </c>
      <c r="BF81" s="416">
        <v>0</v>
      </c>
      <c r="BG81" s="416">
        <v>0</v>
      </c>
      <c r="BH81" s="416">
        <v>0</v>
      </c>
      <c r="BI81" s="416">
        <v>0</v>
      </c>
      <c r="BJ81" s="416">
        <v>0</v>
      </c>
      <c r="BK81" s="416">
        <v>0</v>
      </c>
      <c r="BL81" s="416">
        <v>0</v>
      </c>
      <c r="BM81" s="416">
        <v>0</v>
      </c>
      <c r="BN81" s="416">
        <v>0</v>
      </c>
      <c r="BO81" s="416">
        <v>0</v>
      </c>
      <c r="BP81" s="416">
        <v>0</v>
      </c>
      <c r="BQ81" s="416">
        <v>0</v>
      </c>
      <c r="BR81" s="416">
        <v>0</v>
      </c>
      <c r="BS81" s="416">
        <v>0</v>
      </c>
      <c r="BT81" s="416">
        <v>0</v>
      </c>
      <c r="BU81" s="416">
        <v>0</v>
      </c>
      <c r="BV81" s="416">
        <v>0</v>
      </c>
      <c r="BW81" s="416">
        <v>0</v>
      </c>
      <c r="BX81" s="416">
        <v>0</v>
      </c>
      <c r="BY81" s="416">
        <v>0</v>
      </c>
      <c r="BZ81" s="416">
        <v>0</v>
      </c>
      <c r="CC81" s="420"/>
      <c r="CD81" s="424" t="s">
        <v>509</v>
      </c>
      <c r="CE81" s="420">
        <f t="shared" si="16"/>
        <v>0</v>
      </c>
      <c r="CF81" s="420">
        <f t="shared" si="17"/>
        <v>0</v>
      </c>
      <c r="CG81" s="420">
        <f t="shared" si="18"/>
        <v>0</v>
      </c>
      <c r="CH81" s="420">
        <f t="shared" si="3"/>
        <v>0</v>
      </c>
      <c r="CI81" s="420">
        <f t="shared" si="4"/>
        <v>0</v>
      </c>
      <c r="CJ81" s="420">
        <f t="shared" si="5"/>
        <v>0</v>
      </c>
      <c r="CK81" s="420">
        <f t="shared" si="6"/>
        <v>0</v>
      </c>
      <c r="CL81" s="420">
        <f t="shared" si="7"/>
        <v>0</v>
      </c>
      <c r="CM81" s="420">
        <f t="shared" si="8"/>
        <v>0</v>
      </c>
      <c r="CN81" s="420">
        <f t="shared" si="9"/>
        <v>0</v>
      </c>
      <c r="CO81" s="420">
        <f t="shared" si="10"/>
        <v>0</v>
      </c>
      <c r="CP81" s="420">
        <f t="shared" si="11"/>
        <v>0</v>
      </c>
      <c r="CQ81" s="420">
        <f t="shared" si="12"/>
        <v>0</v>
      </c>
      <c r="CR81" s="420">
        <f t="shared" si="13"/>
        <v>0</v>
      </c>
      <c r="CS81" s="420">
        <f t="shared" si="14"/>
        <v>0</v>
      </c>
      <c r="CT81" s="21"/>
    </row>
    <row r="82" spans="3:98" hidden="1" outlineLevel="2">
      <c r="C82" s="424" t="s">
        <v>510</v>
      </c>
      <c r="D82" s="416">
        <v>0</v>
      </c>
      <c r="E82" s="416">
        <v>0</v>
      </c>
      <c r="F82" s="416">
        <v>0</v>
      </c>
      <c r="G82" s="416">
        <v>0</v>
      </c>
      <c r="H82" s="416">
        <v>0</v>
      </c>
      <c r="I82" s="416">
        <v>0</v>
      </c>
      <c r="J82" s="416">
        <v>0</v>
      </c>
      <c r="K82" s="416">
        <v>0</v>
      </c>
      <c r="L82" s="416">
        <v>0</v>
      </c>
      <c r="M82" s="416">
        <v>0</v>
      </c>
      <c r="N82" s="416">
        <v>0</v>
      </c>
      <c r="O82" s="416">
        <v>0</v>
      </c>
      <c r="P82" s="416">
        <v>0</v>
      </c>
      <c r="Q82" s="416">
        <v>0</v>
      </c>
      <c r="R82" s="416">
        <v>0</v>
      </c>
      <c r="S82" s="416">
        <v>0</v>
      </c>
      <c r="T82" s="416">
        <v>0</v>
      </c>
      <c r="U82" s="416">
        <v>0</v>
      </c>
      <c r="V82" s="416">
        <v>0</v>
      </c>
      <c r="W82" s="416">
        <v>0</v>
      </c>
      <c r="X82" s="416">
        <v>0</v>
      </c>
      <c r="Y82" s="416">
        <v>0</v>
      </c>
      <c r="Z82" s="416">
        <v>0</v>
      </c>
      <c r="AA82" s="416">
        <v>0</v>
      </c>
      <c r="AB82" s="416">
        <v>0</v>
      </c>
      <c r="AC82" s="416">
        <v>0</v>
      </c>
      <c r="AD82" s="416">
        <v>0</v>
      </c>
      <c r="AE82" s="416">
        <v>0</v>
      </c>
      <c r="AF82" s="416">
        <v>0</v>
      </c>
      <c r="AG82" s="416">
        <v>0</v>
      </c>
      <c r="AH82" s="416">
        <v>0</v>
      </c>
      <c r="AI82" s="416">
        <v>0</v>
      </c>
      <c r="AJ82" s="416">
        <v>0</v>
      </c>
      <c r="AK82" s="416">
        <v>0</v>
      </c>
      <c r="AL82" s="416">
        <v>0</v>
      </c>
      <c r="AM82" s="416">
        <v>0</v>
      </c>
      <c r="AN82" s="416">
        <v>0</v>
      </c>
      <c r="AO82" s="416">
        <v>0</v>
      </c>
      <c r="AP82" s="416">
        <v>0</v>
      </c>
      <c r="AQ82" s="416">
        <v>0</v>
      </c>
      <c r="AR82" s="416">
        <v>0</v>
      </c>
      <c r="AS82" s="416">
        <v>0</v>
      </c>
      <c r="AT82" s="416">
        <v>0</v>
      </c>
      <c r="AU82" s="416">
        <v>0</v>
      </c>
      <c r="AV82" s="416">
        <v>0</v>
      </c>
      <c r="AW82" s="416">
        <v>0</v>
      </c>
      <c r="AX82" s="416">
        <v>0</v>
      </c>
      <c r="AY82" s="416">
        <v>0</v>
      </c>
      <c r="AZ82" s="416">
        <v>0</v>
      </c>
      <c r="BA82" s="416">
        <v>0</v>
      </c>
      <c r="BB82" s="416">
        <v>0</v>
      </c>
      <c r="BC82" s="416">
        <v>0</v>
      </c>
      <c r="BD82" s="416">
        <v>0</v>
      </c>
      <c r="BE82" s="416">
        <v>0</v>
      </c>
      <c r="BF82" s="416">
        <v>0</v>
      </c>
      <c r="BG82" s="416">
        <v>0</v>
      </c>
      <c r="BH82" s="416">
        <v>0</v>
      </c>
      <c r="BI82" s="416">
        <v>0</v>
      </c>
      <c r="BJ82" s="416">
        <v>0</v>
      </c>
      <c r="BK82" s="416">
        <v>0</v>
      </c>
      <c r="BL82" s="416">
        <v>0</v>
      </c>
      <c r="BM82" s="416">
        <v>0</v>
      </c>
      <c r="BN82" s="416">
        <v>0</v>
      </c>
      <c r="BO82" s="416">
        <v>0</v>
      </c>
      <c r="BP82" s="416">
        <v>0</v>
      </c>
      <c r="BQ82" s="416">
        <v>0</v>
      </c>
      <c r="BR82" s="416">
        <v>0</v>
      </c>
      <c r="BS82" s="416">
        <v>0</v>
      </c>
      <c r="BT82" s="416">
        <v>0</v>
      </c>
      <c r="BU82" s="416">
        <v>0</v>
      </c>
      <c r="BV82" s="416">
        <v>0</v>
      </c>
      <c r="BW82" s="416">
        <v>0</v>
      </c>
      <c r="BX82" s="416">
        <v>0</v>
      </c>
      <c r="BY82" s="416">
        <v>0</v>
      </c>
      <c r="BZ82" s="416">
        <v>0</v>
      </c>
      <c r="CC82" s="420"/>
      <c r="CD82" s="424" t="s">
        <v>510</v>
      </c>
      <c r="CE82" s="420">
        <f t="shared" si="16"/>
        <v>0</v>
      </c>
      <c r="CF82" s="420">
        <f t="shared" si="17"/>
        <v>0</v>
      </c>
      <c r="CG82" s="420">
        <f t="shared" si="18"/>
        <v>0</v>
      </c>
      <c r="CH82" s="420">
        <f t="shared" si="3"/>
        <v>0</v>
      </c>
      <c r="CI82" s="420">
        <f t="shared" si="4"/>
        <v>0</v>
      </c>
      <c r="CJ82" s="420">
        <f t="shared" si="5"/>
        <v>0</v>
      </c>
      <c r="CK82" s="420">
        <f t="shared" si="6"/>
        <v>0</v>
      </c>
      <c r="CL82" s="420">
        <f t="shared" si="7"/>
        <v>0</v>
      </c>
      <c r="CM82" s="420">
        <f t="shared" si="8"/>
        <v>0</v>
      </c>
      <c r="CN82" s="420">
        <f t="shared" si="9"/>
        <v>0</v>
      </c>
      <c r="CO82" s="420">
        <f t="shared" si="10"/>
        <v>0</v>
      </c>
      <c r="CP82" s="420">
        <f t="shared" si="11"/>
        <v>0</v>
      </c>
      <c r="CQ82" s="420">
        <f t="shared" si="12"/>
        <v>0</v>
      </c>
      <c r="CR82" s="420">
        <f t="shared" si="13"/>
        <v>0</v>
      </c>
      <c r="CS82" s="420">
        <f t="shared" si="14"/>
        <v>0</v>
      </c>
      <c r="CT82" s="21"/>
    </row>
    <row r="83" spans="3:98" hidden="1" outlineLevel="1">
      <c r="C83" s="415" t="s">
        <v>507</v>
      </c>
      <c r="D83" s="416">
        <v>0</v>
      </c>
      <c r="E83" s="416">
        <v>0</v>
      </c>
      <c r="F83" s="416">
        <v>0</v>
      </c>
      <c r="G83" s="416">
        <v>0</v>
      </c>
      <c r="H83" s="416">
        <v>0</v>
      </c>
      <c r="I83" s="416">
        <v>0</v>
      </c>
      <c r="J83" s="416">
        <v>0</v>
      </c>
      <c r="K83" s="416">
        <v>0</v>
      </c>
      <c r="L83" s="416">
        <v>0</v>
      </c>
      <c r="M83" s="416">
        <v>0</v>
      </c>
      <c r="N83" s="416">
        <v>0</v>
      </c>
      <c r="O83" s="416">
        <v>0</v>
      </c>
      <c r="P83" s="416">
        <v>0</v>
      </c>
      <c r="Q83" s="416">
        <v>0</v>
      </c>
      <c r="R83" s="416">
        <v>0</v>
      </c>
      <c r="S83" s="416">
        <v>0</v>
      </c>
      <c r="T83" s="416">
        <v>0</v>
      </c>
      <c r="U83" s="416">
        <v>0</v>
      </c>
      <c r="V83" s="416">
        <v>0</v>
      </c>
      <c r="W83" s="416">
        <v>0</v>
      </c>
      <c r="X83" s="416">
        <v>0</v>
      </c>
      <c r="Y83" s="416">
        <v>0</v>
      </c>
      <c r="Z83" s="416">
        <v>0</v>
      </c>
      <c r="AA83" s="416">
        <v>0</v>
      </c>
      <c r="AB83" s="416">
        <v>0</v>
      </c>
      <c r="AC83" s="416">
        <v>0</v>
      </c>
      <c r="AD83" s="416">
        <v>0</v>
      </c>
      <c r="AE83" s="416">
        <v>0</v>
      </c>
      <c r="AF83" s="416">
        <v>0</v>
      </c>
      <c r="AG83" s="416">
        <v>0</v>
      </c>
      <c r="AH83" s="416">
        <v>0</v>
      </c>
      <c r="AI83" s="416">
        <v>0</v>
      </c>
      <c r="AJ83" s="416">
        <v>0</v>
      </c>
      <c r="AK83" s="416">
        <v>0</v>
      </c>
      <c r="AL83" s="416">
        <v>0</v>
      </c>
      <c r="AM83" s="416">
        <v>0</v>
      </c>
      <c r="AN83" s="416">
        <v>0</v>
      </c>
      <c r="AO83" s="416">
        <v>0</v>
      </c>
      <c r="AP83" s="416">
        <v>0</v>
      </c>
      <c r="AQ83" s="416">
        <v>0</v>
      </c>
      <c r="AR83" s="416">
        <v>0</v>
      </c>
      <c r="AS83" s="416">
        <v>0</v>
      </c>
      <c r="AT83" s="416">
        <v>0</v>
      </c>
      <c r="AU83" s="416">
        <v>0</v>
      </c>
      <c r="AV83" s="416">
        <v>0</v>
      </c>
      <c r="AW83" s="416">
        <v>0</v>
      </c>
      <c r="AX83" s="416">
        <v>0</v>
      </c>
      <c r="AY83" s="416">
        <v>0</v>
      </c>
      <c r="AZ83" s="416">
        <v>0</v>
      </c>
      <c r="BA83" s="416">
        <v>0</v>
      </c>
      <c r="BB83" s="416">
        <v>0</v>
      </c>
      <c r="BC83" s="416">
        <v>0</v>
      </c>
      <c r="BD83" s="416">
        <v>0</v>
      </c>
      <c r="BE83" s="416">
        <v>0</v>
      </c>
      <c r="BF83" s="416">
        <v>0</v>
      </c>
      <c r="BG83" s="416">
        <v>0</v>
      </c>
      <c r="BH83" s="416">
        <v>0</v>
      </c>
      <c r="BI83" s="416">
        <v>0</v>
      </c>
      <c r="BJ83" s="416">
        <v>0</v>
      </c>
      <c r="BK83" s="416">
        <v>0</v>
      </c>
      <c r="BL83" s="416">
        <v>0</v>
      </c>
      <c r="BM83" s="416">
        <v>0</v>
      </c>
      <c r="BN83" s="416">
        <v>0</v>
      </c>
      <c r="BO83" s="416">
        <v>0</v>
      </c>
      <c r="BP83" s="416">
        <v>0</v>
      </c>
      <c r="BQ83" s="416">
        <v>0</v>
      </c>
      <c r="BR83" s="416">
        <v>0</v>
      </c>
      <c r="BS83" s="416">
        <v>0</v>
      </c>
      <c r="BT83" s="416">
        <v>0</v>
      </c>
      <c r="BU83" s="416">
        <v>0</v>
      </c>
      <c r="BV83" s="416">
        <v>0</v>
      </c>
      <c r="BW83" s="416">
        <v>0</v>
      </c>
      <c r="BX83" s="416">
        <v>0</v>
      </c>
      <c r="BY83" s="416">
        <v>0</v>
      </c>
      <c r="BZ83" s="416">
        <v>0</v>
      </c>
      <c r="CC83" s="420"/>
      <c r="CD83" s="415" t="s">
        <v>507</v>
      </c>
      <c r="CE83" s="420">
        <f t="shared" si="16"/>
        <v>0</v>
      </c>
      <c r="CF83" s="420">
        <f t="shared" si="17"/>
        <v>0</v>
      </c>
      <c r="CG83" s="420">
        <f t="shared" si="18"/>
        <v>0</v>
      </c>
      <c r="CH83" s="420">
        <f t="shared" si="3"/>
        <v>0</v>
      </c>
      <c r="CI83" s="420">
        <f t="shared" si="4"/>
        <v>0</v>
      </c>
      <c r="CJ83" s="420">
        <f t="shared" si="5"/>
        <v>0</v>
      </c>
      <c r="CK83" s="420">
        <f t="shared" si="6"/>
        <v>0</v>
      </c>
      <c r="CL83" s="420">
        <f t="shared" si="7"/>
        <v>0</v>
      </c>
      <c r="CM83" s="420">
        <f t="shared" si="8"/>
        <v>0</v>
      </c>
      <c r="CN83" s="420">
        <f t="shared" si="9"/>
        <v>0</v>
      </c>
      <c r="CO83" s="420">
        <f t="shared" si="10"/>
        <v>0</v>
      </c>
      <c r="CP83" s="420">
        <f t="shared" si="11"/>
        <v>0</v>
      </c>
      <c r="CQ83" s="420">
        <f t="shared" si="12"/>
        <v>0</v>
      </c>
      <c r="CR83" s="420">
        <f t="shared" si="13"/>
        <v>0</v>
      </c>
      <c r="CS83" s="420">
        <f t="shared" si="14"/>
        <v>0</v>
      </c>
      <c r="CT83" s="21"/>
    </row>
    <row r="84" spans="3:98" hidden="1" outlineLevel="2">
      <c r="C84" s="424" t="s">
        <v>512</v>
      </c>
      <c r="D84" s="416">
        <v>0</v>
      </c>
      <c r="E84" s="416">
        <v>0</v>
      </c>
      <c r="F84" s="416">
        <v>0</v>
      </c>
      <c r="G84" s="416">
        <v>0</v>
      </c>
      <c r="H84" s="416">
        <v>0</v>
      </c>
      <c r="I84" s="416">
        <v>0</v>
      </c>
      <c r="J84" s="416">
        <v>0</v>
      </c>
      <c r="K84" s="416">
        <v>0</v>
      </c>
      <c r="L84" s="416">
        <v>0</v>
      </c>
      <c r="M84" s="416">
        <v>0</v>
      </c>
      <c r="N84" s="416">
        <v>0</v>
      </c>
      <c r="O84" s="416">
        <v>0</v>
      </c>
      <c r="P84" s="416">
        <v>0</v>
      </c>
      <c r="Q84" s="416">
        <v>0</v>
      </c>
      <c r="R84" s="416">
        <v>0</v>
      </c>
      <c r="S84" s="416">
        <v>0</v>
      </c>
      <c r="T84" s="416">
        <v>0</v>
      </c>
      <c r="U84" s="416">
        <v>0</v>
      </c>
      <c r="V84" s="416">
        <v>0</v>
      </c>
      <c r="W84" s="416">
        <v>0</v>
      </c>
      <c r="X84" s="416">
        <v>0</v>
      </c>
      <c r="Y84" s="416">
        <v>0</v>
      </c>
      <c r="Z84" s="416">
        <v>0</v>
      </c>
      <c r="AA84" s="416">
        <v>0</v>
      </c>
      <c r="AB84" s="416">
        <v>0</v>
      </c>
      <c r="AC84" s="416">
        <v>0</v>
      </c>
      <c r="AD84" s="416">
        <v>0</v>
      </c>
      <c r="AE84" s="416">
        <v>0</v>
      </c>
      <c r="AF84" s="416">
        <v>0</v>
      </c>
      <c r="AG84" s="416">
        <v>0</v>
      </c>
      <c r="AH84" s="416">
        <v>0</v>
      </c>
      <c r="AI84" s="416">
        <v>0</v>
      </c>
      <c r="AJ84" s="416">
        <v>0</v>
      </c>
      <c r="AK84" s="416">
        <v>0</v>
      </c>
      <c r="AL84" s="416">
        <v>0</v>
      </c>
      <c r="AM84" s="416">
        <v>0</v>
      </c>
      <c r="AN84" s="416">
        <v>0</v>
      </c>
      <c r="AO84" s="416">
        <v>0</v>
      </c>
      <c r="AP84" s="416">
        <v>0</v>
      </c>
      <c r="AQ84" s="416">
        <v>0</v>
      </c>
      <c r="AR84" s="416">
        <v>0</v>
      </c>
      <c r="AS84" s="416">
        <v>0</v>
      </c>
      <c r="AT84" s="416">
        <v>0</v>
      </c>
      <c r="AU84" s="416">
        <v>0</v>
      </c>
      <c r="AV84" s="416">
        <v>0</v>
      </c>
      <c r="AW84" s="416">
        <v>0</v>
      </c>
      <c r="AX84" s="416">
        <v>0</v>
      </c>
      <c r="AY84" s="416">
        <v>0</v>
      </c>
      <c r="AZ84" s="416">
        <v>0</v>
      </c>
      <c r="BA84" s="416">
        <v>0</v>
      </c>
      <c r="BB84" s="416">
        <v>0</v>
      </c>
      <c r="BC84" s="416">
        <v>0</v>
      </c>
      <c r="BD84" s="416">
        <v>0</v>
      </c>
      <c r="BE84" s="416">
        <v>0</v>
      </c>
      <c r="BF84" s="416">
        <v>0</v>
      </c>
      <c r="BG84" s="416">
        <v>0</v>
      </c>
      <c r="BH84" s="416">
        <v>0</v>
      </c>
      <c r="BI84" s="416">
        <v>0</v>
      </c>
      <c r="BJ84" s="416">
        <v>0</v>
      </c>
      <c r="BK84" s="416">
        <v>0</v>
      </c>
      <c r="BL84" s="416">
        <v>0</v>
      </c>
      <c r="BM84" s="416">
        <v>0</v>
      </c>
      <c r="BN84" s="416">
        <v>0</v>
      </c>
      <c r="BO84" s="416">
        <v>0</v>
      </c>
      <c r="BP84" s="416">
        <v>0</v>
      </c>
      <c r="BQ84" s="416">
        <v>0</v>
      </c>
      <c r="BR84" s="416">
        <v>0</v>
      </c>
      <c r="BS84" s="416">
        <v>0</v>
      </c>
      <c r="BT84" s="416">
        <v>0</v>
      </c>
      <c r="BU84" s="416">
        <v>0</v>
      </c>
      <c r="BV84" s="416">
        <v>0</v>
      </c>
      <c r="BW84" s="416">
        <v>0</v>
      </c>
      <c r="BX84" s="416">
        <v>0</v>
      </c>
      <c r="BY84" s="416">
        <v>0</v>
      </c>
      <c r="BZ84" s="416">
        <v>0</v>
      </c>
      <c r="CC84" s="420"/>
      <c r="CD84" s="424" t="s">
        <v>512</v>
      </c>
      <c r="CE84" s="420">
        <f t="shared" si="16"/>
        <v>0</v>
      </c>
      <c r="CF84" s="420">
        <f t="shared" si="17"/>
        <v>0</v>
      </c>
      <c r="CG84" s="420">
        <f t="shared" si="18"/>
        <v>0</v>
      </c>
      <c r="CH84" s="420">
        <f t="shared" si="3"/>
        <v>0</v>
      </c>
      <c r="CI84" s="420">
        <f t="shared" si="4"/>
        <v>0</v>
      </c>
      <c r="CJ84" s="420">
        <f t="shared" si="5"/>
        <v>0</v>
      </c>
      <c r="CK84" s="420">
        <f t="shared" si="6"/>
        <v>0</v>
      </c>
      <c r="CL84" s="420">
        <f t="shared" si="7"/>
        <v>0</v>
      </c>
      <c r="CM84" s="420">
        <f t="shared" si="8"/>
        <v>0</v>
      </c>
      <c r="CN84" s="420">
        <f t="shared" si="9"/>
        <v>0</v>
      </c>
      <c r="CO84" s="420">
        <f t="shared" si="10"/>
        <v>0</v>
      </c>
      <c r="CP84" s="420">
        <f t="shared" si="11"/>
        <v>0</v>
      </c>
      <c r="CQ84" s="420">
        <f t="shared" si="12"/>
        <v>0</v>
      </c>
      <c r="CR84" s="420">
        <f t="shared" si="13"/>
        <v>0</v>
      </c>
      <c r="CS84" s="420">
        <f t="shared" si="14"/>
        <v>0</v>
      </c>
      <c r="CT84" s="21"/>
    </row>
    <row r="85" spans="3:98" hidden="1" outlineLevel="2">
      <c r="C85" s="424" t="s">
        <v>513</v>
      </c>
      <c r="D85" s="416">
        <v>0</v>
      </c>
      <c r="E85" s="416">
        <v>0</v>
      </c>
      <c r="F85" s="416">
        <v>0</v>
      </c>
      <c r="G85" s="416">
        <v>0</v>
      </c>
      <c r="H85" s="416">
        <v>0</v>
      </c>
      <c r="I85" s="416">
        <v>0</v>
      </c>
      <c r="J85" s="416">
        <v>0</v>
      </c>
      <c r="K85" s="416">
        <v>0</v>
      </c>
      <c r="L85" s="416">
        <v>0</v>
      </c>
      <c r="M85" s="416">
        <v>0</v>
      </c>
      <c r="N85" s="416">
        <v>0</v>
      </c>
      <c r="O85" s="416">
        <v>0</v>
      </c>
      <c r="P85" s="416">
        <v>0</v>
      </c>
      <c r="Q85" s="416">
        <v>0</v>
      </c>
      <c r="R85" s="416">
        <v>0</v>
      </c>
      <c r="S85" s="416">
        <v>0</v>
      </c>
      <c r="T85" s="416">
        <v>0</v>
      </c>
      <c r="U85" s="416">
        <v>0</v>
      </c>
      <c r="V85" s="416">
        <v>0</v>
      </c>
      <c r="W85" s="416">
        <v>0</v>
      </c>
      <c r="X85" s="416">
        <v>0</v>
      </c>
      <c r="Y85" s="416">
        <v>0</v>
      </c>
      <c r="Z85" s="416">
        <v>0</v>
      </c>
      <c r="AA85" s="416">
        <v>0</v>
      </c>
      <c r="AB85" s="416">
        <v>0</v>
      </c>
      <c r="AC85" s="416">
        <v>0</v>
      </c>
      <c r="AD85" s="416">
        <v>0</v>
      </c>
      <c r="AE85" s="416">
        <v>0</v>
      </c>
      <c r="AF85" s="416">
        <v>0</v>
      </c>
      <c r="AG85" s="416">
        <v>0</v>
      </c>
      <c r="AH85" s="416">
        <v>0</v>
      </c>
      <c r="AI85" s="416">
        <v>0</v>
      </c>
      <c r="AJ85" s="416">
        <v>0</v>
      </c>
      <c r="AK85" s="416">
        <v>0</v>
      </c>
      <c r="AL85" s="416">
        <v>0</v>
      </c>
      <c r="AM85" s="416">
        <v>0</v>
      </c>
      <c r="AN85" s="416">
        <v>0</v>
      </c>
      <c r="AO85" s="416">
        <v>0</v>
      </c>
      <c r="AP85" s="416">
        <v>0</v>
      </c>
      <c r="AQ85" s="416">
        <v>0</v>
      </c>
      <c r="AR85" s="416">
        <v>0</v>
      </c>
      <c r="AS85" s="416">
        <v>0</v>
      </c>
      <c r="AT85" s="416">
        <v>0</v>
      </c>
      <c r="AU85" s="416">
        <v>0</v>
      </c>
      <c r="AV85" s="416">
        <v>0</v>
      </c>
      <c r="AW85" s="416">
        <v>0</v>
      </c>
      <c r="AX85" s="416">
        <v>0</v>
      </c>
      <c r="AY85" s="416">
        <v>0</v>
      </c>
      <c r="AZ85" s="416">
        <v>0</v>
      </c>
      <c r="BA85" s="416">
        <v>0</v>
      </c>
      <c r="BB85" s="416">
        <v>0</v>
      </c>
      <c r="BC85" s="416">
        <v>0</v>
      </c>
      <c r="BD85" s="416">
        <v>0</v>
      </c>
      <c r="BE85" s="416">
        <v>0</v>
      </c>
      <c r="BF85" s="416">
        <v>0</v>
      </c>
      <c r="BG85" s="416">
        <v>0</v>
      </c>
      <c r="BH85" s="416">
        <v>0</v>
      </c>
      <c r="BI85" s="416">
        <v>0</v>
      </c>
      <c r="BJ85" s="416">
        <v>0</v>
      </c>
      <c r="BK85" s="416">
        <v>0</v>
      </c>
      <c r="BL85" s="416">
        <v>0</v>
      </c>
      <c r="BM85" s="416">
        <v>0</v>
      </c>
      <c r="BN85" s="416">
        <v>0</v>
      </c>
      <c r="BO85" s="416">
        <v>0</v>
      </c>
      <c r="BP85" s="416">
        <v>0</v>
      </c>
      <c r="BQ85" s="416">
        <v>0</v>
      </c>
      <c r="BR85" s="416">
        <v>0</v>
      </c>
      <c r="BS85" s="416">
        <v>0</v>
      </c>
      <c r="BT85" s="416">
        <v>0</v>
      </c>
      <c r="BU85" s="416">
        <v>0</v>
      </c>
      <c r="BV85" s="416">
        <v>0</v>
      </c>
      <c r="BW85" s="416">
        <v>0</v>
      </c>
      <c r="BX85" s="416">
        <v>0</v>
      </c>
      <c r="BY85" s="416">
        <v>0</v>
      </c>
      <c r="BZ85" s="416">
        <v>0</v>
      </c>
      <c r="CC85" s="420"/>
      <c r="CD85" s="424" t="s">
        <v>513</v>
      </c>
      <c r="CE85" s="420">
        <f t="shared" si="16"/>
        <v>0</v>
      </c>
      <c r="CF85" s="420">
        <f t="shared" si="17"/>
        <v>0</v>
      </c>
      <c r="CG85" s="420">
        <f t="shared" si="18"/>
        <v>0</v>
      </c>
      <c r="CH85" s="420">
        <f t="shared" si="3"/>
        <v>0</v>
      </c>
      <c r="CI85" s="420">
        <f t="shared" si="4"/>
        <v>0</v>
      </c>
      <c r="CJ85" s="420">
        <f t="shared" si="5"/>
        <v>0</v>
      </c>
      <c r="CK85" s="420">
        <f t="shared" si="6"/>
        <v>0</v>
      </c>
      <c r="CL85" s="420">
        <f t="shared" si="7"/>
        <v>0</v>
      </c>
      <c r="CM85" s="420">
        <f t="shared" si="8"/>
        <v>0</v>
      </c>
      <c r="CN85" s="420">
        <f t="shared" si="9"/>
        <v>0</v>
      </c>
      <c r="CO85" s="420">
        <f t="shared" si="10"/>
        <v>0</v>
      </c>
      <c r="CP85" s="420">
        <f t="shared" si="11"/>
        <v>0</v>
      </c>
      <c r="CQ85" s="420">
        <f t="shared" si="12"/>
        <v>0</v>
      </c>
      <c r="CR85" s="420">
        <f t="shared" si="13"/>
        <v>0</v>
      </c>
      <c r="CS85" s="420">
        <f t="shared" si="14"/>
        <v>0</v>
      </c>
      <c r="CT85" s="21"/>
    </row>
    <row r="86" spans="3:98" hidden="1" outlineLevel="1">
      <c r="C86" s="415" t="s">
        <v>511</v>
      </c>
      <c r="D86" s="416">
        <v>0</v>
      </c>
      <c r="E86" s="416">
        <v>0</v>
      </c>
      <c r="F86" s="416">
        <v>0</v>
      </c>
      <c r="G86" s="416">
        <v>0</v>
      </c>
      <c r="H86" s="416">
        <v>0</v>
      </c>
      <c r="I86" s="416">
        <v>0</v>
      </c>
      <c r="J86" s="416">
        <v>0</v>
      </c>
      <c r="K86" s="416">
        <v>0</v>
      </c>
      <c r="L86" s="416">
        <v>0</v>
      </c>
      <c r="M86" s="416">
        <v>0</v>
      </c>
      <c r="N86" s="416">
        <v>0</v>
      </c>
      <c r="O86" s="416">
        <v>0</v>
      </c>
      <c r="P86" s="416">
        <v>0</v>
      </c>
      <c r="Q86" s="416">
        <v>0</v>
      </c>
      <c r="R86" s="416">
        <v>0</v>
      </c>
      <c r="S86" s="416">
        <v>0</v>
      </c>
      <c r="T86" s="416">
        <v>0</v>
      </c>
      <c r="U86" s="416">
        <v>0</v>
      </c>
      <c r="V86" s="416">
        <v>0</v>
      </c>
      <c r="W86" s="416">
        <v>0</v>
      </c>
      <c r="X86" s="416">
        <v>0</v>
      </c>
      <c r="Y86" s="416">
        <v>0</v>
      </c>
      <c r="Z86" s="416">
        <v>0</v>
      </c>
      <c r="AA86" s="416">
        <v>0</v>
      </c>
      <c r="AB86" s="416">
        <v>0</v>
      </c>
      <c r="AC86" s="416">
        <v>0</v>
      </c>
      <c r="AD86" s="416">
        <v>0</v>
      </c>
      <c r="AE86" s="416">
        <v>0</v>
      </c>
      <c r="AF86" s="416">
        <v>0</v>
      </c>
      <c r="AG86" s="416">
        <v>0</v>
      </c>
      <c r="AH86" s="416">
        <v>0</v>
      </c>
      <c r="AI86" s="416">
        <v>0</v>
      </c>
      <c r="AJ86" s="416">
        <v>0</v>
      </c>
      <c r="AK86" s="416">
        <v>0</v>
      </c>
      <c r="AL86" s="416">
        <v>0</v>
      </c>
      <c r="AM86" s="416">
        <v>0</v>
      </c>
      <c r="AN86" s="416">
        <v>0</v>
      </c>
      <c r="AO86" s="416">
        <v>0</v>
      </c>
      <c r="AP86" s="416">
        <v>0</v>
      </c>
      <c r="AQ86" s="416">
        <v>0</v>
      </c>
      <c r="AR86" s="416">
        <v>0</v>
      </c>
      <c r="AS86" s="416">
        <v>0</v>
      </c>
      <c r="AT86" s="416">
        <v>0</v>
      </c>
      <c r="AU86" s="416">
        <v>0</v>
      </c>
      <c r="AV86" s="416">
        <v>0</v>
      </c>
      <c r="AW86" s="416">
        <v>0</v>
      </c>
      <c r="AX86" s="416">
        <v>0</v>
      </c>
      <c r="AY86" s="416">
        <v>0</v>
      </c>
      <c r="AZ86" s="416">
        <v>0</v>
      </c>
      <c r="BA86" s="416">
        <v>0</v>
      </c>
      <c r="BB86" s="416">
        <v>0</v>
      </c>
      <c r="BC86" s="416">
        <v>0</v>
      </c>
      <c r="BD86" s="416">
        <v>0</v>
      </c>
      <c r="BE86" s="416">
        <v>0</v>
      </c>
      <c r="BF86" s="416">
        <v>0</v>
      </c>
      <c r="BG86" s="416">
        <v>0</v>
      </c>
      <c r="BH86" s="416">
        <v>0</v>
      </c>
      <c r="BI86" s="416">
        <v>0</v>
      </c>
      <c r="BJ86" s="416">
        <v>0</v>
      </c>
      <c r="BK86" s="416">
        <v>0</v>
      </c>
      <c r="BL86" s="416">
        <v>0</v>
      </c>
      <c r="BM86" s="416">
        <v>0</v>
      </c>
      <c r="BN86" s="416">
        <v>0</v>
      </c>
      <c r="BO86" s="416">
        <v>0</v>
      </c>
      <c r="BP86" s="416">
        <v>0</v>
      </c>
      <c r="BQ86" s="416">
        <v>0</v>
      </c>
      <c r="BR86" s="416">
        <v>0</v>
      </c>
      <c r="BS86" s="416">
        <v>0</v>
      </c>
      <c r="BT86" s="416">
        <v>0</v>
      </c>
      <c r="BU86" s="416">
        <v>0</v>
      </c>
      <c r="BV86" s="416">
        <v>0</v>
      </c>
      <c r="BW86" s="416">
        <v>0</v>
      </c>
      <c r="BX86" s="416">
        <v>0</v>
      </c>
      <c r="BY86" s="416">
        <v>0</v>
      </c>
      <c r="BZ86" s="416">
        <v>0</v>
      </c>
      <c r="CC86" s="420"/>
      <c r="CD86" s="415" t="s">
        <v>511</v>
      </c>
      <c r="CE86" s="420">
        <f t="shared" si="16"/>
        <v>0</v>
      </c>
      <c r="CF86" s="420">
        <f t="shared" si="17"/>
        <v>0</v>
      </c>
      <c r="CG86" s="420">
        <f t="shared" si="18"/>
        <v>0</v>
      </c>
      <c r="CH86" s="420">
        <f t="shared" si="3"/>
        <v>0</v>
      </c>
      <c r="CI86" s="420">
        <f t="shared" si="4"/>
        <v>0</v>
      </c>
      <c r="CJ86" s="420">
        <f t="shared" si="5"/>
        <v>0</v>
      </c>
      <c r="CK86" s="420">
        <f t="shared" si="6"/>
        <v>0</v>
      </c>
      <c r="CL86" s="420">
        <f t="shared" si="7"/>
        <v>0</v>
      </c>
      <c r="CM86" s="420">
        <f t="shared" si="8"/>
        <v>0</v>
      </c>
      <c r="CN86" s="420">
        <f t="shared" si="9"/>
        <v>0</v>
      </c>
      <c r="CO86" s="420">
        <f t="shared" si="10"/>
        <v>0</v>
      </c>
      <c r="CP86" s="420">
        <f t="shared" si="11"/>
        <v>0</v>
      </c>
      <c r="CQ86" s="420">
        <f t="shared" si="12"/>
        <v>0</v>
      </c>
      <c r="CR86" s="420">
        <f t="shared" si="13"/>
        <v>0</v>
      </c>
      <c r="CS86" s="420">
        <f t="shared" si="14"/>
        <v>0</v>
      </c>
      <c r="CT86" s="21"/>
    </row>
    <row r="87" spans="3:98" hidden="1" outlineLevel="2">
      <c r="C87" s="424" t="s">
        <v>515</v>
      </c>
      <c r="D87" s="416">
        <v>0</v>
      </c>
      <c r="E87" s="416">
        <v>0</v>
      </c>
      <c r="F87" s="416">
        <v>0</v>
      </c>
      <c r="G87" s="416">
        <v>0</v>
      </c>
      <c r="H87" s="416">
        <v>0</v>
      </c>
      <c r="I87" s="416">
        <v>0</v>
      </c>
      <c r="J87" s="416">
        <v>0</v>
      </c>
      <c r="K87" s="416">
        <v>0</v>
      </c>
      <c r="L87" s="416">
        <v>0</v>
      </c>
      <c r="M87" s="416">
        <v>0</v>
      </c>
      <c r="N87" s="416">
        <v>0</v>
      </c>
      <c r="O87" s="416">
        <v>0</v>
      </c>
      <c r="P87" s="416">
        <v>0</v>
      </c>
      <c r="Q87" s="416">
        <v>0</v>
      </c>
      <c r="R87" s="416">
        <v>0</v>
      </c>
      <c r="S87" s="416">
        <v>0</v>
      </c>
      <c r="T87" s="416">
        <v>0</v>
      </c>
      <c r="U87" s="416">
        <v>0</v>
      </c>
      <c r="V87" s="416">
        <v>0</v>
      </c>
      <c r="W87" s="416">
        <v>0</v>
      </c>
      <c r="X87" s="416">
        <v>0</v>
      </c>
      <c r="Y87" s="416">
        <v>0</v>
      </c>
      <c r="Z87" s="416">
        <v>0</v>
      </c>
      <c r="AA87" s="416">
        <v>0</v>
      </c>
      <c r="AB87" s="416">
        <v>0</v>
      </c>
      <c r="AC87" s="416">
        <v>0</v>
      </c>
      <c r="AD87" s="416">
        <v>0</v>
      </c>
      <c r="AE87" s="416">
        <v>0</v>
      </c>
      <c r="AF87" s="416">
        <v>0</v>
      </c>
      <c r="AG87" s="416">
        <v>0</v>
      </c>
      <c r="AH87" s="416">
        <v>0</v>
      </c>
      <c r="AI87" s="416">
        <v>0</v>
      </c>
      <c r="AJ87" s="416">
        <v>0</v>
      </c>
      <c r="AK87" s="416">
        <v>0</v>
      </c>
      <c r="AL87" s="416">
        <v>0</v>
      </c>
      <c r="AM87" s="416">
        <v>0</v>
      </c>
      <c r="AN87" s="416">
        <v>0</v>
      </c>
      <c r="AO87" s="416">
        <v>0</v>
      </c>
      <c r="AP87" s="416">
        <v>0</v>
      </c>
      <c r="AQ87" s="416">
        <v>0</v>
      </c>
      <c r="AR87" s="416">
        <v>0</v>
      </c>
      <c r="AS87" s="416">
        <v>0</v>
      </c>
      <c r="AT87" s="416">
        <v>0</v>
      </c>
      <c r="AU87" s="416">
        <v>0</v>
      </c>
      <c r="AV87" s="416">
        <v>0</v>
      </c>
      <c r="AW87" s="416">
        <v>0</v>
      </c>
      <c r="AX87" s="416">
        <v>0</v>
      </c>
      <c r="AY87" s="416">
        <v>0</v>
      </c>
      <c r="AZ87" s="416">
        <v>0</v>
      </c>
      <c r="BA87" s="416">
        <v>0</v>
      </c>
      <c r="BB87" s="416">
        <v>0</v>
      </c>
      <c r="BC87" s="416">
        <v>0</v>
      </c>
      <c r="BD87" s="416">
        <v>0</v>
      </c>
      <c r="BE87" s="416">
        <v>0</v>
      </c>
      <c r="BF87" s="416">
        <v>0</v>
      </c>
      <c r="BG87" s="416">
        <v>0</v>
      </c>
      <c r="BH87" s="416">
        <v>0</v>
      </c>
      <c r="BI87" s="416">
        <v>0</v>
      </c>
      <c r="BJ87" s="416">
        <v>0</v>
      </c>
      <c r="BK87" s="416">
        <v>0</v>
      </c>
      <c r="BL87" s="416">
        <v>0</v>
      </c>
      <c r="BM87" s="416">
        <v>0</v>
      </c>
      <c r="BN87" s="416">
        <v>0</v>
      </c>
      <c r="BO87" s="416">
        <v>0</v>
      </c>
      <c r="BP87" s="416">
        <v>0</v>
      </c>
      <c r="BQ87" s="416">
        <v>0</v>
      </c>
      <c r="BR87" s="416">
        <v>0</v>
      </c>
      <c r="BS87" s="416">
        <v>0</v>
      </c>
      <c r="BT87" s="416">
        <v>0</v>
      </c>
      <c r="BU87" s="416">
        <v>0</v>
      </c>
      <c r="BV87" s="416">
        <v>0</v>
      </c>
      <c r="BW87" s="416">
        <v>0</v>
      </c>
      <c r="BX87" s="416">
        <v>0</v>
      </c>
      <c r="BY87" s="416">
        <v>0</v>
      </c>
      <c r="BZ87" s="416">
        <v>0</v>
      </c>
      <c r="CC87" s="420"/>
      <c r="CD87" s="424" t="s">
        <v>515</v>
      </c>
      <c r="CE87" s="420">
        <f t="shared" si="16"/>
        <v>0</v>
      </c>
      <c r="CF87" s="420">
        <f t="shared" si="17"/>
        <v>0</v>
      </c>
      <c r="CG87" s="420">
        <f t="shared" si="18"/>
        <v>0</v>
      </c>
      <c r="CH87" s="420">
        <f t="shared" si="3"/>
        <v>0</v>
      </c>
      <c r="CI87" s="420">
        <f t="shared" si="4"/>
        <v>0</v>
      </c>
      <c r="CJ87" s="420">
        <f t="shared" si="5"/>
        <v>0</v>
      </c>
      <c r="CK87" s="420">
        <f t="shared" si="6"/>
        <v>0</v>
      </c>
      <c r="CL87" s="420">
        <f t="shared" si="7"/>
        <v>0</v>
      </c>
      <c r="CM87" s="420">
        <f t="shared" si="8"/>
        <v>0</v>
      </c>
      <c r="CN87" s="420">
        <f t="shared" si="9"/>
        <v>0</v>
      </c>
      <c r="CO87" s="420">
        <f t="shared" si="10"/>
        <v>0</v>
      </c>
      <c r="CP87" s="420">
        <f t="shared" si="11"/>
        <v>0</v>
      </c>
      <c r="CQ87" s="420">
        <f t="shared" si="12"/>
        <v>0</v>
      </c>
      <c r="CR87" s="420">
        <f t="shared" si="13"/>
        <v>0</v>
      </c>
      <c r="CS87" s="420">
        <f t="shared" si="14"/>
        <v>0</v>
      </c>
      <c r="CT87" s="21"/>
    </row>
    <row r="88" spans="3:98" hidden="1" outlineLevel="2">
      <c r="C88" s="424" t="s">
        <v>516</v>
      </c>
      <c r="D88" s="416">
        <v>0</v>
      </c>
      <c r="E88" s="416">
        <v>0</v>
      </c>
      <c r="F88" s="416">
        <v>0</v>
      </c>
      <c r="G88" s="416">
        <v>0</v>
      </c>
      <c r="H88" s="416">
        <v>0</v>
      </c>
      <c r="I88" s="416">
        <v>0</v>
      </c>
      <c r="J88" s="416">
        <v>0</v>
      </c>
      <c r="K88" s="416">
        <v>0</v>
      </c>
      <c r="L88" s="416">
        <v>0</v>
      </c>
      <c r="M88" s="416">
        <v>0</v>
      </c>
      <c r="N88" s="416">
        <v>0</v>
      </c>
      <c r="O88" s="416">
        <v>0</v>
      </c>
      <c r="P88" s="416">
        <v>0</v>
      </c>
      <c r="Q88" s="416">
        <v>0</v>
      </c>
      <c r="R88" s="416">
        <v>0</v>
      </c>
      <c r="S88" s="416">
        <v>0</v>
      </c>
      <c r="T88" s="416">
        <v>0</v>
      </c>
      <c r="U88" s="416">
        <v>0</v>
      </c>
      <c r="V88" s="416">
        <v>0</v>
      </c>
      <c r="W88" s="416">
        <v>0</v>
      </c>
      <c r="X88" s="416">
        <v>0</v>
      </c>
      <c r="Y88" s="416">
        <v>0</v>
      </c>
      <c r="Z88" s="416">
        <v>0</v>
      </c>
      <c r="AA88" s="416">
        <v>0</v>
      </c>
      <c r="AB88" s="416">
        <v>0</v>
      </c>
      <c r="AC88" s="416">
        <v>0</v>
      </c>
      <c r="AD88" s="416">
        <v>0</v>
      </c>
      <c r="AE88" s="416">
        <v>0</v>
      </c>
      <c r="AF88" s="416">
        <v>0</v>
      </c>
      <c r="AG88" s="416">
        <v>0</v>
      </c>
      <c r="AH88" s="416">
        <v>0</v>
      </c>
      <c r="AI88" s="416">
        <v>0</v>
      </c>
      <c r="AJ88" s="416">
        <v>0</v>
      </c>
      <c r="AK88" s="416">
        <v>0</v>
      </c>
      <c r="AL88" s="416">
        <v>0</v>
      </c>
      <c r="AM88" s="416">
        <v>0</v>
      </c>
      <c r="AN88" s="416">
        <v>0</v>
      </c>
      <c r="AO88" s="416">
        <v>0</v>
      </c>
      <c r="AP88" s="416">
        <v>0</v>
      </c>
      <c r="AQ88" s="416">
        <v>0</v>
      </c>
      <c r="AR88" s="416">
        <v>0</v>
      </c>
      <c r="AS88" s="416">
        <v>0</v>
      </c>
      <c r="AT88" s="416">
        <v>0</v>
      </c>
      <c r="AU88" s="416">
        <v>0</v>
      </c>
      <c r="AV88" s="416">
        <v>0</v>
      </c>
      <c r="AW88" s="416">
        <v>0</v>
      </c>
      <c r="AX88" s="416">
        <v>0</v>
      </c>
      <c r="AY88" s="416">
        <v>0</v>
      </c>
      <c r="AZ88" s="416">
        <v>0</v>
      </c>
      <c r="BA88" s="416">
        <v>0</v>
      </c>
      <c r="BB88" s="416">
        <v>0</v>
      </c>
      <c r="BC88" s="416">
        <v>0</v>
      </c>
      <c r="BD88" s="416">
        <v>0</v>
      </c>
      <c r="BE88" s="416">
        <v>0</v>
      </c>
      <c r="BF88" s="416">
        <v>0</v>
      </c>
      <c r="BG88" s="416">
        <v>0</v>
      </c>
      <c r="BH88" s="416">
        <v>0</v>
      </c>
      <c r="BI88" s="416">
        <v>0</v>
      </c>
      <c r="BJ88" s="416">
        <v>0</v>
      </c>
      <c r="BK88" s="416">
        <v>0</v>
      </c>
      <c r="BL88" s="416">
        <v>0</v>
      </c>
      <c r="BM88" s="416">
        <v>0</v>
      </c>
      <c r="BN88" s="416">
        <v>0</v>
      </c>
      <c r="BO88" s="416">
        <v>0</v>
      </c>
      <c r="BP88" s="416">
        <v>0</v>
      </c>
      <c r="BQ88" s="416">
        <v>0</v>
      </c>
      <c r="BR88" s="416">
        <v>0</v>
      </c>
      <c r="BS88" s="416">
        <v>0</v>
      </c>
      <c r="BT88" s="416">
        <v>0</v>
      </c>
      <c r="BU88" s="416">
        <v>0</v>
      </c>
      <c r="BV88" s="416">
        <v>0</v>
      </c>
      <c r="BW88" s="416">
        <v>0</v>
      </c>
      <c r="BX88" s="416">
        <v>0</v>
      </c>
      <c r="BY88" s="416">
        <v>0</v>
      </c>
      <c r="BZ88" s="416">
        <v>0</v>
      </c>
      <c r="CC88" s="420"/>
      <c r="CD88" s="424" t="s">
        <v>516</v>
      </c>
      <c r="CE88" s="420">
        <f t="shared" si="16"/>
        <v>0</v>
      </c>
      <c r="CF88" s="420">
        <f t="shared" si="17"/>
        <v>0</v>
      </c>
      <c r="CG88" s="420">
        <f t="shared" si="18"/>
        <v>0</v>
      </c>
      <c r="CH88" s="420">
        <f t="shared" ref="CH88:CH151" si="19">W88</f>
        <v>0</v>
      </c>
      <c r="CI88" s="420">
        <f t="shared" ref="CI88:CI151" si="20">AB88</f>
        <v>0</v>
      </c>
      <c r="CJ88" s="420">
        <f t="shared" ref="CJ88:CJ151" si="21">AG88</f>
        <v>0</v>
      </c>
      <c r="CK88" s="420">
        <f t="shared" ref="CK88:CK151" si="22">AL88</f>
        <v>0</v>
      </c>
      <c r="CL88" s="420">
        <f t="shared" ref="CL88:CL151" si="23">AQ88</f>
        <v>0</v>
      </c>
      <c r="CM88" s="420">
        <f t="shared" ref="CM88:CM151" si="24">AV88</f>
        <v>0</v>
      </c>
      <c r="CN88" s="420">
        <f t="shared" ref="CN88:CN151" si="25">BA88</f>
        <v>0</v>
      </c>
      <c r="CO88" s="420">
        <f t="shared" ref="CO88:CO151" si="26">BF88</f>
        <v>0</v>
      </c>
      <c r="CP88" s="420">
        <f t="shared" ref="CP88:CP151" si="27">BK88</f>
        <v>0</v>
      </c>
      <c r="CQ88" s="420">
        <f t="shared" ref="CQ88:CQ151" si="28">BP88</f>
        <v>0</v>
      </c>
      <c r="CR88" s="420">
        <f t="shared" ref="CR88:CR151" si="29">BU88</f>
        <v>0</v>
      </c>
      <c r="CS88" s="420">
        <f t="shared" ref="CS88:CS151" si="30">BZ88</f>
        <v>0</v>
      </c>
      <c r="CT88" s="21"/>
    </row>
    <row r="89" spans="3:98" hidden="1" outlineLevel="1">
      <c r="C89" s="415" t="s">
        <v>514</v>
      </c>
      <c r="D89" s="416">
        <v>0</v>
      </c>
      <c r="E89" s="416">
        <v>0</v>
      </c>
      <c r="F89" s="416">
        <v>0</v>
      </c>
      <c r="G89" s="416">
        <v>0</v>
      </c>
      <c r="H89" s="416">
        <v>0</v>
      </c>
      <c r="I89" s="416">
        <v>0</v>
      </c>
      <c r="J89" s="416">
        <v>0</v>
      </c>
      <c r="K89" s="416">
        <v>0</v>
      </c>
      <c r="L89" s="416">
        <v>0</v>
      </c>
      <c r="M89" s="416">
        <v>0</v>
      </c>
      <c r="N89" s="416">
        <v>0</v>
      </c>
      <c r="O89" s="416">
        <v>0</v>
      </c>
      <c r="P89" s="416">
        <v>0</v>
      </c>
      <c r="Q89" s="416">
        <v>0</v>
      </c>
      <c r="R89" s="416">
        <v>0</v>
      </c>
      <c r="S89" s="416">
        <v>0</v>
      </c>
      <c r="T89" s="416">
        <v>0</v>
      </c>
      <c r="U89" s="416">
        <v>0</v>
      </c>
      <c r="V89" s="416">
        <v>0</v>
      </c>
      <c r="W89" s="416">
        <v>0</v>
      </c>
      <c r="X89" s="416">
        <v>0</v>
      </c>
      <c r="Y89" s="416">
        <v>0</v>
      </c>
      <c r="Z89" s="416">
        <v>0</v>
      </c>
      <c r="AA89" s="416">
        <v>0</v>
      </c>
      <c r="AB89" s="416">
        <v>0</v>
      </c>
      <c r="AC89" s="416">
        <v>0</v>
      </c>
      <c r="AD89" s="416">
        <v>0</v>
      </c>
      <c r="AE89" s="416">
        <v>0</v>
      </c>
      <c r="AF89" s="416">
        <v>0</v>
      </c>
      <c r="AG89" s="416">
        <v>0</v>
      </c>
      <c r="AH89" s="416">
        <v>0</v>
      </c>
      <c r="AI89" s="416">
        <v>0</v>
      </c>
      <c r="AJ89" s="416">
        <v>0</v>
      </c>
      <c r="AK89" s="416">
        <v>0</v>
      </c>
      <c r="AL89" s="416">
        <v>0</v>
      </c>
      <c r="AM89" s="416">
        <v>0</v>
      </c>
      <c r="AN89" s="416">
        <v>0</v>
      </c>
      <c r="AO89" s="416">
        <v>0</v>
      </c>
      <c r="AP89" s="416">
        <v>0</v>
      </c>
      <c r="AQ89" s="416">
        <v>0</v>
      </c>
      <c r="AR89" s="416">
        <v>0</v>
      </c>
      <c r="AS89" s="416">
        <v>0</v>
      </c>
      <c r="AT89" s="416">
        <v>0</v>
      </c>
      <c r="AU89" s="416">
        <v>0</v>
      </c>
      <c r="AV89" s="416">
        <v>0</v>
      </c>
      <c r="AW89" s="416">
        <v>0</v>
      </c>
      <c r="AX89" s="416">
        <v>0</v>
      </c>
      <c r="AY89" s="416">
        <v>0</v>
      </c>
      <c r="AZ89" s="416">
        <v>0</v>
      </c>
      <c r="BA89" s="416">
        <v>0</v>
      </c>
      <c r="BB89" s="416">
        <v>0</v>
      </c>
      <c r="BC89" s="416">
        <v>0</v>
      </c>
      <c r="BD89" s="416">
        <v>0</v>
      </c>
      <c r="BE89" s="416">
        <v>0</v>
      </c>
      <c r="BF89" s="416">
        <v>0</v>
      </c>
      <c r="BG89" s="416">
        <v>0</v>
      </c>
      <c r="BH89" s="416">
        <v>0</v>
      </c>
      <c r="BI89" s="416">
        <v>0</v>
      </c>
      <c r="BJ89" s="416">
        <v>0</v>
      </c>
      <c r="BK89" s="416">
        <v>0</v>
      </c>
      <c r="BL89" s="416">
        <v>0</v>
      </c>
      <c r="BM89" s="416">
        <v>0</v>
      </c>
      <c r="BN89" s="416">
        <v>0</v>
      </c>
      <c r="BO89" s="416">
        <v>0</v>
      </c>
      <c r="BP89" s="416">
        <v>0</v>
      </c>
      <c r="BQ89" s="416">
        <v>0</v>
      </c>
      <c r="BR89" s="416">
        <v>0</v>
      </c>
      <c r="BS89" s="416">
        <v>-64.509</v>
      </c>
      <c r="BT89" s="416">
        <v>0</v>
      </c>
      <c r="BU89" s="416">
        <v>0</v>
      </c>
      <c r="BV89" s="416">
        <v>0</v>
      </c>
      <c r="BW89" s="416">
        <v>0</v>
      </c>
      <c r="BX89" s="416">
        <v>-0.38200000000000001</v>
      </c>
      <c r="BY89" s="416">
        <v>0</v>
      </c>
      <c r="BZ89" s="416">
        <v>0</v>
      </c>
      <c r="CC89" s="420"/>
      <c r="CD89" s="415" t="s">
        <v>514</v>
      </c>
      <c r="CE89" s="420">
        <f t="shared" si="16"/>
        <v>0</v>
      </c>
      <c r="CF89" s="420">
        <f t="shared" si="17"/>
        <v>0</v>
      </c>
      <c r="CG89" s="420">
        <f t="shared" si="18"/>
        <v>0</v>
      </c>
      <c r="CH89" s="420">
        <f t="shared" si="19"/>
        <v>0</v>
      </c>
      <c r="CI89" s="420">
        <f t="shared" si="20"/>
        <v>0</v>
      </c>
      <c r="CJ89" s="420">
        <f t="shared" si="21"/>
        <v>0</v>
      </c>
      <c r="CK89" s="420">
        <f t="shared" si="22"/>
        <v>0</v>
      </c>
      <c r="CL89" s="420">
        <f t="shared" si="23"/>
        <v>0</v>
      </c>
      <c r="CM89" s="420">
        <f t="shared" si="24"/>
        <v>0</v>
      </c>
      <c r="CN89" s="420">
        <f t="shared" si="25"/>
        <v>0</v>
      </c>
      <c r="CO89" s="420">
        <f t="shared" si="26"/>
        <v>0</v>
      </c>
      <c r="CP89" s="420">
        <f t="shared" si="27"/>
        <v>0</v>
      </c>
      <c r="CQ89" s="420">
        <f t="shared" si="28"/>
        <v>0</v>
      </c>
      <c r="CR89" s="420">
        <f t="shared" si="29"/>
        <v>0</v>
      </c>
      <c r="CS89" s="420">
        <f t="shared" si="30"/>
        <v>0</v>
      </c>
      <c r="CT89" s="21"/>
    </row>
    <row r="90" spans="3:98" hidden="1" outlineLevel="2">
      <c r="C90" s="424" t="s">
        <v>518</v>
      </c>
      <c r="D90" s="416">
        <v>0</v>
      </c>
      <c r="E90" s="416">
        <v>0</v>
      </c>
      <c r="F90" s="416">
        <v>0</v>
      </c>
      <c r="G90" s="416">
        <v>0</v>
      </c>
      <c r="H90" s="416">
        <v>0</v>
      </c>
      <c r="I90" s="416">
        <v>0</v>
      </c>
      <c r="J90" s="416">
        <v>0</v>
      </c>
      <c r="K90" s="416">
        <v>0</v>
      </c>
      <c r="L90" s="416">
        <v>0</v>
      </c>
      <c r="M90" s="416">
        <v>0</v>
      </c>
      <c r="N90" s="416">
        <v>0</v>
      </c>
      <c r="O90" s="416">
        <v>0</v>
      </c>
      <c r="P90" s="416">
        <v>0</v>
      </c>
      <c r="Q90" s="416">
        <v>0</v>
      </c>
      <c r="R90" s="416">
        <v>0</v>
      </c>
      <c r="S90" s="416">
        <v>0</v>
      </c>
      <c r="T90" s="416">
        <v>0</v>
      </c>
      <c r="U90" s="416">
        <v>0</v>
      </c>
      <c r="V90" s="416">
        <v>0</v>
      </c>
      <c r="W90" s="416">
        <v>0</v>
      </c>
      <c r="X90" s="416">
        <v>0</v>
      </c>
      <c r="Y90" s="416">
        <v>0</v>
      </c>
      <c r="Z90" s="416">
        <v>0</v>
      </c>
      <c r="AA90" s="416">
        <v>0</v>
      </c>
      <c r="AB90" s="416">
        <v>0</v>
      </c>
      <c r="AC90" s="416">
        <v>0</v>
      </c>
      <c r="AD90" s="416">
        <v>0</v>
      </c>
      <c r="AE90" s="416">
        <v>0</v>
      </c>
      <c r="AF90" s="416">
        <v>0</v>
      </c>
      <c r="AG90" s="416">
        <v>0</v>
      </c>
      <c r="AH90" s="416">
        <v>0</v>
      </c>
      <c r="AI90" s="416">
        <v>0</v>
      </c>
      <c r="AJ90" s="416">
        <v>0</v>
      </c>
      <c r="AK90" s="416">
        <v>0</v>
      </c>
      <c r="AL90" s="416">
        <v>0</v>
      </c>
      <c r="AM90" s="416">
        <v>0</v>
      </c>
      <c r="AN90" s="416">
        <v>0</v>
      </c>
      <c r="AO90" s="416">
        <v>0</v>
      </c>
      <c r="AP90" s="416">
        <v>0</v>
      </c>
      <c r="AQ90" s="416">
        <v>0</v>
      </c>
      <c r="AR90" s="416">
        <v>0</v>
      </c>
      <c r="AS90" s="416">
        <v>0</v>
      </c>
      <c r="AT90" s="416">
        <v>0</v>
      </c>
      <c r="AU90" s="416">
        <v>0</v>
      </c>
      <c r="AV90" s="416">
        <v>0</v>
      </c>
      <c r="AW90" s="416">
        <v>0</v>
      </c>
      <c r="AX90" s="416">
        <v>0</v>
      </c>
      <c r="AY90" s="416">
        <v>0</v>
      </c>
      <c r="AZ90" s="416">
        <v>0</v>
      </c>
      <c r="BA90" s="416">
        <v>0</v>
      </c>
      <c r="BB90" s="416">
        <v>0</v>
      </c>
      <c r="BC90" s="416">
        <v>0</v>
      </c>
      <c r="BD90" s="416">
        <v>0</v>
      </c>
      <c r="BE90" s="416">
        <v>0</v>
      </c>
      <c r="BF90" s="416">
        <v>0</v>
      </c>
      <c r="BG90" s="416">
        <v>0</v>
      </c>
      <c r="BH90" s="416">
        <v>0</v>
      </c>
      <c r="BI90" s="416">
        <v>0</v>
      </c>
      <c r="BJ90" s="416">
        <v>0</v>
      </c>
      <c r="BK90" s="416">
        <v>0</v>
      </c>
      <c r="BL90" s="416">
        <v>0</v>
      </c>
      <c r="BM90" s="416">
        <v>0</v>
      </c>
      <c r="BN90" s="416">
        <v>0</v>
      </c>
      <c r="BO90" s="416">
        <v>0</v>
      </c>
      <c r="BP90" s="416">
        <v>0</v>
      </c>
      <c r="BQ90" s="416">
        <v>0</v>
      </c>
      <c r="BR90" s="416">
        <v>0</v>
      </c>
      <c r="BS90" s="416">
        <v>0</v>
      </c>
      <c r="BT90" s="416">
        <v>0</v>
      </c>
      <c r="BU90" s="416">
        <v>0</v>
      </c>
      <c r="BV90" s="416">
        <v>0</v>
      </c>
      <c r="BW90" s="416">
        <v>0</v>
      </c>
      <c r="BX90" s="416">
        <v>0</v>
      </c>
      <c r="BY90" s="416">
        <v>0</v>
      </c>
      <c r="BZ90" s="416">
        <v>0</v>
      </c>
      <c r="CC90" s="420"/>
      <c r="CD90" s="424" t="s">
        <v>518</v>
      </c>
      <c r="CE90" s="420">
        <f t="shared" si="16"/>
        <v>0</v>
      </c>
      <c r="CF90" s="420">
        <f t="shared" si="17"/>
        <v>0</v>
      </c>
      <c r="CG90" s="420">
        <f t="shared" si="18"/>
        <v>0</v>
      </c>
      <c r="CH90" s="420">
        <f t="shared" si="19"/>
        <v>0</v>
      </c>
      <c r="CI90" s="420">
        <f t="shared" si="20"/>
        <v>0</v>
      </c>
      <c r="CJ90" s="420">
        <f t="shared" si="21"/>
        <v>0</v>
      </c>
      <c r="CK90" s="420">
        <f t="shared" si="22"/>
        <v>0</v>
      </c>
      <c r="CL90" s="420">
        <f t="shared" si="23"/>
        <v>0</v>
      </c>
      <c r="CM90" s="420">
        <f t="shared" si="24"/>
        <v>0</v>
      </c>
      <c r="CN90" s="420">
        <f t="shared" si="25"/>
        <v>0</v>
      </c>
      <c r="CO90" s="420">
        <f t="shared" si="26"/>
        <v>0</v>
      </c>
      <c r="CP90" s="420">
        <f t="shared" si="27"/>
        <v>0</v>
      </c>
      <c r="CQ90" s="420">
        <f t="shared" si="28"/>
        <v>0</v>
      </c>
      <c r="CR90" s="420">
        <f t="shared" si="29"/>
        <v>0</v>
      </c>
      <c r="CS90" s="420">
        <f t="shared" si="30"/>
        <v>0</v>
      </c>
      <c r="CT90" s="21"/>
    </row>
    <row r="91" spans="3:98" hidden="1" outlineLevel="2">
      <c r="C91" s="424" t="s">
        <v>519</v>
      </c>
      <c r="D91" s="416">
        <v>0</v>
      </c>
      <c r="E91" s="416">
        <v>0</v>
      </c>
      <c r="F91" s="416">
        <v>0</v>
      </c>
      <c r="G91" s="416">
        <v>0</v>
      </c>
      <c r="H91" s="416">
        <v>0</v>
      </c>
      <c r="I91" s="416">
        <v>0</v>
      </c>
      <c r="J91" s="416">
        <v>0</v>
      </c>
      <c r="K91" s="416">
        <v>0</v>
      </c>
      <c r="L91" s="416">
        <v>0</v>
      </c>
      <c r="M91" s="416">
        <v>0</v>
      </c>
      <c r="N91" s="416">
        <v>0</v>
      </c>
      <c r="O91" s="416">
        <v>0</v>
      </c>
      <c r="P91" s="416">
        <v>0</v>
      </c>
      <c r="Q91" s="416">
        <v>0</v>
      </c>
      <c r="R91" s="416">
        <v>0</v>
      </c>
      <c r="S91" s="416">
        <v>0</v>
      </c>
      <c r="T91" s="416">
        <v>0</v>
      </c>
      <c r="U91" s="416">
        <v>0</v>
      </c>
      <c r="V91" s="416">
        <v>0</v>
      </c>
      <c r="W91" s="416">
        <v>0</v>
      </c>
      <c r="X91" s="416">
        <v>0</v>
      </c>
      <c r="Y91" s="416">
        <v>0</v>
      </c>
      <c r="Z91" s="416">
        <v>0</v>
      </c>
      <c r="AA91" s="416">
        <v>0</v>
      </c>
      <c r="AB91" s="416">
        <v>0</v>
      </c>
      <c r="AC91" s="416">
        <v>0</v>
      </c>
      <c r="AD91" s="416">
        <v>0</v>
      </c>
      <c r="AE91" s="416">
        <v>0</v>
      </c>
      <c r="AF91" s="416">
        <v>0</v>
      </c>
      <c r="AG91" s="416">
        <v>0</v>
      </c>
      <c r="AH91" s="416">
        <v>0</v>
      </c>
      <c r="AI91" s="416">
        <v>0</v>
      </c>
      <c r="AJ91" s="416">
        <v>0</v>
      </c>
      <c r="AK91" s="416">
        <v>0</v>
      </c>
      <c r="AL91" s="416">
        <v>0</v>
      </c>
      <c r="AM91" s="416">
        <v>0</v>
      </c>
      <c r="AN91" s="416">
        <v>0</v>
      </c>
      <c r="AO91" s="416">
        <v>0</v>
      </c>
      <c r="AP91" s="416">
        <v>0</v>
      </c>
      <c r="AQ91" s="416">
        <v>0</v>
      </c>
      <c r="AR91" s="416">
        <v>0</v>
      </c>
      <c r="AS91" s="416">
        <v>0</v>
      </c>
      <c r="AT91" s="416">
        <v>0</v>
      </c>
      <c r="AU91" s="416">
        <v>0</v>
      </c>
      <c r="AV91" s="416">
        <v>0</v>
      </c>
      <c r="AW91" s="416">
        <v>0</v>
      </c>
      <c r="AX91" s="416">
        <v>0</v>
      </c>
      <c r="AY91" s="416">
        <v>0</v>
      </c>
      <c r="AZ91" s="416">
        <v>0</v>
      </c>
      <c r="BA91" s="416">
        <v>0</v>
      </c>
      <c r="BB91" s="416">
        <v>0</v>
      </c>
      <c r="BC91" s="416">
        <v>0</v>
      </c>
      <c r="BD91" s="416">
        <v>0</v>
      </c>
      <c r="BE91" s="416">
        <v>0</v>
      </c>
      <c r="BF91" s="416">
        <v>0</v>
      </c>
      <c r="BG91" s="416">
        <v>0</v>
      </c>
      <c r="BH91" s="416">
        <v>0</v>
      </c>
      <c r="BI91" s="416">
        <v>0</v>
      </c>
      <c r="BJ91" s="416">
        <v>0</v>
      </c>
      <c r="BK91" s="416">
        <v>0</v>
      </c>
      <c r="BL91" s="416">
        <v>0</v>
      </c>
      <c r="BM91" s="416">
        <v>0</v>
      </c>
      <c r="BN91" s="416">
        <v>0</v>
      </c>
      <c r="BO91" s="416">
        <v>0</v>
      </c>
      <c r="BP91" s="416">
        <v>0</v>
      </c>
      <c r="BQ91" s="416">
        <v>0</v>
      </c>
      <c r="BR91" s="416">
        <v>0</v>
      </c>
      <c r="BS91" s="416">
        <v>0</v>
      </c>
      <c r="BT91" s="416">
        <v>0</v>
      </c>
      <c r="BU91" s="416">
        <v>0</v>
      </c>
      <c r="BV91" s="416">
        <v>0</v>
      </c>
      <c r="BW91" s="416">
        <v>0</v>
      </c>
      <c r="BX91" s="416">
        <v>0</v>
      </c>
      <c r="BY91" s="416">
        <v>0</v>
      </c>
      <c r="BZ91" s="416">
        <v>0</v>
      </c>
      <c r="CC91" s="420"/>
      <c r="CD91" s="424" t="s">
        <v>519</v>
      </c>
      <c r="CE91" s="420">
        <f t="shared" si="16"/>
        <v>0</v>
      </c>
      <c r="CF91" s="420">
        <f t="shared" si="17"/>
        <v>0</v>
      </c>
      <c r="CG91" s="420">
        <f t="shared" si="18"/>
        <v>0</v>
      </c>
      <c r="CH91" s="420">
        <f t="shared" si="19"/>
        <v>0</v>
      </c>
      <c r="CI91" s="420">
        <f t="shared" si="20"/>
        <v>0</v>
      </c>
      <c r="CJ91" s="420">
        <f t="shared" si="21"/>
        <v>0</v>
      </c>
      <c r="CK91" s="420">
        <f t="shared" si="22"/>
        <v>0</v>
      </c>
      <c r="CL91" s="420">
        <f t="shared" si="23"/>
        <v>0</v>
      </c>
      <c r="CM91" s="420">
        <f t="shared" si="24"/>
        <v>0</v>
      </c>
      <c r="CN91" s="420">
        <f t="shared" si="25"/>
        <v>0</v>
      </c>
      <c r="CO91" s="420">
        <f t="shared" si="26"/>
        <v>0</v>
      </c>
      <c r="CP91" s="420">
        <f t="shared" si="27"/>
        <v>0</v>
      </c>
      <c r="CQ91" s="420">
        <f t="shared" si="28"/>
        <v>0</v>
      </c>
      <c r="CR91" s="420">
        <f t="shared" si="29"/>
        <v>0</v>
      </c>
      <c r="CS91" s="420">
        <f t="shared" si="30"/>
        <v>0</v>
      </c>
      <c r="CT91" s="21"/>
    </row>
    <row r="92" spans="3:98" hidden="1" outlineLevel="1">
      <c r="C92" s="415" t="s">
        <v>517</v>
      </c>
      <c r="D92" s="416">
        <v>0</v>
      </c>
      <c r="E92" s="416">
        <v>0</v>
      </c>
      <c r="F92" s="416">
        <v>0</v>
      </c>
      <c r="G92" s="416">
        <v>0</v>
      </c>
      <c r="H92" s="416">
        <v>0</v>
      </c>
      <c r="I92" s="416">
        <v>0</v>
      </c>
      <c r="J92" s="416">
        <v>0</v>
      </c>
      <c r="K92" s="416">
        <v>0</v>
      </c>
      <c r="L92" s="416">
        <v>0</v>
      </c>
      <c r="M92" s="416">
        <v>0</v>
      </c>
      <c r="N92" s="416">
        <v>0</v>
      </c>
      <c r="O92" s="416">
        <v>0</v>
      </c>
      <c r="P92" s="416">
        <v>0</v>
      </c>
      <c r="Q92" s="416">
        <v>0</v>
      </c>
      <c r="R92" s="416">
        <v>0</v>
      </c>
      <c r="S92" s="416">
        <v>0</v>
      </c>
      <c r="T92" s="416">
        <v>0</v>
      </c>
      <c r="U92" s="416">
        <v>0</v>
      </c>
      <c r="V92" s="416">
        <v>0</v>
      </c>
      <c r="W92" s="416">
        <v>0</v>
      </c>
      <c r="X92" s="416">
        <v>0</v>
      </c>
      <c r="Y92" s="416">
        <v>0</v>
      </c>
      <c r="Z92" s="416">
        <v>0</v>
      </c>
      <c r="AA92" s="416">
        <v>0</v>
      </c>
      <c r="AB92" s="416">
        <v>0</v>
      </c>
      <c r="AC92" s="416">
        <v>0</v>
      </c>
      <c r="AD92" s="416">
        <v>0</v>
      </c>
      <c r="AE92" s="416">
        <v>0</v>
      </c>
      <c r="AF92" s="416">
        <v>0</v>
      </c>
      <c r="AG92" s="416">
        <v>0</v>
      </c>
      <c r="AH92" s="416">
        <v>0</v>
      </c>
      <c r="AI92" s="416">
        <v>0</v>
      </c>
      <c r="AJ92" s="416">
        <v>0</v>
      </c>
      <c r="AK92" s="416">
        <v>0</v>
      </c>
      <c r="AL92" s="416">
        <v>0</v>
      </c>
      <c r="AM92" s="416">
        <v>0</v>
      </c>
      <c r="AN92" s="416">
        <v>0</v>
      </c>
      <c r="AO92" s="416">
        <v>0</v>
      </c>
      <c r="AP92" s="416">
        <v>0</v>
      </c>
      <c r="AQ92" s="416">
        <v>0</v>
      </c>
      <c r="AR92" s="416">
        <v>0</v>
      </c>
      <c r="AS92" s="416">
        <v>0</v>
      </c>
      <c r="AT92" s="416">
        <v>0</v>
      </c>
      <c r="AU92" s="416">
        <v>0</v>
      </c>
      <c r="AV92" s="416">
        <v>0</v>
      </c>
      <c r="AW92" s="416">
        <v>0</v>
      </c>
      <c r="AX92" s="416">
        <v>0</v>
      </c>
      <c r="AY92" s="416">
        <v>0</v>
      </c>
      <c r="AZ92" s="416">
        <v>0</v>
      </c>
      <c r="BA92" s="416">
        <v>0</v>
      </c>
      <c r="BB92" s="416">
        <v>0</v>
      </c>
      <c r="BC92" s="416">
        <v>0</v>
      </c>
      <c r="BD92" s="416">
        <v>0</v>
      </c>
      <c r="BE92" s="416">
        <v>0</v>
      </c>
      <c r="BF92" s="416">
        <v>0</v>
      </c>
      <c r="BG92" s="416">
        <v>0</v>
      </c>
      <c r="BH92" s="416">
        <v>0</v>
      </c>
      <c r="BI92" s="416">
        <v>0</v>
      </c>
      <c r="BJ92" s="416">
        <v>0</v>
      </c>
      <c r="BK92" s="416">
        <v>0</v>
      </c>
      <c r="BL92" s="416">
        <v>0</v>
      </c>
      <c r="BM92" s="416">
        <v>0</v>
      </c>
      <c r="BN92" s="416">
        <v>0</v>
      </c>
      <c r="BO92" s="416">
        <v>0</v>
      </c>
      <c r="BP92" s="416">
        <v>0</v>
      </c>
      <c r="BQ92" s="416">
        <v>0</v>
      </c>
      <c r="BR92" s="416">
        <v>0</v>
      </c>
      <c r="BS92" s="416">
        <v>11.939</v>
      </c>
      <c r="BT92" s="416">
        <v>0</v>
      </c>
      <c r="BU92" s="416">
        <v>0</v>
      </c>
      <c r="BV92" s="416">
        <v>0</v>
      </c>
      <c r="BW92" s="416">
        <v>0</v>
      </c>
      <c r="BX92" s="416">
        <v>12.311999999999999</v>
      </c>
      <c r="BY92" s="416">
        <v>0</v>
      </c>
      <c r="BZ92" s="416">
        <v>0</v>
      </c>
      <c r="CC92" s="420"/>
      <c r="CD92" s="415" t="s">
        <v>517</v>
      </c>
      <c r="CE92" s="420">
        <f t="shared" si="16"/>
        <v>0</v>
      </c>
      <c r="CF92" s="420">
        <f t="shared" si="17"/>
        <v>0</v>
      </c>
      <c r="CG92" s="420">
        <f t="shared" si="18"/>
        <v>0</v>
      </c>
      <c r="CH92" s="420">
        <f t="shared" si="19"/>
        <v>0</v>
      </c>
      <c r="CI92" s="420">
        <f t="shared" si="20"/>
        <v>0</v>
      </c>
      <c r="CJ92" s="420">
        <f t="shared" si="21"/>
        <v>0</v>
      </c>
      <c r="CK92" s="420">
        <f t="shared" si="22"/>
        <v>0</v>
      </c>
      <c r="CL92" s="420">
        <f t="shared" si="23"/>
        <v>0</v>
      </c>
      <c r="CM92" s="420">
        <f t="shared" si="24"/>
        <v>0</v>
      </c>
      <c r="CN92" s="420">
        <f t="shared" si="25"/>
        <v>0</v>
      </c>
      <c r="CO92" s="420">
        <f t="shared" si="26"/>
        <v>0</v>
      </c>
      <c r="CP92" s="420">
        <f t="shared" si="27"/>
        <v>0</v>
      </c>
      <c r="CQ92" s="420">
        <f t="shared" si="28"/>
        <v>0</v>
      </c>
      <c r="CR92" s="420">
        <f t="shared" si="29"/>
        <v>0</v>
      </c>
      <c r="CS92" s="420">
        <f t="shared" si="30"/>
        <v>0</v>
      </c>
      <c r="CT92" s="21"/>
    </row>
    <row r="93" spans="3:98" hidden="1" outlineLevel="1">
      <c r="C93" s="415" t="s">
        <v>520</v>
      </c>
      <c r="D93" s="416">
        <v>0</v>
      </c>
      <c r="E93" s="416">
        <v>0</v>
      </c>
      <c r="F93" s="416">
        <v>0</v>
      </c>
      <c r="G93" s="416">
        <v>0</v>
      </c>
      <c r="H93" s="416">
        <v>0</v>
      </c>
      <c r="I93" s="416">
        <v>0</v>
      </c>
      <c r="J93" s="416">
        <v>0</v>
      </c>
      <c r="K93" s="416">
        <v>0</v>
      </c>
      <c r="L93" s="416">
        <v>0</v>
      </c>
      <c r="M93" s="416">
        <v>0</v>
      </c>
      <c r="N93" s="416">
        <v>0</v>
      </c>
      <c r="O93" s="416">
        <v>0</v>
      </c>
      <c r="P93" s="416">
        <v>0</v>
      </c>
      <c r="Q93" s="416">
        <v>0</v>
      </c>
      <c r="R93" s="416">
        <v>0</v>
      </c>
      <c r="S93" s="416">
        <v>0</v>
      </c>
      <c r="T93" s="416">
        <v>0</v>
      </c>
      <c r="U93" s="416">
        <v>0</v>
      </c>
      <c r="V93" s="416">
        <v>0</v>
      </c>
      <c r="W93" s="416">
        <v>0</v>
      </c>
      <c r="X93" s="416">
        <v>0</v>
      </c>
      <c r="Y93" s="416">
        <v>0</v>
      </c>
      <c r="Z93" s="416">
        <v>0</v>
      </c>
      <c r="AA93" s="416">
        <v>0</v>
      </c>
      <c r="AB93" s="416">
        <v>0</v>
      </c>
      <c r="AC93" s="416">
        <v>0</v>
      </c>
      <c r="AD93" s="416">
        <v>0</v>
      </c>
      <c r="AE93" s="416">
        <v>0</v>
      </c>
      <c r="AF93" s="416">
        <v>0</v>
      </c>
      <c r="AG93" s="416">
        <v>0</v>
      </c>
      <c r="AH93" s="416">
        <v>0</v>
      </c>
      <c r="AI93" s="416">
        <v>0</v>
      </c>
      <c r="AJ93" s="416">
        <v>0</v>
      </c>
      <c r="AK93" s="416">
        <v>0</v>
      </c>
      <c r="AL93" s="416">
        <v>0</v>
      </c>
      <c r="AM93" s="416">
        <v>0</v>
      </c>
      <c r="AN93" s="416">
        <v>0</v>
      </c>
      <c r="AO93" s="416">
        <v>0</v>
      </c>
      <c r="AP93" s="416">
        <v>0</v>
      </c>
      <c r="AQ93" s="416">
        <v>0</v>
      </c>
      <c r="AR93" s="416">
        <v>0</v>
      </c>
      <c r="AS93" s="416">
        <v>0</v>
      </c>
      <c r="AT93" s="416">
        <v>0</v>
      </c>
      <c r="AU93" s="416">
        <v>0</v>
      </c>
      <c r="AV93" s="416">
        <v>0</v>
      </c>
      <c r="AW93" s="416">
        <v>0</v>
      </c>
      <c r="AX93" s="416">
        <v>0</v>
      </c>
      <c r="AY93" s="416">
        <v>0</v>
      </c>
      <c r="AZ93" s="416">
        <v>0</v>
      </c>
      <c r="BA93" s="416">
        <v>0</v>
      </c>
      <c r="BB93" s="416">
        <v>0</v>
      </c>
      <c r="BC93" s="416">
        <v>0</v>
      </c>
      <c r="BD93" s="416">
        <v>0</v>
      </c>
      <c r="BE93" s="416">
        <v>0</v>
      </c>
      <c r="BF93" s="416">
        <v>0</v>
      </c>
      <c r="BG93" s="416">
        <v>0</v>
      </c>
      <c r="BH93" s="416">
        <v>0</v>
      </c>
      <c r="BI93" s="416">
        <v>0</v>
      </c>
      <c r="BJ93" s="416">
        <v>0</v>
      </c>
      <c r="BK93" s="416">
        <v>0</v>
      </c>
      <c r="BL93" s="416">
        <v>0</v>
      </c>
      <c r="BM93" s="416">
        <v>0</v>
      </c>
      <c r="BN93" s="416">
        <v>0</v>
      </c>
      <c r="BO93" s="416">
        <v>0</v>
      </c>
      <c r="BP93" s="416">
        <v>0</v>
      </c>
      <c r="BQ93" s="416">
        <v>0</v>
      </c>
      <c r="BR93" s="416">
        <v>0</v>
      </c>
      <c r="BS93" s="416">
        <v>0</v>
      </c>
      <c r="BT93" s="416">
        <v>0</v>
      </c>
      <c r="BU93" s="416">
        <v>0</v>
      </c>
      <c r="BV93" s="416">
        <v>0</v>
      </c>
      <c r="BW93" s="416">
        <v>0</v>
      </c>
      <c r="BX93" s="416">
        <v>0</v>
      </c>
      <c r="BY93" s="416">
        <v>0</v>
      </c>
      <c r="BZ93" s="416">
        <v>0</v>
      </c>
      <c r="CC93" s="420"/>
      <c r="CD93" s="415" t="s">
        <v>520</v>
      </c>
      <c r="CE93" s="420">
        <f t="shared" si="16"/>
        <v>0</v>
      </c>
      <c r="CF93" s="420">
        <f t="shared" si="17"/>
        <v>0</v>
      </c>
      <c r="CG93" s="420">
        <f t="shared" si="18"/>
        <v>0</v>
      </c>
      <c r="CH93" s="420">
        <f t="shared" si="19"/>
        <v>0</v>
      </c>
      <c r="CI93" s="420">
        <f t="shared" si="20"/>
        <v>0</v>
      </c>
      <c r="CJ93" s="420">
        <f t="shared" si="21"/>
        <v>0</v>
      </c>
      <c r="CK93" s="420">
        <f t="shared" si="22"/>
        <v>0</v>
      </c>
      <c r="CL93" s="420">
        <f t="shared" si="23"/>
        <v>0</v>
      </c>
      <c r="CM93" s="420">
        <f t="shared" si="24"/>
        <v>0</v>
      </c>
      <c r="CN93" s="420">
        <f t="shared" si="25"/>
        <v>0</v>
      </c>
      <c r="CO93" s="420">
        <f t="shared" si="26"/>
        <v>0</v>
      </c>
      <c r="CP93" s="420">
        <f t="shared" si="27"/>
        <v>0</v>
      </c>
      <c r="CQ93" s="420">
        <f t="shared" si="28"/>
        <v>0</v>
      </c>
      <c r="CR93" s="420">
        <f t="shared" si="29"/>
        <v>0</v>
      </c>
      <c r="CS93" s="420">
        <f t="shared" si="30"/>
        <v>0</v>
      </c>
      <c r="CT93" s="21"/>
    </row>
    <row r="94" spans="3:98" collapsed="1">
      <c r="C94" s="417" t="s">
        <v>111</v>
      </c>
      <c r="D94" s="416">
        <v>0</v>
      </c>
      <c r="E94" s="416">
        <v>0</v>
      </c>
      <c r="F94" s="416">
        <v>0</v>
      </c>
      <c r="G94" s="416">
        <v>0</v>
      </c>
      <c r="H94" s="416">
        <v>0</v>
      </c>
      <c r="I94" s="416">
        <v>0</v>
      </c>
      <c r="J94" s="416">
        <v>0</v>
      </c>
      <c r="K94" s="416">
        <v>0</v>
      </c>
      <c r="L94" s="416">
        <v>0</v>
      </c>
      <c r="M94" s="416">
        <v>0</v>
      </c>
      <c r="N94" s="416">
        <v>0</v>
      </c>
      <c r="O94" s="416">
        <v>0</v>
      </c>
      <c r="P94" s="416">
        <v>0</v>
      </c>
      <c r="Q94" s="416">
        <v>0</v>
      </c>
      <c r="R94" s="416">
        <v>0</v>
      </c>
      <c r="S94" s="416">
        <v>0</v>
      </c>
      <c r="T94" s="416">
        <v>0</v>
      </c>
      <c r="U94" s="416">
        <v>0</v>
      </c>
      <c r="V94" s="416">
        <v>0</v>
      </c>
      <c r="W94" s="416">
        <v>0</v>
      </c>
      <c r="X94" s="416">
        <v>0</v>
      </c>
      <c r="Y94" s="416">
        <v>0</v>
      </c>
      <c r="Z94" s="416">
        <v>0</v>
      </c>
      <c r="AA94" s="416">
        <v>0</v>
      </c>
      <c r="AB94" s="416">
        <v>0</v>
      </c>
      <c r="AC94" s="416">
        <v>0</v>
      </c>
      <c r="AD94" s="416">
        <v>0</v>
      </c>
      <c r="AE94" s="416">
        <v>0</v>
      </c>
      <c r="AF94" s="416">
        <v>0</v>
      </c>
      <c r="AG94" s="416">
        <v>0</v>
      </c>
      <c r="AH94" s="416">
        <v>0</v>
      </c>
      <c r="AI94" s="416">
        <v>0</v>
      </c>
      <c r="AJ94" s="416">
        <v>0</v>
      </c>
      <c r="AK94" s="416">
        <v>0</v>
      </c>
      <c r="AL94" s="416">
        <v>0</v>
      </c>
      <c r="AM94" s="416">
        <v>0</v>
      </c>
      <c r="AN94" s="416">
        <v>0</v>
      </c>
      <c r="AO94" s="416">
        <v>0</v>
      </c>
      <c r="AP94" s="416">
        <v>0</v>
      </c>
      <c r="AQ94" s="416">
        <v>0</v>
      </c>
      <c r="AR94" s="416">
        <v>0</v>
      </c>
      <c r="AS94" s="416">
        <v>0</v>
      </c>
      <c r="AT94" s="416">
        <v>0</v>
      </c>
      <c r="AU94" s="416">
        <v>0</v>
      </c>
      <c r="AV94" s="416">
        <v>0</v>
      </c>
      <c r="AW94" s="416">
        <v>0</v>
      </c>
      <c r="AX94" s="416">
        <v>0</v>
      </c>
      <c r="AY94" s="416">
        <v>0</v>
      </c>
      <c r="AZ94" s="416">
        <v>0</v>
      </c>
      <c r="BA94" s="416">
        <v>0</v>
      </c>
      <c r="BB94" s="416">
        <v>0</v>
      </c>
      <c r="BC94" s="416">
        <v>0</v>
      </c>
      <c r="BD94" s="416">
        <v>0</v>
      </c>
      <c r="BE94" s="416">
        <v>0</v>
      </c>
      <c r="BF94" s="416">
        <v>0</v>
      </c>
      <c r="BG94" s="416">
        <v>0</v>
      </c>
      <c r="BH94" s="416">
        <v>0</v>
      </c>
      <c r="BI94" s="416">
        <v>0</v>
      </c>
      <c r="BJ94" s="416">
        <v>0</v>
      </c>
      <c r="BK94" s="416">
        <v>0</v>
      </c>
      <c r="BL94" s="416">
        <v>0</v>
      </c>
      <c r="BM94" s="416">
        <v>0</v>
      </c>
      <c r="BN94" s="416">
        <v>0</v>
      </c>
      <c r="BO94" s="416">
        <v>0</v>
      </c>
      <c r="BP94" s="416">
        <v>0</v>
      </c>
      <c r="BQ94" s="416">
        <v>0</v>
      </c>
      <c r="BR94" s="416">
        <v>0</v>
      </c>
      <c r="BS94" s="416">
        <v>-49.161999999999999</v>
      </c>
      <c r="BT94" s="416">
        <v>0</v>
      </c>
      <c r="BU94" s="416">
        <v>0</v>
      </c>
      <c r="BV94" s="416">
        <v>0</v>
      </c>
      <c r="BW94" s="416">
        <v>0</v>
      </c>
      <c r="BX94" s="416">
        <v>60.417999999999999</v>
      </c>
      <c r="BY94" s="416">
        <v>0</v>
      </c>
      <c r="BZ94" s="416">
        <v>0</v>
      </c>
      <c r="CC94" s="420"/>
      <c r="CD94" s="417" t="s">
        <v>111</v>
      </c>
      <c r="CE94" s="420">
        <f t="shared" si="16"/>
        <v>0</v>
      </c>
      <c r="CF94" s="420">
        <f t="shared" si="17"/>
        <v>0</v>
      </c>
      <c r="CG94" s="420">
        <f t="shared" si="18"/>
        <v>0</v>
      </c>
      <c r="CH94" s="420">
        <f t="shared" si="19"/>
        <v>0</v>
      </c>
      <c r="CI94" s="420">
        <f t="shared" si="20"/>
        <v>0</v>
      </c>
      <c r="CJ94" s="420">
        <f t="shared" si="21"/>
        <v>0</v>
      </c>
      <c r="CK94" s="420">
        <f t="shared" si="22"/>
        <v>0</v>
      </c>
      <c r="CL94" s="420">
        <f t="shared" si="23"/>
        <v>0</v>
      </c>
      <c r="CM94" s="420">
        <f t="shared" si="24"/>
        <v>0</v>
      </c>
      <c r="CN94" s="420">
        <f t="shared" si="25"/>
        <v>0</v>
      </c>
      <c r="CO94" s="420">
        <f t="shared" si="26"/>
        <v>0</v>
      </c>
      <c r="CP94" s="420">
        <f t="shared" si="27"/>
        <v>0</v>
      </c>
      <c r="CQ94" s="420">
        <f t="shared" si="28"/>
        <v>0</v>
      </c>
      <c r="CR94" s="420">
        <f t="shared" si="29"/>
        <v>0</v>
      </c>
      <c r="CS94" s="420">
        <f t="shared" si="30"/>
        <v>0</v>
      </c>
      <c r="CT94" s="21"/>
    </row>
    <row r="95" spans="3:98">
      <c r="C95" s="417" t="s">
        <v>521</v>
      </c>
      <c r="D95" s="416">
        <v>0</v>
      </c>
      <c r="E95" s="416">
        <v>0</v>
      </c>
      <c r="F95" s="416">
        <v>0</v>
      </c>
      <c r="G95" s="416">
        <v>0</v>
      </c>
      <c r="H95" s="416">
        <v>0</v>
      </c>
      <c r="I95" s="416">
        <v>0</v>
      </c>
      <c r="J95" s="416">
        <v>0</v>
      </c>
      <c r="K95" s="416">
        <v>0</v>
      </c>
      <c r="L95" s="416">
        <v>0</v>
      </c>
      <c r="M95" s="416">
        <v>0</v>
      </c>
      <c r="N95" s="416">
        <v>0</v>
      </c>
      <c r="O95" s="416">
        <v>0</v>
      </c>
      <c r="P95" s="416">
        <v>0</v>
      </c>
      <c r="Q95" s="416">
        <v>0</v>
      </c>
      <c r="R95" s="416">
        <v>0</v>
      </c>
      <c r="S95" s="416">
        <v>0</v>
      </c>
      <c r="T95" s="416">
        <v>0</v>
      </c>
      <c r="U95" s="416">
        <v>0</v>
      </c>
      <c r="V95" s="416">
        <v>0</v>
      </c>
      <c r="W95" s="416">
        <v>0</v>
      </c>
      <c r="X95" s="416">
        <v>0</v>
      </c>
      <c r="Y95" s="416">
        <v>0</v>
      </c>
      <c r="Z95" s="416">
        <v>0</v>
      </c>
      <c r="AA95" s="416">
        <v>0</v>
      </c>
      <c r="AB95" s="416">
        <v>0</v>
      </c>
      <c r="AC95" s="416">
        <v>0</v>
      </c>
      <c r="AD95" s="416">
        <v>0</v>
      </c>
      <c r="AE95" s="416">
        <v>0</v>
      </c>
      <c r="AF95" s="416">
        <v>0</v>
      </c>
      <c r="AG95" s="416">
        <v>0</v>
      </c>
      <c r="AH95" s="416">
        <v>0</v>
      </c>
      <c r="AI95" s="416">
        <v>0</v>
      </c>
      <c r="AJ95" s="416">
        <v>0</v>
      </c>
      <c r="AK95" s="416">
        <v>0</v>
      </c>
      <c r="AL95" s="416">
        <v>0</v>
      </c>
      <c r="AM95" s="416">
        <v>0</v>
      </c>
      <c r="AN95" s="416">
        <v>0</v>
      </c>
      <c r="AO95" s="416">
        <v>0</v>
      </c>
      <c r="AP95" s="416">
        <v>0</v>
      </c>
      <c r="AQ95" s="416">
        <v>0</v>
      </c>
      <c r="AR95" s="416">
        <v>0</v>
      </c>
      <c r="AS95" s="416">
        <v>0</v>
      </c>
      <c r="AT95" s="416">
        <v>0</v>
      </c>
      <c r="AU95" s="416">
        <v>0</v>
      </c>
      <c r="AV95" s="416">
        <v>0</v>
      </c>
      <c r="AW95" s="416">
        <v>0</v>
      </c>
      <c r="AX95" s="416">
        <v>0</v>
      </c>
      <c r="AY95" s="416">
        <v>0</v>
      </c>
      <c r="AZ95" s="416">
        <v>0</v>
      </c>
      <c r="BA95" s="416">
        <v>0</v>
      </c>
      <c r="BB95" s="416">
        <v>0</v>
      </c>
      <c r="BC95" s="416">
        <v>0</v>
      </c>
      <c r="BD95" s="416">
        <v>0</v>
      </c>
      <c r="BE95" s="416">
        <v>0</v>
      </c>
      <c r="BF95" s="416">
        <v>0</v>
      </c>
      <c r="BG95" s="416">
        <v>0</v>
      </c>
      <c r="BH95" s="416">
        <v>0</v>
      </c>
      <c r="BI95" s="416">
        <v>0</v>
      </c>
      <c r="BJ95" s="416">
        <v>0</v>
      </c>
      <c r="BK95" s="416">
        <v>0</v>
      </c>
      <c r="BL95" s="416">
        <v>0</v>
      </c>
      <c r="BM95" s="416">
        <v>0</v>
      </c>
      <c r="BN95" s="416">
        <v>0</v>
      </c>
      <c r="BO95" s="416">
        <v>0</v>
      </c>
      <c r="BP95" s="416">
        <v>0</v>
      </c>
      <c r="BQ95" s="416">
        <v>0</v>
      </c>
      <c r="BR95" s="416">
        <v>0</v>
      </c>
      <c r="BS95" s="416">
        <v>0</v>
      </c>
      <c r="BT95" s="416">
        <v>0</v>
      </c>
      <c r="BU95" s="416">
        <v>0</v>
      </c>
      <c r="BV95" s="416">
        <v>0</v>
      </c>
      <c r="BW95" s="416">
        <v>0</v>
      </c>
      <c r="BX95" s="416">
        <v>0</v>
      </c>
      <c r="BY95" s="416">
        <v>0</v>
      </c>
      <c r="BZ95" s="416">
        <v>0</v>
      </c>
      <c r="CC95" s="420"/>
      <c r="CD95" s="417" t="s">
        <v>521</v>
      </c>
      <c r="CE95" s="420">
        <f t="shared" si="16"/>
        <v>0</v>
      </c>
      <c r="CF95" s="420">
        <f t="shared" si="17"/>
        <v>0</v>
      </c>
      <c r="CG95" s="420">
        <f t="shared" si="18"/>
        <v>0</v>
      </c>
      <c r="CH95" s="420">
        <f t="shared" si="19"/>
        <v>0</v>
      </c>
      <c r="CI95" s="420">
        <f t="shared" si="20"/>
        <v>0</v>
      </c>
      <c r="CJ95" s="420">
        <f t="shared" si="21"/>
        <v>0</v>
      </c>
      <c r="CK95" s="420">
        <f t="shared" si="22"/>
        <v>0</v>
      </c>
      <c r="CL95" s="420">
        <f t="shared" si="23"/>
        <v>0</v>
      </c>
      <c r="CM95" s="420">
        <f t="shared" si="24"/>
        <v>0</v>
      </c>
      <c r="CN95" s="420">
        <f t="shared" si="25"/>
        <v>0</v>
      </c>
      <c r="CO95" s="420">
        <f t="shared" si="26"/>
        <v>0</v>
      </c>
      <c r="CP95" s="420">
        <f t="shared" si="27"/>
        <v>0</v>
      </c>
      <c r="CQ95" s="420">
        <f t="shared" si="28"/>
        <v>0</v>
      </c>
      <c r="CR95" s="420">
        <f t="shared" si="29"/>
        <v>0</v>
      </c>
      <c r="CS95" s="420">
        <f t="shared" si="30"/>
        <v>0</v>
      </c>
      <c r="CT95" s="21"/>
    </row>
    <row r="96" spans="3:98" hidden="1" outlineLevel="1">
      <c r="C96" s="415" t="s">
        <v>522</v>
      </c>
      <c r="D96" s="416">
        <v>0</v>
      </c>
      <c r="E96" s="416">
        <v>0</v>
      </c>
      <c r="F96" s="416">
        <v>0</v>
      </c>
      <c r="G96" s="416">
        <v>0</v>
      </c>
      <c r="H96" s="416">
        <v>0</v>
      </c>
      <c r="I96" s="416">
        <v>0</v>
      </c>
      <c r="J96" s="416">
        <v>0</v>
      </c>
      <c r="K96" s="416">
        <v>0</v>
      </c>
      <c r="L96" s="416">
        <v>0</v>
      </c>
      <c r="M96" s="416">
        <v>0</v>
      </c>
      <c r="N96" s="416">
        <v>0</v>
      </c>
      <c r="O96" s="416">
        <v>0</v>
      </c>
      <c r="P96" s="416">
        <v>0</v>
      </c>
      <c r="Q96" s="416">
        <v>0</v>
      </c>
      <c r="R96" s="416">
        <v>0</v>
      </c>
      <c r="S96" s="416">
        <v>0</v>
      </c>
      <c r="T96" s="416">
        <v>0</v>
      </c>
      <c r="U96" s="416">
        <v>0</v>
      </c>
      <c r="V96" s="416">
        <v>0</v>
      </c>
      <c r="W96" s="416">
        <v>0</v>
      </c>
      <c r="X96" s="416">
        <v>0</v>
      </c>
      <c r="Y96" s="416">
        <v>0</v>
      </c>
      <c r="Z96" s="416">
        <v>0</v>
      </c>
      <c r="AA96" s="416">
        <v>0</v>
      </c>
      <c r="AB96" s="416">
        <v>0</v>
      </c>
      <c r="AC96" s="416">
        <v>0</v>
      </c>
      <c r="AD96" s="416">
        <v>0</v>
      </c>
      <c r="AE96" s="416">
        <v>0</v>
      </c>
      <c r="AF96" s="416">
        <v>0</v>
      </c>
      <c r="AG96" s="416">
        <v>0</v>
      </c>
      <c r="AH96" s="416">
        <v>0</v>
      </c>
      <c r="AI96" s="416">
        <v>0</v>
      </c>
      <c r="AJ96" s="416">
        <v>0</v>
      </c>
      <c r="AK96" s="416">
        <v>0</v>
      </c>
      <c r="AL96" s="416">
        <v>0</v>
      </c>
      <c r="AM96" s="416">
        <v>0</v>
      </c>
      <c r="AN96" s="416">
        <v>0</v>
      </c>
      <c r="AO96" s="416">
        <v>0</v>
      </c>
      <c r="AP96" s="416">
        <v>0</v>
      </c>
      <c r="AQ96" s="416">
        <v>0</v>
      </c>
      <c r="AR96" s="416">
        <v>0</v>
      </c>
      <c r="AS96" s="416">
        <v>0</v>
      </c>
      <c r="AT96" s="416">
        <v>0</v>
      </c>
      <c r="AU96" s="416">
        <v>0</v>
      </c>
      <c r="AV96" s="416">
        <v>0</v>
      </c>
      <c r="AW96" s="416">
        <v>0</v>
      </c>
      <c r="AX96" s="416">
        <v>0</v>
      </c>
      <c r="AY96" s="416">
        <v>0</v>
      </c>
      <c r="AZ96" s="416">
        <v>0</v>
      </c>
      <c r="BA96" s="416">
        <v>0</v>
      </c>
      <c r="BB96" s="416">
        <v>0</v>
      </c>
      <c r="BC96" s="416">
        <v>0</v>
      </c>
      <c r="BD96" s="416">
        <v>0</v>
      </c>
      <c r="BE96" s="416">
        <v>0</v>
      </c>
      <c r="BF96" s="416">
        <v>0</v>
      </c>
      <c r="BG96" s="416">
        <v>0</v>
      </c>
      <c r="BH96" s="416">
        <v>0</v>
      </c>
      <c r="BI96" s="416">
        <v>0</v>
      </c>
      <c r="BJ96" s="416">
        <v>0</v>
      </c>
      <c r="BK96" s="416">
        <v>0</v>
      </c>
      <c r="BL96" s="416">
        <v>0</v>
      </c>
      <c r="BM96" s="416">
        <v>0</v>
      </c>
      <c r="BN96" s="416">
        <v>0</v>
      </c>
      <c r="BO96" s="416">
        <v>0</v>
      </c>
      <c r="BP96" s="416">
        <v>0</v>
      </c>
      <c r="BQ96" s="416">
        <v>0</v>
      </c>
      <c r="BR96" s="416">
        <v>0</v>
      </c>
      <c r="BS96" s="416">
        <v>0</v>
      </c>
      <c r="BT96" s="416">
        <v>0</v>
      </c>
      <c r="BU96" s="416">
        <v>0</v>
      </c>
      <c r="BV96" s="416">
        <v>0</v>
      </c>
      <c r="BW96" s="416">
        <v>0</v>
      </c>
      <c r="BX96" s="416">
        <v>0</v>
      </c>
      <c r="BY96" s="416">
        <v>0</v>
      </c>
      <c r="BZ96" s="416">
        <v>0</v>
      </c>
      <c r="CC96" s="420"/>
      <c r="CD96" s="415" t="s">
        <v>522</v>
      </c>
      <c r="CE96" s="420">
        <f t="shared" si="16"/>
        <v>0</v>
      </c>
      <c r="CF96" s="420">
        <f t="shared" si="17"/>
        <v>0</v>
      </c>
      <c r="CG96" s="420">
        <f t="shared" si="18"/>
        <v>0</v>
      </c>
      <c r="CH96" s="420">
        <f t="shared" si="19"/>
        <v>0</v>
      </c>
      <c r="CI96" s="420">
        <f t="shared" si="20"/>
        <v>0</v>
      </c>
      <c r="CJ96" s="420">
        <f t="shared" si="21"/>
        <v>0</v>
      </c>
      <c r="CK96" s="420">
        <f t="shared" si="22"/>
        <v>0</v>
      </c>
      <c r="CL96" s="420">
        <f t="shared" si="23"/>
        <v>0</v>
      </c>
      <c r="CM96" s="420">
        <f t="shared" si="24"/>
        <v>0</v>
      </c>
      <c r="CN96" s="420">
        <f t="shared" si="25"/>
        <v>0</v>
      </c>
      <c r="CO96" s="420">
        <f t="shared" si="26"/>
        <v>0</v>
      </c>
      <c r="CP96" s="420">
        <f t="shared" si="27"/>
        <v>0</v>
      </c>
      <c r="CQ96" s="420">
        <f t="shared" si="28"/>
        <v>0</v>
      </c>
      <c r="CR96" s="420">
        <f t="shared" si="29"/>
        <v>0</v>
      </c>
      <c r="CS96" s="420">
        <f t="shared" si="30"/>
        <v>0</v>
      </c>
      <c r="CT96" s="21"/>
    </row>
    <row r="97" spans="3:98" hidden="1" outlineLevel="1">
      <c r="C97" s="415" t="s">
        <v>523</v>
      </c>
      <c r="D97" s="416">
        <v>0</v>
      </c>
      <c r="E97" s="416">
        <v>0</v>
      </c>
      <c r="F97" s="416">
        <v>0</v>
      </c>
      <c r="G97" s="416">
        <v>0</v>
      </c>
      <c r="H97" s="416">
        <v>0</v>
      </c>
      <c r="I97" s="416">
        <v>0</v>
      </c>
      <c r="J97" s="416">
        <v>0</v>
      </c>
      <c r="K97" s="416">
        <v>0</v>
      </c>
      <c r="L97" s="416">
        <v>0</v>
      </c>
      <c r="M97" s="416">
        <v>0</v>
      </c>
      <c r="N97" s="416">
        <v>0</v>
      </c>
      <c r="O97" s="416">
        <v>0</v>
      </c>
      <c r="P97" s="416">
        <v>0</v>
      </c>
      <c r="Q97" s="416">
        <v>0</v>
      </c>
      <c r="R97" s="416">
        <v>0</v>
      </c>
      <c r="S97" s="416">
        <v>0</v>
      </c>
      <c r="T97" s="416">
        <v>0</v>
      </c>
      <c r="U97" s="416">
        <v>0</v>
      </c>
      <c r="V97" s="416">
        <v>0</v>
      </c>
      <c r="W97" s="416">
        <v>0</v>
      </c>
      <c r="X97" s="416">
        <v>0</v>
      </c>
      <c r="Y97" s="416">
        <v>0</v>
      </c>
      <c r="Z97" s="416">
        <v>0</v>
      </c>
      <c r="AA97" s="416">
        <v>0</v>
      </c>
      <c r="AB97" s="416">
        <v>0</v>
      </c>
      <c r="AC97" s="416">
        <v>0</v>
      </c>
      <c r="AD97" s="416">
        <v>0</v>
      </c>
      <c r="AE97" s="416">
        <v>0</v>
      </c>
      <c r="AF97" s="416">
        <v>0</v>
      </c>
      <c r="AG97" s="416">
        <v>0</v>
      </c>
      <c r="AH97" s="416">
        <v>0</v>
      </c>
      <c r="AI97" s="416">
        <v>0</v>
      </c>
      <c r="AJ97" s="416">
        <v>0</v>
      </c>
      <c r="AK97" s="416">
        <v>0</v>
      </c>
      <c r="AL97" s="416">
        <v>0</v>
      </c>
      <c r="AM97" s="416">
        <v>0</v>
      </c>
      <c r="AN97" s="416">
        <v>0</v>
      </c>
      <c r="AO97" s="416">
        <v>0</v>
      </c>
      <c r="AP97" s="416">
        <v>0</v>
      </c>
      <c r="AQ97" s="416">
        <v>0</v>
      </c>
      <c r="AR97" s="416">
        <v>0</v>
      </c>
      <c r="AS97" s="416">
        <v>0</v>
      </c>
      <c r="AT97" s="416">
        <v>0</v>
      </c>
      <c r="AU97" s="416">
        <v>0</v>
      </c>
      <c r="AV97" s="416">
        <v>0</v>
      </c>
      <c r="AW97" s="416">
        <v>0</v>
      </c>
      <c r="AX97" s="416">
        <v>0</v>
      </c>
      <c r="AY97" s="416">
        <v>0</v>
      </c>
      <c r="AZ97" s="416">
        <v>0</v>
      </c>
      <c r="BA97" s="416">
        <v>0</v>
      </c>
      <c r="BB97" s="416">
        <v>0</v>
      </c>
      <c r="BC97" s="416">
        <v>0</v>
      </c>
      <c r="BD97" s="416">
        <v>0</v>
      </c>
      <c r="BE97" s="416">
        <v>0</v>
      </c>
      <c r="BF97" s="416">
        <v>0</v>
      </c>
      <c r="BG97" s="416">
        <v>0</v>
      </c>
      <c r="BH97" s="416">
        <v>0</v>
      </c>
      <c r="BI97" s="416">
        <v>0</v>
      </c>
      <c r="BJ97" s="416">
        <v>0</v>
      </c>
      <c r="BK97" s="416">
        <v>0</v>
      </c>
      <c r="BL97" s="416">
        <v>0</v>
      </c>
      <c r="BM97" s="416">
        <v>0</v>
      </c>
      <c r="BN97" s="416">
        <v>0</v>
      </c>
      <c r="BO97" s="416">
        <v>0</v>
      </c>
      <c r="BP97" s="416">
        <v>0</v>
      </c>
      <c r="BQ97" s="416">
        <v>0</v>
      </c>
      <c r="BR97" s="416">
        <v>0</v>
      </c>
      <c r="BS97" s="416">
        <v>0</v>
      </c>
      <c r="BT97" s="416">
        <v>0</v>
      </c>
      <c r="BU97" s="416">
        <v>0</v>
      </c>
      <c r="BV97" s="416">
        <v>0</v>
      </c>
      <c r="BW97" s="416">
        <v>0</v>
      </c>
      <c r="BX97" s="416">
        <v>0</v>
      </c>
      <c r="BY97" s="416">
        <v>0</v>
      </c>
      <c r="BZ97" s="416">
        <v>0</v>
      </c>
      <c r="CC97" s="420"/>
      <c r="CD97" s="415" t="s">
        <v>523</v>
      </c>
      <c r="CE97" s="420">
        <f t="shared" si="16"/>
        <v>0</v>
      </c>
      <c r="CF97" s="420">
        <f t="shared" si="17"/>
        <v>0</v>
      </c>
      <c r="CG97" s="420">
        <f t="shared" si="18"/>
        <v>0</v>
      </c>
      <c r="CH97" s="420">
        <f t="shared" si="19"/>
        <v>0</v>
      </c>
      <c r="CI97" s="420">
        <f t="shared" si="20"/>
        <v>0</v>
      </c>
      <c r="CJ97" s="420">
        <f t="shared" si="21"/>
        <v>0</v>
      </c>
      <c r="CK97" s="420">
        <f t="shared" si="22"/>
        <v>0</v>
      </c>
      <c r="CL97" s="420">
        <f t="shared" si="23"/>
        <v>0</v>
      </c>
      <c r="CM97" s="420">
        <f t="shared" si="24"/>
        <v>0</v>
      </c>
      <c r="CN97" s="420">
        <f t="shared" si="25"/>
        <v>0</v>
      </c>
      <c r="CO97" s="420">
        <f t="shared" si="26"/>
        <v>0</v>
      </c>
      <c r="CP97" s="420">
        <f t="shared" si="27"/>
        <v>0</v>
      </c>
      <c r="CQ97" s="420">
        <f t="shared" si="28"/>
        <v>0</v>
      </c>
      <c r="CR97" s="420">
        <f t="shared" si="29"/>
        <v>0</v>
      </c>
      <c r="CS97" s="420">
        <f t="shared" si="30"/>
        <v>0</v>
      </c>
      <c r="CT97" s="21"/>
    </row>
    <row r="98" spans="3:98" hidden="1" outlineLevel="1">
      <c r="C98" s="415" t="s">
        <v>113</v>
      </c>
      <c r="D98" s="416">
        <v>0</v>
      </c>
      <c r="E98" s="416">
        <v>0</v>
      </c>
      <c r="F98" s="416">
        <v>0</v>
      </c>
      <c r="G98" s="416">
        <v>0</v>
      </c>
      <c r="H98" s="416">
        <v>0</v>
      </c>
      <c r="I98" s="416">
        <v>0</v>
      </c>
      <c r="J98" s="416">
        <v>0</v>
      </c>
      <c r="K98" s="416">
        <v>0</v>
      </c>
      <c r="L98" s="416">
        <v>0</v>
      </c>
      <c r="M98" s="416">
        <v>0</v>
      </c>
      <c r="N98" s="416">
        <v>0</v>
      </c>
      <c r="O98" s="416">
        <v>0</v>
      </c>
      <c r="P98" s="416">
        <v>0</v>
      </c>
      <c r="Q98" s="416">
        <v>0</v>
      </c>
      <c r="R98" s="416">
        <v>0</v>
      </c>
      <c r="S98" s="416">
        <v>0</v>
      </c>
      <c r="T98" s="416">
        <v>0</v>
      </c>
      <c r="U98" s="416">
        <v>0</v>
      </c>
      <c r="V98" s="416">
        <v>0</v>
      </c>
      <c r="W98" s="416">
        <v>0</v>
      </c>
      <c r="X98" s="416">
        <v>0</v>
      </c>
      <c r="Y98" s="416">
        <v>0</v>
      </c>
      <c r="Z98" s="416">
        <v>0</v>
      </c>
      <c r="AA98" s="416">
        <v>0</v>
      </c>
      <c r="AB98" s="416">
        <v>0</v>
      </c>
      <c r="AC98" s="416">
        <v>0</v>
      </c>
      <c r="AD98" s="416">
        <v>0</v>
      </c>
      <c r="AE98" s="416">
        <v>0</v>
      </c>
      <c r="AF98" s="416">
        <v>0</v>
      </c>
      <c r="AG98" s="416">
        <v>0</v>
      </c>
      <c r="AH98" s="416">
        <v>0</v>
      </c>
      <c r="AI98" s="416">
        <v>0</v>
      </c>
      <c r="AJ98" s="416">
        <v>0</v>
      </c>
      <c r="AK98" s="416">
        <v>0</v>
      </c>
      <c r="AL98" s="416">
        <v>0</v>
      </c>
      <c r="AM98" s="416">
        <v>0</v>
      </c>
      <c r="AN98" s="416">
        <v>0</v>
      </c>
      <c r="AO98" s="416">
        <v>0</v>
      </c>
      <c r="AP98" s="416">
        <v>0</v>
      </c>
      <c r="AQ98" s="416">
        <v>0</v>
      </c>
      <c r="AR98" s="416">
        <v>0</v>
      </c>
      <c r="AS98" s="416">
        <v>0</v>
      </c>
      <c r="AT98" s="416">
        <v>0</v>
      </c>
      <c r="AU98" s="416">
        <v>0</v>
      </c>
      <c r="AV98" s="416">
        <v>0</v>
      </c>
      <c r="AW98" s="416">
        <v>0</v>
      </c>
      <c r="AX98" s="416">
        <v>0</v>
      </c>
      <c r="AY98" s="416">
        <v>0</v>
      </c>
      <c r="AZ98" s="416">
        <v>0</v>
      </c>
      <c r="BA98" s="416">
        <v>0</v>
      </c>
      <c r="BB98" s="416">
        <v>0</v>
      </c>
      <c r="BC98" s="416">
        <v>0</v>
      </c>
      <c r="BD98" s="416">
        <v>0</v>
      </c>
      <c r="BE98" s="416">
        <v>0</v>
      </c>
      <c r="BF98" s="416">
        <v>0</v>
      </c>
      <c r="BG98" s="416">
        <v>0</v>
      </c>
      <c r="BH98" s="416">
        <v>0</v>
      </c>
      <c r="BI98" s="416">
        <v>0</v>
      </c>
      <c r="BJ98" s="416">
        <v>0</v>
      </c>
      <c r="BK98" s="416">
        <v>0</v>
      </c>
      <c r="BL98" s="416">
        <v>0</v>
      </c>
      <c r="BM98" s="416">
        <v>0</v>
      </c>
      <c r="BN98" s="416">
        <v>0</v>
      </c>
      <c r="BO98" s="416">
        <v>0</v>
      </c>
      <c r="BP98" s="416">
        <v>0</v>
      </c>
      <c r="BQ98" s="416">
        <v>0</v>
      </c>
      <c r="BR98" s="416">
        <v>0</v>
      </c>
      <c r="BS98" s="416">
        <v>0</v>
      </c>
      <c r="BT98" s="416">
        <v>0</v>
      </c>
      <c r="BU98" s="416">
        <v>0</v>
      </c>
      <c r="BV98" s="416">
        <v>0</v>
      </c>
      <c r="BW98" s="416">
        <v>0</v>
      </c>
      <c r="BX98" s="416">
        <v>0</v>
      </c>
      <c r="BY98" s="416">
        <v>0</v>
      </c>
      <c r="BZ98" s="416">
        <v>0</v>
      </c>
      <c r="CC98" s="420"/>
      <c r="CD98" s="415" t="s">
        <v>113</v>
      </c>
      <c r="CE98" s="420">
        <f t="shared" si="16"/>
        <v>0</v>
      </c>
      <c r="CF98" s="420">
        <f t="shared" si="17"/>
        <v>0</v>
      </c>
      <c r="CG98" s="420">
        <f t="shared" si="18"/>
        <v>0</v>
      </c>
      <c r="CH98" s="420">
        <f t="shared" si="19"/>
        <v>0</v>
      </c>
      <c r="CI98" s="420">
        <f t="shared" si="20"/>
        <v>0</v>
      </c>
      <c r="CJ98" s="420">
        <f t="shared" si="21"/>
        <v>0</v>
      </c>
      <c r="CK98" s="420">
        <f t="shared" si="22"/>
        <v>0</v>
      </c>
      <c r="CL98" s="420">
        <f t="shared" si="23"/>
        <v>0</v>
      </c>
      <c r="CM98" s="420">
        <f t="shared" si="24"/>
        <v>0</v>
      </c>
      <c r="CN98" s="420">
        <f t="shared" si="25"/>
        <v>0</v>
      </c>
      <c r="CO98" s="420">
        <f t="shared" si="26"/>
        <v>0</v>
      </c>
      <c r="CP98" s="420">
        <f t="shared" si="27"/>
        <v>0</v>
      </c>
      <c r="CQ98" s="420">
        <f t="shared" si="28"/>
        <v>0</v>
      </c>
      <c r="CR98" s="420">
        <f t="shared" si="29"/>
        <v>0</v>
      </c>
      <c r="CS98" s="420">
        <f t="shared" si="30"/>
        <v>0</v>
      </c>
      <c r="CT98" s="21"/>
    </row>
    <row r="99" spans="3:98" hidden="1" outlineLevel="1">
      <c r="C99" s="415" t="s">
        <v>114</v>
      </c>
      <c r="D99" s="416">
        <v>0</v>
      </c>
      <c r="E99" s="416">
        <v>0</v>
      </c>
      <c r="F99" s="416">
        <v>0</v>
      </c>
      <c r="G99" s="416">
        <v>0</v>
      </c>
      <c r="H99" s="416">
        <v>0</v>
      </c>
      <c r="I99" s="416">
        <v>0</v>
      </c>
      <c r="J99" s="416">
        <v>0</v>
      </c>
      <c r="K99" s="416">
        <v>0</v>
      </c>
      <c r="L99" s="416">
        <v>0</v>
      </c>
      <c r="M99" s="416">
        <v>0</v>
      </c>
      <c r="N99" s="416">
        <v>0</v>
      </c>
      <c r="O99" s="416">
        <v>0</v>
      </c>
      <c r="P99" s="416">
        <v>0</v>
      </c>
      <c r="Q99" s="416">
        <v>0</v>
      </c>
      <c r="R99" s="416">
        <v>0</v>
      </c>
      <c r="S99" s="416">
        <v>0</v>
      </c>
      <c r="T99" s="416">
        <v>0</v>
      </c>
      <c r="U99" s="416">
        <v>0</v>
      </c>
      <c r="V99" s="416">
        <v>0</v>
      </c>
      <c r="W99" s="416">
        <v>0</v>
      </c>
      <c r="X99" s="416">
        <v>0</v>
      </c>
      <c r="Y99" s="416">
        <v>0</v>
      </c>
      <c r="Z99" s="416">
        <v>0</v>
      </c>
      <c r="AA99" s="416">
        <v>0</v>
      </c>
      <c r="AB99" s="416">
        <v>0</v>
      </c>
      <c r="AC99" s="416">
        <v>0</v>
      </c>
      <c r="AD99" s="416">
        <v>0</v>
      </c>
      <c r="AE99" s="416">
        <v>0</v>
      </c>
      <c r="AF99" s="416">
        <v>0</v>
      </c>
      <c r="AG99" s="416">
        <v>0</v>
      </c>
      <c r="AH99" s="416">
        <v>0</v>
      </c>
      <c r="AI99" s="416">
        <v>0</v>
      </c>
      <c r="AJ99" s="416">
        <v>0</v>
      </c>
      <c r="AK99" s="416">
        <v>0</v>
      </c>
      <c r="AL99" s="416">
        <v>0</v>
      </c>
      <c r="AM99" s="416">
        <v>0</v>
      </c>
      <c r="AN99" s="416">
        <v>0</v>
      </c>
      <c r="AO99" s="416">
        <v>0</v>
      </c>
      <c r="AP99" s="416">
        <v>0</v>
      </c>
      <c r="AQ99" s="416">
        <v>0</v>
      </c>
      <c r="AR99" s="416">
        <v>0</v>
      </c>
      <c r="AS99" s="416">
        <v>0</v>
      </c>
      <c r="AT99" s="416">
        <v>0</v>
      </c>
      <c r="AU99" s="416">
        <v>0</v>
      </c>
      <c r="AV99" s="416">
        <v>0</v>
      </c>
      <c r="AW99" s="416">
        <v>0</v>
      </c>
      <c r="AX99" s="416">
        <v>0</v>
      </c>
      <c r="AY99" s="416">
        <v>0</v>
      </c>
      <c r="AZ99" s="416">
        <v>0</v>
      </c>
      <c r="BA99" s="416">
        <v>0</v>
      </c>
      <c r="BB99" s="416">
        <v>0</v>
      </c>
      <c r="BC99" s="416">
        <v>0</v>
      </c>
      <c r="BD99" s="416">
        <v>0</v>
      </c>
      <c r="BE99" s="416">
        <v>0</v>
      </c>
      <c r="BF99" s="416">
        <v>0</v>
      </c>
      <c r="BG99" s="416">
        <v>0</v>
      </c>
      <c r="BH99" s="416">
        <v>0</v>
      </c>
      <c r="BI99" s="416">
        <v>0</v>
      </c>
      <c r="BJ99" s="416">
        <v>0</v>
      </c>
      <c r="BK99" s="416">
        <v>0</v>
      </c>
      <c r="BL99" s="416">
        <v>0</v>
      </c>
      <c r="BM99" s="416">
        <v>0</v>
      </c>
      <c r="BN99" s="416">
        <v>0</v>
      </c>
      <c r="BO99" s="416">
        <v>0</v>
      </c>
      <c r="BP99" s="416">
        <v>0</v>
      </c>
      <c r="BQ99" s="416">
        <v>0</v>
      </c>
      <c r="BR99" s="416">
        <v>0</v>
      </c>
      <c r="BS99" s="416">
        <v>12.15</v>
      </c>
      <c r="BT99" s="416">
        <v>0</v>
      </c>
      <c r="BU99" s="416">
        <v>0</v>
      </c>
      <c r="BV99" s="416">
        <v>0</v>
      </c>
      <c r="BW99" s="416">
        <v>0</v>
      </c>
      <c r="BX99" s="416">
        <v>7.18</v>
      </c>
      <c r="BY99" s="416">
        <v>0</v>
      </c>
      <c r="BZ99" s="416">
        <v>0</v>
      </c>
      <c r="CC99" s="420"/>
      <c r="CD99" s="415" t="s">
        <v>114</v>
      </c>
      <c r="CE99" s="420">
        <f t="shared" si="16"/>
        <v>0</v>
      </c>
      <c r="CF99" s="420">
        <f t="shared" si="17"/>
        <v>0</v>
      </c>
      <c r="CG99" s="420">
        <f t="shared" si="18"/>
        <v>0</v>
      </c>
      <c r="CH99" s="420">
        <f t="shared" si="19"/>
        <v>0</v>
      </c>
      <c r="CI99" s="420">
        <f t="shared" si="20"/>
        <v>0</v>
      </c>
      <c r="CJ99" s="420">
        <f t="shared" si="21"/>
        <v>0</v>
      </c>
      <c r="CK99" s="420">
        <f t="shared" si="22"/>
        <v>0</v>
      </c>
      <c r="CL99" s="420">
        <f t="shared" si="23"/>
        <v>0</v>
      </c>
      <c r="CM99" s="420">
        <f t="shared" si="24"/>
        <v>0</v>
      </c>
      <c r="CN99" s="420">
        <f t="shared" si="25"/>
        <v>0</v>
      </c>
      <c r="CO99" s="420">
        <f t="shared" si="26"/>
        <v>0</v>
      </c>
      <c r="CP99" s="420">
        <f t="shared" si="27"/>
        <v>0</v>
      </c>
      <c r="CQ99" s="420">
        <f t="shared" si="28"/>
        <v>0</v>
      </c>
      <c r="CR99" s="420">
        <f t="shared" si="29"/>
        <v>0</v>
      </c>
      <c r="CS99" s="420">
        <f t="shared" si="30"/>
        <v>0</v>
      </c>
      <c r="CT99" s="21"/>
    </row>
    <row r="100" spans="3:98" hidden="1" outlineLevel="1">
      <c r="C100" s="415" t="s">
        <v>524</v>
      </c>
      <c r="D100" s="416">
        <v>0</v>
      </c>
      <c r="E100" s="416">
        <v>0</v>
      </c>
      <c r="F100" s="416">
        <v>0</v>
      </c>
      <c r="G100" s="416">
        <v>0</v>
      </c>
      <c r="H100" s="416">
        <v>0</v>
      </c>
      <c r="I100" s="416">
        <v>0</v>
      </c>
      <c r="J100" s="416">
        <v>0</v>
      </c>
      <c r="K100" s="416">
        <v>0</v>
      </c>
      <c r="L100" s="416">
        <v>0</v>
      </c>
      <c r="M100" s="416">
        <v>0</v>
      </c>
      <c r="N100" s="416">
        <v>0</v>
      </c>
      <c r="O100" s="416">
        <v>0</v>
      </c>
      <c r="P100" s="416">
        <v>0</v>
      </c>
      <c r="Q100" s="416">
        <v>0</v>
      </c>
      <c r="R100" s="416">
        <v>0</v>
      </c>
      <c r="S100" s="416">
        <v>0</v>
      </c>
      <c r="T100" s="416">
        <v>0</v>
      </c>
      <c r="U100" s="416">
        <v>0</v>
      </c>
      <c r="V100" s="416">
        <v>0</v>
      </c>
      <c r="W100" s="416">
        <v>0</v>
      </c>
      <c r="X100" s="416">
        <v>0</v>
      </c>
      <c r="Y100" s="416">
        <v>0</v>
      </c>
      <c r="Z100" s="416">
        <v>0</v>
      </c>
      <c r="AA100" s="416">
        <v>0</v>
      </c>
      <c r="AB100" s="416">
        <v>0</v>
      </c>
      <c r="AC100" s="416">
        <v>0</v>
      </c>
      <c r="AD100" s="416">
        <v>0</v>
      </c>
      <c r="AE100" s="416">
        <v>0</v>
      </c>
      <c r="AF100" s="416">
        <v>0</v>
      </c>
      <c r="AG100" s="416">
        <v>0</v>
      </c>
      <c r="AH100" s="416">
        <v>0</v>
      </c>
      <c r="AI100" s="416">
        <v>0</v>
      </c>
      <c r="AJ100" s="416">
        <v>0</v>
      </c>
      <c r="AK100" s="416">
        <v>0</v>
      </c>
      <c r="AL100" s="416">
        <v>0</v>
      </c>
      <c r="AM100" s="416">
        <v>0</v>
      </c>
      <c r="AN100" s="416">
        <v>0</v>
      </c>
      <c r="AO100" s="416">
        <v>0</v>
      </c>
      <c r="AP100" s="416">
        <v>0</v>
      </c>
      <c r="AQ100" s="416">
        <v>0</v>
      </c>
      <c r="AR100" s="416">
        <v>0</v>
      </c>
      <c r="AS100" s="416">
        <v>0</v>
      </c>
      <c r="AT100" s="416">
        <v>0</v>
      </c>
      <c r="AU100" s="416">
        <v>0</v>
      </c>
      <c r="AV100" s="416">
        <v>0</v>
      </c>
      <c r="AW100" s="416">
        <v>0</v>
      </c>
      <c r="AX100" s="416">
        <v>0</v>
      </c>
      <c r="AY100" s="416">
        <v>0</v>
      </c>
      <c r="AZ100" s="416">
        <v>0</v>
      </c>
      <c r="BA100" s="416">
        <v>0</v>
      </c>
      <c r="BB100" s="416">
        <v>0</v>
      </c>
      <c r="BC100" s="416">
        <v>0</v>
      </c>
      <c r="BD100" s="416">
        <v>0</v>
      </c>
      <c r="BE100" s="416">
        <v>0</v>
      </c>
      <c r="BF100" s="416">
        <v>0</v>
      </c>
      <c r="BG100" s="416">
        <v>0</v>
      </c>
      <c r="BH100" s="416">
        <v>0</v>
      </c>
      <c r="BI100" s="416">
        <v>0</v>
      </c>
      <c r="BJ100" s="416">
        <v>0</v>
      </c>
      <c r="BK100" s="416">
        <v>0</v>
      </c>
      <c r="BL100" s="416">
        <v>0</v>
      </c>
      <c r="BM100" s="416">
        <v>0</v>
      </c>
      <c r="BN100" s="416">
        <v>0</v>
      </c>
      <c r="BO100" s="416">
        <v>0</v>
      </c>
      <c r="BP100" s="416">
        <v>0</v>
      </c>
      <c r="BQ100" s="416">
        <v>0</v>
      </c>
      <c r="BR100" s="416">
        <v>0</v>
      </c>
      <c r="BS100" s="416">
        <v>0</v>
      </c>
      <c r="BT100" s="416">
        <v>0</v>
      </c>
      <c r="BU100" s="416">
        <v>0</v>
      </c>
      <c r="BV100" s="416">
        <v>0</v>
      </c>
      <c r="BW100" s="416">
        <v>0</v>
      </c>
      <c r="BX100" s="416">
        <v>0</v>
      </c>
      <c r="BY100" s="416">
        <v>0</v>
      </c>
      <c r="BZ100" s="416">
        <v>0</v>
      </c>
      <c r="CC100" s="420"/>
      <c r="CD100" s="415" t="s">
        <v>524</v>
      </c>
      <c r="CE100" s="420">
        <f t="shared" si="16"/>
        <v>0</v>
      </c>
      <c r="CF100" s="420">
        <f t="shared" si="17"/>
        <v>0</v>
      </c>
      <c r="CG100" s="420">
        <f t="shared" si="18"/>
        <v>0</v>
      </c>
      <c r="CH100" s="420">
        <f t="shared" si="19"/>
        <v>0</v>
      </c>
      <c r="CI100" s="420">
        <f t="shared" si="20"/>
        <v>0</v>
      </c>
      <c r="CJ100" s="420">
        <f t="shared" si="21"/>
        <v>0</v>
      </c>
      <c r="CK100" s="420">
        <f t="shared" si="22"/>
        <v>0</v>
      </c>
      <c r="CL100" s="420">
        <f t="shared" si="23"/>
        <v>0</v>
      </c>
      <c r="CM100" s="420">
        <f t="shared" si="24"/>
        <v>0</v>
      </c>
      <c r="CN100" s="420">
        <f t="shared" si="25"/>
        <v>0</v>
      </c>
      <c r="CO100" s="420">
        <f t="shared" si="26"/>
        <v>0</v>
      </c>
      <c r="CP100" s="420">
        <f t="shared" si="27"/>
        <v>0</v>
      </c>
      <c r="CQ100" s="420">
        <f t="shared" si="28"/>
        <v>0</v>
      </c>
      <c r="CR100" s="420">
        <f t="shared" si="29"/>
        <v>0</v>
      </c>
      <c r="CS100" s="420">
        <f t="shared" si="30"/>
        <v>0</v>
      </c>
      <c r="CT100" s="21"/>
    </row>
    <row r="101" spans="3:98" hidden="1" outlineLevel="1">
      <c r="C101" s="415" t="s">
        <v>525</v>
      </c>
      <c r="D101" s="416">
        <v>0</v>
      </c>
      <c r="E101" s="416">
        <v>0</v>
      </c>
      <c r="F101" s="416">
        <v>0</v>
      </c>
      <c r="G101" s="416">
        <v>0</v>
      </c>
      <c r="H101" s="416">
        <v>0</v>
      </c>
      <c r="I101" s="416">
        <v>0</v>
      </c>
      <c r="J101" s="416">
        <v>0</v>
      </c>
      <c r="K101" s="416">
        <v>0</v>
      </c>
      <c r="L101" s="416">
        <v>0</v>
      </c>
      <c r="M101" s="416">
        <v>0</v>
      </c>
      <c r="N101" s="416">
        <v>0</v>
      </c>
      <c r="O101" s="416">
        <v>0</v>
      </c>
      <c r="P101" s="416">
        <v>0</v>
      </c>
      <c r="Q101" s="416">
        <v>0</v>
      </c>
      <c r="R101" s="416">
        <v>0</v>
      </c>
      <c r="S101" s="416">
        <v>0</v>
      </c>
      <c r="T101" s="416">
        <v>0</v>
      </c>
      <c r="U101" s="416">
        <v>0</v>
      </c>
      <c r="V101" s="416">
        <v>0</v>
      </c>
      <c r="W101" s="416">
        <v>0</v>
      </c>
      <c r="X101" s="416">
        <v>0</v>
      </c>
      <c r="Y101" s="416">
        <v>0</v>
      </c>
      <c r="Z101" s="416">
        <v>0</v>
      </c>
      <c r="AA101" s="416">
        <v>0</v>
      </c>
      <c r="AB101" s="416">
        <v>0</v>
      </c>
      <c r="AC101" s="416">
        <v>0</v>
      </c>
      <c r="AD101" s="416">
        <v>0</v>
      </c>
      <c r="AE101" s="416">
        <v>0</v>
      </c>
      <c r="AF101" s="416">
        <v>0</v>
      </c>
      <c r="AG101" s="416">
        <v>0</v>
      </c>
      <c r="AH101" s="416">
        <v>0</v>
      </c>
      <c r="AI101" s="416">
        <v>0</v>
      </c>
      <c r="AJ101" s="416">
        <v>0</v>
      </c>
      <c r="AK101" s="416">
        <v>0</v>
      </c>
      <c r="AL101" s="416">
        <v>0</v>
      </c>
      <c r="AM101" s="416">
        <v>0</v>
      </c>
      <c r="AN101" s="416">
        <v>0</v>
      </c>
      <c r="AO101" s="416">
        <v>0</v>
      </c>
      <c r="AP101" s="416">
        <v>0</v>
      </c>
      <c r="AQ101" s="416">
        <v>0</v>
      </c>
      <c r="AR101" s="416">
        <v>0</v>
      </c>
      <c r="AS101" s="416">
        <v>0</v>
      </c>
      <c r="AT101" s="416">
        <v>0</v>
      </c>
      <c r="AU101" s="416">
        <v>0</v>
      </c>
      <c r="AV101" s="416">
        <v>0</v>
      </c>
      <c r="AW101" s="416">
        <v>0</v>
      </c>
      <c r="AX101" s="416">
        <v>0</v>
      </c>
      <c r="AY101" s="416">
        <v>0</v>
      </c>
      <c r="AZ101" s="416">
        <v>0</v>
      </c>
      <c r="BA101" s="416">
        <v>0</v>
      </c>
      <c r="BB101" s="416">
        <v>0</v>
      </c>
      <c r="BC101" s="416">
        <v>0</v>
      </c>
      <c r="BD101" s="416">
        <v>0</v>
      </c>
      <c r="BE101" s="416">
        <v>0</v>
      </c>
      <c r="BF101" s="416">
        <v>0</v>
      </c>
      <c r="BG101" s="416">
        <v>0</v>
      </c>
      <c r="BH101" s="416">
        <v>0</v>
      </c>
      <c r="BI101" s="416">
        <v>0</v>
      </c>
      <c r="BJ101" s="416">
        <v>0</v>
      </c>
      <c r="BK101" s="416">
        <v>0</v>
      </c>
      <c r="BL101" s="416">
        <v>0</v>
      </c>
      <c r="BM101" s="416">
        <v>0</v>
      </c>
      <c r="BN101" s="416">
        <v>0</v>
      </c>
      <c r="BO101" s="416">
        <v>0</v>
      </c>
      <c r="BP101" s="416">
        <v>0</v>
      </c>
      <c r="BQ101" s="416">
        <v>0</v>
      </c>
      <c r="BR101" s="416">
        <v>0</v>
      </c>
      <c r="BS101" s="416">
        <v>0</v>
      </c>
      <c r="BT101" s="416">
        <v>0</v>
      </c>
      <c r="BU101" s="416">
        <v>0</v>
      </c>
      <c r="BV101" s="416">
        <v>0</v>
      </c>
      <c r="BW101" s="416">
        <v>0</v>
      </c>
      <c r="BX101" s="416">
        <v>0</v>
      </c>
      <c r="BY101" s="416">
        <v>0</v>
      </c>
      <c r="BZ101" s="416">
        <v>0</v>
      </c>
      <c r="CC101" s="420"/>
      <c r="CD101" s="415" t="s">
        <v>525</v>
      </c>
      <c r="CE101" s="420">
        <f t="shared" si="16"/>
        <v>0</v>
      </c>
      <c r="CF101" s="420">
        <f t="shared" si="17"/>
        <v>0</v>
      </c>
      <c r="CG101" s="420">
        <f t="shared" si="18"/>
        <v>0</v>
      </c>
      <c r="CH101" s="420">
        <f t="shared" si="19"/>
        <v>0</v>
      </c>
      <c r="CI101" s="420">
        <f t="shared" si="20"/>
        <v>0</v>
      </c>
      <c r="CJ101" s="420">
        <f t="shared" si="21"/>
        <v>0</v>
      </c>
      <c r="CK101" s="420">
        <f t="shared" si="22"/>
        <v>0</v>
      </c>
      <c r="CL101" s="420">
        <f t="shared" si="23"/>
        <v>0</v>
      </c>
      <c r="CM101" s="420">
        <f t="shared" si="24"/>
        <v>0</v>
      </c>
      <c r="CN101" s="420">
        <f t="shared" si="25"/>
        <v>0</v>
      </c>
      <c r="CO101" s="420">
        <f t="shared" si="26"/>
        <v>0</v>
      </c>
      <c r="CP101" s="420">
        <f t="shared" si="27"/>
        <v>0</v>
      </c>
      <c r="CQ101" s="420">
        <f t="shared" si="28"/>
        <v>0</v>
      </c>
      <c r="CR101" s="420">
        <f t="shared" si="29"/>
        <v>0</v>
      </c>
      <c r="CS101" s="420">
        <f t="shared" si="30"/>
        <v>0</v>
      </c>
      <c r="CT101" s="21"/>
    </row>
    <row r="102" spans="3:98" hidden="1" outlineLevel="1">
      <c r="C102" s="415" t="s">
        <v>526</v>
      </c>
      <c r="D102" s="416">
        <v>0</v>
      </c>
      <c r="E102" s="416">
        <v>0</v>
      </c>
      <c r="F102" s="416">
        <v>0</v>
      </c>
      <c r="G102" s="416">
        <v>0</v>
      </c>
      <c r="H102" s="416">
        <v>0</v>
      </c>
      <c r="I102" s="416">
        <v>0</v>
      </c>
      <c r="J102" s="416">
        <v>0</v>
      </c>
      <c r="K102" s="416">
        <v>0</v>
      </c>
      <c r="L102" s="416">
        <v>0</v>
      </c>
      <c r="M102" s="416">
        <v>0</v>
      </c>
      <c r="N102" s="416">
        <v>0</v>
      </c>
      <c r="O102" s="416">
        <v>0</v>
      </c>
      <c r="P102" s="416">
        <v>0</v>
      </c>
      <c r="Q102" s="416">
        <v>0</v>
      </c>
      <c r="R102" s="416">
        <v>0</v>
      </c>
      <c r="S102" s="416">
        <v>0</v>
      </c>
      <c r="T102" s="416">
        <v>0</v>
      </c>
      <c r="U102" s="416">
        <v>0</v>
      </c>
      <c r="V102" s="416">
        <v>0</v>
      </c>
      <c r="W102" s="416">
        <v>0</v>
      </c>
      <c r="X102" s="416">
        <v>0</v>
      </c>
      <c r="Y102" s="416">
        <v>0</v>
      </c>
      <c r="Z102" s="416">
        <v>0</v>
      </c>
      <c r="AA102" s="416">
        <v>0</v>
      </c>
      <c r="AB102" s="416">
        <v>0</v>
      </c>
      <c r="AC102" s="416">
        <v>0</v>
      </c>
      <c r="AD102" s="416">
        <v>0</v>
      </c>
      <c r="AE102" s="416">
        <v>0</v>
      </c>
      <c r="AF102" s="416">
        <v>0</v>
      </c>
      <c r="AG102" s="416">
        <v>0</v>
      </c>
      <c r="AH102" s="416">
        <v>0</v>
      </c>
      <c r="AI102" s="416">
        <v>0</v>
      </c>
      <c r="AJ102" s="416">
        <v>0</v>
      </c>
      <c r="AK102" s="416">
        <v>0</v>
      </c>
      <c r="AL102" s="416">
        <v>0</v>
      </c>
      <c r="AM102" s="416">
        <v>0</v>
      </c>
      <c r="AN102" s="416">
        <v>0</v>
      </c>
      <c r="AO102" s="416">
        <v>0</v>
      </c>
      <c r="AP102" s="416">
        <v>0</v>
      </c>
      <c r="AQ102" s="416">
        <v>0</v>
      </c>
      <c r="AR102" s="416">
        <v>0</v>
      </c>
      <c r="AS102" s="416">
        <v>0</v>
      </c>
      <c r="AT102" s="416">
        <v>0</v>
      </c>
      <c r="AU102" s="416">
        <v>0</v>
      </c>
      <c r="AV102" s="416">
        <v>0</v>
      </c>
      <c r="AW102" s="416">
        <v>0</v>
      </c>
      <c r="AX102" s="416">
        <v>0</v>
      </c>
      <c r="AY102" s="416">
        <v>0</v>
      </c>
      <c r="AZ102" s="416">
        <v>0</v>
      </c>
      <c r="BA102" s="416">
        <v>0</v>
      </c>
      <c r="BB102" s="416">
        <v>0</v>
      </c>
      <c r="BC102" s="416">
        <v>0</v>
      </c>
      <c r="BD102" s="416">
        <v>0</v>
      </c>
      <c r="BE102" s="416">
        <v>0</v>
      </c>
      <c r="BF102" s="416">
        <v>0</v>
      </c>
      <c r="BG102" s="416">
        <v>0</v>
      </c>
      <c r="BH102" s="416">
        <v>0</v>
      </c>
      <c r="BI102" s="416">
        <v>0</v>
      </c>
      <c r="BJ102" s="416">
        <v>0</v>
      </c>
      <c r="BK102" s="416">
        <v>0</v>
      </c>
      <c r="BL102" s="416">
        <v>0</v>
      </c>
      <c r="BM102" s="416">
        <v>0</v>
      </c>
      <c r="BN102" s="416">
        <v>0</v>
      </c>
      <c r="BO102" s="416">
        <v>0</v>
      </c>
      <c r="BP102" s="416">
        <v>0</v>
      </c>
      <c r="BQ102" s="416">
        <v>0</v>
      </c>
      <c r="BR102" s="416">
        <v>0</v>
      </c>
      <c r="BS102" s="416">
        <v>0</v>
      </c>
      <c r="BT102" s="416">
        <v>0</v>
      </c>
      <c r="BU102" s="416">
        <v>0</v>
      </c>
      <c r="BV102" s="416">
        <v>0</v>
      </c>
      <c r="BW102" s="416">
        <v>0</v>
      </c>
      <c r="BX102" s="416">
        <v>-81.590999999999994</v>
      </c>
      <c r="BY102" s="416">
        <v>0</v>
      </c>
      <c r="BZ102" s="416">
        <v>0</v>
      </c>
      <c r="CC102" s="420"/>
      <c r="CD102" s="415" t="s">
        <v>526</v>
      </c>
      <c r="CE102" s="420">
        <f t="shared" si="16"/>
        <v>0</v>
      </c>
      <c r="CF102" s="420">
        <f t="shared" si="17"/>
        <v>0</v>
      </c>
      <c r="CG102" s="420">
        <f t="shared" si="18"/>
        <v>0</v>
      </c>
      <c r="CH102" s="420">
        <f t="shared" si="19"/>
        <v>0</v>
      </c>
      <c r="CI102" s="420">
        <f t="shared" si="20"/>
        <v>0</v>
      </c>
      <c r="CJ102" s="420">
        <f t="shared" si="21"/>
        <v>0</v>
      </c>
      <c r="CK102" s="420">
        <f t="shared" si="22"/>
        <v>0</v>
      </c>
      <c r="CL102" s="420">
        <f t="shared" si="23"/>
        <v>0</v>
      </c>
      <c r="CM102" s="420">
        <f t="shared" si="24"/>
        <v>0</v>
      </c>
      <c r="CN102" s="420">
        <f t="shared" si="25"/>
        <v>0</v>
      </c>
      <c r="CO102" s="420">
        <f t="shared" si="26"/>
        <v>0</v>
      </c>
      <c r="CP102" s="420">
        <f t="shared" si="27"/>
        <v>0</v>
      </c>
      <c r="CQ102" s="420">
        <f t="shared" si="28"/>
        <v>0</v>
      </c>
      <c r="CR102" s="420">
        <f t="shared" si="29"/>
        <v>0</v>
      </c>
      <c r="CS102" s="420">
        <f t="shared" si="30"/>
        <v>0</v>
      </c>
      <c r="CT102" s="21"/>
    </row>
    <row r="103" spans="3:98" hidden="1" outlineLevel="1">
      <c r="C103" s="415" t="s">
        <v>527</v>
      </c>
      <c r="D103" s="416">
        <v>0</v>
      </c>
      <c r="E103" s="416">
        <v>0</v>
      </c>
      <c r="F103" s="416">
        <v>0</v>
      </c>
      <c r="G103" s="416">
        <v>0</v>
      </c>
      <c r="H103" s="416">
        <v>0</v>
      </c>
      <c r="I103" s="416">
        <v>0</v>
      </c>
      <c r="J103" s="416">
        <v>0</v>
      </c>
      <c r="K103" s="416">
        <v>0</v>
      </c>
      <c r="L103" s="416">
        <v>0</v>
      </c>
      <c r="M103" s="416">
        <v>0</v>
      </c>
      <c r="N103" s="416">
        <v>0</v>
      </c>
      <c r="O103" s="416">
        <v>0</v>
      </c>
      <c r="P103" s="416">
        <v>0</v>
      </c>
      <c r="Q103" s="416">
        <v>0</v>
      </c>
      <c r="R103" s="416">
        <v>0</v>
      </c>
      <c r="S103" s="416">
        <v>0</v>
      </c>
      <c r="T103" s="416">
        <v>0</v>
      </c>
      <c r="U103" s="416">
        <v>0</v>
      </c>
      <c r="V103" s="416">
        <v>0</v>
      </c>
      <c r="W103" s="416">
        <v>0</v>
      </c>
      <c r="X103" s="416">
        <v>0</v>
      </c>
      <c r="Y103" s="416">
        <v>0</v>
      </c>
      <c r="Z103" s="416">
        <v>0</v>
      </c>
      <c r="AA103" s="416">
        <v>0</v>
      </c>
      <c r="AB103" s="416">
        <v>0</v>
      </c>
      <c r="AC103" s="416">
        <v>0</v>
      </c>
      <c r="AD103" s="416">
        <v>0</v>
      </c>
      <c r="AE103" s="416">
        <v>0</v>
      </c>
      <c r="AF103" s="416">
        <v>0</v>
      </c>
      <c r="AG103" s="416">
        <v>0</v>
      </c>
      <c r="AH103" s="416">
        <v>0</v>
      </c>
      <c r="AI103" s="416">
        <v>0</v>
      </c>
      <c r="AJ103" s="416">
        <v>0</v>
      </c>
      <c r="AK103" s="416">
        <v>0</v>
      </c>
      <c r="AL103" s="416">
        <v>0</v>
      </c>
      <c r="AM103" s="416">
        <v>0</v>
      </c>
      <c r="AN103" s="416">
        <v>0</v>
      </c>
      <c r="AO103" s="416">
        <v>0</v>
      </c>
      <c r="AP103" s="416">
        <v>0</v>
      </c>
      <c r="AQ103" s="416">
        <v>0</v>
      </c>
      <c r="AR103" s="416">
        <v>0</v>
      </c>
      <c r="AS103" s="416">
        <v>0</v>
      </c>
      <c r="AT103" s="416">
        <v>0</v>
      </c>
      <c r="AU103" s="416">
        <v>0</v>
      </c>
      <c r="AV103" s="416">
        <v>0</v>
      </c>
      <c r="AW103" s="416">
        <v>0</v>
      </c>
      <c r="AX103" s="416">
        <v>0</v>
      </c>
      <c r="AY103" s="416">
        <v>0</v>
      </c>
      <c r="AZ103" s="416">
        <v>0</v>
      </c>
      <c r="BA103" s="416">
        <v>0</v>
      </c>
      <c r="BB103" s="416">
        <v>0</v>
      </c>
      <c r="BC103" s="416">
        <v>0</v>
      </c>
      <c r="BD103" s="416">
        <v>0</v>
      </c>
      <c r="BE103" s="416">
        <v>0</v>
      </c>
      <c r="BF103" s="416">
        <v>0</v>
      </c>
      <c r="BG103" s="416">
        <v>0</v>
      </c>
      <c r="BH103" s="416">
        <v>0</v>
      </c>
      <c r="BI103" s="416">
        <v>0</v>
      </c>
      <c r="BJ103" s="416">
        <v>0</v>
      </c>
      <c r="BK103" s="416">
        <v>0</v>
      </c>
      <c r="BL103" s="416">
        <v>0</v>
      </c>
      <c r="BM103" s="416">
        <v>0</v>
      </c>
      <c r="BN103" s="416">
        <v>0</v>
      </c>
      <c r="BO103" s="416">
        <v>0</v>
      </c>
      <c r="BP103" s="416">
        <v>0</v>
      </c>
      <c r="BQ103" s="416">
        <v>0</v>
      </c>
      <c r="BR103" s="416">
        <v>0</v>
      </c>
      <c r="BS103" s="416">
        <v>0</v>
      </c>
      <c r="BT103" s="416">
        <v>0</v>
      </c>
      <c r="BU103" s="416">
        <v>0</v>
      </c>
      <c r="BV103" s="416">
        <v>0</v>
      </c>
      <c r="BW103" s="416">
        <v>0</v>
      </c>
      <c r="BX103" s="416">
        <v>0</v>
      </c>
      <c r="BY103" s="416">
        <v>0</v>
      </c>
      <c r="BZ103" s="416">
        <v>0</v>
      </c>
      <c r="CC103" s="420"/>
      <c r="CD103" s="415" t="s">
        <v>527</v>
      </c>
      <c r="CE103" s="420">
        <f t="shared" si="16"/>
        <v>0</v>
      </c>
      <c r="CF103" s="420">
        <f t="shared" si="17"/>
        <v>0</v>
      </c>
      <c r="CG103" s="420">
        <f t="shared" si="18"/>
        <v>0</v>
      </c>
      <c r="CH103" s="420">
        <f t="shared" si="19"/>
        <v>0</v>
      </c>
      <c r="CI103" s="420">
        <f t="shared" si="20"/>
        <v>0</v>
      </c>
      <c r="CJ103" s="420">
        <f t="shared" si="21"/>
        <v>0</v>
      </c>
      <c r="CK103" s="420">
        <f t="shared" si="22"/>
        <v>0</v>
      </c>
      <c r="CL103" s="420">
        <f t="shared" si="23"/>
        <v>0</v>
      </c>
      <c r="CM103" s="420">
        <f t="shared" si="24"/>
        <v>0</v>
      </c>
      <c r="CN103" s="420">
        <f t="shared" si="25"/>
        <v>0</v>
      </c>
      <c r="CO103" s="420">
        <f t="shared" si="26"/>
        <v>0</v>
      </c>
      <c r="CP103" s="420">
        <f t="shared" si="27"/>
        <v>0</v>
      </c>
      <c r="CQ103" s="420">
        <f t="shared" si="28"/>
        <v>0</v>
      </c>
      <c r="CR103" s="420">
        <f t="shared" si="29"/>
        <v>0</v>
      </c>
      <c r="CS103" s="420">
        <f t="shared" si="30"/>
        <v>0</v>
      </c>
      <c r="CT103" s="21"/>
    </row>
    <row r="104" spans="3:98" hidden="1" outlineLevel="1">
      <c r="C104" s="415" t="s">
        <v>528</v>
      </c>
      <c r="D104" s="416">
        <v>0</v>
      </c>
      <c r="E104" s="416">
        <v>0</v>
      </c>
      <c r="F104" s="416">
        <v>0</v>
      </c>
      <c r="G104" s="416">
        <v>0</v>
      </c>
      <c r="H104" s="416">
        <v>0</v>
      </c>
      <c r="I104" s="416">
        <v>0</v>
      </c>
      <c r="J104" s="416">
        <v>0</v>
      </c>
      <c r="K104" s="416">
        <v>0</v>
      </c>
      <c r="L104" s="416">
        <v>0</v>
      </c>
      <c r="M104" s="416">
        <v>0</v>
      </c>
      <c r="N104" s="416">
        <v>0</v>
      </c>
      <c r="O104" s="416">
        <v>0</v>
      </c>
      <c r="P104" s="416">
        <v>0</v>
      </c>
      <c r="Q104" s="416">
        <v>0</v>
      </c>
      <c r="R104" s="416">
        <v>0</v>
      </c>
      <c r="S104" s="416">
        <v>0</v>
      </c>
      <c r="T104" s="416">
        <v>0</v>
      </c>
      <c r="U104" s="416">
        <v>0</v>
      </c>
      <c r="V104" s="416">
        <v>0</v>
      </c>
      <c r="W104" s="416">
        <v>0</v>
      </c>
      <c r="X104" s="416">
        <v>0</v>
      </c>
      <c r="Y104" s="416">
        <v>0</v>
      </c>
      <c r="Z104" s="416">
        <v>0</v>
      </c>
      <c r="AA104" s="416">
        <v>0</v>
      </c>
      <c r="AB104" s="416">
        <v>0</v>
      </c>
      <c r="AC104" s="416">
        <v>0</v>
      </c>
      <c r="AD104" s="416">
        <v>0</v>
      </c>
      <c r="AE104" s="416">
        <v>0</v>
      </c>
      <c r="AF104" s="416">
        <v>0</v>
      </c>
      <c r="AG104" s="416">
        <v>0</v>
      </c>
      <c r="AH104" s="416">
        <v>0</v>
      </c>
      <c r="AI104" s="416">
        <v>0</v>
      </c>
      <c r="AJ104" s="416">
        <v>0</v>
      </c>
      <c r="AK104" s="416">
        <v>0</v>
      </c>
      <c r="AL104" s="416">
        <v>0</v>
      </c>
      <c r="AM104" s="416">
        <v>0</v>
      </c>
      <c r="AN104" s="416">
        <v>0</v>
      </c>
      <c r="AO104" s="416">
        <v>0</v>
      </c>
      <c r="AP104" s="416">
        <v>0</v>
      </c>
      <c r="AQ104" s="416">
        <v>0</v>
      </c>
      <c r="AR104" s="416">
        <v>0</v>
      </c>
      <c r="AS104" s="416">
        <v>0</v>
      </c>
      <c r="AT104" s="416">
        <v>0</v>
      </c>
      <c r="AU104" s="416">
        <v>0</v>
      </c>
      <c r="AV104" s="416">
        <v>0</v>
      </c>
      <c r="AW104" s="416">
        <v>0</v>
      </c>
      <c r="AX104" s="416">
        <v>0</v>
      </c>
      <c r="AY104" s="416">
        <v>0</v>
      </c>
      <c r="AZ104" s="416">
        <v>0</v>
      </c>
      <c r="BA104" s="416">
        <v>0</v>
      </c>
      <c r="BB104" s="416">
        <v>0</v>
      </c>
      <c r="BC104" s="416">
        <v>0</v>
      </c>
      <c r="BD104" s="416">
        <v>0</v>
      </c>
      <c r="BE104" s="416">
        <v>0</v>
      </c>
      <c r="BF104" s="416">
        <v>0</v>
      </c>
      <c r="BG104" s="416">
        <v>0</v>
      </c>
      <c r="BH104" s="416">
        <v>0</v>
      </c>
      <c r="BI104" s="416">
        <v>0</v>
      </c>
      <c r="BJ104" s="416">
        <v>0</v>
      </c>
      <c r="BK104" s="416">
        <v>0</v>
      </c>
      <c r="BL104" s="416">
        <v>0</v>
      </c>
      <c r="BM104" s="416">
        <v>0</v>
      </c>
      <c r="BN104" s="416">
        <v>0</v>
      </c>
      <c r="BO104" s="416">
        <v>0</v>
      </c>
      <c r="BP104" s="416">
        <v>0</v>
      </c>
      <c r="BQ104" s="416">
        <v>0</v>
      </c>
      <c r="BR104" s="416">
        <v>0</v>
      </c>
      <c r="BS104" s="416">
        <v>0</v>
      </c>
      <c r="BT104" s="416">
        <v>0</v>
      </c>
      <c r="BU104" s="416">
        <v>0</v>
      </c>
      <c r="BV104" s="416">
        <v>0</v>
      </c>
      <c r="BW104" s="416">
        <v>0</v>
      </c>
      <c r="BX104" s="416">
        <v>0</v>
      </c>
      <c r="BY104" s="416">
        <v>0</v>
      </c>
      <c r="BZ104" s="416">
        <v>0</v>
      </c>
      <c r="CC104" s="420"/>
      <c r="CD104" s="415" t="s">
        <v>528</v>
      </c>
      <c r="CE104" s="420">
        <f t="shared" si="16"/>
        <v>0</v>
      </c>
      <c r="CF104" s="420">
        <f t="shared" si="17"/>
        <v>0</v>
      </c>
      <c r="CG104" s="420">
        <f t="shared" si="18"/>
        <v>0</v>
      </c>
      <c r="CH104" s="420">
        <f t="shared" si="19"/>
        <v>0</v>
      </c>
      <c r="CI104" s="420">
        <f t="shared" si="20"/>
        <v>0</v>
      </c>
      <c r="CJ104" s="420">
        <f t="shared" si="21"/>
        <v>0</v>
      </c>
      <c r="CK104" s="420">
        <f t="shared" si="22"/>
        <v>0</v>
      </c>
      <c r="CL104" s="420">
        <f t="shared" si="23"/>
        <v>0</v>
      </c>
      <c r="CM104" s="420">
        <f t="shared" si="24"/>
        <v>0</v>
      </c>
      <c r="CN104" s="420">
        <f t="shared" si="25"/>
        <v>0</v>
      </c>
      <c r="CO104" s="420">
        <f t="shared" si="26"/>
        <v>0</v>
      </c>
      <c r="CP104" s="420">
        <f t="shared" si="27"/>
        <v>0</v>
      </c>
      <c r="CQ104" s="420">
        <f t="shared" si="28"/>
        <v>0</v>
      </c>
      <c r="CR104" s="420">
        <f t="shared" si="29"/>
        <v>0</v>
      </c>
      <c r="CS104" s="420">
        <f t="shared" si="30"/>
        <v>0</v>
      </c>
      <c r="CT104" s="21"/>
    </row>
    <row r="105" spans="3:98" hidden="1" outlineLevel="1">
      <c r="C105" s="415" t="s">
        <v>529</v>
      </c>
      <c r="D105" s="416">
        <v>0</v>
      </c>
      <c r="E105" s="416">
        <v>0</v>
      </c>
      <c r="F105" s="416">
        <v>0</v>
      </c>
      <c r="G105" s="416">
        <v>0</v>
      </c>
      <c r="H105" s="416">
        <v>0</v>
      </c>
      <c r="I105" s="416">
        <v>0</v>
      </c>
      <c r="J105" s="416">
        <v>0</v>
      </c>
      <c r="K105" s="416">
        <v>0</v>
      </c>
      <c r="L105" s="416">
        <v>0</v>
      </c>
      <c r="M105" s="416">
        <v>0</v>
      </c>
      <c r="N105" s="416">
        <v>0</v>
      </c>
      <c r="O105" s="416">
        <v>0</v>
      </c>
      <c r="P105" s="416">
        <v>0</v>
      </c>
      <c r="Q105" s="416">
        <v>0</v>
      </c>
      <c r="R105" s="416">
        <v>0</v>
      </c>
      <c r="S105" s="416">
        <v>0</v>
      </c>
      <c r="T105" s="416">
        <v>0</v>
      </c>
      <c r="U105" s="416">
        <v>0</v>
      </c>
      <c r="V105" s="416">
        <v>0</v>
      </c>
      <c r="W105" s="416">
        <v>0</v>
      </c>
      <c r="X105" s="416">
        <v>0</v>
      </c>
      <c r="Y105" s="416">
        <v>0</v>
      </c>
      <c r="Z105" s="416">
        <v>0</v>
      </c>
      <c r="AA105" s="416">
        <v>0</v>
      </c>
      <c r="AB105" s="416">
        <v>0</v>
      </c>
      <c r="AC105" s="416">
        <v>0</v>
      </c>
      <c r="AD105" s="416">
        <v>0</v>
      </c>
      <c r="AE105" s="416">
        <v>0</v>
      </c>
      <c r="AF105" s="416">
        <v>0</v>
      </c>
      <c r="AG105" s="416">
        <v>0</v>
      </c>
      <c r="AH105" s="416">
        <v>0</v>
      </c>
      <c r="AI105" s="416">
        <v>0</v>
      </c>
      <c r="AJ105" s="416">
        <v>0</v>
      </c>
      <c r="AK105" s="416">
        <v>0</v>
      </c>
      <c r="AL105" s="416">
        <v>0</v>
      </c>
      <c r="AM105" s="416">
        <v>0</v>
      </c>
      <c r="AN105" s="416">
        <v>0</v>
      </c>
      <c r="AO105" s="416">
        <v>0</v>
      </c>
      <c r="AP105" s="416">
        <v>0</v>
      </c>
      <c r="AQ105" s="416">
        <v>0</v>
      </c>
      <c r="AR105" s="416">
        <v>0</v>
      </c>
      <c r="AS105" s="416">
        <v>0</v>
      </c>
      <c r="AT105" s="416">
        <v>0</v>
      </c>
      <c r="AU105" s="416">
        <v>0</v>
      </c>
      <c r="AV105" s="416">
        <v>0</v>
      </c>
      <c r="AW105" s="416">
        <v>0</v>
      </c>
      <c r="AX105" s="416">
        <v>0</v>
      </c>
      <c r="AY105" s="416">
        <v>0</v>
      </c>
      <c r="AZ105" s="416">
        <v>0</v>
      </c>
      <c r="BA105" s="416">
        <v>0</v>
      </c>
      <c r="BB105" s="416">
        <v>0</v>
      </c>
      <c r="BC105" s="416">
        <v>0</v>
      </c>
      <c r="BD105" s="416">
        <v>0</v>
      </c>
      <c r="BE105" s="416">
        <v>0</v>
      </c>
      <c r="BF105" s="416">
        <v>0</v>
      </c>
      <c r="BG105" s="416">
        <v>0</v>
      </c>
      <c r="BH105" s="416">
        <v>0</v>
      </c>
      <c r="BI105" s="416">
        <v>0</v>
      </c>
      <c r="BJ105" s="416">
        <v>0</v>
      </c>
      <c r="BK105" s="416">
        <v>0</v>
      </c>
      <c r="BL105" s="416">
        <v>0</v>
      </c>
      <c r="BM105" s="416">
        <v>0</v>
      </c>
      <c r="BN105" s="416">
        <v>0</v>
      </c>
      <c r="BO105" s="416">
        <v>0</v>
      </c>
      <c r="BP105" s="416">
        <v>0</v>
      </c>
      <c r="BQ105" s="416">
        <v>0</v>
      </c>
      <c r="BR105" s="416">
        <v>0</v>
      </c>
      <c r="BS105" s="416">
        <v>0</v>
      </c>
      <c r="BT105" s="416">
        <v>0</v>
      </c>
      <c r="BU105" s="416">
        <v>0</v>
      </c>
      <c r="BV105" s="416">
        <v>0</v>
      </c>
      <c r="BW105" s="416">
        <v>0</v>
      </c>
      <c r="BX105" s="416">
        <v>0</v>
      </c>
      <c r="BY105" s="416">
        <v>0</v>
      </c>
      <c r="BZ105" s="416">
        <v>0</v>
      </c>
      <c r="CC105" s="420"/>
      <c r="CD105" s="415" t="s">
        <v>529</v>
      </c>
      <c r="CE105" s="420">
        <f t="shared" si="16"/>
        <v>0</v>
      </c>
      <c r="CF105" s="420">
        <f t="shared" si="17"/>
        <v>0</v>
      </c>
      <c r="CG105" s="420">
        <f t="shared" si="18"/>
        <v>0</v>
      </c>
      <c r="CH105" s="420">
        <f t="shared" si="19"/>
        <v>0</v>
      </c>
      <c r="CI105" s="420">
        <f t="shared" si="20"/>
        <v>0</v>
      </c>
      <c r="CJ105" s="420">
        <f t="shared" si="21"/>
        <v>0</v>
      </c>
      <c r="CK105" s="420">
        <f t="shared" si="22"/>
        <v>0</v>
      </c>
      <c r="CL105" s="420">
        <f t="shared" si="23"/>
        <v>0</v>
      </c>
      <c r="CM105" s="420">
        <f t="shared" si="24"/>
        <v>0</v>
      </c>
      <c r="CN105" s="420">
        <f t="shared" si="25"/>
        <v>0</v>
      </c>
      <c r="CO105" s="420">
        <f t="shared" si="26"/>
        <v>0</v>
      </c>
      <c r="CP105" s="420">
        <f t="shared" si="27"/>
        <v>0</v>
      </c>
      <c r="CQ105" s="420">
        <f t="shared" si="28"/>
        <v>0</v>
      </c>
      <c r="CR105" s="420">
        <f t="shared" si="29"/>
        <v>0</v>
      </c>
      <c r="CS105" s="420">
        <f t="shared" si="30"/>
        <v>0</v>
      </c>
      <c r="CT105" s="21"/>
    </row>
    <row r="106" spans="3:98" hidden="1" outlineLevel="1">
      <c r="C106" s="415" t="s">
        <v>530</v>
      </c>
      <c r="D106" s="416">
        <v>0</v>
      </c>
      <c r="E106" s="416">
        <v>0</v>
      </c>
      <c r="F106" s="416">
        <v>0</v>
      </c>
      <c r="G106" s="416">
        <v>0</v>
      </c>
      <c r="H106" s="416">
        <v>0</v>
      </c>
      <c r="I106" s="416">
        <v>0</v>
      </c>
      <c r="J106" s="416">
        <v>0</v>
      </c>
      <c r="K106" s="416">
        <v>0</v>
      </c>
      <c r="L106" s="416">
        <v>0</v>
      </c>
      <c r="M106" s="416">
        <v>0</v>
      </c>
      <c r="N106" s="416">
        <v>0</v>
      </c>
      <c r="O106" s="416">
        <v>0</v>
      </c>
      <c r="P106" s="416">
        <v>0</v>
      </c>
      <c r="Q106" s="416">
        <v>0</v>
      </c>
      <c r="R106" s="416">
        <v>0</v>
      </c>
      <c r="S106" s="416">
        <v>0</v>
      </c>
      <c r="T106" s="416">
        <v>0</v>
      </c>
      <c r="U106" s="416">
        <v>0</v>
      </c>
      <c r="V106" s="416">
        <v>0</v>
      </c>
      <c r="W106" s="416">
        <v>0</v>
      </c>
      <c r="X106" s="416">
        <v>0</v>
      </c>
      <c r="Y106" s="416">
        <v>0</v>
      </c>
      <c r="Z106" s="416">
        <v>0</v>
      </c>
      <c r="AA106" s="416">
        <v>0</v>
      </c>
      <c r="AB106" s="416">
        <v>0</v>
      </c>
      <c r="AC106" s="416">
        <v>0</v>
      </c>
      <c r="AD106" s="416">
        <v>0</v>
      </c>
      <c r="AE106" s="416">
        <v>0</v>
      </c>
      <c r="AF106" s="416">
        <v>0</v>
      </c>
      <c r="AG106" s="416">
        <v>0</v>
      </c>
      <c r="AH106" s="416">
        <v>0</v>
      </c>
      <c r="AI106" s="416">
        <v>0</v>
      </c>
      <c r="AJ106" s="416">
        <v>0</v>
      </c>
      <c r="AK106" s="416">
        <v>0</v>
      </c>
      <c r="AL106" s="416">
        <v>0</v>
      </c>
      <c r="AM106" s="416">
        <v>0</v>
      </c>
      <c r="AN106" s="416">
        <v>0</v>
      </c>
      <c r="AO106" s="416">
        <v>0</v>
      </c>
      <c r="AP106" s="416">
        <v>0</v>
      </c>
      <c r="AQ106" s="416">
        <v>0</v>
      </c>
      <c r="AR106" s="416">
        <v>0</v>
      </c>
      <c r="AS106" s="416">
        <v>0</v>
      </c>
      <c r="AT106" s="416">
        <v>0</v>
      </c>
      <c r="AU106" s="416">
        <v>0</v>
      </c>
      <c r="AV106" s="416">
        <v>0</v>
      </c>
      <c r="AW106" s="416">
        <v>0</v>
      </c>
      <c r="AX106" s="416">
        <v>0</v>
      </c>
      <c r="AY106" s="416">
        <v>0</v>
      </c>
      <c r="AZ106" s="416">
        <v>0</v>
      </c>
      <c r="BA106" s="416">
        <v>0</v>
      </c>
      <c r="BB106" s="416">
        <v>0</v>
      </c>
      <c r="BC106" s="416">
        <v>0</v>
      </c>
      <c r="BD106" s="416">
        <v>0</v>
      </c>
      <c r="BE106" s="416">
        <v>0</v>
      </c>
      <c r="BF106" s="416">
        <v>10.14</v>
      </c>
      <c r="BG106" s="416">
        <v>0</v>
      </c>
      <c r="BH106" s="416">
        <v>0</v>
      </c>
      <c r="BI106" s="416">
        <v>0</v>
      </c>
      <c r="BJ106" s="416">
        <v>0</v>
      </c>
      <c r="BK106" s="416">
        <v>0</v>
      </c>
      <c r="BL106" s="416">
        <v>0</v>
      </c>
      <c r="BM106" s="416">
        <v>0</v>
      </c>
      <c r="BN106" s="416">
        <v>0</v>
      </c>
      <c r="BO106" s="416">
        <v>0</v>
      </c>
      <c r="BP106" s="416">
        <v>0</v>
      </c>
      <c r="BQ106" s="416">
        <v>0</v>
      </c>
      <c r="BR106" s="416">
        <v>42.453000000000003</v>
      </c>
      <c r="BS106" s="416">
        <v>-1.232</v>
      </c>
      <c r="BT106" s="416">
        <v>-0.51800000000000002</v>
      </c>
      <c r="BU106" s="416">
        <v>40.703000000000003</v>
      </c>
      <c r="BV106" s="416">
        <v>144.489</v>
      </c>
      <c r="BW106" s="416">
        <v>-1.0349999999999999</v>
      </c>
      <c r="BX106" s="416">
        <v>-0.86</v>
      </c>
      <c r="BY106" s="416">
        <v>0</v>
      </c>
      <c r="BZ106" s="416">
        <v>0</v>
      </c>
      <c r="CC106" s="420"/>
      <c r="CD106" s="415" t="s">
        <v>530</v>
      </c>
      <c r="CE106" s="420">
        <f t="shared" si="16"/>
        <v>0</v>
      </c>
      <c r="CF106" s="420">
        <f t="shared" si="17"/>
        <v>0</v>
      </c>
      <c r="CG106" s="420">
        <f t="shared" si="18"/>
        <v>0</v>
      </c>
      <c r="CH106" s="420">
        <f t="shared" si="19"/>
        <v>0</v>
      </c>
      <c r="CI106" s="420">
        <f t="shared" si="20"/>
        <v>0</v>
      </c>
      <c r="CJ106" s="420">
        <f t="shared" si="21"/>
        <v>0</v>
      </c>
      <c r="CK106" s="420">
        <f t="shared" si="22"/>
        <v>0</v>
      </c>
      <c r="CL106" s="420">
        <f t="shared" si="23"/>
        <v>0</v>
      </c>
      <c r="CM106" s="420">
        <f t="shared" si="24"/>
        <v>0</v>
      </c>
      <c r="CN106" s="420">
        <f t="shared" si="25"/>
        <v>0</v>
      </c>
      <c r="CO106" s="420">
        <f t="shared" si="26"/>
        <v>10.14</v>
      </c>
      <c r="CP106" s="420">
        <f t="shared" si="27"/>
        <v>0</v>
      </c>
      <c r="CQ106" s="420">
        <f t="shared" si="28"/>
        <v>0</v>
      </c>
      <c r="CR106" s="420">
        <f t="shared" si="29"/>
        <v>40.703000000000003</v>
      </c>
      <c r="CS106" s="420">
        <f t="shared" si="30"/>
        <v>0</v>
      </c>
      <c r="CT106" s="21"/>
    </row>
    <row r="107" spans="3:98" hidden="1" outlineLevel="1">
      <c r="C107" s="415" t="s">
        <v>115</v>
      </c>
      <c r="D107" s="416">
        <v>0</v>
      </c>
      <c r="E107" s="416">
        <v>0</v>
      </c>
      <c r="F107" s="416">
        <v>0</v>
      </c>
      <c r="G107" s="416">
        <v>0</v>
      </c>
      <c r="H107" s="416">
        <v>0</v>
      </c>
      <c r="I107" s="416">
        <v>0</v>
      </c>
      <c r="J107" s="416">
        <v>0</v>
      </c>
      <c r="K107" s="416">
        <v>0</v>
      </c>
      <c r="L107" s="416">
        <v>0</v>
      </c>
      <c r="M107" s="416">
        <v>0</v>
      </c>
      <c r="N107" s="416">
        <v>0</v>
      </c>
      <c r="O107" s="416">
        <v>0</v>
      </c>
      <c r="P107" s="416">
        <v>0</v>
      </c>
      <c r="Q107" s="416">
        <v>0</v>
      </c>
      <c r="R107" s="416">
        <v>0</v>
      </c>
      <c r="S107" s="416">
        <v>0</v>
      </c>
      <c r="T107" s="416">
        <v>0</v>
      </c>
      <c r="U107" s="416">
        <v>0</v>
      </c>
      <c r="V107" s="416">
        <v>0</v>
      </c>
      <c r="W107" s="416">
        <v>0</v>
      </c>
      <c r="X107" s="416">
        <v>0</v>
      </c>
      <c r="Y107" s="416">
        <v>0</v>
      </c>
      <c r="Z107" s="416">
        <v>0</v>
      </c>
      <c r="AA107" s="416">
        <v>0</v>
      </c>
      <c r="AB107" s="416">
        <v>0</v>
      </c>
      <c r="AC107" s="416">
        <v>0</v>
      </c>
      <c r="AD107" s="416">
        <v>0</v>
      </c>
      <c r="AE107" s="416">
        <v>0</v>
      </c>
      <c r="AF107" s="416">
        <v>0</v>
      </c>
      <c r="AG107" s="416">
        <v>0</v>
      </c>
      <c r="AH107" s="416">
        <v>0</v>
      </c>
      <c r="AI107" s="416">
        <v>0</v>
      </c>
      <c r="AJ107" s="416">
        <v>0</v>
      </c>
      <c r="AK107" s="416">
        <v>0</v>
      </c>
      <c r="AL107" s="416">
        <v>0</v>
      </c>
      <c r="AM107" s="416">
        <v>0</v>
      </c>
      <c r="AN107" s="416">
        <v>0</v>
      </c>
      <c r="AO107" s="416">
        <v>0</v>
      </c>
      <c r="AP107" s="416">
        <v>0</v>
      </c>
      <c r="AQ107" s="416">
        <v>0</v>
      </c>
      <c r="AR107" s="416">
        <v>0</v>
      </c>
      <c r="AS107" s="416">
        <v>0</v>
      </c>
      <c r="AT107" s="416">
        <v>0</v>
      </c>
      <c r="AU107" s="416">
        <v>0</v>
      </c>
      <c r="AV107" s="416">
        <v>0</v>
      </c>
      <c r="AW107" s="416">
        <v>0</v>
      </c>
      <c r="AX107" s="416">
        <v>0</v>
      </c>
      <c r="AY107" s="416">
        <v>0</v>
      </c>
      <c r="AZ107" s="416">
        <v>0</v>
      </c>
      <c r="BA107" s="416">
        <v>0</v>
      </c>
      <c r="BB107" s="416">
        <v>0</v>
      </c>
      <c r="BC107" s="416">
        <v>0</v>
      </c>
      <c r="BD107" s="416">
        <v>0</v>
      </c>
      <c r="BE107" s="416">
        <v>0</v>
      </c>
      <c r="BF107" s="416">
        <v>0</v>
      </c>
      <c r="BG107" s="416">
        <v>0</v>
      </c>
      <c r="BH107" s="416">
        <v>0</v>
      </c>
      <c r="BI107" s="416">
        <v>0</v>
      </c>
      <c r="BJ107" s="416">
        <v>0</v>
      </c>
      <c r="BK107" s="416">
        <v>0</v>
      </c>
      <c r="BL107" s="416">
        <v>0</v>
      </c>
      <c r="BM107" s="416">
        <v>0</v>
      </c>
      <c r="BN107" s="416">
        <v>0</v>
      </c>
      <c r="BO107" s="416">
        <v>0</v>
      </c>
      <c r="BP107" s="416">
        <v>0</v>
      </c>
      <c r="BQ107" s="416">
        <v>0</v>
      </c>
      <c r="BR107" s="416">
        <v>0</v>
      </c>
      <c r="BS107" s="416">
        <v>0</v>
      </c>
      <c r="BT107" s="416">
        <v>0</v>
      </c>
      <c r="BU107" s="416">
        <v>0</v>
      </c>
      <c r="BV107" s="416">
        <v>0</v>
      </c>
      <c r="BW107" s="416">
        <v>0</v>
      </c>
      <c r="BX107" s="416">
        <v>0</v>
      </c>
      <c r="BY107" s="416">
        <v>0</v>
      </c>
      <c r="BZ107" s="416">
        <v>0</v>
      </c>
      <c r="CC107" s="420"/>
      <c r="CD107" s="415" t="s">
        <v>115</v>
      </c>
      <c r="CE107" s="420">
        <f t="shared" ref="CE107:CE137" si="31">H107</f>
        <v>0</v>
      </c>
      <c r="CF107" s="420">
        <f t="shared" si="17"/>
        <v>0</v>
      </c>
      <c r="CG107" s="420">
        <f t="shared" si="18"/>
        <v>0</v>
      </c>
      <c r="CH107" s="420">
        <f t="shared" si="19"/>
        <v>0</v>
      </c>
      <c r="CI107" s="420">
        <f t="shared" si="20"/>
        <v>0</v>
      </c>
      <c r="CJ107" s="420">
        <f t="shared" si="21"/>
        <v>0</v>
      </c>
      <c r="CK107" s="420">
        <f t="shared" si="22"/>
        <v>0</v>
      </c>
      <c r="CL107" s="420">
        <f t="shared" si="23"/>
        <v>0</v>
      </c>
      <c r="CM107" s="420">
        <f t="shared" si="24"/>
        <v>0</v>
      </c>
      <c r="CN107" s="420">
        <f t="shared" si="25"/>
        <v>0</v>
      </c>
      <c r="CO107" s="420">
        <f t="shared" si="26"/>
        <v>0</v>
      </c>
      <c r="CP107" s="420">
        <f t="shared" si="27"/>
        <v>0</v>
      </c>
      <c r="CQ107" s="420">
        <f t="shared" si="28"/>
        <v>0</v>
      </c>
      <c r="CR107" s="420">
        <f t="shared" si="29"/>
        <v>0</v>
      </c>
      <c r="CS107" s="420">
        <f t="shared" si="30"/>
        <v>0</v>
      </c>
      <c r="CT107" s="21"/>
    </row>
    <row r="108" spans="3:98" collapsed="1">
      <c r="C108" s="417" t="s">
        <v>112</v>
      </c>
      <c r="D108" s="416">
        <v>0</v>
      </c>
      <c r="E108" s="416">
        <v>0</v>
      </c>
      <c r="F108" s="416">
        <v>0</v>
      </c>
      <c r="G108" s="416">
        <v>0</v>
      </c>
      <c r="H108" s="416">
        <v>0</v>
      </c>
      <c r="I108" s="416">
        <v>0</v>
      </c>
      <c r="J108" s="416">
        <v>0</v>
      </c>
      <c r="K108" s="416">
        <v>0</v>
      </c>
      <c r="L108" s="416">
        <v>0</v>
      </c>
      <c r="M108" s="416">
        <v>0</v>
      </c>
      <c r="N108" s="416">
        <v>0</v>
      </c>
      <c r="O108" s="416">
        <v>0</v>
      </c>
      <c r="P108" s="416">
        <v>0</v>
      </c>
      <c r="Q108" s="416">
        <v>0</v>
      </c>
      <c r="R108" s="416">
        <v>0</v>
      </c>
      <c r="S108" s="416">
        <v>0</v>
      </c>
      <c r="T108" s="416">
        <v>0</v>
      </c>
      <c r="U108" s="416">
        <v>0</v>
      </c>
      <c r="V108" s="416">
        <v>0</v>
      </c>
      <c r="W108" s="416">
        <v>0</v>
      </c>
      <c r="X108" s="416">
        <v>0</v>
      </c>
      <c r="Y108" s="416">
        <v>0</v>
      </c>
      <c r="Z108" s="416">
        <v>0</v>
      </c>
      <c r="AA108" s="416">
        <v>0</v>
      </c>
      <c r="AB108" s="416">
        <v>0</v>
      </c>
      <c r="AC108" s="416">
        <v>0</v>
      </c>
      <c r="AD108" s="416">
        <v>0</v>
      </c>
      <c r="AE108" s="416">
        <v>0</v>
      </c>
      <c r="AF108" s="416">
        <v>0</v>
      </c>
      <c r="AG108" s="416">
        <v>0</v>
      </c>
      <c r="AH108" s="416">
        <v>0</v>
      </c>
      <c r="AI108" s="416">
        <v>0</v>
      </c>
      <c r="AJ108" s="416">
        <v>0</v>
      </c>
      <c r="AK108" s="416">
        <v>0</v>
      </c>
      <c r="AL108" s="416">
        <v>0</v>
      </c>
      <c r="AM108" s="416">
        <v>0</v>
      </c>
      <c r="AN108" s="416">
        <v>0</v>
      </c>
      <c r="AO108" s="416">
        <v>0</v>
      </c>
      <c r="AP108" s="416">
        <v>0</v>
      </c>
      <c r="AQ108" s="416">
        <v>0</v>
      </c>
      <c r="AR108" s="416">
        <v>0</v>
      </c>
      <c r="AS108" s="416">
        <v>0</v>
      </c>
      <c r="AT108" s="416">
        <v>0</v>
      </c>
      <c r="AU108" s="416">
        <v>0</v>
      </c>
      <c r="AV108" s="416">
        <v>0</v>
      </c>
      <c r="AW108" s="416">
        <v>0</v>
      </c>
      <c r="AX108" s="416">
        <v>0</v>
      </c>
      <c r="AY108" s="416">
        <v>0</v>
      </c>
      <c r="AZ108" s="416">
        <v>0</v>
      </c>
      <c r="BA108" s="416">
        <v>0</v>
      </c>
      <c r="BB108" s="416">
        <v>0</v>
      </c>
      <c r="BC108" s="416">
        <v>0</v>
      </c>
      <c r="BD108" s="416">
        <v>0</v>
      </c>
      <c r="BE108" s="416">
        <v>0</v>
      </c>
      <c r="BF108" s="416">
        <v>10.14</v>
      </c>
      <c r="BG108" s="416">
        <v>0</v>
      </c>
      <c r="BH108" s="416">
        <v>0</v>
      </c>
      <c r="BI108" s="416">
        <v>0</v>
      </c>
      <c r="BJ108" s="416">
        <v>0</v>
      </c>
      <c r="BK108" s="416">
        <v>0</v>
      </c>
      <c r="BL108" s="416">
        <v>0</v>
      </c>
      <c r="BM108" s="416">
        <v>0</v>
      </c>
      <c r="BN108" s="416">
        <v>0</v>
      </c>
      <c r="BO108" s="416">
        <v>0</v>
      </c>
      <c r="BP108" s="416">
        <v>0</v>
      </c>
      <c r="BQ108" s="416">
        <v>0</v>
      </c>
      <c r="BR108" s="416">
        <v>42.453000000000003</v>
      </c>
      <c r="BS108" s="416">
        <v>10.917999999999999</v>
      </c>
      <c r="BT108" s="416">
        <v>-655.48</v>
      </c>
      <c r="BU108" s="416">
        <v>40.703000000000003</v>
      </c>
      <c r="BV108" s="416">
        <v>144.489</v>
      </c>
      <c r="BW108" s="416">
        <v>-1.0349999999999999</v>
      </c>
      <c r="BX108" s="416">
        <v>-75.271000000000001</v>
      </c>
      <c r="BY108" s="416">
        <v>0</v>
      </c>
      <c r="BZ108" s="416">
        <v>0</v>
      </c>
      <c r="CC108" s="420"/>
      <c r="CD108" s="417" t="s">
        <v>112</v>
      </c>
      <c r="CE108" s="420">
        <f t="shared" si="31"/>
        <v>0</v>
      </c>
      <c r="CF108" s="420">
        <f t="shared" si="17"/>
        <v>0</v>
      </c>
      <c r="CG108" s="420">
        <f t="shared" si="18"/>
        <v>0</v>
      </c>
      <c r="CH108" s="420">
        <f t="shared" si="19"/>
        <v>0</v>
      </c>
      <c r="CI108" s="420">
        <f t="shared" si="20"/>
        <v>0</v>
      </c>
      <c r="CJ108" s="420">
        <f t="shared" si="21"/>
        <v>0</v>
      </c>
      <c r="CK108" s="420">
        <f t="shared" si="22"/>
        <v>0</v>
      </c>
      <c r="CL108" s="420">
        <f t="shared" si="23"/>
        <v>0</v>
      </c>
      <c r="CM108" s="420">
        <f t="shared" si="24"/>
        <v>0</v>
      </c>
      <c r="CN108" s="420">
        <f t="shared" si="25"/>
        <v>0</v>
      </c>
      <c r="CO108" s="420">
        <f t="shared" si="26"/>
        <v>10.14</v>
      </c>
      <c r="CP108" s="420">
        <f t="shared" si="27"/>
        <v>0</v>
      </c>
      <c r="CQ108" s="420">
        <f t="shared" si="28"/>
        <v>0</v>
      </c>
      <c r="CR108" s="420">
        <f t="shared" si="29"/>
        <v>40.703000000000003</v>
      </c>
      <c r="CS108" s="420">
        <f t="shared" si="30"/>
        <v>0</v>
      </c>
      <c r="CT108" s="21"/>
    </row>
    <row r="109" spans="3:98">
      <c r="C109" s="417" t="s">
        <v>116</v>
      </c>
      <c r="D109" s="416">
        <v>0</v>
      </c>
      <c r="E109" s="416">
        <v>0</v>
      </c>
      <c r="F109" s="416">
        <v>0</v>
      </c>
      <c r="G109" s="416">
        <v>0</v>
      </c>
      <c r="H109" s="416">
        <v>0</v>
      </c>
      <c r="I109" s="416">
        <v>0</v>
      </c>
      <c r="J109" s="416">
        <v>0</v>
      </c>
      <c r="K109" s="416">
        <v>0</v>
      </c>
      <c r="L109" s="416">
        <v>0</v>
      </c>
      <c r="M109" s="416">
        <v>0</v>
      </c>
      <c r="N109" s="416">
        <v>0</v>
      </c>
      <c r="O109" s="416">
        <v>0</v>
      </c>
      <c r="P109" s="416">
        <v>0</v>
      </c>
      <c r="Q109" s="416">
        <v>0</v>
      </c>
      <c r="R109" s="416">
        <v>0</v>
      </c>
      <c r="S109" s="416">
        <v>0</v>
      </c>
      <c r="T109" s="416">
        <v>0</v>
      </c>
      <c r="U109" s="416">
        <v>0</v>
      </c>
      <c r="V109" s="416">
        <v>0</v>
      </c>
      <c r="W109" s="416">
        <v>0</v>
      </c>
      <c r="X109" s="416">
        <v>0</v>
      </c>
      <c r="Y109" s="416">
        <v>0</v>
      </c>
      <c r="Z109" s="416">
        <v>0</v>
      </c>
      <c r="AA109" s="416">
        <v>0</v>
      </c>
      <c r="AB109" s="416">
        <v>0</v>
      </c>
      <c r="AC109" s="416">
        <v>0</v>
      </c>
      <c r="AD109" s="416">
        <v>0</v>
      </c>
      <c r="AE109" s="416">
        <v>0</v>
      </c>
      <c r="AF109" s="416">
        <v>0</v>
      </c>
      <c r="AG109" s="416">
        <v>0</v>
      </c>
      <c r="AH109" s="416">
        <v>0</v>
      </c>
      <c r="AI109" s="416">
        <v>0</v>
      </c>
      <c r="AJ109" s="416">
        <v>0</v>
      </c>
      <c r="AK109" s="416">
        <v>0</v>
      </c>
      <c r="AL109" s="416">
        <v>0</v>
      </c>
      <c r="AM109" s="416">
        <v>0</v>
      </c>
      <c r="AN109" s="416">
        <v>0</v>
      </c>
      <c r="AO109" s="416">
        <v>0</v>
      </c>
      <c r="AP109" s="416">
        <v>0</v>
      </c>
      <c r="AQ109" s="416">
        <v>0</v>
      </c>
      <c r="AR109" s="416">
        <v>0</v>
      </c>
      <c r="AS109" s="416">
        <v>0</v>
      </c>
      <c r="AT109" s="416">
        <v>0</v>
      </c>
      <c r="AU109" s="416">
        <v>0</v>
      </c>
      <c r="AV109" s="416">
        <v>0</v>
      </c>
      <c r="AW109" s="416">
        <v>0</v>
      </c>
      <c r="AX109" s="416">
        <v>0</v>
      </c>
      <c r="AY109" s="416">
        <v>0</v>
      </c>
      <c r="AZ109" s="416">
        <v>0</v>
      </c>
      <c r="BA109" s="416">
        <v>0</v>
      </c>
      <c r="BB109" s="416">
        <v>0</v>
      </c>
      <c r="BC109" s="416">
        <v>0</v>
      </c>
      <c r="BD109" s="416">
        <v>0</v>
      </c>
      <c r="BE109" s="416">
        <v>0</v>
      </c>
      <c r="BF109" s="416">
        <v>0.36699999999999999</v>
      </c>
      <c r="BG109" s="416">
        <v>-3.8660000000000001</v>
      </c>
      <c r="BH109" s="416">
        <v>-3.28</v>
      </c>
      <c r="BI109" s="416">
        <v>1.2110000000000001</v>
      </c>
      <c r="BJ109" s="416">
        <v>6.1829999999999998</v>
      </c>
      <c r="BK109" s="416">
        <v>0.248</v>
      </c>
      <c r="BL109" s="416">
        <v>8.9529999999999994</v>
      </c>
      <c r="BM109" s="416">
        <v>-5.0960000000000001</v>
      </c>
      <c r="BN109" s="416">
        <v>-13.976000000000001</v>
      </c>
      <c r="BO109" s="416">
        <v>-10.343999999999999</v>
      </c>
      <c r="BP109" s="416">
        <v>-20.463000000000001</v>
      </c>
      <c r="BQ109" s="416">
        <v>-32.844000000000001</v>
      </c>
      <c r="BR109" s="416">
        <v>-172.524</v>
      </c>
      <c r="BS109" s="416">
        <v>-4.5979999999999999</v>
      </c>
      <c r="BT109" s="416">
        <v>-263.45</v>
      </c>
      <c r="BU109" s="416">
        <v>-265.47300000000001</v>
      </c>
      <c r="BV109" s="416">
        <v>-20.265000000000001</v>
      </c>
      <c r="BW109" s="416">
        <v>16.564</v>
      </c>
      <c r="BX109" s="416">
        <v>5.61</v>
      </c>
      <c r="BY109" s="416">
        <v>0</v>
      </c>
      <c r="BZ109" s="416">
        <v>0</v>
      </c>
      <c r="CC109" s="420"/>
      <c r="CD109" s="417" t="s">
        <v>116</v>
      </c>
      <c r="CE109" s="420">
        <f t="shared" si="31"/>
        <v>0</v>
      </c>
      <c r="CF109" s="420">
        <f t="shared" si="17"/>
        <v>0</v>
      </c>
      <c r="CG109" s="420">
        <f t="shared" si="18"/>
        <v>0</v>
      </c>
      <c r="CH109" s="420">
        <f t="shared" si="19"/>
        <v>0</v>
      </c>
      <c r="CI109" s="420">
        <f t="shared" si="20"/>
        <v>0</v>
      </c>
      <c r="CJ109" s="420">
        <f t="shared" si="21"/>
        <v>0</v>
      </c>
      <c r="CK109" s="420">
        <f t="shared" si="22"/>
        <v>0</v>
      </c>
      <c r="CL109" s="420">
        <f t="shared" si="23"/>
        <v>0</v>
      </c>
      <c r="CM109" s="420">
        <f t="shared" si="24"/>
        <v>0</v>
      </c>
      <c r="CN109" s="420">
        <f t="shared" si="25"/>
        <v>0</v>
      </c>
      <c r="CO109" s="420">
        <f t="shared" si="26"/>
        <v>0.36699999999999999</v>
      </c>
      <c r="CP109" s="420">
        <f t="shared" si="27"/>
        <v>0.248</v>
      </c>
      <c r="CQ109" s="420">
        <f t="shared" si="28"/>
        <v>-20.463000000000001</v>
      </c>
      <c r="CR109" s="420">
        <f t="shared" si="29"/>
        <v>-265.47300000000001</v>
      </c>
      <c r="CS109" s="420">
        <f t="shared" si="30"/>
        <v>0</v>
      </c>
      <c r="CT109" s="21"/>
    </row>
    <row r="110" spans="3:98">
      <c r="C110" s="417" t="s">
        <v>531</v>
      </c>
      <c r="D110" s="416">
        <v>0</v>
      </c>
      <c r="E110" s="416">
        <v>0</v>
      </c>
      <c r="F110" s="416">
        <v>0</v>
      </c>
      <c r="G110" s="416">
        <v>0</v>
      </c>
      <c r="H110" s="416">
        <v>0</v>
      </c>
      <c r="I110" s="416">
        <v>0</v>
      </c>
      <c r="J110" s="416">
        <v>0</v>
      </c>
      <c r="K110" s="416">
        <v>0</v>
      </c>
      <c r="L110" s="416">
        <v>0</v>
      </c>
      <c r="M110" s="416">
        <v>0</v>
      </c>
      <c r="N110" s="416">
        <v>0</v>
      </c>
      <c r="O110" s="416">
        <v>0</v>
      </c>
      <c r="P110" s="416">
        <v>0</v>
      </c>
      <c r="Q110" s="416">
        <v>0</v>
      </c>
      <c r="R110" s="416">
        <v>0</v>
      </c>
      <c r="S110" s="416">
        <v>0</v>
      </c>
      <c r="T110" s="416">
        <v>0</v>
      </c>
      <c r="U110" s="416">
        <v>0</v>
      </c>
      <c r="V110" s="416">
        <v>0</v>
      </c>
      <c r="W110" s="416">
        <v>0</v>
      </c>
      <c r="X110" s="416">
        <v>0</v>
      </c>
      <c r="Y110" s="416">
        <v>0</v>
      </c>
      <c r="Z110" s="416">
        <v>0</v>
      </c>
      <c r="AA110" s="416">
        <v>0</v>
      </c>
      <c r="AB110" s="416">
        <v>0</v>
      </c>
      <c r="AC110" s="416">
        <v>0</v>
      </c>
      <c r="AD110" s="416">
        <v>0</v>
      </c>
      <c r="AE110" s="416">
        <v>0</v>
      </c>
      <c r="AF110" s="416">
        <v>0</v>
      </c>
      <c r="AG110" s="416">
        <v>0</v>
      </c>
      <c r="AH110" s="416">
        <v>0</v>
      </c>
      <c r="AI110" s="416">
        <v>0</v>
      </c>
      <c r="AJ110" s="416">
        <v>0</v>
      </c>
      <c r="AK110" s="416">
        <v>0</v>
      </c>
      <c r="AL110" s="416">
        <v>0</v>
      </c>
      <c r="AM110" s="416">
        <v>0</v>
      </c>
      <c r="AN110" s="416">
        <v>0</v>
      </c>
      <c r="AO110" s="416">
        <v>0</v>
      </c>
      <c r="AP110" s="416">
        <v>0</v>
      </c>
      <c r="AQ110" s="416">
        <v>0</v>
      </c>
      <c r="AR110" s="416">
        <v>0</v>
      </c>
      <c r="AS110" s="416">
        <v>0</v>
      </c>
      <c r="AT110" s="416">
        <v>0</v>
      </c>
      <c r="AU110" s="416">
        <v>0</v>
      </c>
      <c r="AV110" s="416">
        <v>0</v>
      </c>
      <c r="AW110" s="416">
        <v>0</v>
      </c>
      <c r="AX110" s="416">
        <v>0</v>
      </c>
      <c r="AY110" s="416">
        <v>0</v>
      </c>
      <c r="AZ110" s="416">
        <v>0</v>
      </c>
      <c r="BA110" s="416">
        <v>0</v>
      </c>
      <c r="BB110" s="416">
        <v>0</v>
      </c>
      <c r="BC110" s="416">
        <v>0</v>
      </c>
      <c r="BD110" s="416">
        <v>0</v>
      </c>
      <c r="BE110" s="416">
        <v>0</v>
      </c>
      <c r="BF110" s="416">
        <v>0</v>
      </c>
      <c r="BG110" s="416">
        <v>0</v>
      </c>
      <c r="BH110" s="416">
        <v>0</v>
      </c>
      <c r="BI110" s="416">
        <v>0</v>
      </c>
      <c r="BJ110" s="416">
        <v>0</v>
      </c>
      <c r="BK110" s="416">
        <v>0</v>
      </c>
      <c r="BL110" s="416">
        <v>0</v>
      </c>
      <c r="BM110" s="416">
        <v>0</v>
      </c>
      <c r="BN110" s="416">
        <v>0</v>
      </c>
      <c r="BO110" s="416">
        <v>0</v>
      </c>
      <c r="BP110" s="416">
        <v>0</v>
      </c>
      <c r="BQ110" s="416">
        <v>0</v>
      </c>
      <c r="BR110" s="416">
        <v>0</v>
      </c>
      <c r="BS110" s="416">
        <v>0</v>
      </c>
      <c r="BT110" s="416">
        <v>0</v>
      </c>
      <c r="BU110" s="416">
        <v>0</v>
      </c>
      <c r="BV110" s="416">
        <v>0</v>
      </c>
      <c r="BW110" s="416">
        <v>0</v>
      </c>
      <c r="BX110" s="416">
        <v>0</v>
      </c>
      <c r="BY110" s="416">
        <v>0</v>
      </c>
      <c r="BZ110" s="416">
        <v>0</v>
      </c>
      <c r="CC110" s="420"/>
      <c r="CD110" s="417" t="s">
        <v>531</v>
      </c>
      <c r="CE110" s="425">
        <f t="shared" si="31"/>
        <v>0</v>
      </c>
      <c r="CF110" s="425">
        <f t="shared" si="17"/>
        <v>0</v>
      </c>
      <c r="CG110" s="425">
        <f t="shared" si="18"/>
        <v>0</v>
      </c>
      <c r="CH110" s="425">
        <f t="shared" si="19"/>
        <v>0</v>
      </c>
      <c r="CI110" s="425">
        <f t="shared" si="20"/>
        <v>0</v>
      </c>
      <c r="CJ110" s="425">
        <f t="shared" si="21"/>
        <v>0</v>
      </c>
      <c r="CK110" s="425">
        <f t="shared" si="22"/>
        <v>0</v>
      </c>
      <c r="CL110" s="425">
        <f t="shared" si="23"/>
        <v>0</v>
      </c>
      <c r="CM110" s="425">
        <f t="shared" si="24"/>
        <v>0</v>
      </c>
      <c r="CN110" s="425">
        <f t="shared" si="25"/>
        <v>0</v>
      </c>
      <c r="CO110" s="425">
        <f t="shared" si="26"/>
        <v>0</v>
      </c>
      <c r="CP110" s="425">
        <f t="shared" si="27"/>
        <v>0</v>
      </c>
      <c r="CQ110" s="425">
        <f t="shared" si="28"/>
        <v>0</v>
      </c>
      <c r="CR110" s="425">
        <f t="shared" si="29"/>
        <v>0</v>
      </c>
      <c r="CS110" s="425">
        <f t="shared" si="30"/>
        <v>0</v>
      </c>
      <c r="CT110" s="21"/>
    </row>
    <row r="111" spans="3:98">
      <c r="C111" s="421" t="s">
        <v>107</v>
      </c>
      <c r="D111" s="422">
        <v>0</v>
      </c>
      <c r="E111" s="422">
        <v>0</v>
      </c>
      <c r="F111" s="422">
        <v>0</v>
      </c>
      <c r="G111" s="422">
        <v>0</v>
      </c>
      <c r="H111" s="422">
        <v>0</v>
      </c>
      <c r="I111" s="422">
        <v>0</v>
      </c>
      <c r="J111" s="422">
        <v>0</v>
      </c>
      <c r="K111" s="422">
        <v>0</v>
      </c>
      <c r="L111" s="422">
        <v>0</v>
      </c>
      <c r="M111" s="422">
        <v>0</v>
      </c>
      <c r="N111" s="422">
        <v>0</v>
      </c>
      <c r="O111" s="422">
        <v>0</v>
      </c>
      <c r="P111" s="422">
        <v>0</v>
      </c>
      <c r="Q111" s="422">
        <v>0</v>
      </c>
      <c r="R111" s="422">
        <v>0</v>
      </c>
      <c r="S111" s="422">
        <v>0</v>
      </c>
      <c r="T111" s="422">
        <v>0</v>
      </c>
      <c r="U111" s="422">
        <v>0</v>
      </c>
      <c r="V111" s="422">
        <v>0</v>
      </c>
      <c r="W111" s="422">
        <v>0</v>
      </c>
      <c r="X111" s="422">
        <v>0</v>
      </c>
      <c r="Y111" s="422">
        <v>0</v>
      </c>
      <c r="Z111" s="422">
        <v>0</v>
      </c>
      <c r="AA111" s="422">
        <v>0</v>
      </c>
      <c r="AB111" s="422">
        <v>0</v>
      </c>
      <c r="AC111" s="422">
        <v>0</v>
      </c>
      <c r="AD111" s="422">
        <v>0</v>
      </c>
      <c r="AE111" s="422">
        <v>0</v>
      </c>
      <c r="AF111" s="422">
        <v>0</v>
      </c>
      <c r="AG111" s="422">
        <v>0</v>
      </c>
      <c r="AH111" s="422">
        <v>0</v>
      </c>
      <c r="AI111" s="422">
        <v>0</v>
      </c>
      <c r="AJ111" s="422">
        <v>0</v>
      </c>
      <c r="AK111" s="422">
        <v>0</v>
      </c>
      <c r="AL111" s="422">
        <v>0</v>
      </c>
      <c r="AM111" s="422">
        <v>0</v>
      </c>
      <c r="AN111" s="422">
        <v>0</v>
      </c>
      <c r="AO111" s="422">
        <v>0</v>
      </c>
      <c r="AP111" s="422">
        <v>0</v>
      </c>
      <c r="AQ111" s="422">
        <v>0</v>
      </c>
      <c r="AR111" s="422">
        <v>0</v>
      </c>
      <c r="AS111" s="422">
        <v>0</v>
      </c>
      <c r="AT111" s="422">
        <v>0</v>
      </c>
      <c r="AU111" s="422">
        <v>0</v>
      </c>
      <c r="AV111" s="422">
        <v>0</v>
      </c>
      <c r="AW111" s="422">
        <v>0</v>
      </c>
      <c r="AX111" s="422">
        <v>0</v>
      </c>
      <c r="AY111" s="422">
        <v>0</v>
      </c>
      <c r="AZ111" s="422">
        <v>0</v>
      </c>
      <c r="BA111" s="422">
        <v>0</v>
      </c>
      <c r="BB111" s="422">
        <v>0</v>
      </c>
      <c r="BC111" s="422">
        <v>0</v>
      </c>
      <c r="BD111" s="422">
        <v>0</v>
      </c>
      <c r="BE111" s="422">
        <v>0</v>
      </c>
      <c r="BF111" s="422">
        <v>-9.7729999999999997</v>
      </c>
      <c r="BG111" s="422">
        <v>-3.8660000000000001</v>
      </c>
      <c r="BH111" s="422">
        <v>-3.28</v>
      </c>
      <c r="BI111" s="422">
        <v>1.2110000000000001</v>
      </c>
      <c r="BJ111" s="422">
        <v>6.1829999999999998</v>
      </c>
      <c r="BK111" s="422">
        <v>0.248</v>
      </c>
      <c r="BL111" s="422">
        <v>8.9529999999999994</v>
      </c>
      <c r="BM111" s="422">
        <v>-5.8440000000000003</v>
      </c>
      <c r="BN111" s="422">
        <v>-20.948</v>
      </c>
      <c r="BO111" s="422">
        <v>-31.783999999999999</v>
      </c>
      <c r="BP111" s="422">
        <v>-49.622999999999998</v>
      </c>
      <c r="BQ111" s="422">
        <v>-54.981999999999999</v>
      </c>
      <c r="BR111" s="422">
        <v>-238.63300000000001</v>
      </c>
      <c r="BS111" s="422">
        <v>-86.185000000000002</v>
      </c>
      <c r="BT111" s="422">
        <v>629.69399999999996</v>
      </c>
      <c r="BU111" s="422">
        <v>-395.077</v>
      </c>
      <c r="BV111" s="422">
        <v>-186.29</v>
      </c>
      <c r="BW111" s="422">
        <v>-4.0730000000000004</v>
      </c>
      <c r="BX111" s="422">
        <v>120.47799999999999</v>
      </c>
      <c r="BY111" s="422">
        <v>0</v>
      </c>
      <c r="BZ111" s="422">
        <v>0</v>
      </c>
      <c r="CC111" s="420"/>
      <c r="CD111" s="421" t="s">
        <v>107</v>
      </c>
      <c r="CE111" s="420">
        <f t="shared" si="31"/>
        <v>0</v>
      </c>
      <c r="CF111" s="420">
        <f t="shared" si="17"/>
        <v>0</v>
      </c>
      <c r="CG111" s="420">
        <f t="shared" si="18"/>
        <v>0</v>
      </c>
      <c r="CH111" s="420">
        <f t="shared" si="19"/>
        <v>0</v>
      </c>
      <c r="CI111" s="420">
        <f t="shared" si="20"/>
        <v>0</v>
      </c>
      <c r="CJ111" s="420">
        <f t="shared" si="21"/>
        <v>0</v>
      </c>
      <c r="CK111" s="420">
        <f t="shared" si="22"/>
        <v>0</v>
      </c>
      <c r="CL111" s="420">
        <f t="shared" si="23"/>
        <v>0</v>
      </c>
      <c r="CM111" s="420">
        <f t="shared" si="24"/>
        <v>0</v>
      </c>
      <c r="CN111" s="420">
        <f t="shared" si="25"/>
        <v>0</v>
      </c>
      <c r="CO111" s="420">
        <f t="shared" si="26"/>
        <v>-9.7729999999999997</v>
      </c>
      <c r="CP111" s="420">
        <f t="shared" si="27"/>
        <v>0.248</v>
      </c>
      <c r="CQ111" s="420">
        <f t="shared" si="28"/>
        <v>-49.622999999999998</v>
      </c>
      <c r="CR111" s="420">
        <f t="shared" si="29"/>
        <v>-395.077</v>
      </c>
      <c r="CS111" s="420">
        <f t="shared" si="30"/>
        <v>0</v>
      </c>
      <c r="CT111" s="21"/>
    </row>
    <row r="112" spans="3:98" ht="24.75" customHeight="1">
      <c r="D112" s="416"/>
      <c r="E112" s="416"/>
      <c r="F112" s="416"/>
      <c r="G112" s="416"/>
      <c r="H112" s="427"/>
      <c r="I112" s="416"/>
      <c r="J112" s="416"/>
      <c r="K112" s="416"/>
      <c r="L112" s="416"/>
      <c r="M112" s="416"/>
      <c r="N112" s="416"/>
      <c r="O112" s="416"/>
      <c r="P112" s="416"/>
      <c r="Q112" s="416"/>
      <c r="R112" s="416"/>
      <c r="S112" s="416"/>
      <c r="T112" s="416"/>
      <c r="U112" s="416"/>
      <c r="V112" s="416"/>
      <c r="W112" s="416"/>
      <c r="X112" s="416"/>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c r="AT112" s="416"/>
      <c r="AU112" s="416"/>
      <c r="AV112" s="416"/>
      <c r="AW112" s="416"/>
      <c r="AX112" s="416"/>
      <c r="AY112" s="416"/>
      <c r="AZ112" s="416"/>
      <c r="BA112" s="416"/>
      <c r="BB112" s="416"/>
      <c r="BC112" s="416"/>
      <c r="BD112" s="416"/>
      <c r="BE112" s="416"/>
      <c r="BF112" s="416"/>
      <c r="BG112" s="416"/>
      <c r="BH112" s="416"/>
      <c r="BI112" s="416"/>
      <c r="BJ112" s="416"/>
      <c r="BK112" s="416"/>
      <c r="BL112" s="416"/>
      <c r="BM112" s="416"/>
      <c r="BN112" s="416"/>
      <c r="BO112" s="416"/>
      <c r="BP112" s="416"/>
      <c r="BQ112" s="416"/>
      <c r="BR112" s="416"/>
      <c r="BS112" s="416"/>
      <c r="BT112" s="416"/>
      <c r="BU112" s="416"/>
      <c r="BV112" s="416"/>
      <c r="BW112" s="416"/>
      <c r="BX112" s="416"/>
      <c r="BY112" s="416"/>
      <c r="BZ112" s="416"/>
      <c r="CC112" s="420"/>
      <c r="CD112" s="58"/>
      <c r="CE112" s="420"/>
      <c r="CF112" s="420"/>
      <c r="CG112" s="420"/>
      <c r="CH112" s="420"/>
      <c r="CI112" s="420"/>
      <c r="CJ112" s="420"/>
      <c r="CK112" s="420"/>
      <c r="CL112" s="420"/>
      <c r="CM112" s="420"/>
      <c r="CN112" s="420"/>
      <c r="CO112" s="420"/>
      <c r="CP112" s="420"/>
      <c r="CQ112" s="420"/>
      <c r="CR112" s="420"/>
      <c r="CS112" s="420"/>
      <c r="CT112" s="21"/>
    </row>
    <row r="113" spans="3:98">
      <c r="C113" s="421" t="s">
        <v>117</v>
      </c>
      <c r="D113" s="422">
        <v>0</v>
      </c>
      <c r="E113" s="422">
        <v>0</v>
      </c>
      <c r="F113" s="422">
        <v>0</v>
      </c>
      <c r="G113" s="422">
        <v>0</v>
      </c>
      <c r="H113" s="422">
        <v>0</v>
      </c>
      <c r="I113" s="422">
        <v>0</v>
      </c>
      <c r="J113" s="422">
        <v>0</v>
      </c>
      <c r="K113" s="422">
        <v>0</v>
      </c>
      <c r="L113" s="422">
        <v>0</v>
      </c>
      <c r="M113" s="422">
        <v>0</v>
      </c>
      <c r="N113" s="422">
        <v>0</v>
      </c>
      <c r="O113" s="422">
        <v>0</v>
      </c>
      <c r="P113" s="422">
        <v>0</v>
      </c>
      <c r="Q113" s="422">
        <v>0</v>
      </c>
      <c r="R113" s="422">
        <v>0</v>
      </c>
      <c r="S113" s="422">
        <v>0</v>
      </c>
      <c r="T113" s="422">
        <v>0</v>
      </c>
      <c r="U113" s="422">
        <v>0</v>
      </c>
      <c r="V113" s="422">
        <v>0</v>
      </c>
      <c r="W113" s="422">
        <v>0</v>
      </c>
      <c r="X113" s="422">
        <v>0</v>
      </c>
      <c r="Y113" s="422">
        <v>0</v>
      </c>
      <c r="Z113" s="422">
        <v>0</v>
      </c>
      <c r="AA113" s="422">
        <v>0</v>
      </c>
      <c r="AB113" s="422">
        <v>0</v>
      </c>
      <c r="AC113" s="422">
        <v>0</v>
      </c>
      <c r="AD113" s="422">
        <v>0</v>
      </c>
      <c r="AE113" s="422">
        <v>0</v>
      </c>
      <c r="AF113" s="422">
        <v>0</v>
      </c>
      <c r="AG113" s="422">
        <v>0</v>
      </c>
      <c r="AH113" s="422">
        <v>0</v>
      </c>
      <c r="AI113" s="422">
        <v>0</v>
      </c>
      <c r="AJ113" s="422">
        <v>0</v>
      </c>
      <c r="AK113" s="422">
        <v>0</v>
      </c>
      <c r="AL113" s="422">
        <v>0</v>
      </c>
      <c r="AM113" s="422">
        <v>0</v>
      </c>
      <c r="AN113" s="422">
        <v>0</v>
      </c>
      <c r="AO113" s="422">
        <v>0</v>
      </c>
      <c r="AP113" s="422">
        <v>0</v>
      </c>
      <c r="AQ113" s="422">
        <v>0</v>
      </c>
      <c r="AR113" s="422">
        <v>0</v>
      </c>
      <c r="AS113" s="422">
        <v>0</v>
      </c>
      <c r="AT113" s="422">
        <v>0</v>
      </c>
      <c r="AU113" s="422">
        <v>0</v>
      </c>
      <c r="AV113" s="422">
        <v>0</v>
      </c>
      <c r="AW113" s="422">
        <v>0</v>
      </c>
      <c r="AX113" s="422">
        <v>0</v>
      </c>
      <c r="AY113" s="422">
        <v>0</v>
      </c>
      <c r="AZ113" s="422">
        <v>0</v>
      </c>
      <c r="BA113" s="422">
        <v>0</v>
      </c>
      <c r="BB113" s="422">
        <v>0</v>
      </c>
      <c r="BC113" s="422">
        <v>0</v>
      </c>
      <c r="BD113" s="422">
        <v>0</v>
      </c>
      <c r="BE113" s="422">
        <v>0</v>
      </c>
      <c r="BF113" s="422">
        <v>-45.415999999999997</v>
      </c>
      <c r="BG113" s="422">
        <v>34.908999999999999</v>
      </c>
      <c r="BH113" s="422">
        <v>38.805999999999997</v>
      </c>
      <c r="BI113" s="422">
        <v>102.71599999999999</v>
      </c>
      <c r="BJ113" s="422">
        <v>232.768</v>
      </c>
      <c r="BK113" s="422">
        <v>409.19900000000001</v>
      </c>
      <c r="BL113" s="422">
        <v>996.66600000000005</v>
      </c>
      <c r="BM113" s="422">
        <v>868.88099999999997</v>
      </c>
      <c r="BN113" s="422">
        <v>270.86</v>
      </c>
      <c r="BO113" s="422">
        <v>890.54</v>
      </c>
      <c r="BP113" s="422">
        <v>3026.9470000000001</v>
      </c>
      <c r="BQ113" s="422">
        <v>-609.44500000000005</v>
      </c>
      <c r="BR113" s="422">
        <v>-1240.569</v>
      </c>
      <c r="BS113" s="422">
        <v>-643.69000000000005</v>
      </c>
      <c r="BT113" s="422">
        <v>-570.87800000000004</v>
      </c>
      <c r="BU113" s="422">
        <v>-3064.5819999999999</v>
      </c>
      <c r="BV113" s="422">
        <v>-165.67599999999999</v>
      </c>
      <c r="BW113" s="422">
        <v>-78.683000000000007</v>
      </c>
      <c r="BX113" s="422">
        <v>34.661000000000001</v>
      </c>
      <c r="BY113" s="422">
        <v>0</v>
      </c>
      <c r="BZ113" s="422">
        <v>0</v>
      </c>
      <c r="CC113" s="420"/>
      <c r="CD113" s="421" t="s">
        <v>117</v>
      </c>
      <c r="CE113" s="423">
        <f t="shared" si="31"/>
        <v>0</v>
      </c>
      <c r="CF113" s="423">
        <f t="shared" si="17"/>
        <v>0</v>
      </c>
      <c r="CG113" s="423">
        <f t="shared" si="18"/>
        <v>0</v>
      </c>
      <c r="CH113" s="423">
        <f t="shared" si="19"/>
        <v>0</v>
      </c>
      <c r="CI113" s="423">
        <f t="shared" si="20"/>
        <v>0</v>
      </c>
      <c r="CJ113" s="423">
        <f t="shared" si="21"/>
        <v>0</v>
      </c>
      <c r="CK113" s="423">
        <f t="shared" si="22"/>
        <v>0</v>
      </c>
      <c r="CL113" s="423">
        <f t="shared" si="23"/>
        <v>0</v>
      </c>
      <c r="CM113" s="423">
        <f t="shared" si="24"/>
        <v>0</v>
      </c>
      <c r="CN113" s="423">
        <f t="shared" si="25"/>
        <v>0</v>
      </c>
      <c r="CO113" s="423">
        <f t="shared" si="26"/>
        <v>-45.415999999999997</v>
      </c>
      <c r="CP113" s="423">
        <f t="shared" si="27"/>
        <v>409.19900000000001</v>
      </c>
      <c r="CQ113" s="423">
        <f t="shared" si="28"/>
        <v>3026.9470000000001</v>
      </c>
      <c r="CR113" s="423">
        <f t="shared" si="29"/>
        <v>-3064.5819999999999</v>
      </c>
      <c r="CS113" s="423">
        <f t="shared" si="30"/>
        <v>0</v>
      </c>
      <c r="CT113" s="21"/>
    </row>
    <row r="114" spans="3:98" ht="24.75" customHeight="1">
      <c r="D114" s="416"/>
      <c r="E114" s="416"/>
      <c r="F114" s="416"/>
      <c r="G114" s="416"/>
      <c r="H114" s="427"/>
      <c r="I114" s="416"/>
      <c r="J114" s="416"/>
      <c r="K114" s="416"/>
      <c r="L114" s="416"/>
      <c r="M114" s="416"/>
      <c r="N114" s="416"/>
      <c r="O114" s="416"/>
      <c r="P114" s="416"/>
      <c r="Q114" s="416"/>
      <c r="R114" s="416"/>
      <c r="S114" s="416"/>
      <c r="T114" s="416"/>
      <c r="U114" s="416"/>
      <c r="V114" s="416"/>
      <c r="W114" s="416"/>
      <c r="X114" s="416"/>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c r="AT114" s="416"/>
      <c r="AU114" s="416"/>
      <c r="AV114" s="416"/>
      <c r="AW114" s="416"/>
      <c r="AX114" s="416"/>
      <c r="AY114" s="416"/>
      <c r="AZ114" s="416"/>
      <c r="BA114" s="416"/>
      <c r="BB114" s="416"/>
      <c r="BC114" s="416"/>
      <c r="BD114" s="416"/>
      <c r="BE114" s="416"/>
      <c r="BF114" s="416"/>
      <c r="BG114" s="416"/>
      <c r="BH114" s="416"/>
      <c r="BI114" s="416"/>
      <c r="BJ114" s="416"/>
      <c r="BK114" s="416"/>
      <c r="BL114" s="416"/>
      <c r="BM114" s="416"/>
      <c r="BN114" s="416"/>
      <c r="BO114" s="416"/>
      <c r="BP114" s="416"/>
      <c r="BQ114" s="416"/>
      <c r="BR114" s="416"/>
      <c r="BS114" s="416"/>
      <c r="BT114" s="416"/>
      <c r="BU114" s="416"/>
      <c r="BV114" s="416"/>
      <c r="BW114" s="416"/>
      <c r="BX114" s="416"/>
      <c r="BY114" s="416"/>
      <c r="BZ114" s="416"/>
      <c r="CC114" s="420"/>
      <c r="CD114" s="58"/>
      <c r="CE114" s="420"/>
      <c r="CF114" s="420"/>
      <c r="CG114" s="420"/>
      <c r="CH114" s="420"/>
      <c r="CI114" s="420"/>
      <c r="CJ114" s="420"/>
      <c r="CK114" s="420"/>
      <c r="CL114" s="420"/>
      <c r="CM114" s="420"/>
      <c r="CN114" s="420"/>
      <c r="CO114" s="420"/>
      <c r="CP114" s="420"/>
      <c r="CQ114" s="420"/>
      <c r="CR114" s="420"/>
      <c r="CS114" s="420"/>
      <c r="CT114" s="21"/>
    </row>
    <row r="115" spans="3:98" hidden="1" outlineLevel="1">
      <c r="C115" s="415" t="s">
        <v>532</v>
      </c>
      <c r="D115" s="416">
        <v>0</v>
      </c>
      <c r="E115" s="416">
        <v>0</v>
      </c>
      <c r="F115" s="416">
        <v>0</v>
      </c>
      <c r="G115" s="416">
        <v>0</v>
      </c>
      <c r="H115" s="427">
        <v>0</v>
      </c>
      <c r="I115" s="416">
        <v>0</v>
      </c>
      <c r="J115" s="416">
        <v>0</v>
      </c>
      <c r="K115" s="416">
        <v>0</v>
      </c>
      <c r="L115" s="416">
        <v>0</v>
      </c>
      <c r="M115" s="416">
        <v>0</v>
      </c>
      <c r="N115" s="416">
        <v>0</v>
      </c>
      <c r="O115" s="416">
        <v>0</v>
      </c>
      <c r="P115" s="416">
        <v>0</v>
      </c>
      <c r="Q115" s="416">
        <v>0</v>
      </c>
      <c r="R115" s="416">
        <v>0</v>
      </c>
      <c r="S115" s="416">
        <v>0</v>
      </c>
      <c r="T115" s="416">
        <v>0</v>
      </c>
      <c r="U115" s="416">
        <v>0</v>
      </c>
      <c r="V115" s="416">
        <v>0</v>
      </c>
      <c r="W115" s="416">
        <v>0</v>
      </c>
      <c r="X115" s="416">
        <v>0</v>
      </c>
      <c r="Y115" s="416">
        <v>0</v>
      </c>
      <c r="Z115" s="416">
        <v>0</v>
      </c>
      <c r="AA115" s="416">
        <v>0</v>
      </c>
      <c r="AB115" s="416">
        <v>0</v>
      </c>
      <c r="AC115" s="416">
        <v>0</v>
      </c>
      <c r="AD115" s="416">
        <v>0</v>
      </c>
      <c r="AE115" s="416">
        <v>0</v>
      </c>
      <c r="AF115" s="416">
        <v>0</v>
      </c>
      <c r="AG115" s="416">
        <v>0</v>
      </c>
      <c r="AH115" s="416">
        <v>0</v>
      </c>
      <c r="AI115" s="416">
        <v>0</v>
      </c>
      <c r="AJ115" s="416">
        <v>0</v>
      </c>
      <c r="AK115" s="416">
        <v>0</v>
      </c>
      <c r="AL115" s="416">
        <v>0</v>
      </c>
      <c r="AM115" s="416">
        <v>0</v>
      </c>
      <c r="AN115" s="416">
        <v>0</v>
      </c>
      <c r="AO115" s="416">
        <v>0</v>
      </c>
      <c r="AP115" s="416">
        <v>0</v>
      </c>
      <c r="AQ115" s="416">
        <v>0</v>
      </c>
      <c r="AR115" s="416">
        <v>0</v>
      </c>
      <c r="AS115" s="416">
        <v>0</v>
      </c>
      <c r="AT115" s="416">
        <v>0</v>
      </c>
      <c r="AU115" s="416">
        <v>0</v>
      </c>
      <c r="AV115" s="416">
        <v>0</v>
      </c>
      <c r="AW115" s="416">
        <v>0</v>
      </c>
      <c r="AX115" s="416">
        <v>0</v>
      </c>
      <c r="AY115" s="416">
        <v>0</v>
      </c>
      <c r="AZ115" s="416">
        <v>0</v>
      </c>
      <c r="BA115" s="416">
        <v>0</v>
      </c>
      <c r="BB115" s="416">
        <v>0</v>
      </c>
      <c r="BC115" s="416">
        <v>0</v>
      </c>
      <c r="BD115" s="416">
        <v>0</v>
      </c>
      <c r="BE115" s="416">
        <v>0</v>
      </c>
      <c r="BF115" s="416">
        <v>0</v>
      </c>
      <c r="BG115" s="416">
        <v>0</v>
      </c>
      <c r="BH115" s="416">
        <v>0</v>
      </c>
      <c r="BI115" s="416">
        <v>0</v>
      </c>
      <c r="BJ115" s="416">
        <v>0</v>
      </c>
      <c r="BK115" s="416">
        <v>0</v>
      </c>
      <c r="BL115" s="416">
        <v>0</v>
      </c>
      <c r="BM115" s="416">
        <v>0</v>
      </c>
      <c r="BN115" s="416">
        <v>0</v>
      </c>
      <c r="BO115" s="416">
        <v>0</v>
      </c>
      <c r="BP115" s="416">
        <v>0</v>
      </c>
      <c r="BQ115" s="416">
        <v>0</v>
      </c>
      <c r="BR115" s="416">
        <v>0</v>
      </c>
      <c r="BS115" s="416">
        <v>0</v>
      </c>
      <c r="BT115" s="416">
        <v>0</v>
      </c>
      <c r="BU115" s="416">
        <v>0</v>
      </c>
      <c r="BV115" s="416">
        <v>0</v>
      </c>
      <c r="BW115" s="416">
        <v>0</v>
      </c>
      <c r="BX115" s="416">
        <v>0</v>
      </c>
      <c r="BY115" s="416">
        <v>0</v>
      </c>
      <c r="BZ115" s="416">
        <v>0</v>
      </c>
      <c r="CC115" s="420"/>
      <c r="CD115" s="415" t="s">
        <v>532</v>
      </c>
      <c r="CE115" s="420">
        <f t="shared" si="31"/>
        <v>0</v>
      </c>
      <c r="CF115" s="420">
        <f t="shared" si="17"/>
        <v>0</v>
      </c>
      <c r="CG115" s="420">
        <f t="shared" si="18"/>
        <v>0</v>
      </c>
      <c r="CH115" s="420">
        <f t="shared" si="19"/>
        <v>0</v>
      </c>
      <c r="CI115" s="420">
        <f t="shared" si="20"/>
        <v>0</v>
      </c>
      <c r="CJ115" s="420">
        <f t="shared" si="21"/>
        <v>0</v>
      </c>
      <c r="CK115" s="420">
        <f t="shared" si="22"/>
        <v>0</v>
      </c>
      <c r="CL115" s="420">
        <f t="shared" si="23"/>
        <v>0</v>
      </c>
      <c r="CM115" s="420">
        <f t="shared" si="24"/>
        <v>0</v>
      </c>
      <c r="CN115" s="420">
        <f t="shared" si="25"/>
        <v>0</v>
      </c>
      <c r="CO115" s="420">
        <f t="shared" si="26"/>
        <v>0</v>
      </c>
      <c r="CP115" s="420">
        <f t="shared" si="27"/>
        <v>0</v>
      </c>
      <c r="CQ115" s="420">
        <f t="shared" si="28"/>
        <v>0</v>
      </c>
      <c r="CR115" s="420">
        <f t="shared" si="29"/>
        <v>0</v>
      </c>
      <c r="CS115" s="420">
        <f t="shared" si="30"/>
        <v>0</v>
      </c>
      <c r="CT115" s="21"/>
    </row>
    <row r="116" spans="3:98" hidden="1" outlineLevel="1">
      <c r="C116" s="415" t="s">
        <v>533</v>
      </c>
      <c r="D116" s="416">
        <v>0</v>
      </c>
      <c r="E116" s="416">
        <v>0</v>
      </c>
      <c r="F116" s="416">
        <v>0</v>
      </c>
      <c r="G116" s="416">
        <v>0</v>
      </c>
      <c r="H116" s="427">
        <v>0</v>
      </c>
      <c r="I116" s="416">
        <v>0</v>
      </c>
      <c r="J116" s="416">
        <v>0</v>
      </c>
      <c r="K116" s="416">
        <v>0</v>
      </c>
      <c r="L116" s="416">
        <v>0</v>
      </c>
      <c r="M116" s="416">
        <v>0</v>
      </c>
      <c r="N116" s="416">
        <v>0</v>
      </c>
      <c r="O116" s="416">
        <v>0</v>
      </c>
      <c r="P116" s="416">
        <v>0</v>
      </c>
      <c r="Q116" s="416">
        <v>0</v>
      </c>
      <c r="R116" s="416">
        <v>0</v>
      </c>
      <c r="S116" s="416">
        <v>0</v>
      </c>
      <c r="T116" s="416">
        <v>0</v>
      </c>
      <c r="U116" s="416">
        <v>0</v>
      </c>
      <c r="V116" s="416">
        <v>0</v>
      </c>
      <c r="W116" s="416">
        <v>0</v>
      </c>
      <c r="X116" s="416">
        <v>0</v>
      </c>
      <c r="Y116" s="416">
        <v>0</v>
      </c>
      <c r="Z116" s="416">
        <v>0</v>
      </c>
      <c r="AA116" s="416">
        <v>0</v>
      </c>
      <c r="AB116" s="416">
        <v>0</v>
      </c>
      <c r="AC116" s="416">
        <v>0</v>
      </c>
      <c r="AD116" s="416">
        <v>0</v>
      </c>
      <c r="AE116" s="416">
        <v>0</v>
      </c>
      <c r="AF116" s="416">
        <v>0</v>
      </c>
      <c r="AG116" s="416">
        <v>0</v>
      </c>
      <c r="AH116" s="416">
        <v>0</v>
      </c>
      <c r="AI116" s="416">
        <v>0</v>
      </c>
      <c r="AJ116" s="416">
        <v>0</v>
      </c>
      <c r="AK116" s="416">
        <v>0</v>
      </c>
      <c r="AL116" s="416">
        <v>0</v>
      </c>
      <c r="AM116" s="416">
        <v>0</v>
      </c>
      <c r="AN116" s="416">
        <v>0</v>
      </c>
      <c r="AO116" s="416">
        <v>0</v>
      </c>
      <c r="AP116" s="416">
        <v>0</v>
      </c>
      <c r="AQ116" s="416">
        <v>0</v>
      </c>
      <c r="AR116" s="416">
        <v>0</v>
      </c>
      <c r="AS116" s="416">
        <v>0</v>
      </c>
      <c r="AT116" s="416">
        <v>0</v>
      </c>
      <c r="AU116" s="416">
        <v>0</v>
      </c>
      <c r="AV116" s="416">
        <v>0</v>
      </c>
      <c r="AW116" s="416">
        <v>0</v>
      </c>
      <c r="AX116" s="416">
        <v>0</v>
      </c>
      <c r="AY116" s="416">
        <v>0</v>
      </c>
      <c r="AZ116" s="416">
        <v>0</v>
      </c>
      <c r="BA116" s="416">
        <v>0</v>
      </c>
      <c r="BB116" s="416">
        <v>0</v>
      </c>
      <c r="BC116" s="416">
        <v>0</v>
      </c>
      <c r="BD116" s="416">
        <v>0</v>
      </c>
      <c r="BE116" s="416">
        <v>0</v>
      </c>
      <c r="BF116" s="416">
        <v>0</v>
      </c>
      <c r="BG116" s="416">
        <v>0</v>
      </c>
      <c r="BH116" s="416">
        <v>0</v>
      </c>
      <c r="BI116" s="416">
        <v>0</v>
      </c>
      <c r="BJ116" s="416">
        <v>0</v>
      </c>
      <c r="BK116" s="416">
        <v>0</v>
      </c>
      <c r="BL116" s="416">
        <v>0</v>
      </c>
      <c r="BM116" s="416">
        <v>0</v>
      </c>
      <c r="BN116" s="416">
        <v>0</v>
      </c>
      <c r="BO116" s="416">
        <v>0</v>
      </c>
      <c r="BP116" s="416">
        <v>0</v>
      </c>
      <c r="BQ116" s="416">
        <v>0</v>
      </c>
      <c r="BR116" s="416">
        <v>0</v>
      </c>
      <c r="BS116" s="416">
        <v>0</v>
      </c>
      <c r="BT116" s="416">
        <v>0</v>
      </c>
      <c r="BU116" s="416">
        <v>0</v>
      </c>
      <c r="BV116" s="416">
        <v>0</v>
      </c>
      <c r="BW116" s="416">
        <v>0</v>
      </c>
      <c r="BX116" s="416">
        <v>0</v>
      </c>
      <c r="BY116" s="416">
        <v>0</v>
      </c>
      <c r="BZ116" s="416">
        <v>0</v>
      </c>
      <c r="CC116" s="420"/>
      <c r="CD116" s="415" t="s">
        <v>533</v>
      </c>
      <c r="CE116" s="420">
        <f t="shared" si="31"/>
        <v>0</v>
      </c>
      <c r="CF116" s="420">
        <f t="shared" si="17"/>
        <v>0</v>
      </c>
      <c r="CG116" s="420">
        <f t="shared" si="18"/>
        <v>0</v>
      </c>
      <c r="CH116" s="420">
        <f t="shared" si="19"/>
        <v>0</v>
      </c>
      <c r="CI116" s="420">
        <f t="shared" si="20"/>
        <v>0</v>
      </c>
      <c r="CJ116" s="420">
        <f t="shared" si="21"/>
        <v>0</v>
      </c>
      <c r="CK116" s="420">
        <f t="shared" si="22"/>
        <v>0</v>
      </c>
      <c r="CL116" s="420">
        <f t="shared" si="23"/>
        <v>0</v>
      </c>
      <c r="CM116" s="420">
        <f t="shared" si="24"/>
        <v>0</v>
      </c>
      <c r="CN116" s="420">
        <f t="shared" si="25"/>
        <v>0</v>
      </c>
      <c r="CO116" s="420">
        <f t="shared" si="26"/>
        <v>0</v>
      </c>
      <c r="CP116" s="420">
        <f t="shared" si="27"/>
        <v>0</v>
      </c>
      <c r="CQ116" s="420">
        <f t="shared" si="28"/>
        <v>0</v>
      </c>
      <c r="CR116" s="420">
        <f t="shared" si="29"/>
        <v>0</v>
      </c>
      <c r="CS116" s="420">
        <f t="shared" si="30"/>
        <v>0</v>
      </c>
      <c r="CT116" s="21"/>
    </row>
    <row r="117" spans="3:98" hidden="1" outlineLevel="1">
      <c r="C117" s="415" t="s">
        <v>534</v>
      </c>
      <c r="D117" s="416">
        <v>0</v>
      </c>
      <c r="E117" s="416">
        <v>0</v>
      </c>
      <c r="F117" s="416">
        <v>0</v>
      </c>
      <c r="G117" s="416">
        <v>0</v>
      </c>
      <c r="H117" s="427">
        <v>0</v>
      </c>
      <c r="I117" s="416">
        <v>0</v>
      </c>
      <c r="J117" s="416">
        <v>0</v>
      </c>
      <c r="K117" s="416">
        <v>0</v>
      </c>
      <c r="L117" s="416">
        <v>0</v>
      </c>
      <c r="M117" s="416">
        <v>0</v>
      </c>
      <c r="N117" s="416">
        <v>0</v>
      </c>
      <c r="O117" s="416">
        <v>0</v>
      </c>
      <c r="P117" s="416">
        <v>0</v>
      </c>
      <c r="Q117" s="416">
        <v>0</v>
      </c>
      <c r="R117" s="416">
        <v>0</v>
      </c>
      <c r="S117" s="416">
        <v>0</v>
      </c>
      <c r="T117" s="416">
        <v>0</v>
      </c>
      <c r="U117" s="416">
        <v>0</v>
      </c>
      <c r="V117" s="416">
        <v>0</v>
      </c>
      <c r="W117" s="416">
        <v>0</v>
      </c>
      <c r="X117" s="416">
        <v>0</v>
      </c>
      <c r="Y117" s="416">
        <v>0</v>
      </c>
      <c r="Z117" s="416">
        <v>0</v>
      </c>
      <c r="AA117" s="416">
        <v>0</v>
      </c>
      <c r="AB117" s="416">
        <v>0</v>
      </c>
      <c r="AC117" s="416">
        <v>0</v>
      </c>
      <c r="AD117" s="416">
        <v>0</v>
      </c>
      <c r="AE117" s="416">
        <v>0</v>
      </c>
      <c r="AF117" s="416">
        <v>0</v>
      </c>
      <c r="AG117" s="416">
        <v>0</v>
      </c>
      <c r="AH117" s="416">
        <v>0</v>
      </c>
      <c r="AI117" s="416">
        <v>0</v>
      </c>
      <c r="AJ117" s="416">
        <v>0</v>
      </c>
      <c r="AK117" s="416">
        <v>0</v>
      </c>
      <c r="AL117" s="416">
        <v>0</v>
      </c>
      <c r="AM117" s="416">
        <v>0</v>
      </c>
      <c r="AN117" s="416">
        <v>0</v>
      </c>
      <c r="AO117" s="416">
        <v>0</v>
      </c>
      <c r="AP117" s="416">
        <v>0</v>
      </c>
      <c r="AQ117" s="416">
        <v>0</v>
      </c>
      <c r="AR117" s="416">
        <v>0</v>
      </c>
      <c r="AS117" s="416">
        <v>0</v>
      </c>
      <c r="AT117" s="416">
        <v>0</v>
      </c>
      <c r="AU117" s="416">
        <v>0</v>
      </c>
      <c r="AV117" s="416">
        <v>0</v>
      </c>
      <c r="AW117" s="416">
        <v>0</v>
      </c>
      <c r="AX117" s="416">
        <v>0</v>
      </c>
      <c r="AY117" s="416">
        <v>0</v>
      </c>
      <c r="AZ117" s="416">
        <v>0</v>
      </c>
      <c r="BA117" s="416">
        <v>0</v>
      </c>
      <c r="BB117" s="416">
        <v>0</v>
      </c>
      <c r="BC117" s="416">
        <v>0</v>
      </c>
      <c r="BD117" s="416">
        <v>0</v>
      </c>
      <c r="BE117" s="416">
        <v>0</v>
      </c>
      <c r="BF117" s="416">
        <v>0</v>
      </c>
      <c r="BG117" s="416">
        <v>0</v>
      </c>
      <c r="BH117" s="416">
        <v>0</v>
      </c>
      <c r="BI117" s="416">
        <v>0</v>
      </c>
      <c r="BJ117" s="416">
        <v>0</v>
      </c>
      <c r="BK117" s="416">
        <v>0</v>
      </c>
      <c r="BL117" s="416">
        <v>0</v>
      </c>
      <c r="BM117" s="416">
        <v>0</v>
      </c>
      <c r="BN117" s="416">
        <v>0</v>
      </c>
      <c r="BO117" s="416">
        <v>0</v>
      </c>
      <c r="BP117" s="416">
        <v>0</v>
      </c>
      <c r="BQ117" s="416">
        <v>0</v>
      </c>
      <c r="BR117" s="416">
        <v>0</v>
      </c>
      <c r="BS117" s="416">
        <v>0</v>
      </c>
      <c r="BT117" s="416">
        <v>0</v>
      </c>
      <c r="BU117" s="416">
        <v>0</v>
      </c>
      <c r="BV117" s="416">
        <v>0</v>
      </c>
      <c r="BW117" s="416">
        <v>0</v>
      </c>
      <c r="BX117" s="416">
        <v>0</v>
      </c>
      <c r="BY117" s="416">
        <v>0</v>
      </c>
      <c r="BZ117" s="416">
        <v>0</v>
      </c>
      <c r="CC117" s="420"/>
      <c r="CD117" s="415" t="s">
        <v>534</v>
      </c>
      <c r="CE117" s="420">
        <f t="shared" si="31"/>
        <v>0</v>
      </c>
      <c r="CF117" s="420">
        <f t="shared" si="17"/>
        <v>0</v>
      </c>
      <c r="CG117" s="420">
        <f t="shared" si="18"/>
        <v>0</v>
      </c>
      <c r="CH117" s="420">
        <f t="shared" si="19"/>
        <v>0</v>
      </c>
      <c r="CI117" s="420">
        <f t="shared" si="20"/>
        <v>0</v>
      </c>
      <c r="CJ117" s="420">
        <f t="shared" si="21"/>
        <v>0</v>
      </c>
      <c r="CK117" s="420">
        <f t="shared" si="22"/>
        <v>0</v>
      </c>
      <c r="CL117" s="420">
        <f t="shared" si="23"/>
        <v>0</v>
      </c>
      <c r="CM117" s="420">
        <f t="shared" si="24"/>
        <v>0</v>
      </c>
      <c r="CN117" s="420">
        <f t="shared" si="25"/>
        <v>0</v>
      </c>
      <c r="CO117" s="420">
        <f t="shared" si="26"/>
        <v>0</v>
      </c>
      <c r="CP117" s="420">
        <f t="shared" si="27"/>
        <v>0</v>
      </c>
      <c r="CQ117" s="420">
        <f t="shared" si="28"/>
        <v>0</v>
      </c>
      <c r="CR117" s="420">
        <f t="shared" si="29"/>
        <v>0</v>
      </c>
      <c r="CS117" s="420">
        <f t="shared" si="30"/>
        <v>0</v>
      </c>
      <c r="CT117" s="21"/>
    </row>
    <row r="118" spans="3:98" hidden="1" outlineLevel="1">
      <c r="C118" s="415" t="s">
        <v>535</v>
      </c>
      <c r="D118" s="416">
        <v>0</v>
      </c>
      <c r="E118" s="416">
        <v>0</v>
      </c>
      <c r="F118" s="416">
        <v>0</v>
      </c>
      <c r="G118" s="416">
        <v>0</v>
      </c>
      <c r="H118" s="427">
        <v>0</v>
      </c>
      <c r="I118" s="416">
        <v>0</v>
      </c>
      <c r="J118" s="416">
        <v>0</v>
      </c>
      <c r="K118" s="416">
        <v>0</v>
      </c>
      <c r="L118" s="416">
        <v>0</v>
      </c>
      <c r="M118" s="416">
        <v>0</v>
      </c>
      <c r="N118" s="416">
        <v>0</v>
      </c>
      <c r="O118" s="416">
        <v>0</v>
      </c>
      <c r="P118" s="416">
        <v>0</v>
      </c>
      <c r="Q118" s="416">
        <v>0</v>
      </c>
      <c r="R118" s="416">
        <v>0</v>
      </c>
      <c r="S118" s="416">
        <v>0</v>
      </c>
      <c r="T118" s="416">
        <v>0</v>
      </c>
      <c r="U118" s="416">
        <v>0</v>
      </c>
      <c r="V118" s="416">
        <v>0</v>
      </c>
      <c r="W118" s="416">
        <v>0</v>
      </c>
      <c r="X118" s="416">
        <v>0</v>
      </c>
      <c r="Y118" s="416">
        <v>0</v>
      </c>
      <c r="Z118" s="416">
        <v>0</v>
      </c>
      <c r="AA118" s="416">
        <v>0</v>
      </c>
      <c r="AB118" s="416">
        <v>0</v>
      </c>
      <c r="AC118" s="416">
        <v>0</v>
      </c>
      <c r="AD118" s="416">
        <v>0</v>
      </c>
      <c r="AE118" s="416">
        <v>0</v>
      </c>
      <c r="AF118" s="416">
        <v>0</v>
      </c>
      <c r="AG118" s="416">
        <v>0</v>
      </c>
      <c r="AH118" s="416">
        <v>0</v>
      </c>
      <c r="AI118" s="416">
        <v>0</v>
      </c>
      <c r="AJ118" s="416">
        <v>0</v>
      </c>
      <c r="AK118" s="416">
        <v>0</v>
      </c>
      <c r="AL118" s="416">
        <v>0</v>
      </c>
      <c r="AM118" s="416">
        <v>0</v>
      </c>
      <c r="AN118" s="416">
        <v>0</v>
      </c>
      <c r="AO118" s="416">
        <v>0</v>
      </c>
      <c r="AP118" s="416">
        <v>0</v>
      </c>
      <c r="AQ118" s="416">
        <v>0</v>
      </c>
      <c r="AR118" s="416">
        <v>0</v>
      </c>
      <c r="AS118" s="416">
        <v>0</v>
      </c>
      <c r="AT118" s="416">
        <v>0</v>
      </c>
      <c r="AU118" s="416">
        <v>0</v>
      </c>
      <c r="AV118" s="416">
        <v>0</v>
      </c>
      <c r="AW118" s="416">
        <v>0</v>
      </c>
      <c r="AX118" s="416">
        <v>0</v>
      </c>
      <c r="AY118" s="416">
        <v>0</v>
      </c>
      <c r="AZ118" s="416">
        <v>0</v>
      </c>
      <c r="BA118" s="416">
        <v>0</v>
      </c>
      <c r="BB118" s="416">
        <v>0</v>
      </c>
      <c r="BC118" s="416">
        <v>0</v>
      </c>
      <c r="BD118" s="416">
        <v>0</v>
      </c>
      <c r="BE118" s="416">
        <v>0</v>
      </c>
      <c r="BF118" s="416">
        <v>0</v>
      </c>
      <c r="BG118" s="416">
        <v>0</v>
      </c>
      <c r="BH118" s="416">
        <v>0</v>
      </c>
      <c r="BI118" s="416">
        <v>0</v>
      </c>
      <c r="BJ118" s="416">
        <v>0</v>
      </c>
      <c r="BK118" s="416">
        <v>0</v>
      </c>
      <c r="BL118" s="416">
        <v>0</v>
      </c>
      <c r="BM118" s="416">
        <v>0</v>
      </c>
      <c r="BN118" s="416">
        <v>0</v>
      </c>
      <c r="BO118" s="416">
        <v>0</v>
      </c>
      <c r="BP118" s="416">
        <v>0</v>
      </c>
      <c r="BQ118" s="416">
        <v>0</v>
      </c>
      <c r="BR118" s="416">
        <v>0</v>
      </c>
      <c r="BS118" s="416">
        <v>0</v>
      </c>
      <c r="BT118" s="416">
        <v>0</v>
      </c>
      <c r="BU118" s="416">
        <v>0</v>
      </c>
      <c r="BV118" s="416">
        <v>0</v>
      </c>
      <c r="BW118" s="416">
        <v>0</v>
      </c>
      <c r="BX118" s="416">
        <v>0</v>
      </c>
      <c r="BY118" s="416">
        <v>0</v>
      </c>
      <c r="BZ118" s="416">
        <v>0</v>
      </c>
      <c r="CC118" s="420"/>
      <c r="CD118" s="415" t="s">
        <v>535</v>
      </c>
      <c r="CE118" s="420">
        <f t="shared" si="31"/>
        <v>0</v>
      </c>
      <c r="CF118" s="420">
        <f t="shared" si="17"/>
        <v>0</v>
      </c>
      <c r="CG118" s="420">
        <f t="shared" si="18"/>
        <v>0</v>
      </c>
      <c r="CH118" s="420">
        <f t="shared" si="19"/>
        <v>0</v>
      </c>
      <c r="CI118" s="420">
        <f t="shared" si="20"/>
        <v>0</v>
      </c>
      <c r="CJ118" s="420">
        <f t="shared" si="21"/>
        <v>0</v>
      </c>
      <c r="CK118" s="420">
        <f t="shared" si="22"/>
        <v>0</v>
      </c>
      <c r="CL118" s="420">
        <f t="shared" si="23"/>
        <v>0</v>
      </c>
      <c r="CM118" s="420">
        <f t="shared" si="24"/>
        <v>0</v>
      </c>
      <c r="CN118" s="420">
        <f t="shared" si="25"/>
        <v>0</v>
      </c>
      <c r="CO118" s="420">
        <f t="shared" si="26"/>
        <v>0</v>
      </c>
      <c r="CP118" s="420">
        <f t="shared" si="27"/>
        <v>0</v>
      </c>
      <c r="CQ118" s="420">
        <f t="shared" si="28"/>
        <v>0</v>
      </c>
      <c r="CR118" s="420">
        <f t="shared" si="29"/>
        <v>0</v>
      </c>
      <c r="CS118" s="420">
        <f t="shared" si="30"/>
        <v>0</v>
      </c>
      <c r="CT118" s="21"/>
    </row>
    <row r="119" spans="3:98" hidden="1" outlineLevel="1">
      <c r="C119" s="415" t="s">
        <v>536</v>
      </c>
      <c r="D119" s="416">
        <v>0</v>
      </c>
      <c r="E119" s="416">
        <v>0</v>
      </c>
      <c r="F119" s="416">
        <v>0</v>
      </c>
      <c r="G119" s="416">
        <v>0</v>
      </c>
      <c r="H119" s="427">
        <v>0</v>
      </c>
      <c r="I119" s="416">
        <v>0</v>
      </c>
      <c r="J119" s="416">
        <v>0</v>
      </c>
      <c r="K119" s="416">
        <v>0</v>
      </c>
      <c r="L119" s="416">
        <v>0</v>
      </c>
      <c r="M119" s="416">
        <v>0</v>
      </c>
      <c r="N119" s="416">
        <v>0</v>
      </c>
      <c r="O119" s="416">
        <v>0</v>
      </c>
      <c r="P119" s="416">
        <v>0</v>
      </c>
      <c r="Q119" s="416">
        <v>0</v>
      </c>
      <c r="R119" s="416">
        <v>0</v>
      </c>
      <c r="S119" s="416">
        <v>0</v>
      </c>
      <c r="T119" s="416">
        <v>0</v>
      </c>
      <c r="U119" s="416">
        <v>0</v>
      </c>
      <c r="V119" s="416">
        <v>0</v>
      </c>
      <c r="W119" s="416">
        <v>0</v>
      </c>
      <c r="X119" s="416">
        <v>0</v>
      </c>
      <c r="Y119" s="416">
        <v>0</v>
      </c>
      <c r="Z119" s="416">
        <v>0</v>
      </c>
      <c r="AA119" s="416">
        <v>0</v>
      </c>
      <c r="AB119" s="416">
        <v>0</v>
      </c>
      <c r="AC119" s="416">
        <v>0</v>
      </c>
      <c r="AD119" s="416">
        <v>0</v>
      </c>
      <c r="AE119" s="416">
        <v>0</v>
      </c>
      <c r="AF119" s="416">
        <v>0</v>
      </c>
      <c r="AG119" s="416">
        <v>0</v>
      </c>
      <c r="AH119" s="416">
        <v>0</v>
      </c>
      <c r="AI119" s="416">
        <v>0</v>
      </c>
      <c r="AJ119" s="416">
        <v>0</v>
      </c>
      <c r="AK119" s="416">
        <v>0</v>
      </c>
      <c r="AL119" s="416">
        <v>0</v>
      </c>
      <c r="AM119" s="416">
        <v>0</v>
      </c>
      <c r="AN119" s="416">
        <v>0</v>
      </c>
      <c r="AO119" s="416">
        <v>0</v>
      </c>
      <c r="AP119" s="416">
        <v>0</v>
      </c>
      <c r="AQ119" s="416">
        <v>0</v>
      </c>
      <c r="AR119" s="416">
        <v>0</v>
      </c>
      <c r="AS119" s="416">
        <v>0</v>
      </c>
      <c r="AT119" s="416">
        <v>0</v>
      </c>
      <c r="AU119" s="416">
        <v>0</v>
      </c>
      <c r="AV119" s="416">
        <v>0</v>
      </c>
      <c r="AW119" s="416">
        <v>0</v>
      </c>
      <c r="AX119" s="416">
        <v>0</v>
      </c>
      <c r="AY119" s="416">
        <v>0</v>
      </c>
      <c r="AZ119" s="416">
        <v>0</v>
      </c>
      <c r="BA119" s="416">
        <v>0</v>
      </c>
      <c r="BB119" s="416">
        <v>0</v>
      </c>
      <c r="BC119" s="416">
        <v>0</v>
      </c>
      <c r="BD119" s="416">
        <v>0</v>
      </c>
      <c r="BE119" s="416">
        <v>0</v>
      </c>
      <c r="BF119" s="416">
        <v>0</v>
      </c>
      <c r="BG119" s="416">
        <v>0</v>
      </c>
      <c r="BH119" s="416">
        <v>0</v>
      </c>
      <c r="BI119" s="416">
        <v>0</v>
      </c>
      <c r="BJ119" s="416">
        <v>0</v>
      </c>
      <c r="BK119" s="416">
        <v>0</v>
      </c>
      <c r="BL119" s="416">
        <v>0</v>
      </c>
      <c r="BM119" s="416">
        <v>0</v>
      </c>
      <c r="BN119" s="416">
        <v>0</v>
      </c>
      <c r="BO119" s="416">
        <v>0</v>
      </c>
      <c r="BP119" s="416">
        <v>0</v>
      </c>
      <c r="BQ119" s="416">
        <v>0</v>
      </c>
      <c r="BR119" s="416">
        <v>0</v>
      </c>
      <c r="BS119" s="416">
        <v>0</v>
      </c>
      <c r="BT119" s="416">
        <v>0</v>
      </c>
      <c r="BU119" s="416">
        <v>0</v>
      </c>
      <c r="BV119" s="416">
        <v>0</v>
      </c>
      <c r="BW119" s="416">
        <v>0</v>
      </c>
      <c r="BX119" s="416">
        <v>0</v>
      </c>
      <c r="BY119" s="416">
        <v>0</v>
      </c>
      <c r="BZ119" s="416">
        <v>0</v>
      </c>
      <c r="CC119" s="420"/>
      <c r="CD119" s="415" t="s">
        <v>536</v>
      </c>
      <c r="CE119" s="420">
        <f t="shared" si="31"/>
        <v>0</v>
      </c>
      <c r="CF119" s="420">
        <f t="shared" si="17"/>
        <v>0</v>
      </c>
      <c r="CG119" s="420">
        <f t="shared" si="18"/>
        <v>0</v>
      </c>
      <c r="CH119" s="420">
        <f t="shared" si="19"/>
        <v>0</v>
      </c>
      <c r="CI119" s="420">
        <f t="shared" si="20"/>
        <v>0</v>
      </c>
      <c r="CJ119" s="420">
        <f t="shared" si="21"/>
        <v>0</v>
      </c>
      <c r="CK119" s="420">
        <f t="shared" si="22"/>
        <v>0</v>
      </c>
      <c r="CL119" s="420">
        <f t="shared" si="23"/>
        <v>0</v>
      </c>
      <c r="CM119" s="420">
        <f t="shared" si="24"/>
        <v>0</v>
      </c>
      <c r="CN119" s="420">
        <f t="shared" si="25"/>
        <v>0</v>
      </c>
      <c r="CO119" s="420">
        <f t="shared" si="26"/>
        <v>0</v>
      </c>
      <c r="CP119" s="420">
        <f t="shared" si="27"/>
        <v>0</v>
      </c>
      <c r="CQ119" s="420">
        <f t="shared" si="28"/>
        <v>0</v>
      </c>
      <c r="CR119" s="420">
        <f t="shared" si="29"/>
        <v>0</v>
      </c>
      <c r="CS119" s="420">
        <f t="shared" si="30"/>
        <v>0</v>
      </c>
      <c r="CT119" s="21"/>
    </row>
    <row r="120" spans="3:98" collapsed="1">
      <c r="C120" s="417" t="s">
        <v>118</v>
      </c>
      <c r="D120" s="416">
        <v>0</v>
      </c>
      <c r="E120" s="416">
        <v>0</v>
      </c>
      <c r="F120" s="416">
        <v>0</v>
      </c>
      <c r="G120" s="416">
        <v>0</v>
      </c>
      <c r="H120" s="427">
        <v>0</v>
      </c>
      <c r="I120" s="416">
        <v>0</v>
      </c>
      <c r="J120" s="416">
        <v>0</v>
      </c>
      <c r="K120" s="416">
        <v>0</v>
      </c>
      <c r="L120" s="416">
        <v>0</v>
      </c>
      <c r="M120" s="416">
        <v>0</v>
      </c>
      <c r="N120" s="416">
        <v>0</v>
      </c>
      <c r="O120" s="416">
        <v>0</v>
      </c>
      <c r="P120" s="416">
        <v>0</v>
      </c>
      <c r="Q120" s="416">
        <v>0</v>
      </c>
      <c r="R120" s="416">
        <v>0</v>
      </c>
      <c r="S120" s="416">
        <v>0</v>
      </c>
      <c r="T120" s="416">
        <v>0</v>
      </c>
      <c r="U120" s="416">
        <v>0</v>
      </c>
      <c r="V120" s="416">
        <v>0</v>
      </c>
      <c r="W120" s="416">
        <v>0</v>
      </c>
      <c r="X120" s="416">
        <v>0</v>
      </c>
      <c r="Y120" s="416">
        <v>0</v>
      </c>
      <c r="Z120" s="416">
        <v>0</v>
      </c>
      <c r="AA120" s="416">
        <v>0</v>
      </c>
      <c r="AB120" s="416">
        <v>0</v>
      </c>
      <c r="AC120" s="416">
        <v>0</v>
      </c>
      <c r="AD120" s="416">
        <v>0</v>
      </c>
      <c r="AE120" s="416">
        <v>0</v>
      </c>
      <c r="AF120" s="416">
        <v>0</v>
      </c>
      <c r="AG120" s="416">
        <v>0</v>
      </c>
      <c r="AH120" s="416">
        <v>0</v>
      </c>
      <c r="AI120" s="416">
        <v>0</v>
      </c>
      <c r="AJ120" s="416">
        <v>0</v>
      </c>
      <c r="AK120" s="416">
        <v>0</v>
      </c>
      <c r="AL120" s="416">
        <v>0</v>
      </c>
      <c r="AM120" s="416">
        <v>0</v>
      </c>
      <c r="AN120" s="416">
        <v>0</v>
      </c>
      <c r="AO120" s="416">
        <v>0</v>
      </c>
      <c r="AP120" s="416">
        <v>0</v>
      </c>
      <c r="AQ120" s="416">
        <v>0</v>
      </c>
      <c r="AR120" s="416">
        <v>0</v>
      </c>
      <c r="AS120" s="416">
        <v>0</v>
      </c>
      <c r="AT120" s="416">
        <v>0</v>
      </c>
      <c r="AU120" s="416">
        <v>0</v>
      </c>
      <c r="AV120" s="416">
        <v>0</v>
      </c>
      <c r="AW120" s="416">
        <v>0</v>
      </c>
      <c r="AX120" s="416">
        <v>0</v>
      </c>
      <c r="AY120" s="416">
        <v>0</v>
      </c>
      <c r="AZ120" s="416">
        <v>0</v>
      </c>
      <c r="BA120" s="416">
        <v>0</v>
      </c>
      <c r="BB120" s="416">
        <v>0</v>
      </c>
      <c r="BC120" s="416">
        <v>0</v>
      </c>
      <c r="BD120" s="416">
        <v>0</v>
      </c>
      <c r="BE120" s="416">
        <v>0</v>
      </c>
      <c r="BF120" s="416">
        <v>-15.029</v>
      </c>
      <c r="BG120" s="416">
        <v>2.9359999999999999</v>
      </c>
      <c r="BH120" s="416">
        <v>6.5460000000000003</v>
      </c>
      <c r="BI120" s="416">
        <v>21.417000000000002</v>
      </c>
      <c r="BJ120" s="416">
        <v>55.982999999999997</v>
      </c>
      <c r="BK120" s="416">
        <v>86.882000000000005</v>
      </c>
      <c r="BL120" s="416">
        <v>225.203</v>
      </c>
      <c r="BM120" s="416">
        <v>-737.46799999999996</v>
      </c>
      <c r="BN120" s="416">
        <v>-135.24</v>
      </c>
      <c r="BO120" s="416">
        <v>50.332000000000001</v>
      </c>
      <c r="BP120" s="416">
        <v>-597.173</v>
      </c>
      <c r="BQ120" s="416">
        <v>-179.786</v>
      </c>
      <c r="BR120" s="416">
        <v>-146.91499999999999</v>
      </c>
      <c r="BS120" s="416">
        <v>-99.055000000000007</v>
      </c>
      <c r="BT120" s="416">
        <v>-13.877000000000001</v>
      </c>
      <c r="BU120" s="416">
        <v>-439.63299999999998</v>
      </c>
      <c r="BV120" s="416">
        <v>-86.78</v>
      </c>
      <c r="BW120" s="416">
        <v>18.722000000000001</v>
      </c>
      <c r="BX120" s="416">
        <v>36.926000000000002</v>
      </c>
      <c r="BY120" s="416">
        <v>0</v>
      </c>
      <c r="BZ120" s="416">
        <v>0</v>
      </c>
      <c r="CC120" s="420"/>
      <c r="CD120" s="417" t="s">
        <v>118</v>
      </c>
      <c r="CE120" s="420">
        <f t="shared" si="31"/>
        <v>0</v>
      </c>
      <c r="CF120" s="420">
        <f t="shared" si="17"/>
        <v>0</v>
      </c>
      <c r="CG120" s="420">
        <f t="shared" si="18"/>
        <v>0</v>
      </c>
      <c r="CH120" s="420">
        <f t="shared" si="19"/>
        <v>0</v>
      </c>
      <c r="CI120" s="420">
        <f t="shared" si="20"/>
        <v>0</v>
      </c>
      <c r="CJ120" s="420">
        <f t="shared" si="21"/>
        <v>0</v>
      </c>
      <c r="CK120" s="420">
        <f t="shared" si="22"/>
        <v>0</v>
      </c>
      <c r="CL120" s="420">
        <f t="shared" si="23"/>
        <v>0</v>
      </c>
      <c r="CM120" s="420">
        <f t="shared" si="24"/>
        <v>0</v>
      </c>
      <c r="CN120" s="420">
        <f t="shared" si="25"/>
        <v>0</v>
      </c>
      <c r="CO120" s="420">
        <f t="shared" si="26"/>
        <v>-15.029</v>
      </c>
      <c r="CP120" s="420">
        <f t="shared" si="27"/>
        <v>86.882000000000005</v>
      </c>
      <c r="CQ120" s="420">
        <f t="shared" si="28"/>
        <v>-597.173</v>
      </c>
      <c r="CR120" s="420">
        <f t="shared" si="29"/>
        <v>-439.63299999999998</v>
      </c>
      <c r="CS120" s="420">
        <f t="shared" si="30"/>
        <v>0</v>
      </c>
      <c r="CT120" s="21"/>
    </row>
    <row r="121" spans="3:98">
      <c r="C121" s="417" t="s">
        <v>537</v>
      </c>
      <c r="D121" s="416">
        <v>0</v>
      </c>
      <c r="E121" s="416">
        <v>0</v>
      </c>
      <c r="F121" s="416">
        <v>0</v>
      </c>
      <c r="G121" s="416">
        <v>0</v>
      </c>
      <c r="H121" s="427">
        <v>0</v>
      </c>
      <c r="I121" s="416">
        <v>0</v>
      </c>
      <c r="J121" s="416">
        <v>0</v>
      </c>
      <c r="K121" s="416">
        <v>0</v>
      </c>
      <c r="L121" s="416">
        <v>0</v>
      </c>
      <c r="M121" s="416">
        <v>0</v>
      </c>
      <c r="N121" s="416">
        <v>0</v>
      </c>
      <c r="O121" s="416">
        <v>0</v>
      </c>
      <c r="P121" s="416">
        <v>0</v>
      </c>
      <c r="Q121" s="416">
        <v>0</v>
      </c>
      <c r="R121" s="416">
        <v>0</v>
      </c>
      <c r="S121" s="416">
        <v>0</v>
      </c>
      <c r="T121" s="416">
        <v>0</v>
      </c>
      <c r="U121" s="416">
        <v>0</v>
      </c>
      <c r="V121" s="416">
        <v>0</v>
      </c>
      <c r="W121" s="416">
        <v>0</v>
      </c>
      <c r="X121" s="416">
        <v>0</v>
      </c>
      <c r="Y121" s="416">
        <v>0</v>
      </c>
      <c r="Z121" s="416">
        <v>0</v>
      </c>
      <c r="AA121" s="416">
        <v>0</v>
      </c>
      <c r="AB121" s="416">
        <v>0</v>
      </c>
      <c r="AC121" s="416">
        <v>0</v>
      </c>
      <c r="AD121" s="416">
        <v>0</v>
      </c>
      <c r="AE121" s="416">
        <v>0</v>
      </c>
      <c r="AF121" s="416">
        <v>0</v>
      </c>
      <c r="AG121" s="416">
        <v>0</v>
      </c>
      <c r="AH121" s="416">
        <v>0</v>
      </c>
      <c r="AI121" s="416">
        <v>0</v>
      </c>
      <c r="AJ121" s="416">
        <v>0</v>
      </c>
      <c r="AK121" s="416">
        <v>0</v>
      </c>
      <c r="AL121" s="416">
        <v>0</v>
      </c>
      <c r="AM121" s="416">
        <v>0</v>
      </c>
      <c r="AN121" s="416">
        <v>0</v>
      </c>
      <c r="AO121" s="416">
        <v>0</v>
      </c>
      <c r="AP121" s="416">
        <v>0</v>
      </c>
      <c r="AQ121" s="416">
        <v>0</v>
      </c>
      <c r="AR121" s="416">
        <v>0</v>
      </c>
      <c r="AS121" s="416">
        <v>0</v>
      </c>
      <c r="AT121" s="416">
        <v>0</v>
      </c>
      <c r="AU121" s="416">
        <v>0</v>
      </c>
      <c r="AV121" s="416">
        <v>0</v>
      </c>
      <c r="AW121" s="416">
        <v>0</v>
      </c>
      <c r="AX121" s="416">
        <v>0</v>
      </c>
      <c r="AY121" s="416">
        <v>0</v>
      </c>
      <c r="AZ121" s="416">
        <v>0</v>
      </c>
      <c r="BA121" s="416">
        <v>0</v>
      </c>
      <c r="BB121" s="416">
        <v>0</v>
      </c>
      <c r="BC121" s="416">
        <v>0</v>
      </c>
      <c r="BD121" s="416">
        <v>0</v>
      </c>
      <c r="BE121" s="416">
        <v>0</v>
      </c>
      <c r="BF121" s="416">
        <v>0</v>
      </c>
      <c r="BG121" s="416">
        <v>0</v>
      </c>
      <c r="BH121" s="416">
        <v>0</v>
      </c>
      <c r="BI121" s="416">
        <v>0</v>
      </c>
      <c r="BJ121" s="416">
        <v>0</v>
      </c>
      <c r="BK121" s="416">
        <v>0</v>
      </c>
      <c r="BL121" s="416">
        <v>0</v>
      </c>
      <c r="BM121" s="416">
        <v>0</v>
      </c>
      <c r="BN121" s="416">
        <v>0</v>
      </c>
      <c r="BO121" s="416">
        <v>0</v>
      </c>
      <c r="BP121" s="416">
        <v>0</v>
      </c>
      <c r="BQ121" s="416">
        <v>0</v>
      </c>
      <c r="BR121" s="416">
        <v>0</v>
      </c>
      <c r="BS121" s="416">
        <v>0</v>
      </c>
      <c r="BT121" s="416">
        <v>0</v>
      </c>
      <c r="BU121" s="416">
        <v>0</v>
      </c>
      <c r="BV121" s="416">
        <v>0</v>
      </c>
      <c r="BW121" s="416">
        <v>0</v>
      </c>
      <c r="BX121" s="416">
        <v>0</v>
      </c>
      <c r="BY121" s="416">
        <v>0</v>
      </c>
      <c r="BZ121" s="416">
        <v>0</v>
      </c>
      <c r="CC121" s="420"/>
      <c r="CD121" s="417" t="s">
        <v>537</v>
      </c>
      <c r="CE121" s="425">
        <f t="shared" si="31"/>
        <v>0</v>
      </c>
      <c r="CF121" s="425">
        <f t="shared" si="17"/>
        <v>0</v>
      </c>
      <c r="CG121" s="425">
        <f t="shared" si="18"/>
        <v>0</v>
      </c>
      <c r="CH121" s="425">
        <f t="shared" si="19"/>
        <v>0</v>
      </c>
      <c r="CI121" s="425">
        <f t="shared" si="20"/>
        <v>0</v>
      </c>
      <c r="CJ121" s="425">
        <f t="shared" si="21"/>
        <v>0</v>
      </c>
      <c r="CK121" s="425">
        <f t="shared" si="22"/>
        <v>0</v>
      </c>
      <c r="CL121" s="425">
        <f t="shared" si="23"/>
        <v>0</v>
      </c>
      <c r="CM121" s="425">
        <f t="shared" si="24"/>
        <v>0</v>
      </c>
      <c r="CN121" s="425">
        <f t="shared" si="25"/>
        <v>0</v>
      </c>
      <c r="CO121" s="425">
        <f t="shared" si="26"/>
        <v>0</v>
      </c>
      <c r="CP121" s="425">
        <f t="shared" si="27"/>
        <v>0</v>
      </c>
      <c r="CQ121" s="425">
        <f t="shared" si="28"/>
        <v>0</v>
      </c>
      <c r="CR121" s="425">
        <f t="shared" si="29"/>
        <v>0</v>
      </c>
      <c r="CS121" s="425">
        <f t="shared" si="30"/>
        <v>0</v>
      </c>
      <c r="CT121" s="21"/>
    </row>
    <row r="122" spans="3:98">
      <c r="C122" s="421" t="s">
        <v>119</v>
      </c>
      <c r="D122" s="422">
        <v>0</v>
      </c>
      <c r="E122" s="422">
        <v>0</v>
      </c>
      <c r="F122" s="422">
        <v>0</v>
      </c>
      <c r="G122" s="422">
        <v>0</v>
      </c>
      <c r="H122" s="422">
        <v>0</v>
      </c>
      <c r="I122" s="422">
        <v>0</v>
      </c>
      <c r="J122" s="422">
        <v>0</v>
      </c>
      <c r="K122" s="422">
        <v>0</v>
      </c>
      <c r="L122" s="422">
        <v>0</v>
      </c>
      <c r="M122" s="422">
        <v>0</v>
      </c>
      <c r="N122" s="422">
        <v>0</v>
      </c>
      <c r="O122" s="422">
        <v>0</v>
      </c>
      <c r="P122" s="422">
        <v>0</v>
      </c>
      <c r="Q122" s="422">
        <v>0</v>
      </c>
      <c r="R122" s="422">
        <v>0</v>
      </c>
      <c r="S122" s="422">
        <v>0</v>
      </c>
      <c r="T122" s="422">
        <v>0</v>
      </c>
      <c r="U122" s="422">
        <v>0</v>
      </c>
      <c r="V122" s="422">
        <v>0</v>
      </c>
      <c r="W122" s="422">
        <v>0</v>
      </c>
      <c r="X122" s="422">
        <v>0</v>
      </c>
      <c r="Y122" s="422">
        <v>0</v>
      </c>
      <c r="Z122" s="422">
        <v>0</v>
      </c>
      <c r="AA122" s="422">
        <v>0</v>
      </c>
      <c r="AB122" s="422">
        <v>0</v>
      </c>
      <c r="AC122" s="422">
        <v>0</v>
      </c>
      <c r="AD122" s="422">
        <v>0</v>
      </c>
      <c r="AE122" s="422">
        <v>0</v>
      </c>
      <c r="AF122" s="422">
        <v>0</v>
      </c>
      <c r="AG122" s="422">
        <v>0</v>
      </c>
      <c r="AH122" s="422">
        <v>0</v>
      </c>
      <c r="AI122" s="422">
        <v>0</v>
      </c>
      <c r="AJ122" s="422">
        <v>0</v>
      </c>
      <c r="AK122" s="422">
        <v>0</v>
      </c>
      <c r="AL122" s="422">
        <v>0</v>
      </c>
      <c r="AM122" s="422">
        <v>0</v>
      </c>
      <c r="AN122" s="422">
        <v>0</v>
      </c>
      <c r="AO122" s="422">
        <v>0</v>
      </c>
      <c r="AP122" s="422">
        <v>0</v>
      </c>
      <c r="AQ122" s="422">
        <v>0</v>
      </c>
      <c r="AR122" s="422">
        <v>0</v>
      </c>
      <c r="AS122" s="422">
        <v>0</v>
      </c>
      <c r="AT122" s="422">
        <v>0</v>
      </c>
      <c r="AU122" s="422">
        <v>0</v>
      </c>
      <c r="AV122" s="422">
        <v>0</v>
      </c>
      <c r="AW122" s="422">
        <v>0</v>
      </c>
      <c r="AX122" s="422">
        <v>0</v>
      </c>
      <c r="AY122" s="422">
        <v>0</v>
      </c>
      <c r="AZ122" s="422">
        <v>0</v>
      </c>
      <c r="BA122" s="422">
        <v>0</v>
      </c>
      <c r="BB122" s="422">
        <v>0</v>
      </c>
      <c r="BC122" s="422">
        <v>0</v>
      </c>
      <c r="BD122" s="422">
        <v>0</v>
      </c>
      <c r="BE122" s="422">
        <v>0</v>
      </c>
      <c r="BF122" s="422">
        <v>-30.387</v>
      </c>
      <c r="BG122" s="422">
        <v>31.972999999999999</v>
      </c>
      <c r="BH122" s="422">
        <v>32.26</v>
      </c>
      <c r="BI122" s="422">
        <v>81.299000000000007</v>
      </c>
      <c r="BJ122" s="422">
        <v>176.785</v>
      </c>
      <c r="BK122" s="422">
        <v>322.31700000000001</v>
      </c>
      <c r="BL122" s="422">
        <v>771.46299999999997</v>
      </c>
      <c r="BM122" s="422">
        <v>1606.3489999999999</v>
      </c>
      <c r="BN122" s="422">
        <v>406.1</v>
      </c>
      <c r="BO122" s="422">
        <v>840.20799999999997</v>
      </c>
      <c r="BP122" s="422">
        <v>3624.12</v>
      </c>
      <c r="BQ122" s="422">
        <v>-429.65899999999999</v>
      </c>
      <c r="BR122" s="422">
        <v>-1093.654</v>
      </c>
      <c r="BS122" s="422">
        <v>-544.63499999999999</v>
      </c>
      <c r="BT122" s="422">
        <v>-557.00099999999998</v>
      </c>
      <c r="BU122" s="422">
        <v>-2624.9490000000001</v>
      </c>
      <c r="BV122" s="422">
        <v>-78.896000000000001</v>
      </c>
      <c r="BW122" s="422">
        <v>-97.405000000000001</v>
      </c>
      <c r="BX122" s="422">
        <v>-2.2650000000000001</v>
      </c>
      <c r="BY122" s="422">
        <v>0</v>
      </c>
      <c r="BZ122" s="422">
        <v>0</v>
      </c>
      <c r="CC122" s="420"/>
      <c r="CD122" s="421" t="s">
        <v>119</v>
      </c>
      <c r="CE122" s="420">
        <f t="shared" si="31"/>
        <v>0</v>
      </c>
      <c r="CF122" s="420">
        <f t="shared" si="17"/>
        <v>0</v>
      </c>
      <c r="CG122" s="420">
        <f t="shared" si="18"/>
        <v>0</v>
      </c>
      <c r="CH122" s="420">
        <f t="shared" si="19"/>
        <v>0</v>
      </c>
      <c r="CI122" s="420">
        <f t="shared" si="20"/>
        <v>0</v>
      </c>
      <c r="CJ122" s="420">
        <f t="shared" si="21"/>
        <v>0</v>
      </c>
      <c r="CK122" s="420">
        <f t="shared" si="22"/>
        <v>0</v>
      </c>
      <c r="CL122" s="420">
        <f t="shared" si="23"/>
        <v>0</v>
      </c>
      <c r="CM122" s="420">
        <f t="shared" si="24"/>
        <v>0</v>
      </c>
      <c r="CN122" s="420">
        <f t="shared" si="25"/>
        <v>0</v>
      </c>
      <c r="CO122" s="420">
        <f t="shared" si="26"/>
        <v>-30.387</v>
      </c>
      <c r="CP122" s="420">
        <f t="shared" si="27"/>
        <v>322.31700000000001</v>
      </c>
      <c r="CQ122" s="420">
        <f t="shared" si="28"/>
        <v>3624.12</v>
      </c>
      <c r="CR122" s="420">
        <f t="shared" si="29"/>
        <v>-2624.9490000000001</v>
      </c>
      <c r="CS122" s="420">
        <f t="shared" si="30"/>
        <v>0</v>
      </c>
      <c r="CT122" s="21"/>
    </row>
    <row r="123" spans="3:98" ht="4.5" customHeight="1">
      <c r="C123" s="428"/>
      <c r="D123" s="416">
        <v>0</v>
      </c>
      <c r="E123" s="416">
        <v>0</v>
      </c>
      <c r="F123" s="416">
        <v>0</v>
      </c>
      <c r="G123" s="416">
        <v>0</v>
      </c>
      <c r="H123" s="427">
        <v>0</v>
      </c>
      <c r="I123" s="416">
        <v>0</v>
      </c>
      <c r="J123" s="416">
        <v>0</v>
      </c>
      <c r="K123" s="416">
        <v>0</v>
      </c>
      <c r="L123" s="416">
        <v>0</v>
      </c>
      <c r="M123" s="416">
        <v>0</v>
      </c>
      <c r="N123" s="416">
        <v>0</v>
      </c>
      <c r="O123" s="416">
        <v>0</v>
      </c>
      <c r="P123" s="416">
        <v>0</v>
      </c>
      <c r="Q123" s="416">
        <v>0</v>
      </c>
      <c r="R123" s="416">
        <v>0</v>
      </c>
      <c r="S123" s="416">
        <v>0</v>
      </c>
      <c r="T123" s="416">
        <v>0</v>
      </c>
      <c r="U123" s="416">
        <v>0</v>
      </c>
      <c r="V123" s="416">
        <v>0</v>
      </c>
      <c r="W123" s="416">
        <v>0</v>
      </c>
      <c r="X123" s="416">
        <v>0</v>
      </c>
      <c r="Y123" s="416">
        <v>0</v>
      </c>
      <c r="Z123" s="416">
        <v>0</v>
      </c>
      <c r="AA123" s="416">
        <v>0</v>
      </c>
      <c r="AB123" s="416">
        <v>0</v>
      </c>
      <c r="AC123" s="416">
        <v>0</v>
      </c>
      <c r="AD123" s="416">
        <v>0</v>
      </c>
      <c r="AE123" s="416">
        <v>0</v>
      </c>
      <c r="AF123" s="416">
        <v>0</v>
      </c>
      <c r="AG123" s="416">
        <v>0</v>
      </c>
      <c r="AH123" s="416">
        <v>0</v>
      </c>
      <c r="AI123" s="416">
        <v>0</v>
      </c>
      <c r="AJ123" s="416">
        <v>0</v>
      </c>
      <c r="AK123" s="416">
        <v>0</v>
      </c>
      <c r="AL123" s="416">
        <v>0</v>
      </c>
      <c r="AM123" s="416">
        <v>0</v>
      </c>
      <c r="AN123" s="416">
        <v>0</v>
      </c>
      <c r="AO123" s="416">
        <v>0</v>
      </c>
      <c r="AP123" s="416">
        <v>0</v>
      </c>
      <c r="AQ123" s="416">
        <v>0</v>
      </c>
      <c r="AR123" s="416">
        <v>0</v>
      </c>
      <c r="AS123" s="416">
        <v>0</v>
      </c>
      <c r="AT123" s="416">
        <v>0</v>
      </c>
      <c r="AU123" s="416">
        <v>0</v>
      </c>
      <c r="AV123" s="416">
        <v>0</v>
      </c>
      <c r="AW123" s="416">
        <v>0</v>
      </c>
      <c r="AX123" s="416">
        <v>0</v>
      </c>
      <c r="AY123" s="416">
        <v>0</v>
      </c>
      <c r="AZ123" s="416">
        <v>0</v>
      </c>
      <c r="BA123" s="416">
        <v>0</v>
      </c>
      <c r="BB123" s="416">
        <v>0</v>
      </c>
      <c r="BC123" s="416">
        <v>0</v>
      </c>
      <c r="BD123" s="416">
        <v>0</v>
      </c>
      <c r="BE123" s="416">
        <v>0</v>
      </c>
      <c r="BF123" s="416">
        <v>0</v>
      </c>
      <c r="BG123" s="416">
        <v>0</v>
      </c>
      <c r="BH123" s="416">
        <v>0</v>
      </c>
      <c r="BI123" s="416">
        <v>0</v>
      </c>
      <c r="BJ123" s="416">
        <v>0</v>
      </c>
      <c r="BK123" s="416">
        <v>0</v>
      </c>
      <c r="BL123" s="416">
        <v>0</v>
      </c>
      <c r="BM123" s="416">
        <v>0</v>
      </c>
      <c r="BN123" s="416">
        <v>0</v>
      </c>
      <c r="BO123" s="416">
        <v>0</v>
      </c>
      <c r="BP123" s="416">
        <v>0</v>
      </c>
      <c r="BQ123" s="416">
        <v>0</v>
      </c>
      <c r="BR123" s="416">
        <v>0</v>
      </c>
      <c r="BS123" s="416">
        <v>0</v>
      </c>
      <c r="BT123" s="416">
        <v>0</v>
      </c>
      <c r="BU123" s="416">
        <v>0</v>
      </c>
      <c r="BV123" s="416">
        <v>0</v>
      </c>
      <c r="BW123" s="416">
        <v>0</v>
      </c>
      <c r="BX123" s="416">
        <v>0</v>
      </c>
      <c r="BY123" s="416">
        <v>0</v>
      </c>
      <c r="BZ123" s="416">
        <v>0</v>
      </c>
      <c r="CC123" s="420"/>
      <c r="CD123" s="428"/>
      <c r="CE123" s="420"/>
      <c r="CF123" s="420"/>
      <c r="CG123" s="420"/>
      <c r="CH123" s="420"/>
      <c r="CI123" s="420"/>
      <c r="CJ123" s="420"/>
      <c r="CK123" s="420"/>
      <c r="CL123" s="420"/>
      <c r="CM123" s="420"/>
      <c r="CN123" s="420"/>
      <c r="CO123" s="420"/>
      <c r="CP123" s="420"/>
      <c r="CQ123" s="420"/>
      <c r="CR123" s="420"/>
      <c r="CS123" s="420"/>
      <c r="CT123" s="21"/>
    </row>
    <row r="124" spans="3:98">
      <c r="C124" s="417" t="s">
        <v>120</v>
      </c>
      <c r="D124" s="416">
        <v>0</v>
      </c>
      <c r="E124" s="416">
        <v>0</v>
      </c>
      <c r="F124" s="416">
        <v>0</v>
      </c>
      <c r="G124" s="416">
        <v>0</v>
      </c>
      <c r="H124" s="427">
        <v>0</v>
      </c>
      <c r="I124" s="416">
        <v>0</v>
      </c>
      <c r="J124" s="416">
        <v>0</v>
      </c>
      <c r="K124" s="416">
        <v>0</v>
      </c>
      <c r="L124" s="416">
        <v>0</v>
      </c>
      <c r="M124" s="416">
        <v>0</v>
      </c>
      <c r="N124" s="416">
        <v>0</v>
      </c>
      <c r="O124" s="416">
        <v>0</v>
      </c>
      <c r="P124" s="416">
        <v>0</v>
      </c>
      <c r="Q124" s="416">
        <v>0</v>
      </c>
      <c r="R124" s="416">
        <v>0</v>
      </c>
      <c r="S124" s="416">
        <v>0</v>
      </c>
      <c r="T124" s="416">
        <v>0</v>
      </c>
      <c r="U124" s="416">
        <v>0</v>
      </c>
      <c r="V124" s="416">
        <v>0</v>
      </c>
      <c r="W124" s="416">
        <v>0</v>
      </c>
      <c r="X124" s="416">
        <v>0</v>
      </c>
      <c r="Y124" s="416">
        <v>0</v>
      </c>
      <c r="Z124" s="416">
        <v>0</v>
      </c>
      <c r="AA124" s="416">
        <v>0</v>
      </c>
      <c r="AB124" s="416">
        <v>0</v>
      </c>
      <c r="AC124" s="416">
        <v>0</v>
      </c>
      <c r="AD124" s="416">
        <v>0</v>
      </c>
      <c r="AE124" s="416">
        <v>0</v>
      </c>
      <c r="AF124" s="416">
        <v>0</v>
      </c>
      <c r="AG124" s="416">
        <v>0</v>
      </c>
      <c r="AH124" s="416">
        <v>0</v>
      </c>
      <c r="AI124" s="416">
        <v>0</v>
      </c>
      <c r="AJ124" s="416">
        <v>0</v>
      </c>
      <c r="AK124" s="416">
        <v>0</v>
      </c>
      <c r="AL124" s="416">
        <v>0</v>
      </c>
      <c r="AM124" s="416">
        <v>0</v>
      </c>
      <c r="AN124" s="416">
        <v>0</v>
      </c>
      <c r="AO124" s="416">
        <v>0</v>
      </c>
      <c r="AP124" s="416">
        <v>0</v>
      </c>
      <c r="AQ124" s="416">
        <v>0</v>
      </c>
      <c r="AR124" s="416">
        <v>0</v>
      </c>
      <c r="AS124" s="416">
        <v>0</v>
      </c>
      <c r="AT124" s="416">
        <v>0</v>
      </c>
      <c r="AU124" s="416">
        <v>0</v>
      </c>
      <c r="AV124" s="416">
        <v>0</v>
      </c>
      <c r="AW124" s="416">
        <v>0</v>
      </c>
      <c r="AX124" s="416">
        <v>0</v>
      </c>
      <c r="AY124" s="416">
        <v>0</v>
      </c>
      <c r="AZ124" s="416">
        <v>0</v>
      </c>
      <c r="BA124" s="416">
        <v>0</v>
      </c>
      <c r="BB124" s="416">
        <v>0</v>
      </c>
      <c r="BC124" s="416">
        <v>0</v>
      </c>
      <c r="BD124" s="416">
        <v>0</v>
      </c>
      <c r="BE124" s="416">
        <v>0</v>
      </c>
      <c r="BF124" s="416">
        <v>0</v>
      </c>
      <c r="BG124" s="416">
        <v>0</v>
      </c>
      <c r="BH124" s="416">
        <v>0</v>
      </c>
      <c r="BI124" s="416">
        <v>0</v>
      </c>
      <c r="BJ124" s="416">
        <v>0</v>
      </c>
      <c r="BK124" s="416">
        <v>0</v>
      </c>
      <c r="BL124" s="416">
        <v>0</v>
      </c>
      <c r="BM124" s="416">
        <v>0</v>
      </c>
      <c r="BN124" s="416">
        <v>0</v>
      </c>
      <c r="BO124" s="416">
        <v>0</v>
      </c>
      <c r="BP124" s="416">
        <v>0</v>
      </c>
      <c r="BQ124" s="416">
        <v>0</v>
      </c>
      <c r="BR124" s="416">
        <v>0</v>
      </c>
      <c r="BS124" s="416">
        <v>0</v>
      </c>
      <c r="BT124" s="416">
        <v>0</v>
      </c>
      <c r="BU124" s="416">
        <v>0</v>
      </c>
      <c r="BV124" s="416">
        <v>0</v>
      </c>
      <c r="BW124" s="416">
        <v>0</v>
      </c>
      <c r="BX124" s="416">
        <v>0</v>
      </c>
      <c r="BY124" s="416">
        <v>0</v>
      </c>
      <c r="BZ124" s="416">
        <v>0</v>
      </c>
      <c r="CC124" s="420"/>
      <c r="CD124" s="417" t="s">
        <v>120</v>
      </c>
      <c r="CE124" s="420">
        <f t="shared" si="31"/>
        <v>0</v>
      </c>
      <c r="CF124" s="420">
        <f t="shared" si="17"/>
        <v>0</v>
      </c>
      <c r="CG124" s="420">
        <f t="shared" si="18"/>
        <v>0</v>
      </c>
      <c r="CH124" s="420">
        <f t="shared" si="19"/>
        <v>0</v>
      </c>
      <c r="CI124" s="420">
        <f t="shared" si="20"/>
        <v>0</v>
      </c>
      <c r="CJ124" s="420">
        <f t="shared" si="21"/>
        <v>0</v>
      </c>
      <c r="CK124" s="420">
        <f t="shared" si="22"/>
        <v>0</v>
      </c>
      <c r="CL124" s="420">
        <f t="shared" si="23"/>
        <v>0</v>
      </c>
      <c r="CM124" s="420">
        <f t="shared" si="24"/>
        <v>0</v>
      </c>
      <c r="CN124" s="420">
        <f t="shared" si="25"/>
        <v>0</v>
      </c>
      <c r="CO124" s="420">
        <f t="shared" si="26"/>
        <v>0</v>
      </c>
      <c r="CP124" s="420">
        <f t="shared" si="27"/>
        <v>0</v>
      </c>
      <c r="CQ124" s="420">
        <f t="shared" si="28"/>
        <v>0</v>
      </c>
      <c r="CR124" s="420">
        <f t="shared" si="29"/>
        <v>0</v>
      </c>
      <c r="CS124" s="420">
        <f t="shared" si="30"/>
        <v>0</v>
      </c>
      <c r="CT124" s="21"/>
    </row>
    <row r="125" spans="3:98">
      <c r="C125" s="417" t="s">
        <v>538</v>
      </c>
      <c r="D125" s="416">
        <v>0</v>
      </c>
      <c r="E125" s="416">
        <v>0</v>
      </c>
      <c r="F125" s="416">
        <v>0</v>
      </c>
      <c r="G125" s="416">
        <v>0</v>
      </c>
      <c r="H125" s="427">
        <v>0</v>
      </c>
      <c r="I125" s="416">
        <v>0</v>
      </c>
      <c r="J125" s="416">
        <v>0</v>
      </c>
      <c r="K125" s="416">
        <v>0</v>
      </c>
      <c r="L125" s="416">
        <v>0</v>
      </c>
      <c r="M125" s="416">
        <v>0</v>
      </c>
      <c r="N125" s="416">
        <v>0</v>
      </c>
      <c r="O125" s="416">
        <v>0</v>
      </c>
      <c r="P125" s="416">
        <v>0</v>
      </c>
      <c r="Q125" s="416">
        <v>0</v>
      </c>
      <c r="R125" s="416">
        <v>0</v>
      </c>
      <c r="S125" s="416">
        <v>0</v>
      </c>
      <c r="T125" s="416">
        <v>0</v>
      </c>
      <c r="U125" s="416">
        <v>0</v>
      </c>
      <c r="V125" s="416">
        <v>0</v>
      </c>
      <c r="W125" s="416">
        <v>0</v>
      </c>
      <c r="X125" s="416">
        <v>0</v>
      </c>
      <c r="Y125" s="416">
        <v>0</v>
      </c>
      <c r="Z125" s="416">
        <v>0</v>
      </c>
      <c r="AA125" s="416">
        <v>0</v>
      </c>
      <c r="AB125" s="416">
        <v>0</v>
      </c>
      <c r="AC125" s="416">
        <v>0</v>
      </c>
      <c r="AD125" s="416">
        <v>0</v>
      </c>
      <c r="AE125" s="416">
        <v>0</v>
      </c>
      <c r="AF125" s="416">
        <v>0</v>
      </c>
      <c r="AG125" s="416">
        <v>0</v>
      </c>
      <c r="AH125" s="416">
        <v>0</v>
      </c>
      <c r="AI125" s="416">
        <v>0</v>
      </c>
      <c r="AJ125" s="416">
        <v>0</v>
      </c>
      <c r="AK125" s="416">
        <v>0</v>
      </c>
      <c r="AL125" s="416">
        <v>0</v>
      </c>
      <c r="AM125" s="416">
        <v>0</v>
      </c>
      <c r="AN125" s="416">
        <v>0</v>
      </c>
      <c r="AO125" s="416">
        <v>0</v>
      </c>
      <c r="AP125" s="416">
        <v>0</v>
      </c>
      <c r="AQ125" s="416">
        <v>0</v>
      </c>
      <c r="AR125" s="416">
        <v>0</v>
      </c>
      <c r="AS125" s="416">
        <v>0</v>
      </c>
      <c r="AT125" s="416">
        <v>0</v>
      </c>
      <c r="AU125" s="416">
        <v>0</v>
      </c>
      <c r="AV125" s="416">
        <v>0</v>
      </c>
      <c r="AW125" s="416">
        <v>0</v>
      </c>
      <c r="AX125" s="416">
        <v>0</v>
      </c>
      <c r="AY125" s="416">
        <v>0</v>
      </c>
      <c r="AZ125" s="416">
        <v>0</v>
      </c>
      <c r="BA125" s="416">
        <v>0</v>
      </c>
      <c r="BB125" s="416">
        <v>0</v>
      </c>
      <c r="BC125" s="416">
        <v>0</v>
      </c>
      <c r="BD125" s="416">
        <v>0</v>
      </c>
      <c r="BE125" s="416">
        <v>0</v>
      </c>
      <c r="BF125" s="416">
        <v>0</v>
      </c>
      <c r="BG125" s="416">
        <v>0</v>
      </c>
      <c r="BH125" s="416">
        <v>0</v>
      </c>
      <c r="BI125" s="416">
        <v>0</v>
      </c>
      <c r="BJ125" s="416">
        <v>0</v>
      </c>
      <c r="BK125" s="416">
        <v>0</v>
      </c>
      <c r="BL125" s="416">
        <v>0</v>
      </c>
      <c r="BM125" s="416">
        <v>0</v>
      </c>
      <c r="BN125" s="416">
        <v>0</v>
      </c>
      <c r="BO125" s="416">
        <v>0</v>
      </c>
      <c r="BP125" s="416">
        <v>0</v>
      </c>
      <c r="BQ125" s="416">
        <v>0</v>
      </c>
      <c r="BR125" s="416">
        <v>0</v>
      </c>
      <c r="BS125" s="416">
        <v>0</v>
      </c>
      <c r="BT125" s="416">
        <v>0</v>
      </c>
      <c r="BU125" s="416">
        <v>0</v>
      </c>
      <c r="BV125" s="416">
        <v>0</v>
      </c>
      <c r="BW125" s="416">
        <v>0</v>
      </c>
      <c r="BX125" s="416">
        <v>0</v>
      </c>
      <c r="BY125" s="416">
        <v>0</v>
      </c>
      <c r="BZ125" s="416">
        <v>0</v>
      </c>
      <c r="CC125" s="420"/>
      <c r="CD125" s="417" t="s">
        <v>538</v>
      </c>
      <c r="CE125" s="420">
        <f t="shared" si="31"/>
        <v>0</v>
      </c>
      <c r="CF125" s="420">
        <f t="shared" si="17"/>
        <v>0</v>
      </c>
      <c r="CG125" s="420">
        <f t="shared" si="18"/>
        <v>0</v>
      </c>
      <c r="CH125" s="420">
        <f t="shared" si="19"/>
        <v>0</v>
      </c>
      <c r="CI125" s="420">
        <f t="shared" si="20"/>
        <v>0</v>
      </c>
      <c r="CJ125" s="420">
        <f t="shared" si="21"/>
        <v>0</v>
      </c>
      <c r="CK125" s="420">
        <f t="shared" si="22"/>
        <v>0</v>
      </c>
      <c r="CL125" s="420">
        <f t="shared" si="23"/>
        <v>0</v>
      </c>
      <c r="CM125" s="420">
        <f t="shared" si="24"/>
        <v>0</v>
      </c>
      <c r="CN125" s="420">
        <f t="shared" si="25"/>
        <v>0</v>
      </c>
      <c r="CO125" s="420">
        <f t="shared" si="26"/>
        <v>0</v>
      </c>
      <c r="CP125" s="420">
        <f t="shared" si="27"/>
        <v>0</v>
      </c>
      <c r="CQ125" s="420">
        <f t="shared" si="28"/>
        <v>0</v>
      </c>
      <c r="CR125" s="420">
        <f t="shared" si="29"/>
        <v>0</v>
      </c>
      <c r="CS125" s="420">
        <f t="shared" si="30"/>
        <v>0</v>
      </c>
      <c r="CT125" s="21"/>
    </row>
    <row r="126" spans="3:98">
      <c r="C126" s="417" t="s">
        <v>539</v>
      </c>
      <c r="D126" s="416">
        <v>0</v>
      </c>
      <c r="E126" s="416">
        <v>0</v>
      </c>
      <c r="F126" s="416">
        <v>0</v>
      </c>
      <c r="G126" s="416">
        <v>0</v>
      </c>
      <c r="H126" s="427">
        <v>0</v>
      </c>
      <c r="I126" s="416">
        <v>0</v>
      </c>
      <c r="J126" s="416">
        <v>0</v>
      </c>
      <c r="K126" s="416">
        <v>0</v>
      </c>
      <c r="L126" s="416">
        <v>0</v>
      </c>
      <c r="M126" s="416">
        <v>0</v>
      </c>
      <c r="N126" s="416">
        <v>0</v>
      </c>
      <c r="O126" s="416">
        <v>0</v>
      </c>
      <c r="P126" s="416">
        <v>0</v>
      </c>
      <c r="Q126" s="416">
        <v>0</v>
      </c>
      <c r="R126" s="416">
        <v>0</v>
      </c>
      <c r="S126" s="416">
        <v>0</v>
      </c>
      <c r="T126" s="416">
        <v>0</v>
      </c>
      <c r="U126" s="416">
        <v>0</v>
      </c>
      <c r="V126" s="416">
        <v>0</v>
      </c>
      <c r="W126" s="416">
        <v>0</v>
      </c>
      <c r="X126" s="416">
        <v>0</v>
      </c>
      <c r="Y126" s="416">
        <v>0</v>
      </c>
      <c r="Z126" s="416">
        <v>0</v>
      </c>
      <c r="AA126" s="416">
        <v>0</v>
      </c>
      <c r="AB126" s="416">
        <v>0</v>
      </c>
      <c r="AC126" s="416">
        <v>0</v>
      </c>
      <c r="AD126" s="416">
        <v>0</v>
      </c>
      <c r="AE126" s="416">
        <v>0</v>
      </c>
      <c r="AF126" s="416">
        <v>0</v>
      </c>
      <c r="AG126" s="416">
        <v>0</v>
      </c>
      <c r="AH126" s="416">
        <v>0</v>
      </c>
      <c r="AI126" s="416">
        <v>0</v>
      </c>
      <c r="AJ126" s="416">
        <v>0</v>
      </c>
      <c r="AK126" s="416">
        <v>0</v>
      </c>
      <c r="AL126" s="416">
        <v>0</v>
      </c>
      <c r="AM126" s="416">
        <v>0</v>
      </c>
      <c r="AN126" s="416">
        <v>0</v>
      </c>
      <c r="AO126" s="416">
        <v>0</v>
      </c>
      <c r="AP126" s="416">
        <v>0</v>
      </c>
      <c r="AQ126" s="416">
        <v>0</v>
      </c>
      <c r="AR126" s="416">
        <v>0</v>
      </c>
      <c r="AS126" s="416">
        <v>0</v>
      </c>
      <c r="AT126" s="416">
        <v>0</v>
      </c>
      <c r="AU126" s="416">
        <v>0</v>
      </c>
      <c r="AV126" s="416">
        <v>0</v>
      </c>
      <c r="AW126" s="416">
        <v>0</v>
      </c>
      <c r="AX126" s="416">
        <v>0</v>
      </c>
      <c r="AY126" s="416">
        <v>0</v>
      </c>
      <c r="AZ126" s="416">
        <v>0</v>
      </c>
      <c r="BA126" s="416">
        <v>0</v>
      </c>
      <c r="BB126" s="416">
        <v>0</v>
      </c>
      <c r="BC126" s="416">
        <v>0</v>
      </c>
      <c r="BD126" s="416">
        <v>0</v>
      </c>
      <c r="BE126" s="416">
        <v>0</v>
      </c>
      <c r="BF126" s="416">
        <v>0</v>
      </c>
      <c r="BG126" s="416">
        <v>0</v>
      </c>
      <c r="BH126" s="416">
        <v>0</v>
      </c>
      <c r="BI126" s="416">
        <v>0</v>
      </c>
      <c r="BJ126" s="416">
        <v>0</v>
      </c>
      <c r="BK126" s="416">
        <v>0</v>
      </c>
      <c r="BL126" s="416">
        <v>0</v>
      </c>
      <c r="BM126" s="416">
        <v>0</v>
      </c>
      <c r="BN126" s="416">
        <v>0</v>
      </c>
      <c r="BO126" s="416">
        <v>0</v>
      </c>
      <c r="BP126" s="416">
        <v>0</v>
      </c>
      <c r="BQ126" s="416">
        <v>0</v>
      </c>
      <c r="BR126" s="416">
        <v>0</v>
      </c>
      <c r="BS126" s="416">
        <v>0</v>
      </c>
      <c r="BT126" s="416">
        <v>0</v>
      </c>
      <c r="BU126" s="416">
        <v>0</v>
      </c>
      <c r="BV126" s="416">
        <v>0</v>
      </c>
      <c r="BW126" s="416">
        <v>0</v>
      </c>
      <c r="BX126" s="416">
        <v>0</v>
      </c>
      <c r="BY126" s="416">
        <v>0</v>
      </c>
      <c r="BZ126" s="416">
        <v>0</v>
      </c>
      <c r="CC126" s="420"/>
      <c r="CD126" s="417" t="s">
        <v>539</v>
      </c>
      <c r="CE126" s="420">
        <f t="shared" si="31"/>
        <v>0</v>
      </c>
      <c r="CF126" s="420">
        <f t="shared" si="17"/>
        <v>0</v>
      </c>
      <c r="CG126" s="420">
        <f t="shared" si="18"/>
        <v>0</v>
      </c>
      <c r="CH126" s="420">
        <f t="shared" si="19"/>
        <v>0</v>
      </c>
      <c r="CI126" s="420">
        <f t="shared" si="20"/>
        <v>0</v>
      </c>
      <c r="CJ126" s="420">
        <f t="shared" si="21"/>
        <v>0</v>
      </c>
      <c r="CK126" s="420">
        <f t="shared" si="22"/>
        <v>0</v>
      </c>
      <c r="CL126" s="420">
        <f t="shared" si="23"/>
        <v>0</v>
      </c>
      <c r="CM126" s="420">
        <f t="shared" si="24"/>
        <v>0</v>
      </c>
      <c r="CN126" s="420">
        <f t="shared" si="25"/>
        <v>0</v>
      </c>
      <c r="CO126" s="420">
        <f t="shared" si="26"/>
        <v>0</v>
      </c>
      <c r="CP126" s="420">
        <f t="shared" si="27"/>
        <v>0</v>
      </c>
      <c r="CQ126" s="420">
        <f t="shared" si="28"/>
        <v>0</v>
      </c>
      <c r="CR126" s="420">
        <f t="shared" si="29"/>
        <v>0</v>
      </c>
      <c r="CS126" s="420">
        <f t="shared" si="30"/>
        <v>0</v>
      </c>
      <c r="CT126" s="21"/>
    </row>
    <row r="127" spans="3:98">
      <c r="C127" s="421" t="s">
        <v>121</v>
      </c>
      <c r="D127" s="422">
        <v>0</v>
      </c>
      <c r="E127" s="422">
        <v>0</v>
      </c>
      <c r="F127" s="422">
        <v>0</v>
      </c>
      <c r="G127" s="422">
        <v>0</v>
      </c>
      <c r="H127" s="422">
        <v>0</v>
      </c>
      <c r="I127" s="422">
        <v>0</v>
      </c>
      <c r="J127" s="422">
        <v>0</v>
      </c>
      <c r="K127" s="422">
        <v>0</v>
      </c>
      <c r="L127" s="422">
        <v>0</v>
      </c>
      <c r="M127" s="422">
        <v>0</v>
      </c>
      <c r="N127" s="422">
        <v>0</v>
      </c>
      <c r="O127" s="422">
        <v>0</v>
      </c>
      <c r="P127" s="422">
        <v>0</v>
      </c>
      <c r="Q127" s="422">
        <v>0</v>
      </c>
      <c r="R127" s="422">
        <v>0</v>
      </c>
      <c r="S127" s="422">
        <v>0</v>
      </c>
      <c r="T127" s="422">
        <v>0</v>
      </c>
      <c r="U127" s="422">
        <v>0</v>
      </c>
      <c r="V127" s="422">
        <v>0</v>
      </c>
      <c r="W127" s="422">
        <v>0</v>
      </c>
      <c r="X127" s="422">
        <v>0</v>
      </c>
      <c r="Y127" s="422">
        <v>0</v>
      </c>
      <c r="Z127" s="422">
        <v>0</v>
      </c>
      <c r="AA127" s="422">
        <v>0</v>
      </c>
      <c r="AB127" s="422">
        <v>0</v>
      </c>
      <c r="AC127" s="422">
        <v>0</v>
      </c>
      <c r="AD127" s="422">
        <v>0</v>
      </c>
      <c r="AE127" s="422">
        <v>0</v>
      </c>
      <c r="AF127" s="422">
        <v>0</v>
      </c>
      <c r="AG127" s="422">
        <v>0</v>
      </c>
      <c r="AH127" s="422">
        <v>0</v>
      </c>
      <c r="AI127" s="422">
        <v>0</v>
      </c>
      <c r="AJ127" s="422">
        <v>0</v>
      </c>
      <c r="AK127" s="422">
        <v>0</v>
      </c>
      <c r="AL127" s="422">
        <v>0</v>
      </c>
      <c r="AM127" s="422">
        <v>0</v>
      </c>
      <c r="AN127" s="422">
        <v>0</v>
      </c>
      <c r="AO127" s="422">
        <v>0</v>
      </c>
      <c r="AP127" s="422">
        <v>0</v>
      </c>
      <c r="AQ127" s="422">
        <v>0</v>
      </c>
      <c r="AR127" s="422">
        <v>0</v>
      </c>
      <c r="AS127" s="422">
        <v>0</v>
      </c>
      <c r="AT127" s="422">
        <v>0</v>
      </c>
      <c r="AU127" s="422">
        <v>0</v>
      </c>
      <c r="AV127" s="422">
        <v>0</v>
      </c>
      <c r="AW127" s="422">
        <v>0</v>
      </c>
      <c r="AX127" s="422">
        <v>0</v>
      </c>
      <c r="AY127" s="422">
        <v>0</v>
      </c>
      <c r="AZ127" s="422">
        <v>0</v>
      </c>
      <c r="BA127" s="422">
        <v>0</v>
      </c>
      <c r="BB127" s="422">
        <v>0</v>
      </c>
      <c r="BC127" s="422">
        <v>0</v>
      </c>
      <c r="BD127" s="422">
        <v>0</v>
      </c>
      <c r="BE127" s="422">
        <v>0</v>
      </c>
      <c r="BF127" s="422">
        <v>-30.387</v>
      </c>
      <c r="BG127" s="422">
        <v>31.972999999999999</v>
      </c>
      <c r="BH127" s="422">
        <v>32.26</v>
      </c>
      <c r="BI127" s="422">
        <v>81.299000000000007</v>
      </c>
      <c r="BJ127" s="422">
        <v>176.785</v>
      </c>
      <c r="BK127" s="422">
        <v>322.31700000000001</v>
      </c>
      <c r="BL127" s="422">
        <v>771.46299999999997</v>
      </c>
      <c r="BM127" s="422">
        <v>1606.3489999999999</v>
      </c>
      <c r="BN127" s="422">
        <v>406.1</v>
      </c>
      <c r="BO127" s="422">
        <v>840.20799999999997</v>
      </c>
      <c r="BP127" s="422">
        <v>3624.12</v>
      </c>
      <c r="BQ127" s="422">
        <v>-429.65899999999999</v>
      </c>
      <c r="BR127" s="422">
        <v>-1093.654</v>
      </c>
      <c r="BS127" s="422">
        <v>-544.63499999999999</v>
      </c>
      <c r="BT127" s="422">
        <v>-557.00099999999998</v>
      </c>
      <c r="BU127" s="422">
        <v>-2624.9490000000001</v>
      </c>
      <c r="BV127" s="422">
        <v>-78.896000000000001</v>
      </c>
      <c r="BW127" s="422">
        <v>-97.405000000000001</v>
      </c>
      <c r="BX127" s="422">
        <v>-2.2650000000000001</v>
      </c>
      <c r="BY127" s="422">
        <v>0</v>
      </c>
      <c r="BZ127" s="422">
        <v>0</v>
      </c>
      <c r="CC127" s="420"/>
      <c r="CD127" s="421" t="s">
        <v>121</v>
      </c>
      <c r="CE127" s="423">
        <f t="shared" si="31"/>
        <v>0</v>
      </c>
      <c r="CF127" s="423">
        <f t="shared" si="17"/>
        <v>0</v>
      </c>
      <c r="CG127" s="423">
        <f t="shared" si="18"/>
        <v>0</v>
      </c>
      <c r="CH127" s="423">
        <f t="shared" si="19"/>
        <v>0</v>
      </c>
      <c r="CI127" s="423">
        <f t="shared" si="20"/>
        <v>0</v>
      </c>
      <c r="CJ127" s="423">
        <f t="shared" si="21"/>
        <v>0</v>
      </c>
      <c r="CK127" s="423">
        <f t="shared" si="22"/>
        <v>0</v>
      </c>
      <c r="CL127" s="423">
        <f t="shared" si="23"/>
        <v>0</v>
      </c>
      <c r="CM127" s="423">
        <f t="shared" si="24"/>
        <v>0</v>
      </c>
      <c r="CN127" s="423">
        <f t="shared" si="25"/>
        <v>0</v>
      </c>
      <c r="CO127" s="423">
        <f t="shared" si="26"/>
        <v>-30.387</v>
      </c>
      <c r="CP127" s="423">
        <f t="shared" si="27"/>
        <v>322.31700000000001</v>
      </c>
      <c r="CQ127" s="423">
        <f t="shared" si="28"/>
        <v>3624.12</v>
      </c>
      <c r="CR127" s="423">
        <f t="shared" si="29"/>
        <v>-2624.9490000000001</v>
      </c>
      <c r="CS127" s="423">
        <f t="shared" si="30"/>
        <v>0</v>
      </c>
      <c r="CT127" s="21"/>
    </row>
    <row r="128" spans="3:98" ht="4.5" customHeight="1">
      <c r="D128" s="416">
        <v>0</v>
      </c>
      <c r="E128" s="416">
        <v>0</v>
      </c>
      <c r="F128" s="416">
        <v>0</v>
      </c>
      <c r="G128" s="416">
        <v>0</v>
      </c>
      <c r="H128" s="427">
        <v>0</v>
      </c>
      <c r="I128" s="416">
        <v>0</v>
      </c>
      <c r="J128" s="416">
        <v>0</v>
      </c>
      <c r="K128" s="416">
        <v>0</v>
      </c>
      <c r="L128" s="416">
        <v>0</v>
      </c>
      <c r="M128" s="416">
        <v>0</v>
      </c>
      <c r="N128" s="416">
        <v>0</v>
      </c>
      <c r="O128" s="416">
        <v>0</v>
      </c>
      <c r="P128" s="416">
        <v>0</v>
      </c>
      <c r="Q128" s="416">
        <v>0</v>
      </c>
      <c r="R128" s="416">
        <v>0</v>
      </c>
      <c r="S128" s="416">
        <v>0</v>
      </c>
      <c r="T128" s="416">
        <v>0</v>
      </c>
      <c r="U128" s="416">
        <v>0</v>
      </c>
      <c r="V128" s="416">
        <v>0</v>
      </c>
      <c r="W128" s="416">
        <v>0</v>
      </c>
      <c r="X128" s="416">
        <v>0</v>
      </c>
      <c r="Y128" s="416">
        <v>0</v>
      </c>
      <c r="Z128" s="416">
        <v>0</v>
      </c>
      <c r="AA128" s="416">
        <v>0</v>
      </c>
      <c r="AB128" s="416">
        <v>0</v>
      </c>
      <c r="AC128" s="416">
        <v>0</v>
      </c>
      <c r="AD128" s="416">
        <v>0</v>
      </c>
      <c r="AE128" s="416">
        <v>0</v>
      </c>
      <c r="AF128" s="416">
        <v>0</v>
      </c>
      <c r="AG128" s="416">
        <v>0</v>
      </c>
      <c r="AH128" s="416">
        <v>0</v>
      </c>
      <c r="AI128" s="416">
        <v>0</v>
      </c>
      <c r="AJ128" s="416">
        <v>0</v>
      </c>
      <c r="AK128" s="416">
        <v>0</v>
      </c>
      <c r="AL128" s="416">
        <v>0</v>
      </c>
      <c r="AM128" s="416">
        <v>0</v>
      </c>
      <c r="AN128" s="416">
        <v>0</v>
      </c>
      <c r="AO128" s="416">
        <v>0</v>
      </c>
      <c r="AP128" s="416">
        <v>0</v>
      </c>
      <c r="AQ128" s="416">
        <v>0</v>
      </c>
      <c r="AR128" s="416">
        <v>0</v>
      </c>
      <c r="AS128" s="416">
        <v>0</v>
      </c>
      <c r="AT128" s="416">
        <v>0</v>
      </c>
      <c r="AU128" s="416">
        <v>0</v>
      </c>
      <c r="AV128" s="416">
        <v>0</v>
      </c>
      <c r="AW128" s="416">
        <v>0</v>
      </c>
      <c r="AX128" s="416">
        <v>0</v>
      </c>
      <c r="AY128" s="416">
        <v>0</v>
      </c>
      <c r="AZ128" s="416">
        <v>0</v>
      </c>
      <c r="BA128" s="416">
        <v>0</v>
      </c>
      <c r="BB128" s="416">
        <v>0</v>
      </c>
      <c r="BC128" s="416">
        <v>0</v>
      </c>
      <c r="BD128" s="416">
        <v>0</v>
      </c>
      <c r="BE128" s="416">
        <v>0</v>
      </c>
      <c r="BF128" s="416">
        <v>0</v>
      </c>
      <c r="BG128" s="416">
        <v>0</v>
      </c>
      <c r="BH128" s="416">
        <v>0</v>
      </c>
      <c r="BI128" s="416">
        <v>0</v>
      </c>
      <c r="BJ128" s="416">
        <v>0</v>
      </c>
      <c r="BK128" s="416">
        <v>0</v>
      </c>
      <c r="BL128" s="416">
        <v>0</v>
      </c>
      <c r="BM128" s="416">
        <v>0</v>
      </c>
      <c r="BN128" s="416">
        <v>0</v>
      </c>
      <c r="BO128" s="416">
        <v>0</v>
      </c>
      <c r="BP128" s="416">
        <v>0</v>
      </c>
      <c r="BQ128" s="416">
        <v>0</v>
      </c>
      <c r="BR128" s="416">
        <v>0</v>
      </c>
      <c r="BS128" s="416">
        <v>0</v>
      </c>
      <c r="BT128" s="416">
        <v>0</v>
      </c>
      <c r="BU128" s="416">
        <v>0</v>
      </c>
      <c r="BV128" s="416">
        <v>0</v>
      </c>
      <c r="BW128" s="416">
        <v>0</v>
      </c>
      <c r="BX128" s="416">
        <v>0</v>
      </c>
      <c r="BY128" s="416">
        <v>0</v>
      </c>
      <c r="BZ128" s="416">
        <v>0</v>
      </c>
      <c r="CC128" s="420"/>
      <c r="CD128" s="58"/>
      <c r="CE128" s="420"/>
      <c r="CF128" s="420"/>
      <c r="CG128" s="420"/>
      <c r="CH128" s="420"/>
      <c r="CI128" s="420"/>
      <c r="CJ128" s="420"/>
      <c r="CK128" s="420"/>
      <c r="CL128" s="420"/>
      <c r="CM128" s="420"/>
      <c r="CN128" s="420"/>
      <c r="CO128" s="420"/>
      <c r="CP128" s="420"/>
      <c r="CQ128" s="420"/>
      <c r="CR128" s="420"/>
      <c r="CS128" s="420"/>
      <c r="CT128" s="21"/>
    </row>
    <row r="129" spans="3:98">
      <c r="C129" s="417" t="s">
        <v>746</v>
      </c>
      <c r="D129" s="416">
        <v>0</v>
      </c>
      <c r="E129" s="416">
        <v>0</v>
      </c>
      <c r="F129" s="416">
        <v>0</v>
      </c>
      <c r="G129" s="416">
        <v>0</v>
      </c>
      <c r="H129" s="427">
        <v>0</v>
      </c>
      <c r="I129" s="416">
        <v>0</v>
      </c>
      <c r="J129" s="416">
        <v>0</v>
      </c>
      <c r="K129" s="416">
        <v>0</v>
      </c>
      <c r="L129" s="416">
        <v>0</v>
      </c>
      <c r="M129" s="416">
        <v>0</v>
      </c>
      <c r="N129" s="416">
        <v>0</v>
      </c>
      <c r="O129" s="416">
        <v>0</v>
      </c>
      <c r="P129" s="416">
        <v>0</v>
      </c>
      <c r="Q129" s="416">
        <v>0</v>
      </c>
      <c r="R129" s="416">
        <v>0</v>
      </c>
      <c r="S129" s="416">
        <v>0</v>
      </c>
      <c r="T129" s="416">
        <v>0</v>
      </c>
      <c r="U129" s="416">
        <v>0</v>
      </c>
      <c r="V129" s="416">
        <v>0</v>
      </c>
      <c r="W129" s="416">
        <v>0</v>
      </c>
      <c r="X129" s="416">
        <v>0</v>
      </c>
      <c r="Y129" s="416">
        <v>0</v>
      </c>
      <c r="Z129" s="416">
        <v>0</v>
      </c>
      <c r="AA129" s="416">
        <v>0</v>
      </c>
      <c r="AB129" s="416">
        <v>0</v>
      </c>
      <c r="AC129" s="416">
        <v>0</v>
      </c>
      <c r="AD129" s="416">
        <v>0</v>
      </c>
      <c r="AE129" s="416">
        <v>0</v>
      </c>
      <c r="AF129" s="416">
        <v>0</v>
      </c>
      <c r="AG129" s="416">
        <v>0</v>
      </c>
      <c r="AH129" s="416">
        <v>0</v>
      </c>
      <c r="AI129" s="416">
        <v>0</v>
      </c>
      <c r="AJ129" s="416">
        <v>0</v>
      </c>
      <c r="AK129" s="416">
        <v>0</v>
      </c>
      <c r="AL129" s="416">
        <v>0</v>
      </c>
      <c r="AM129" s="416">
        <v>0</v>
      </c>
      <c r="AN129" s="416">
        <v>0</v>
      </c>
      <c r="AO129" s="416">
        <v>0</v>
      </c>
      <c r="AP129" s="416">
        <v>0</v>
      </c>
      <c r="AQ129" s="416">
        <v>0</v>
      </c>
      <c r="AR129" s="416">
        <v>0</v>
      </c>
      <c r="AS129" s="416">
        <v>0</v>
      </c>
      <c r="AT129" s="416">
        <v>0</v>
      </c>
      <c r="AU129" s="416">
        <v>0</v>
      </c>
      <c r="AV129" s="416">
        <v>0</v>
      </c>
      <c r="AW129" s="416">
        <v>0</v>
      </c>
      <c r="AX129" s="416">
        <v>0</v>
      </c>
      <c r="AY129" s="416">
        <v>0</v>
      </c>
      <c r="AZ129" s="416">
        <v>0</v>
      </c>
      <c r="BA129" s="416">
        <v>0</v>
      </c>
      <c r="BB129" s="416">
        <v>0</v>
      </c>
      <c r="BC129" s="416">
        <v>0</v>
      </c>
      <c r="BD129" s="416">
        <v>0</v>
      </c>
      <c r="BE129" s="416">
        <v>0</v>
      </c>
      <c r="BF129" s="416">
        <v>0</v>
      </c>
      <c r="BG129" s="416">
        <v>0</v>
      </c>
      <c r="BH129" s="416">
        <v>0</v>
      </c>
      <c r="BI129" s="416">
        <v>0</v>
      </c>
      <c r="BJ129" s="416">
        <v>0</v>
      </c>
      <c r="BK129" s="416">
        <v>0</v>
      </c>
      <c r="BL129" s="416">
        <v>0</v>
      </c>
      <c r="BM129" s="416">
        <v>0</v>
      </c>
      <c r="BN129" s="416">
        <v>0</v>
      </c>
      <c r="BO129" s="416">
        <v>0</v>
      </c>
      <c r="BP129" s="416">
        <v>0</v>
      </c>
      <c r="BQ129" s="416">
        <v>0</v>
      </c>
      <c r="BR129" s="416">
        <v>0</v>
      </c>
      <c r="BS129" s="416">
        <v>0</v>
      </c>
      <c r="BT129" s="416">
        <v>0</v>
      </c>
      <c r="BU129" s="416">
        <v>0</v>
      </c>
      <c r="BV129" s="416">
        <v>0</v>
      </c>
      <c r="BW129" s="416">
        <v>0</v>
      </c>
      <c r="BX129" s="416">
        <v>0</v>
      </c>
      <c r="BY129" s="416">
        <v>0</v>
      </c>
      <c r="BZ129" s="416">
        <v>0</v>
      </c>
      <c r="CC129" s="420"/>
      <c r="CD129" s="417" t="s">
        <v>746</v>
      </c>
      <c r="CE129" s="425">
        <f t="shared" si="31"/>
        <v>0</v>
      </c>
      <c r="CF129" s="425">
        <f t="shared" si="17"/>
        <v>0</v>
      </c>
      <c r="CG129" s="425">
        <f t="shared" si="18"/>
        <v>0</v>
      </c>
      <c r="CH129" s="425">
        <f t="shared" si="19"/>
        <v>0</v>
      </c>
      <c r="CI129" s="425">
        <f t="shared" si="20"/>
        <v>0</v>
      </c>
      <c r="CJ129" s="425">
        <f t="shared" si="21"/>
        <v>0</v>
      </c>
      <c r="CK129" s="425">
        <f t="shared" si="22"/>
        <v>0</v>
      </c>
      <c r="CL129" s="425">
        <f t="shared" si="23"/>
        <v>0</v>
      </c>
      <c r="CM129" s="425">
        <f t="shared" si="24"/>
        <v>0</v>
      </c>
      <c r="CN129" s="425">
        <f t="shared" si="25"/>
        <v>0</v>
      </c>
      <c r="CO129" s="425">
        <f t="shared" si="26"/>
        <v>0</v>
      </c>
      <c r="CP129" s="425">
        <f t="shared" si="27"/>
        <v>0</v>
      </c>
      <c r="CQ129" s="425">
        <f t="shared" si="28"/>
        <v>0</v>
      </c>
      <c r="CR129" s="425">
        <f t="shared" si="29"/>
        <v>0</v>
      </c>
      <c r="CS129" s="425">
        <f t="shared" si="30"/>
        <v>0</v>
      </c>
      <c r="CT129" s="21"/>
    </row>
    <row r="130" spans="3:98">
      <c r="C130" s="421" t="s">
        <v>122</v>
      </c>
      <c r="D130" s="422">
        <v>0</v>
      </c>
      <c r="E130" s="422">
        <v>0</v>
      </c>
      <c r="F130" s="422">
        <v>0</v>
      </c>
      <c r="G130" s="422">
        <v>0</v>
      </c>
      <c r="H130" s="422">
        <v>0</v>
      </c>
      <c r="I130" s="422">
        <v>0</v>
      </c>
      <c r="J130" s="422">
        <v>0</v>
      </c>
      <c r="K130" s="422">
        <v>0</v>
      </c>
      <c r="L130" s="422">
        <v>0</v>
      </c>
      <c r="M130" s="422">
        <v>0</v>
      </c>
      <c r="N130" s="422">
        <v>0</v>
      </c>
      <c r="O130" s="422">
        <v>0</v>
      </c>
      <c r="P130" s="422">
        <v>0</v>
      </c>
      <c r="Q130" s="422">
        <v>0</v>
      </c>
      <c r="R130" s="422">
        <v>0</v>
      </c>
      <c r="S130" s="422">
        <v>0</v>
      </c>
      <c r="T130" s="422">
        <v>0</v>
      </c>
      <c r="U130" s="422">
        <v>0</v>
      </c>
      <c r="V130" s="422">
        <v>0</v>
      </c>
      <c r="W130" s="422">
        <v>0</v>
      </c>
      <c r="X130" s="422">
        <v>0</v>
      </c>
      <c r="Y130" s="422">
        <v>0</v>
      </c>
      <c r="Z130" s="422">
        <v>0</v>
      </c>
      <c r="AA130" s="422">
        <v>0</v>
      </c>
      <c r="AB130" s="422">
        <v>0</v>
      </c>
      <c r="AC130" s="422">
        <v>0</v>
      </c>
      <c r="AD130" s="422">
        <v>0</v>
      </c>
      <c r="AE130" s="422">
        <v>0</v>
      </c>
      <c r="AF130" s="422">
        <v>0</v>
      </c>
      <c r="AG130" s="422">
        <v>0</v>
      </c>
      <c r="AH130" s="422">
        <v>0</v>
      </c>
      <c r="AI130" s="422">
        <v>0</v>
      </c>
      <c r="AJ130" s="422">
        <v>0</v>
      </c>
      <c r="AK130" s="422">
        <v>0</v>
      </c>
      <c r="AL130" s="422">
        <v>0</v>
      </c>
      <c r="AM130" s="422">
        <v>0</v>
      </c>
      <c r="AN130" s="422">
        <v>0</v>
      </c>
      <c r="AO130" s="422">
        <v>0</v>
      </c>
      <c r="AP130" s="422">
        <v>0</v>
      </c>
      <c r="AQ130" s="422">
        <v>0</v>
      </c>
      <c r="AR130" s="422">
        <v>0</v>
      </c>
      <c r="AS130" s="422">
        <v>0</v>
      </c>
      <c r="AT130" s="422">
        <v>0</v>
      </c>
      <c r="AU130" s="422">
        <v>0</v>
      </c>
      <c r="AV130" s="422">
        <v>0</v>
      </c>
      <c r="AW130" s="422">
        <v>0</v>
      </c>
      <c r="AX130" s="422">
        <v>0</v>
      </c>
      <c r="AY130" s="422">
        <v>0</v>
      </c>
      <c r="AZ130" s="422">
        <v>0</v>
      </c>
      <c r="BA130" s="422">
        <v>0</v>
      </c>
      <c r="BB130" s="422">
        <v>0</v>
      </c>
      <c r="BC130" s="422">
        <v>0</v>
      </c>
      <c r="BD130" s="422">
        <v>0</v>
      </c>
      <c r="BE130" s="422">
        <v>0</v>
      </c>
      <c r="BF130" s="422">
        <v>-30.387</v>
      </c>
      <c r="BG130" s="422">
        <v>31.972999999999999</v>
      </c>
      <c r="BH130" s="422">
        <v>32.26</v>
      </c>
      <c r="BI130" s="422">
        <v>81.299000000000007</v>
      </c>
      <c r="BJ130" s="422">
        <v>176.785</v>
      </c>
      <c r="BK130" s="422">
        <v>322.31700000000001</v>
      </c>
      <c r="BL130" s="422">
        <v>771.46299999999997</v>
      </c>
      <c r="BM130" s="422">
        <v>1606.3489999999999</v>
      </c>
      <c r="BN130" s="422">
        <v>406.1</v>
      </c>
      <c r="BO130" s="422">
        <v>840.20799999999997</v>
      </c>
      <c r="BP130" s="422">
        <v>3624.12</v>
      </c>
      <c r="BQ130" s="422">
        <v>-429.65899999999999</v>
      </c>
      <c r="BR130" s="422">
        <v>-1093.654</v>
      </c>
      <c r="BS130" s="422">
        <v>-544.63499999999999</v>
      </c>
      <c r="BT130" s="422">
        <v>-557.00099999999998</v>
      </c>
      <c r="BU130" s="422">
        <v>-2624.9490000000001</v>
      </c>
      <c r="BV130" s="422">
        <v>-78.896000000000001</v>
      </c>
      <c r="BW130" s="422">
        <v>-97.405000000000001</v>
      </c>
      <c r="BX130" s="422">
        <v>-2.2650000000000001</v>
      </c>
      <c r="BY130" s="422">
        <v>0</v>
      </c>
      <c r="BZ130" s="422">
        <v>0</v>
      </c>
      <c r="CC130" s="420"/>
      <c r="CD130" s="421" t="s">
        <v>122</v>
      </c>
      <c r="CE130" s="420">
        <f t="shared" si="31"/>
        <v>0</v>
      </c>
      <c r="CF130" s="420">
        <f t="shared" si="17"/>
        <v>0</v>
      </c>
      <c r="CG130" s="420">
        <f t="shared" si="18"/>
        <v>0</v>
      </c>
      <c r="CH130" s="420">
        <f t="shared" si="19"/>
        <v>0</v>
      </c>
      <c r="CI130" s="420">
        <f t="shared" si="20"/>
        <v>0</v>
      </c>
      <c r="CJ130" s="420">
        <f t="shared" si="21"/>
        <v>0</v>
      </c>
      <c r="CK130" s="420">
        <f t="shared" si="22"/>
        <v>0</v>
      </c>
      <c r="CL130" s="420">
        <f t="shared" si="23"/>
        <v>0</v>
      </c>
      <c r="CM130" s="420">
        <f t="shared" si="24"/>
        <v>0</v>
      </c>
      <c r="CN130" s="420">
        <f t="shared" si="25"/>
        <v>0</v>
      </c>
      <c r="CO130" s="420">
        <f t="shared" si="26"/>
        <v>-30.387</v>
      </c>
      <c r="CP130" s="420">
        <f t="shared" si="27"/>
        <v>322.31700000000001</v>
      </c>
      <c r="CQ130" s="420">
        <f t="shared" si="28"/>
        <v>3624.12</v>
      </c>
      <c r="CR130" s="420">
        <f t="shared" si="29"/>
        <v>-2624.9490000000001</v>
      </c>
      <c r="CS130" s="420">
        <f t="shared" si="30"/>
        <v>0</v>
      </c>
      <c r="CT130" s="21"/>
    </row>
    <row r="131" spans="3:98" ht="4.5" customHeight="1">
      <c r="D131" s="416">
        <v>0</v>
      </c>
      <c r="E131" s="416">
        <v>0</v>
      </c>
      <c r="F131" s="416">
        <v>0</v>
      </c>
      <c r="G131" s="416">
        <v>0</v>
      </c>
      <c r="H131" s="427">
        <v>0</v>
      </c>
      <c r="I131" s="416">
        <v>0</v>
      </c>
      <c r="J131" s="416">
        <v>0</v>
      </c>
      <c r="K131" s="416">
        <v>0</v>
      </c>
      <c r="L131" s="416">
        <v>0</v>
      </c>
      <c r="M131" s="416">
        <v>0</v>
      </c>
      <c r="N131" s="416">
        <v>0</v>
      </c>
      <c r="O131" s="416">
        <v>0</v>
      </c>
      <c r="P131" s="416">
        <v>0</v>
      </c>
      <c r="Q131" s="416">
        <v>0</v>
      </c>
      <c r="R131" s="416">
        <v>0</v>
      </c>
      <c r="S131" s="416">
        <v>0</v>
      </c>
      <c r="T131" s="416">
        <v>0</v>
      </c>
      <c r="U131" s="416">
        <v>0</v>
      </c>
      <c r="V131" s="416">
        <v>0</v>
      </c>
      <c r="W131" s="416">
        <v>0</v>
      </c>
      <c r="X131" s="416">
        <v>0</v>
      </c>
      <c r="Y131" s="416">
        <v>0</v>
      </c>
      <c r="Z131" s="416">
        <v>0</v>
      </c>
      <c r="AA131" s="416">
        <v>0</v>
      </c>
      <c r="AB131" s="416">
        <v>0</v>
      </c>
      <c r="AC131" s="416">
        <v>0</v>
      </c>
      <c r="AD131" s="416">
        <v>0</v>
      </c>
      <c r="AE131" s="416">
        <v>0</v>
      </c>
      <c r="AF131" s="416">
        <v>0</v>
      </c>
      <c r="AG131" s="416">
        <v>0</v>
      </c>
      <c r="AH131" s="416">
        <v>0</v>
      </c>
      <c r="AI131" s="416">
        <v>0</v>
      </c>
      <c r="AJ131" s="416">
        <v>0</v>
      </c>
      <c r="AK131" s="416">
        <v>0</v>
      </c>
      <c r="AL131" s="416">
        <v>0</v>
      </c>
      <c r="AM131" s="416">
        <v>0</v>
      </c>
      <c r="AN131" s="416">
        <v>0</v>
      </c>
      <c r="AO131" s="416">
        <v>0</v>
      </c>
      <c r="AP131" s="416">
        <v>0</v>
      </c>
      <c r="AQ131" s="416">
        <v>0</v>
      </c>
      <c r="AR131" s="416">
        <v>0</v>
      </c>
      <c r="AS131" s="416">
        <v>0</v>
      </c>
      <c r="AT131" s="416">
        <v>0</v>
      </c>
      <c r="AU131" s="416">
        <v>0</v>
      </c>
      <c r="AV131" s="416">
        <v>0</v>
      </c>
      <c r="AW131" s="416">
        <v>0</v>
      </c>
      <c r="AX131" s="416">
        <v>0</v>
      </c>
      <c r="AY131" s="416">
        <v>0</v>
      </c>
      <c r="AZ131" s="416">
        <v>0</v>
      </c>
      <c r="BA131" s="416">
        <v>0</v>
      </c>
      <c r="BB131" s="416">
        <v>0</v>
      </c>
      <c r="BC131" s="416">
        <v>0</v>
      </c>
      <c r="BD131" s="416">
        <v>0</v>
      </c>
      <c r="BE131" s="416">
        <v>0</v>
      </c>
      <c r="BF131" s="416">
        <v>0</v>
      </c>
      <c r="BG131" s="416">
        <v>0</v>
      </c>
      <c r="BH131" s="416">
        <v>0</v>
      </c>
      <c r="BI131" s="416">
        <v>0</v>
      </c>
      <c r="BJ131" s="416">
        <v>0</v>
      </c>
      <c r="BK131" s="416">
        <v>0</v>
      </c>
      <c r="BL131" s="416">
        <v>0</v>
      </c>
      <c r="BM131" s="416">
        <v>0</v>
      </c>
      <c r="BN131" s="416">
        <v>0</v>
      </c>
      <c r="BO131" s="416">
        <v>0</v>
      </c>
      <c r="BP131" s="416">
        <v>0</v>
      </c>
      <c r="BQ131" s="416">
        <v>0</v>
      </c>
      <c r="BR131" s="416">
        <v>0</v>
      </c>
      <c r="BS131" s="416">
        <v>0</v>
      </c>
      <c r="BT131" s="416">
        <v>0</v>
      </c>
      <c r="BU131" s="416">
        <v>0</v>
      </c>
      <c r="BV131" s="416">
        <v>0</v>
      </c>
      <c r="BW131" s="416">
        <v>0</v>
      </c>
      <c r="BX131" s="416">
        <v>0</v>
      </c>
      <c r="BY131" s="416">
        <v>0</v>
      </c>
      <c r="BZ131" s="416">
        <v>0</v>
      </c>
      <c r="CC131" s="420"/>
      <c r="CD131" s="58"/>
      <c r="CE131" s="420"/>
      <c r="CF131" s="420"/>
      <c r="CG131" s="420"/>
      <c r="CH131" s="420"/>
      <c r="CI131" s="420"/>
      <c r="CJ131" s="420"/>
      <c r="CK131" s="420"/>
      <c r="CL131" s="420"/>
      <c r="CM131" s="420"/>
      <c r="CN131" s="420"/>
      <c r="CO131" s="420"/>
      <c r="CP131" s="420"/>
      <c r="CQ131" s="420"/>
      <c r="CR131" s="420"/>
      <c r="CS131" s="420"/>
      <c r="CT131" s="21"/>
    </row>
    <row r="132" spans="3:98" hidden="1" outlineLevel="1">
      <c r="C132" s="415" t="s">
        <v>540</v>
      </c>
      <c r="D132" s="416">
        <v>0</v>
      </c>
      <c r="E132" s="416">
        <v>0</v>
      </c>
      <c r="F132" s="416">
        <v>0</v>
      </c>
      <c r="G132" s="416">
        <v>0</v>
      </c>
      <c r="H132" s="427">
        <v>0</v>
      </c>
      <c r="I132" s="416">
        <v>0</v>
      </c>
      <c r="J132" s="416">
        <v>0</v>
      </c>
      <c r="K132" s="416">
        <v>0</v>
      </c>
      <c r="L132" s="416">
        <v>0</v>
      </c>
      <c r="M132" s="416">
        <v>0</v>
      </c>
      <c r="N132" s="416">
        <v>0</v>
      </c>
      <c r="O132" s="416">
        <v>0</v>
      </c>
      <c r="P132" s="416">
        <v>0</v>
      </c>
      <c r="Q132" s="416">
        <v>0</v>
      </c>
      <c r="R132" s="416">
        <v>0</v>
      </c>
      <c r="S132" s="416">
        <v>0</v>
      </c>
      <c r="T132" s="416">
        <v>0</v>
      </c>
      <c r="U132" s="416">
        <v>0</v>
      </c>
      <c r="V132" s="416">
        <v>0</v>
      </c>
      <c r="W132" s="416">
        <v>0</v>
      </c>
      <c r="X132" s="416">
        <v>0</v>
      </c>
      <c r="Y132" s="416">
        <v>0</v>
      </c>
      <c r="Z132" s="416">
        <v>0</v>
      </c>
      <c r="AA132" s="416">
        <v>0</v>
      </c>
      <c r="AB132" s="416">
        <v>0</v>
      </c>
      <c r="AC132" s="416">
        <v>0</v>
      </c>
      <c r="AD132" s="416">
        <v>0</v>
      </c>
      <c r="AE132" s="416">
        <v>0</v>
      </c>
      <c r="AF132" s="416">
        <v>0</v>
      </c>
      <c r="AG132" s="416">
        <v>0</v>
      </c>
      <c r="AH132" s="416">
        <v>0</v>
      </c>
      <c r="AI132" s="416">
        <v>0</v>
      </c>
      <c r="AJ132" s="416">
        <v>0</v>
      </c>
      <c r="AK132" s="416">
        <v>0</v>
      </c>
      <c r="AL132" s="416">
        <v>0</v>
      </c>
      <c r="AM132" s="416">
        <v>0</v>
      </c>
      <c r="AN132" s="416">
        <v>0</v>
      </c>
      <c r="AO132" s="416">
        <v>0</v>
      </c>
      <c r="AP132" s="416">
        <v>0</v>
      </c>
      <c r="AQ132" s="416">
        <v>0</v>
      </c>
      <c r="AR132" s="416">
        <v>0</v>
      </c>
      <c r="AS132" s="416">
        <v>0</v>
      </c>
      <c r="AT132" s="416">
        <v>0</v>
      </c>
      <c r="AU132" s="416">
        <v>0</v>
      </c>
      <c r="AV132" s="416">
        <v>0</v>
      </c>
      <c r="AW132" s="416">
        <v>0</v>
      </c>
      <c r="AX132" s="416">
        <v>0</v>
      </c>
      <c r="AY132" s="416">
        <v>0</v>
      </c>
      <c r="AZ132" s="416">
        <v>0</v>
      </c>
      <c r="BA132" s="416">
        <v>0</v>
      </c>
      <c r="BB132" s="416">
        <v>0</v>
      </c>
      <c r="BC132" s="416">
        <v>0</v>
      </c>
      <c r="BD132" s="416">
        <v>0</v>
      </c>
      <c r="BE132" s="416">
        <v>0</v>
      </c>
      <c r="BF132" s="416">
        <v>0</v>
      </c>
      <c r="BG132" s="416">
        <v>0</v>
      </c>
      <c r="BH132" s="416">
        <v>0</v>
      </c>
      <c r="BI132" s="416">
        <v>0</v>
      </c>
      <c r="BJ132" s="416">
        <v>0</v>
      </c>
      <c r="BK132" s="416">
        <v>0</v>
      </c>
      <c r="BL132" s="416">
        <v>0</v>
      </c>
      <c r="BM132" s="416">
        <v>0</v>
      </c>
      <c r="BN132" s="416">
        <v>0</v>
      </c>
      <c r="BO132" s="416">
        <v>0</v>
      </c>
      <c r="BP132" s="416">
        <v>0</v>
      </c>
      <c r="BQ132" s="416">
        <v>0</v>
      </c>
      <c r="BR132" s="416">
        <v>0</v>
      </c>
      <c r="BS132" s="416">
        <v>0</v>
      </c>
      <c r="BT132" s="416">
        <v>0</v>
      </c>
      <c r="BU132" s="416">
        <v>0</v>
      </c>
      <c r="BV132" s="416">
        <v>0</v>
      </c>
      <c r="BW132" s="416">
        <v>0</v>
      </c>
      <c r="BX132" s="416">
        <v>0</v>
      </c>
      <c r="BY132" s="416">
        <v>0</v>
      </c>
      <c r="BZ132" s="416">
        <v>0</v>
      </c>
      <c r="CC132" s="420"/>
      <c r="CD132" s="415" t="s">
        <v>540</v>
      </c>
      <c r="CE132" s="420">
        <f t="shared" si="31"/>
        <v>0</v>
      </c>
      <c r="CF132" s="420">
        <f t="shared" si="17"/>
        <v>0</v>
      </c>
      <c r="CG132" s="420">
        <f t="shared" si="18"/>
        <v>0</v>
      </c>
      <c r="CH132" s="420">
        <f t="shared" si="19"/>
        <v>0</v>
      </c>
      <c r="CI132" s="420">
        <f t="shared" si="20"/>
        <v>0</v>
      </c>
      <c r="CJ132" s="420">
        <f t="shared" si="21"/>
        <v>0</v>
      </c>
      <c r="CK132" s="420">
        <f t="shared" si="22"/>
        <v>0</v>
      </c>
      <c r="CL132" s="420">
        <f t="shared" si="23"/>
        <v>0</v>
      </c>
      <c r="CM132" s="420">
        <f t="shared" si="24"/>
        <v>0</v>
      </c>
      <c r="CN132" s="420">
        <f t="shared" si="25"/>
        <v>0</v>
      </c>
      <c r="CO132" s="420">
        <f t="shared" si="26"/>
        <v>0</v>
      </c>
      <c r="CP132" s="420">
        <f t="shared" si="27"/>
        <v>0</v>
      </c>
      <c r="CQ132" s="420">
        <f t="shared" si="28"/>
        <v>0</v>
      </c>
      <c r="CR132" s="420">
        <f t="shared" si="29"/>
        <v>0</v>
      </c>
      <c r="CS132" s="420">
        <f t="shared" si="30"/>
        <v>0</v>
      </c>
      <c r="CT132" s="21"/>
    </row>
    <row r="133" spans="3:98" hidden="1" outlineLevel="1">
      <c r="C133" s="415" t="s">
        <v>541</v>
      </c>
      <c r="D133" s="416">
        <v>0</v>
      </c>
      <c r="E133" s="416">
        <v>0</v>
      </c>
      <c r="F133" s="416">
        <v>0</v>
      </c>
      <c r="G133" s="416">
        <v>0</v>
      </c>
      <c r="H133" s="427">
        <v>0</v>
      </c>
      <c r="I133" s="416">
        <v>0</v>
      </c>
      <c r="J133" s="416">
        <v>0</v>
      </c>
      <c r="K133" s="416">
        <v>0</v>
      </c>
      <c r="L133" s="416">
        <v>0</v>
      </c>
      <c r="M133" s="416">
        <v>0</v>
      </c>
      <c r="N133" s="416">
        <v>0</v>
      </c>
      <c r="O133" s="416">
        <v>0</v>
      </c>
      <c r="P133" s="416">
        <v>0</v>
      </c>
      <c r="Q133" s="416">
        <v>0</v>
      </c>
      <c r="R133" s="416">
        <v>0</v>
      </c>
      <c r="S133" s="416">
        <v>0</v>
      </c>
      <c r="T133" s="416">
        <v>0</v>
      </c>
      <c r="U133" s="416">
        <v>0</v>
      </c>
      <c r="V133" s="416">
        <v>0</v>
      </c>
      <c r="W133" s="416">
        <v>0</v>
      </c>
      <c r="X133" s="416">
        <v>0</v>
      </c>
      <c r="Y133" s="416">
        <v>0</v>
      </c>
      <c r="Z133" s="416">
        <v>0</v>
      </c>
      <c r="AA133" s="416">
        <v>0</v>
      </c>
      <c r="AB133" s="416">
        <v>0</v>
      </c>
      <c r="AC133" s="416">
        <v>0</v>
      </c>
      <c r="AD133" s="416">
        <v>0</v>
      </c>
      <c r="AE133" s="416">
        <v>0</v>
      </c>
      <c r="AF133" s="416">
        <v>0</v>
      </c>
      <c r="AG133" s="416">
        <v>0</v>
      </c>
      <c r="AH133" s="416">
        <v>0</v>
      </c>
      <c r="AI133" s="416">
        <v>0</v>
      </c>
      <c r="AJ133" s="416">
        <v>0</v>
      </c>
      <c r="AK133" s="416">
        <v>0</v>
      </c>
      <c r="AL133" s="416">
        <v>0</v>
      </c>
      <c r="AM133" s="416">
        <v>0</v>
      </c>
      <c r="AN133" s="416">
        <v>0</v>
      </c>
      <c r="AO133" s="416">
        <v>0</v>
      </c>
      <c r="AP133" s="416">
        <v>0</v>
      </c>
      <c r="AQ133" s="416">
        <v>0</v>
      </c>
      <c r="AR133" s="416">
        <v>0</v>
      </c>
      <c r="AS133" s="416">
        <v>0</v>
      </c>
      <c r="AT133" s="416">
        <v>0</v>
      </c>
      <c r="AU133" s="416">
        <v>0</v>
      </c>
      <c r="AV133" s="416">
        <v>0</v>
      </c>
      <c r="AW133" s="416">
        <v>0</v>
      </c>
      <c r="AX133" s="416">
        <v>0</v>
      </c>
      <c r="AY133" s="416">
        <v>0</v>
      </c>
      <c r="AZ133" s="416">
        <v>0</v>
      </c>
      <c r="BA133" s="416">
        <v>0</v>
      </c>
      <c r="BB133" s="416">
        <v>0</v>
      </c>
      <c r="BC133" s="416">
        <v>0</v>
      </c>
      <c r="BD133" s="416">
        <v>0</v>
      </c>
      <c r="BE133" s="416">
        <v>0</v>
      </c>
      <c r="BF133" s="416">
        <v>0</v>
      </c>
      <c r="BG133" s="416">
        <v>0</v>
      </c>
      <c r="BH133" s="416">
        <v>0</v>
      </c>
      <c r="BI133" s="416">
        <v>0</v>
      </c>
      <c r="BJ133" s="416">
        <v>0</v>
      </c>
      <c r="BK133" s="416">
        <v>0</v>
      </c>
      <c r="BL133" s="416">
        <v>0</v>
      </c>
      <c r="BM133" s="416">
        <v>0</v>
      </c>
      <c r="BN133" s="416">
        <v>0</v>
      </c>
      <c r="BO133" s="416">
        <v>0</v>
      </c>
      <c r="BP133" s="416">
        <v>0</v>
      </c>
      <c r="BQ133" s="416">
        <v>0</v>
      </c>
      <c r="BR133" s="416">
        <v>0</v>
      </c>
      <c r="BS133" s="416">
        <v>0</v>
      </c>
      <c r="BT133" s="416">
        <v>0</v>
      </c>
      <c r="BU133" s="416">
        <v>0</v>
      </c>
      <c r="BV133" s="416">
        <v>0</v>
      </c>
      <c r="BW133" s="416">
        <v>0</v>
      </c>
      <c r="BX133" s="416">
        <v>0</v>
      </c>
      <c r="BY133" s="416">
        <v>0</v>
      </c>
      <c r="BZ133" s="416">
        <v>0</v>
      </c>
      <c r="CC133" s="420"/>
      <c r="CD133" s="415" t="s">
        <v>541</v>
      </c>
      <c r="CE133" s="420">
        <f t="shared" si="31"/>
        <v>0</v>
      </c>
      <c r="CF133" s="420">
        <f t="shared" si="17"/>
        <v>0</v>
      </c>
      <c r="CG133" s="420">
        <f t="shared" si="18"/>
        <v>0</v>
      </c>
      <c r="CH133" s="420">
        <f t="shared" si="19"/>
        <v>0</v>
      </c>
      <c r="CI133" s="420">
        <f t="shared" si="20"/>
        <v>0</v>
      </c>
      <c r="CJ133" s="420">
        <f t="shared" si="21"/>
        <v>0</v>
      </c>
      <c r="CK133" s="420">
        <f t="shared" si="22"/>
        <v>0</v>
      </c>
      <c r="CL133" s="420">
        <f t="shared" si="23"/>
        <v>0</v>
      </c>
      <c r="CM133" s="420">
        <f t="shared" si="24"/>
        <v>0</v>
      </c>
      <c r="CN133" s="420">
        <f t="shared" si="25"/>
        <v>0</v>
      </c>
      <c r="CO133" s="420">
        <f t="shared" si="26"/>
        <v>0</v>
      </c>
      <c r="CP133" s="420">
        <f t="shared" si="27"/>
        <v>0</v>
      </c>
      <c r="CQ133" s="420">
        <f t="shared" si="28"/>
        <v>0</v>
      </c>
      <c r="CR133" s="420">
        <f t="shared" si="29"/>
        <v>0</v>
      </c>
      <c r="CS133" s="420">
        <f t="shared" si="30"/>
        <v>0</v>
      </c>
      <c r="CT133" s="21"/>
    </row>
    <row r="134" spans="3:98" hidden="1" outlineLevel="1">
      <c r="C134" s="415" t="s">
        <v>124</v>
      </c>
      <c r="D134" s="416">
        <v>0</v>
      </c>
      <c r="E134" s="416">
        <v>0</v>
      </c>
      <c r="F134" s="416">
        <v>0</v>
      </c>
      <c r="G134" s="416">
        <v>0</v>
      </c>
      <c r="H134" s="427">
        <v>0</v>
      </c>
      <c r="I134" s="416">
        <v>0</v>
      </c>
      <c r="J134" s="416">
        <v>0</v>
      </c>
      <c r="K134" s="416">
        <v>0</v>
      </c>
      <c r="L134" s="416">
        <v>0</v>
      </c>
      <c r="M134" s="416">
        <v>0</v>
      </c>
      <c r="N134" s="416">
        <v>0</v>
      </c>
      <c r="O134" s="416">
        <v>0</v>
      </c>
      <c r="P134" s="416">
        <v>0</v>
      </c>
      <c r="Q134" s="416">
        <v>0</v>
      </c>
      <c r="R134" s="416">
        <v>0</v>
      </c>
      <c r="S134" s="416">
        <v>0</v>
      </c>
      <c r="T134" s="416">
        <v>0</v>
      </c>
      <c r="U134" s="416">
        <v>0</v>
      </c>
      <c r="V134" s="416">
        <v>0</v>
      </c>
      <c r="W134" s="416">
        <v>0</v>
      </c>
      <c r="X134" s="416">
        <v>0</v>
      </c>
      <c r="Y134" s="416">
        <v>0</v>
      </c>
      <c r="Z134" s="416">
        <v>0</v>
      </c>
      <c r="AA134" s="416">
        <v>0</v>
      </c>
      <c r="AB134" s="416">
        <v>0</v>
      </c>
      <c r="AC134" s="416">
        <v>0</v>
      </c>
      <c r="AD134" s="416">
        <v>0</v>
      </c>
      <c r="AE134" s="416">
        <v>0</v>
      </c>
      <c r="AF134" s="416">
        <v>0</v>
      </c>
      <c r="AG134" s="416">
        <v>0</v>
      </c>
      <c r="AH134" s="416">
        <v>0</v>
      </c>
      <c r="AI134" s="416">
        <v>0</v>
      </c>
      <c r="AJ134" s="416">
        <v>0</v>
      </c>
      <c r="AK134" s="416">
        <v>0</v>
      </c>
      <c r="AL134" s="416">
        <v>0</v>
      </c>
      <c r="AM134" s="416">
        <v>0</v>
      </c>
      <c r="AN134" s="416">
        <v>0</v>
      </c>
      <c r="AO134" s="416">
        <v>0</v>
      </c>
      <c r="AP134" s="416">
        <v>0</v>
      </c>
      <c r="AQ134" s="416">
        <v>0</v>
      </c>
      <c r="AR134" s="416">
        <v>0</v>
      </c>
      <c r="AS134" s="416">
        <v>0</v>
      </c>
      <c r="AT134" s="416">
        <v>0</v>
      </c>
      <c r="AU134" s="416">
        <v>0</v>
      </c>
      <c r="AV134" s="416">
        <v>0</v>
      </c>
      <c r="AW134" s="416">
        <v>0</v>
      </c>
      <c r="AX134" s="416">
        <v>0</v>
      </c>
      <c r="AY134" s="416">
        <v>0</v>
      </c>
      <c r="AZ134" s="416">
        <v>0</v>
      </c>
      <c r="BA134" s="416">
        <v>0</v>
      </c>
      <c r="BB134" s="416">
        <v>0</v>
      </c>
      <c r="BC134" s="416">
        <v>0</v>
      </c>
      <c r="BD134" s="416">
        <v>0</v>
      </c>
      <c r="BE134" s="416">
        <v>0</v>
      </c>
      <c r="BF134" s="416">
        <v>0</v>
      </c>
      <c r="BG134" s="416">
        <v>31.972999999999999</v>
      </c>
      <c r="BH134" s="416">
        <v>32.26</v>
      </c>
      <c r="BI134" s="416">
        <v>63.862000000000002</v>
      </c>
      <c r="BJ134" s="416">
        <v>109.541</v>
      </c>
      <c r="BK134" s="416">
        <v>214.06100000000001</v>
      </c>
      <c r="BL134" s="416">
        <v>469.56700000000001</v>
      </c>
      <c r="BM134" s="416">
        <v>16.635999999999999</v>
      </c>
      <c r="BN134" s="416">
        <v>3.7570000000000001</v>
      </c>
      <c r="BO134" s="416">
        <v>-14.96</v>
      </c>
      <c r="BP134" s="416">
        <v>527.16200000000003</v>
      </c>
      <c r="BQ134" s="416">
        <v>0</v>
      </c>
      <c r="BR134" s="416">
        <v>0</v>
      </c>
      <c r="BS134" s="416">
        <v>0</v>
      </c>
      <c r="BT134" s="416">
        <v>0</v>
      </c>
      <c r="BU134" s="416">
        <v>0</v>
      </c>
      <c r="BV134" s="416">
        <v>0</v>
      </c>
      <c r="BW134" s="416">
        <v>0</v>
      </c>
      <c r="BX134" s="416">
        <v>0</v>
      </c>
      <c r="BY134" s="416">
        <v>0</v>
      </c>
      <c r="BZ134" s="416">
        <v>0</v>
      </c>
      <c r="CC134" s="420"/>
      <c r="CD134" s="415" t="s">
        <v>124</v>
      </c>
      <c r="CE134" s="420">
        <f t="shared" si="31"/>
        <v>0</v>
      </c>
      <c r="CF134" s="420">
        <f t="shared" si="17"/>
        <v>0</v>
      </c>
      <c r="CG134" s="420">
        <f t="shared" si="18"/>
        <v>0</v>
      </c>
      <c r="CH134" s="420">
        <f t="shared" si="19"/>
        <v>0</v>
      </c>
      <c r="CI134" s="420">
        <f t="shared" si="20"/>
        <v>0</v>
      </c>
      <c r="CJ134" s="420">
        <f t="shared" si="21"/>
        <v>0</v>
      </c>
      <c r="CK134" s="420">
        <f t="shared" si="22"/>
        <v>0</v>
      </c>
      <c r="CL134" s="420">
        <f t="shared" si="23"/>
        <v>0</v>
      </c>
      <c r="CM134" s="420">
        <f t="shared" si="24"/>
        <v>0</v>
      </c>
      <c r="CN134" s="420">
        <f t="shared" si="25"/>
        <v>0</v>
      </c>
      <c r="CO134" s="420">
        <f t="shared" si="26"/>
        <v>0</v>
      </c>
      <c r="CP134" s="420">
        <f t="shared" si="27"/>
        <v>214.06100000000001</v>
      </c>
      <c r="CQ134" s="420">
        <f t="shared" si="28"/>
        <v>527.16200000000003</v>
      </c>
      <c r="CR134" s="420">
        <f t="shared" si="29"/>
        <v>0</v>
      </c>
      <c r="CS134" s="420">
        <f t="shared" si="30"/>
        <v>0</v>
      </c>
      <c r="CT134" s="21"/>
    </row>
    <row r="135" spans="3:98" collapsed="1">
      <c r="C135" s="417" t="s">
        <v>123</v>
      </c>
      <c r="D135" s="416">
        <v>0</v>
      </c>
      <c r="E135" s="416">
        <v>0</v>
      </c>
      <c r="F135" s="416">
        <v>0</v>
      </c>
      <c r="G135" s="416">
        <v>0</v>
      </c>
      <c r="H135" s="427">
        <v>0</v>
      </c>
      <c r="I135" s="416">
        <v>0</v>
      </c>
      <c r="J135" s="416">
        <v>0</v>
      </c>
      <c r="K135" s="416">
        <v>0</v>
      </c>
      <c r="L135" s="416">
        <v>0</v>
      </c>
      <c r="M135" s="416">
        <v>0</v>
      </c>
      <c r="N135" s="416">
        <v>0</v>
      </c>
      <c r="O135" s="416">
        <v>0</v>
      </c>
      <c r="P135" s="416">
        <v>0</v>
      </c>
      <c r="Q135" s="416">
        <v>0</v>
      </c>
      <c r="R135" s="416">
        <v>0</v>
      </c>
      <c r="S135" s="416">
        <v>0</v>
      </c>
      <c r="T135" s="416">
        <v>0</v>
      </c>
      <c r="U135" s="416">
        <v>0</v>
      </c>
      <c r="V135" s="416">
        <v>0</v>
      </c>
      <c r="W135" s="416">
        <v>0</v>
      </c>
      <c r="X135" s="416">
        <v>0</v>
      </c>
      <c r="Y135" s="416">
        <v>0</v>
      </c>
      <c r="Z135" s="416">
        <v>0</v>
      </c>
      <c r="AA135" s="416">
        <v>0</v>
      </c>
      <c r="AB135" s="416">
        <v>0</v>
      </c>
      <c r="AC135" s="416">
        <v>0</v>
      </c>
      <c r="AD135" s="416">
        <v>0</v>
      </c>
      <c r="AE135" s="416">
        <v>0</v>
      </c>
      <c r="AF135" s="416">
        <v>0</v>
      </c>
      <c r="AG135" s="416">
        <v>0</v>
      </c>
      <c r="AH135" s="416">
        <v>0</v>
      </c>
      <c r="AI135" s="416">
        <v>0</v>
      </c>
      <c r="AJ135" s="416">
        <v>0</v>
      </c>
      <c r="AK135" s="416">
        <v>0</v>
      </c>
      <c r="AL135" s="416">
        <v>0</v>
      </c>
      <c r="AM135" s="416">
        <v>0</v>
      </c>
      <c r="AN135" s="416">
        <v>0</v>
      </c>
      <c r="AO135" s="416">
        <v>0</v>
      </c>
      <c r="AP135" s="416">
        <v>0</v>
      </c>
      <c r="AQ135" s="416">
        <v>0</v>
      </c>
      <c r="AR135" s="416">
        <v>0</v>
      </c>
      <c r="AS135" s="416">
        <v>0</v>
      </c>
      <c r="AT135" s="416">
        <v>0</v>
      </c>
      <c r="AU135" s="416">
        <v>0</v>
      </c>
      <c r="AV135" s="416">
        <v>0</v>
      </c>
      <c r="AW135" s="416">
        <v>0</v>
      </c>
      <c r="AX135" s="416">
        <v>0</v>
      </c>
      <c r="AY135" s="416">
        <v>0</v>
      </c>
      <c r="AZ135" s="416">
        <v>0</v>
      </c>
      <c r="BA135" s="416">
        <v>0</v>
      </c>
      <c r="BB135" s="416">
        <v>0</v>
      </c>
      <c r="BC135" s="416">
        <v>0</v>
      </c>
      <c r="BD135" s="416">
        <v>0</v>
      </c>
      <c r="BE135" s="416">
        <v>0</v>
      </c>
      <c r="BF135" s="416">
        <v>0</v>
      </c>
      <c r="BG135" s="416">
        <v>31.972999999999999</v>
      </c>
      <c r="BH135" s="416">
        <v>32.26</v>
      </c>
      <c r="BI135" s="416">
        <v>63.862000000000002</v>
      </c>
      <c r="BJ135" s="416">
        <v>109.541</v>
      </c>
      <c r="BK135" s="416">
        <v>214.06100000000001</v>
      </c>
      <c r="BL135" s="416">
        <v>469.56700000000001</v>
      </c>
      <c r="BM135" s="416">
        <v>16.635999999999999</v>
      </c>
      <c r="BN135" s="416">
        <v>3.7570000000000001</v>
      </c>
      <c r="BO135" s="416">
        <v>-14.96</v>
      </c>
      <c r="BP135" s="416">
        <v>527.16200000000003</v>
      </c>
      <c r="BQ135" s="416">
        <v>0</v>
      </c>
      <c r="BR135" s="416">
        <v>0</v>
      </c>
      <c r="BS135" s="416">
        <v>0</v>
      </c>
      <c r="BT135" s="416">
        <v>0</v>
      </c>
      <c r="BU135" s="416">
        <v>0</v>
      </c>
      <c r="BV135" s="416">
        <v>0</v>
      </c>
      <c r="BW135" s="416">
        <v>0</v>
      </c>
      <c r="BX135" s="416">
        <v>0</v>
      </c>
      <c r="BY135" s="416">
        <v>0</v>
      </c>
      <c r="BZ135" s="416">
        <v>0</v>
      </c>
      <c r="CC135" s="420"/>
      <c r="CD135" s="417" t="s">
        <v>123</v>
      </c>
      <c r="CE135" s="420">
        <f t="shared" si="31"/>
        <v>0</v>
      </c>
      <c r="CF135" s="420">
        <f t="shared" si="17"/>
        <v>0</v>
      </c>
      <c r="CG135" s="420">
        <f t="shared" si="18"/>
        <v>0</v>
      </c>
      <c r="CH135" s="420">
        <f t="shared" si="19"/>
        <v>0</v>
      </c>
      <c r="CI135" s="420">
        <f t="shared" si="20"/>
        <v>0</v>
      </c>
      <c r="CJ135" s="420">
        <f t="shared" si="21"/>
        <v>0</v>
      </c>
      <c r="CK135" s="420">
        <f t="shared" si="22"/>
        <v>0</v>
      </c>
      <c r="CL135" s="420">
        <f t="shared" si="23"/>
        <v>0</v>
      </c>
      <c r="CM135" s="420">
        <f t="shared" si="24"/>
        <v>0</v>
      </c>
      <c r="CN135" s="420">
        <f t="shared" si="25"/>
        <v>0</v>
      </c>
      <c r="CO135" s="420">
        <f t="shared" si="26"/>
        <v>0</v>
      </c>
      <c r="CP135" s="420">
        <f t="shared" si="27"/>
        <v>214.06100000000001</v>
      </c>
      <c r="CQ135" s="420">
        <f t="shared" si="28"/>
        <v>527.16200000000003</v>
      </c>
      <c r="CR135" s="420">
        <f t="shared" si="29"/>
        <v>0</v>
      </c>
      <c r="CS135" s="420">
        <f t="shared" si="30"/>
        <v>0</v>
      </c>
      <c r="CT135" s="21"/>
    </row>
    <row r="136" spans="3:98">
      <c r="C136" s="417" t="s">
        <v>542</v>
      </c>
      <c r="D136" s="416">
        <v>0</v>
      </c>
      <c r="E136" s="416">
        <v>0</v>
      </c>
      <c r="F136" s="416">
        <v>0</v>
      </c>
      <c r="G136" s="416">
        <v>0</v>
      </c>
      <c r="H136" s="427">
        <v>0</v>
      </c>
      <c r="I136" s="416">
        <v>0</v>
      </c>
      <c r="J136" s="416">
        <v>0</v>
      </c>
      <c r="K136" s="416">
        <v>0</v>
      </c>
      <c r="L136" s="416">
        <v>0</v>
      </c>
      <c r="M136" s="416">
        <v>0</v>
      </c>
      <c r="N136" s="416">
        <v>0</v>
      </c>
      <c r="O136" s="416">
        <v>0</v>
      </c>
      <c r="P136" s="416">
        <v>0</v>
      </c>
      <c r="Q136" s="416">
        <v>0</v>
      </c>
      <c r="R136" s="416">
        <v>0</v>
      </c>
      <c r="S136" s="416">
        <v>0</v>
      </c>
      <c r="T136" s="416">
        <v>0</v>
      </c>
      <c r="U136" s="416">
        <v>0</v>
      </c>
      <c r="V136" s="416">
        <v>0</v>
      </c>
      <c r="W136" s="416">
        <v>0</v>
      </c>
      <c r="X136" s="416">
        <v>0</v>
      </c>
      <c r="Y136" s="416">
        <v>0</v>
      </c>
      <c r="Z136" s="416">
        <v>0</v>
      </c>
      <c r="AA136" s="416">
        <v>0</v>
      </c>
      <c r="AB136" s="416">
        <v>0</v>
      </c>
      <c r="AC136" s="416">
        <v>0</v>
      </c>
      <c r="AD136" s="416">
        <v>0</v>
      </c>
      <c r="AE136" s="416">
        <v>0</v>
      </c>
      <c r="AF136" s="416">
        <v>0</v>
      </c>
      <c r="AG136" s="416">
        <v>0</v>
      </c>
      <c r="AH136" s="416">
        <v>0</v>
      </c>
      <c r="AI136" s="416">
        <v>0</v>
      </c>
      <c r="AJ136" s="416">
        <v>0</v>
      </c>
      <c r="AK136" s="416">
        <v>0</v>
      </c>
      <c r="AL136" s="416">
        <v>0</v>
      </c>
      <c r="AM136" s="416">
        <v>0</v>
      </c>
      <c r="AN136" s="416">
        <v>0</v>
      </c>
      <c r="AO136" s="416">
        <v>0</v>
      </c>
      <c r="AP136" s="416">
        <v>0</v>
      </c>
      <c r="AQ136" s="416">
        <v>0</v>
      </c>
      <c r="AR136" s="416">
        <v>0</v>
      </c>
      <c r="AS136" s="416">
        <v>0</v>
      </c>
      <c r="AT136" s="416">
        <v>0</v>
      </c>
      <c r="AU136" s="416">
        <v>0</v>
      </c>
      <c r="AV136" s="416">
        <v>0</v>
      </c>
      <c r="AW136" s="416">
        <v>0</v>
      </c>
      <c r="AX136" s="416">
        <v>0</v>
      </c>
      <c r="AY136" s="416">
        <v>0</v>
      </c>
      <c r="AZ136" s="416">
        <v>0</v>
      </c>
      <c r="BA136" s="416">
        <v>0</v>
      </c>
      <c r="BB136" s="416">
        <v>0</v>
      </c>
      <c r="BC136" s="416">
        <v>0</v>
      </c>
      <c r="BD136" s="416">
        <v>0</v>
      </c>
      <c r="BE136" s="416">
        <v>0</v>
      </c>
      <c r="BF136" s="416">
        <v>0</v>
      </c>
      <c r="BG136" s="416">
        <v>0</v>
      </c>
      <c r="BH136" s="416">
        <v>0</v>
      </c>
      <c r="BI136" s="416">
        <v>0</v>
      </c>
      <c r="BJ136" s="416">
        <v>0</v>
      </c>
      <c r="BK136" s="416">
        <v>0</v>
      </c>
      <c r="BL136" s="416">
        <v>0</v>
      </c>
      <c r="BM136" s="416">
        <v>0</v>
      </c>
      <c r="BN136" s="416">
        <v>0</v>
      </c>
      <c r="BO136" s="416">
        <v>0</v>
      </c>
      <c r="BP136" s="416">
        <v>0</v>
      </c>
      <c r="BQ136" s="416">
        <v>0</v>
      </c>
      <c r="BR136" s="416">
        <v>0</v>
      </c>
      <c r="BS136" s="416">
        <v>0</v>
      </c>
      <c r="BT136" s="416">
        <v>0</v>
      </c>
      <c r="BU136" s="416">
        <v>0</v>
      </c>
      <c r="BV136" s="416">
        <v>0</v>
      </c>
      <c r="BW136" s="416">
        <v>0</v>
      </c>
      <c r="BX136" s="416">
        <v>0</v>
      </c>
      <c r="BY136" s="416">
        <v>0</v>
      </c>
      <c r="BZ136" s="416">
        <v>0</v>
      </c>
      <c r="CC136" s="420"/>
      <c r="CD136" s="417" t="s">
        <v>542</v>
      </c>
      <c r="CE136" s="420">
        <f t="shared" si="31"/>
        <v>0</v>
      </c>
      <c r="CF136" s="420">
        <f t="shared" si="17"/>
        <v>0</v>
      </c>
      <c r="CG136" s="420">
        <f t="shared" si="18"/>
        <v>0</v>
      </c>
      <c r="CH136" s="420">
        <f t="shared" si="19"/>
        <v>0</v>
      </c>
      <c r="CI136" s="420">
        <f t="shared" si="20"/>
        <v>0</v>
      </c>
      <c r="CJ136" s="420">
        <f t="shared" si="21"/>
        <v>0</v>
      </c>
      <c r="CK136" s="420">
        <f t="shared" si="22"/>
        <v>0</v>
      </c>
      <c r="CL136" s="420">
        <f t="shared" si="23"/>
        <v>0</v>
      </c>
      <c r="CM136" s="420">
        <f t="shared" si="24"/>
        <v>0</v>
      </c>
      <c r="CN136" s="420">
        <f t="shared" si="25"/>
        <v>0</v>
      </c>
      <c r="CO136" s="420">
        <f t="shared" si="26"/>
        <v>0</v>
      </c>
      <c r="CP136" s="420">
        <f t="shared" si="27"/>
        <v>0</v>
      </c>
      <c r="CQ136" s="420">
        <f t="shared" si="28"/>
        <v>0</v>
      </c>
      <c r="CR136" s="420">
        <f t="shared" si="29"/>
        <v>0</v>
      </c>
      <c r="CS136" s="420">
        <f t="shared" si="30"/>
        <v>0</v>
      </c>
      <c r="CT136" s="21"/>
    </row>
    <row r="137" spans="3:98">
      <c r="C137" s="421" t="s">
        <v>125</v>
      </c>
      <c r="D137" s="422">
        <v>0</v>
      </c>
      <c r="E137" s="422">
        <v>0</v>
      </c>
      <c r="F137" s="422">
        <v>0</v>
      </c>
      <c r="G137" s="422">
        <v>0</v>
      </c>
      <c r="H137" s="422">
        <v>0</v>
      </c>
      <c r="I137" s="422">
        <v>0</v>
      </c>
      <c r="J137" s="422">
        <v>0</v>
      </c>
      <c r="K137" s="422">
        <v>0</v>
      </c>
      <c r="L137" s="422">
        <v>0</v>
      </c>
      <c r="M137" s="422">
        <v>0</v>
      </c>
      <c r="N137" s="422">
        <v>0</v>
      </c>
      <c r="O137" s="422">
        <v>0</v>
      </c>
      <c r="P137" s="422">
        <v>0</v>
      </c>
      <c r="Q137" s="422">
        <v>0</v>
      </c>
      <c r="R137" s="422">
        <v>0</v>
      </c>
      <c r="S137" s="422">
        <v>0</v>
      </c>
      <c r="T137" s="422">
        <v>0</v>
      </c>
      <c r="U137" s="422">
        <v>0</v>
      </c>
      <c r="V137" s="422">
        <v>0</v>
      </c>
      <c r="W137" s="422">
        <v>0</v>
      </c>
      <c r="X137" s="422">
        <v>0</v>
      </c>
      <c r="Y137" s="422">
        <v>0</v>
      </c>
      <c r="Z137" s="422">
        <v>0</v>
      </c>
      <c r="AA137" s="422">
        <v>0</v>
      </c>
      <c r="AB137" s="422">
        <v>0</v>
      </c>
      <c r="AC137" s="422">
        <v>0</v>
      </c>
      <c r="AD137" s="422">
        <v>0</v>
      </c>
      <c r="AE137" s="422">
        <v>0</v>
      </c>
      <c r="AF137" s="422">
        <v>0</v>
      </c>
      <c r="AG137" s="422">
        <v>0</v>
      </c>
      <c r="AH137" s="422">
        <v>0</v>
      </c>
      <c r="AI137" s="422">
        <v>0</v>
      </c>
      <c r="AJ137" s="422">
        <v>0</v>
      </c>
      <c r="AK137" s="422">
        <v>0</v>
      </c>
      <c r="AL137" s="422">
        <v>0</v>
      </c>
      <c r="AM137" s="422">
        <v>0</v>
      </c>
      <c r="AN137" s="422">
        <v>0</v>
      </c>
      <c r="AO137" s="422">
        <v>0</v>
      </c>
      <c r="AP137" s="422">
        <v>0</v>
      </c>
      <c r="AQ137" s="422">
        <v>0</v>
      </c>
      <c r="AR137" s="422">
        <v>0</v>
      </c>
      <c r="AS137" s="422">
        <v>0</v>
      </c>
      <c r="AT137" s="422">
        <v>0</v>
      </c>
      <c r="AU137" s="422">
        <v>0</v>
      </c>
      <c r="AV137" s="422">
        <v>0</v>
      </c>
      <c r="AW137" s="422">
        <v>0</v>
      </c>
      <c r="AX137" s="422">
        <v>0</v>
      </c>
      <c r="AY137" s="422">
        <v>0</v>
      </c>
      <c r="AZ137" s="422">
        <v>0</v>
      </c>
      <c r="BA137" s="422">
        <v>0</v>
      </c>
      <c r="BB137" s="422">
        <v>0</v>
      </c>
      <c r="BC137" s="422">
        <v>0</v>
      </c>
      <c r="BD137" s="422">
        <v>0</v>
      </c>
      <c r="BE137" s="422">
        <v>0</v>
      </c>
      <c r="BF137" s="422">
        <v>-30.387</v>
      </c>
      <c r="BG137" s="422">
        <v>0</v>
      </c>
      <c r="BH137" s="422">
        <v>0</v>
      </c>
      <c r="BI137" s="422">
        <v>17.437000000000001</v>
      </c>
      <c r="BJ137" s="422">
        <v>67.244</v>
      </c>
      <c r="BK137" s="422">
        <v>108.256</v>
      </c>
      <c r="BL137" s="422">
        <v>301.89600000000002</v>
      </c>
      <c r="BM137" s="422">
        <v>1589.713</v>
      </c>
      <c r="BN137" s="422">
        <v>402.34300000000002</v>
      </c>
      <c r="BO137" s="422">
        <v>855.16800000000001</v>
      </c>
      <c r="BP137" s="422">
        <v>3096.9580000000001</v>
      </c>
      <c r="BQ137" s="422">
        <v>-429.65899999999999</v>
      </c>
      <c r="BR137" s="422">
        <v>-1093.654</v>
      </c>
      <c r="BS137" s="422">
        <v>-544.63499999999999</v>
      </c>
      <c r="BT137" s="422">
        <v>-557.00099999999998</v>
      </c>
      <c r="BU137" s="422">
        <v>-2624.9490000000001</v>
      </c>
      <c r="BV137" s="422">
        <v>-78.896000000000001</v>
      </c>
      <c r="BW137" s="422">
        <v>-97.405000000000001</v>
      </c>
      <c r="BX137" s="422">
        <v>-2.2650000000000001</v>
      </c>
      <c r="BY137" s="422">
        <v>0</v>
      </c>
      <c r="BZ137" s="422">
        <v>0</v>
      </c>
      <c r="CC137" s="420"/>
      <c r="CD137" s="421" t="s">
        <v>125</v>
      </c>
      <c r="CE137" s="423">
        <f t="shared" si="31"/>
        <v>0</v>
      </c>
      <c r="CF137" s="423">
        <f t="shared" si="17"/>
        <v>0</v>
      </c>
      <c r="CG137" s="423">
        <f t="shared" si="18"/>
        <v>0</v>
      </c>
      <c r="CH137" s="423">
        <f t="shared" si="19"/>
        <v>0</v>
      </c>
      <c r="CI137" s="423">
        <f t="shared" si="20"/>
        <v>0</v>
      </c>
      <c r="CJ137" s="423">
        <f t="shared" si="21"/>
        <v>0</v>
      </c>
      <c r="CK137" s="423">
        <f t="shared" si="22"/>
        <v>0</v>
      </c>
      <c r="CL137" s="423">
        <f t="shared" si="23"/>
        <v>0</v>
      </c>
      <c r="CM137" s="423">
        <f t="shared" si="24"/>
        <v>0</v>
      </c>
      <c r="CN137" s="423">
        <f t="shared" si="25"/>
        <v>0</v>
      </c>
      <c r="CO137" s="423">
        <f t="shared" si="26"/>
        <v>-30.387</v>
      </c>
      <c r="CP137" s="423">
        <f t="shared" si="27"/>
        <v>108.256</v>
      </c>
      <c r="CQ137" s="423">
        <f t="shared" si="28"/>
        <v>3096.9580000000001</v>
      </c>
      <c r="CR137" s="423">
        <f t="shared" si="29"/>
        <v>-2624.9490000000001</v>
      </c>
      <c r="CS137" s="423">
        <f t="shared" si="30"/>
        <v>0</v>
      </c>
      <c r="CT137" s="21"/>
    </row>
    <row r="138" spans="3:98" ht="4.5" customHeight="1">
      <c r="D138" s="416">
        <v>0</v>
      </c>
      <c r="E138" s="416">
        <v>0</v>
      </c>
      <c r="F138" s="416">
        <v>0</v>
      </c>
      <c r="G138" s="416">
        <v>0</v>
      </c>
      <c r="H138" s="427">
        <v>0</v>
      </c>
      <c r="I138" s="416">
        <v>0</v>
      </c>
      <c r="J138" s="416">
        <v>0</v>
      </c>
      <c r="K138" s="416">
        <v>0</v>
      </c>
      <c r="L138" s="416">
        <v>0</v>
      </c>
      <c r="M138" s="416">
        <v>0</v>
      </c>
      <c r="N138" s="416">
        <v>0</v>
      </c>
      <c r="O138" s="416">
        <v>0</v>
      </c>
      <c r="P138" s="416">
        <v>0</v>
      </c>
      <c r="Q138" s="416">
        <v>0</v>
      </c>
      <c r="R138" s="416">
        <v>0</v>
      </c>
      <c r="S138" s="416">
        <v>0</v>
      </c>
      <c r="T138" s="416">
        <v>0</v>
      </c>
      <c r="U138" s="416">
        <v>0</v>
      </c>
      <c r="V138" s="416">
        <v>0</v>
      </c>
      <c r="W138" s="416">
        <v>0</v>
      </c>
      <c r="X138" s="416">
        <v>0</v>
      </c>
      <c r="Y138" s="416">
        <v>0</v>
      </c>
      <c r="Z138" s="416">
        <v>0</v>
      </c>
      <c r="AA138" s="416">
        <v>0</v>
      </c>
      <c r="AB138" s="416">
        <v>0</v>
      </c>
      <c r="AC138" s="416">
        <v>0</v>
      </c>
      <c r="AD138" s="416">
        <v>0</v>
      </c>
      <c r="AE138" s="416">
        <v>0</v>
      </c>
      <c r="AF138" s="416">
        <v>0</v>
      </c>
      <c r="AG138" s="416">
        <v>0</v>
      </c>
      <c r="AH138" s="416">
        <v>0</v>
      </c>
      <c r="AI138" s="416">
        <v>0</v>
      </c>
      <c r="AJ138" s="416">
        <v>0</v>
      </c>
      <c r="AK138" s="416">
        <v>0</v>
      </c>
      <c r="AL138" s="416">
        <v>0</v>
      </c>
      <c r="AM138" s="416">
        <v>0</v>
      </c>
      <c r="AN138" s="416">
        <v>0</v>
      </c>
      <c r="AO138" s="416">
        <v>0</v>
      </c>
      <c r="AP138" s="416">
        <v>0</v>
      </c>
      <c r="AQ138" s="416">
        <v>0</v>
      </c>
      <c r="AR138" s="416">
        <v>0</v>
      </c>
      <c r="AS138" s="416">
        <v>0</v>
      </c>
      <c r="AT138" s="416">
        <v>0</v>
      </c>
      <c r="AU138" s="416">
        <v>0</v>
      </c>
      <c r="AV138" s="416">
        <v>0</v>
      </c>
      <c r="AW138" s="416">
        <v>0</v>
      </c>
      <c r="AX138" s="416">
        <v>0</v>
      </c>
      <c r="AY138" s="416">
        <v>0</v>
      </c>
      <c r="AZ138" s="416">
        <v>0</v>
      </c>
      <c r="BA138" s="416">
        <v>0</v>
      </c>
      <c r="BB138" s="416">
        <v>0</v>
      </c>
      <c r="BC138" s="416">
        <v>0</v>
      </c>
      <c r="BD138" s="416">
        <v>0</v>
      </c>
      <c r="BE138" s="416">
        <v>0</v>
      </c>
      <c r="BF138" s="416">
        <v>0</v>
      </c>
      <c r="BG138" s="416">
        <v>0</v>
      </c>
      <c r="BH138" s="416">
        <v>0</v>
      </c>
      <c r="BI138" s="416">
        <v>0</v>
      </c>
      <c r="BJ138" s="416">
        <v>0</v>
      </c>
      <c r="BK138" s="416">
        <v>0</v>
      </c>
      <c r="BL138" s="416">
        <v>0</v>
      </c>
      <c r="BM138" s="416">
        <v>0</v>
      </c>
      <c r="BN138" s="416">
        <v>0</v>
      </c>
      <c r="BO138" s="416">
        <v>0</v>
      </c>
      <c r="BP138" s="416">
        <v>0</v>
      </c>
      <c r="BQ138" s="416">
        <v>0</v>
      </c>
      <c r="BR138" s="416">
        <v>0</v>
      </c>
      <c r="BS138" s="416">
        <v>0</v>
      </c>
      <c r="BT138" s="416">
        <v>0</v>
      </c>
      <c r="BU138" s="416">
        <v>0</v>
      </c>
      <c r="BV138" s="416">
        <v>0</v>
      </c>
      <c r="BW138" s="416">
        <v>0</v>
      </c>
      <c r="BX138" s="416">
        <v>0</v>
      </c>
      <c r="BY138" s="416">
        <v>0</v>
      </c>
      <c r="BZ138" s="416">
        <v>0</v>
      </c>
      <c r="CC138" s="420"/>
      <c r="CD138" s="58"/>
      <c r="CE138" s="420"/>
      <c r="CF138" s="420"/>
      <c r="CG138" s="420"/>
      <c r="CH138" s="420"/>
      <c r="CI138" s="420"/>
      <c r="CJ138" s="420"/>
      <c r="CK138" s="420"/>
      <c r="CL138" s="420"/>
      <c r="CM138" s="420"/>
      <c r="CN138" s="420"/>
      <c r="CO138" s="420"/>
      <c r="CP138" s="420"/>
      <c r="CQ138" s="420"/>
      <c r="CR138" s="420"/>
      <c r="CS138" s="420"/>
      <c r="CT138" s="21"/>
    </row>
    <row r="139" spans="3:98">
      <c r="C139" s="417" t="s">
        <v>543</v>
      </c>
      <c r="D139" s="416">
        <v>0</v>
      </c>
      <c r="E139" s="416">
        <v>0</v>
      </c>
      <c r="F139" s="416">
        <v>0</v>
      </c>
      <c r="G139" s="416">
        <v>0</v>
      </c>
      <c r="H139" s="427">
        <v>0</v>
      </c>
      <c r="I139" s="416">
        <v>0</v>
      </c>
      <c r="J139" s="416">
        <v>0</v>
      </c>
      <c r="K139" s="416">
        <v>0</v>
      </c>
      <c r="L139" s="416">
        <v>0</v>
      </c>
      <c r="M139" s="416">
        <v>0</v>
      </c>
      <c r="N139" s="416">
        <v>0</v>
      </c>
      <c r="O139" s="416">
        <v>0</v>
      </c>
      <c r="P139" s="416">
        <v>0</v>
      </c>
      <c r="Q139" s="416">
        <v>0</v>
      </c>
      <c r="R139" s="416">
        <v>0</v>
      </c>
      <c r="S139" s="416">
        <v>0</v>
      </c>
      <c r="T139" s="416">
        <v>0</v>
      </c>
      <c r="U139" s="416">
        <v>0</v>
      </c>
      <c r="V139" s="416">
        <v>0</v>
      </c>
      <c r="W139" s="416">
        <v>0</v>
      </c>
      <c r="X139" s="416">
        <v>0</v>
      </c>
      <c r="Y139" s="416">
        <v>0</v>
      </c>
      <c r="Z139" s="416">
        <v>0</v>
      </c>
      <c r="AA139" s="416">
        <v>0</v>
      </c>
      <c r="AB139" s="416">
        <v>0</v>
      </c>
      <c r="AC139" s="416">
        <v>0</v>
      </c>
      <c r="AD139" s="416">
        <v>0</v>
      </c>
      <c r="AE139" s="416">
        <v>0</v>
      </c>
      <c r="AF139" s="416">
        <v>0</v>
      </c>
      <c r="AG139" s="416">
        <v>0</v>
      </c>
      <c r="AH139" s="416">
        <v>0</v>
      </c>
      <c r="AI139" s="416">
        <v>0</v>
      </c>
      <c r="AJ139" s="416">
        <v>0</v>
      </c>
      <c r="AK139" s="416">
        <v>0</v>
      </c>
      <c r="AL139" s="416">
        <v>0</v>
      </c>
      <c r="AM139" s="416">
        <v>0</v>
      </c>
      <c r="AN139" s="416">
        <v>0</v>
      </c>
      <c r="AO139" s="416">
        <v>0</v>
      </c>
      <c r="AP139" s="416">
        <v>0</v>
      </c>
      <c r="AQ139" s="416">
        <v>0</v>
      </c>
      <c r="AR139" s="416">
        <v>0</v>
      </c>
      <c r="AS139" s="416">
        <v>0</v>
      </c>
      <c r="AT139" s="416">
        <v>0</v>
      </c>
      <c r="AU139" s="416">
        <v>0</v>
      </c>
      <c r="AV139" s="416">
        <v>0</v>
      </c>
      <c r="AW139" s="416">
        <v>0</v>
      </c>
      <c r="AX139" s="416">
        <v>0</v>
      </c>
      <c r="AY139" s="416">
        <v>0</v>
      </c>
      <c r="AZ139" s="416">
        <v>0</v>
      </c>
      <c r="BA139" s="416">
        <v>0</v>
      </c>
      <c r="BB139" s="416">
        <v>0</v>
      </c>
      <c r="BC139" s="416">
        <v>0</v>
      </c>
      <c r="BD139" s="416">
        <v>0</v>
      </c>
      <c r="BE139" s="416">
        <v>0</v>
      </c>
      <c r="BF139" s="416">
        <v>0</v>
      </c>
      <c r="BG139" s="416">
        <v>0</v>
      </c>
      <c r="BH139" s="416">
        <v>0</v>
      </c>
      <c r="BI139" s="416">
        <v>3.0680000000000001</v>
      </c>
      <c r="BJ139" s="416">
        <v>12.180999999999999</v>
      </c>
      <c r="BK139" s="416">
        <v>19.215</v>
      </c>
      <c r="BL139" s="416">
        <v>85.822999999999993</v>
      </c>
      <c r="BM139" s="416">
        <v>3.4369999999999998</v>
      </c>
      <c r="BN139" s="416">
        <v>2.9969999999999999</v>
      </c>
      <c r="BO139" s="416">
        <v>-3.1709999999999998</v>
      </c>
      <c r="BP139" s="416">
        <v>93.445999999999998</v>
      </c>
      <c r="BQ139" s="416">
        <v>0</v>
      </c>
      <c r="BR139" s="416">
        <v>-6.1840000000000002</v>
      </c>
      <c r="BS139" s="416">
        <v>0</v>
      </c>
      <c r="BT139" s="416">
        <v>-0.83499999999999996</v>
      </c>
      <c r="BU139" s="416">
        <v>-6.23</v>
      </c>
      <c r="BV139" s="416">
        <v>0</v>
      </c>
      <c r="BW139" s="416">
        <v>-0.19600000000000001</v>
      </c>
      <c r="BX139" s="416">
        <v>0</v>
      </c>
      <c r="BY139" s="416">
        <v>0</v>
      </c>
      <c r="BZ139" s="416">
        <v>0</v>
      </c>
      <c r="CC139" s="420"/>
      <c r="CD139" s="417" t="s">
        <v>543</v>
      </c>
      <c r="CE139" s="425">
        <f t="shared" ref="CE139:CE165" si="32">H139</f>
        <v>0</v>
      </c>
      <c r="CF139" s="425">
        <f t="shared" si="17"/>
        <v>0</v>
      </c>
      <c r="CG139" s="425">
        <f t="shared" si="18"/>
        <v>0</v>
      </c>
      <c r="CH139" s="425">
        <f t="shared" si="19"/>
        <v>0</v>
      </c>
      <c r="CI139" s="425">
        <f t="shared" si="20"/>
        <v>0</v>
      </c>
      <c r="CJ139" s="425">
        <f t="shared" si="21"/>
        <v>0</v>
      </c>
      <c r="CK139" s="425">
        <f t="shared" si="22"/>
        <v>0</v>
      </c>
      <c r="CL139" s="425">
        <f t="shared" si="23"/>
        <v>0</v>
      </c>
      <c r="CM139" s="425">
        <f t="shared" si="24"/>
        <v>0</v>
      </c>
      <c r="CN139" s="425">
        <f t="shared" si="25"/>
        <v>0</v>
      </c>
      <c r="CO139" s="425">
        <f t="shared" si="26"/>
        <v>0</v>
      </c>
      <c r="CP139" s="425">
        <f t="shared" si="27"/>
        <v>19.215</v>
      </c>
      <c r="CQ139" s="425">
        <f t="shared" si="28"/>
        <v>93.445999999999998</v>
      </c>
      <c r="CR139" s="425">
        <f t="shared" si="29"/>
        <v>-6.23</v>
      </c>
      <c r="CS139" s="425">
        <f t="shared" si="30"/>
        <v>0</v>
      </c>
      <c r="CT139" s="21"/>
    </row>
    <row r="140" spans="3:98">
      <c r="C140" s="421" t="s">
        <v>126</v>
      </c>
      <c r="D140" s="422">
        <v>0</v>
      </c>
      <c r="E140" s="422">
        <v>0</v>
      </c>
      <c r="F140" s="422">
        <v>0</v>
      </c>
      <c r="G140" s="422">
        <v>0</v>
      </c>
      <c r="H140" s="422">
        <v>0</v>
      </c>
      <c r="I140" s="422">
        <v>0</v>
      </c>
      <c r="J140" s="422">
        <v>0</v>
      </c>
      <c r="K140" s="422">
        <v>0</v>
      </c>
      <c r="L140" s="422">
        <v>0</v>
      </c>
      <c r="M140" s="422">
        <v>0</v>
      </c>
      <c r="N140" s="422">
        <v>0</v>
      </c>
      <c r="O140" s="422">
        <v>0</v>
      </c>
      <c r="P140" s="422">
        <v>0</v>
      </c>
      <c r="Q140" s="422">
        <v>0</v>
      </c>
      <c r="R140" s="422">
        <v>0</v>
      </c>
      <c r="S140" s="422">
        <v>0</v>
      </c>
      <c r="T140" s="422">
        <v>0</v>
      </c>
      <c r="U140" s="422">
        <v>0</v>
      </c>
      <c r="V140" s="422">
        <v>0</v>
      </c>
      <c r="W140" s="422">
        <v>0</v>
      </c>
      <c r="X140" s="422">
        <v>0</v>
      </c>
      <c r="Y140" s="422">
        <v>0</v>
      </c>
      <c r="Z140" s="422">
        <v>0</v>
      </c>
      <c r="AA140" s="422">
        <v>0</v>
      </c>
      <c r="AB140" s="422">
        <v>0</v>
      </c>
      <c r="AC140" s="422">
        <v>0</v>
      </c>
      <c r="AD140" s="422">
        <v>0</v>
      </c>
      <c r="AE140" s="422">
        <v>0</v>
      </c>
      <c r="AF140" s="422">
        <v>0</v>
      </c>
      <c r="AG140" s="422">
        <v>0</v>
      </c>
      <c r="AH140" s="422">
        <v>0</v>
      </c>
      <c r="AI140" s="422">
        <v>0</v>
      </c>
      <c r="AJ140" s="422">
        <v>0</v>
      </c>
      <c r="AK140" s="422">
        <v>0</v>
      </c>
      <c r="AL140" s="422">
        <v>0</v>
      </c>
      <c r="AM140" s="422">
        <v>0</v>
      </c>
      <c r="AN140" s="422">
        <v>0</v>
      </c>
      <c r="AO140" s="422">
        <v>0</v>
      </c>
      <c r="AP140" s="422">
        <v>0</v>
      </c>
      <c r="AQ140" s="422">
        <v>0</v>
      </c>
      <c r="AR140" s="422">
        <v>0</v>
      </c>
      <c r="AS140" s="422">
        <v>0</v>
      </c>
      <c r="AT140" s="422">
        <v>0</v>
      </c>
      <c r="AU140" s="422">
        <v>0</v>
      </c>
      <c r="AV140" s="422">
        <v>0</v>
      </c>
      <c r="AW140" s="422">
        <v>0</v>
      </c>
      <c r="AX140" s="422">
        <v>0</v>
      </c>
      <c r="AY140" s="422">
        <v>0</v>
      </c>
      <c r="AZ140" s="422">
        <v>0</v>
      </c>
      <c r="BA140" s="422">
        <v>0</v>
      </c>
      <c r="BB140" s="422">
        <v>0</v>
      </c>
      <c r="BC140" s="422">
        <v>0</v>
      </c>
      <c r="BD140" s="422">
        <v>0</v>
      </c>
      <c r="BE140" s="422">
        <v>0</v>
      </c>
      <c r="BF140" s="422">
        <v>-30.387</v>
      </c>
      <c r="BG140" s="422">
        <v>0</v>
      </c>
      <c r="BH140" s="422">
        <v>0</v>
      </c>
      <c r="BI140" s="422">
        <v>20.504999999999999</v>
      </c>
      <c r="BJ140" s="422">
        <v>79.424999999999997</v>
      </c>
      <c r="BK140" s="422">
        <v>127.471</v>
      </c>
      <c r="BL140" s="422">
        <v>387.71899999999999</v>
      </c>
      <c r="BM140" s="422">
        <v>1593.15</v>
      </c>
      <c r="BN140" s="422">
        <v>405.34</v>
      </c>
      <c r="BO140" s="422">
        <v>851.99699999999996</v>
      </c>
      <c r="BP140" s="422">
        <v>3190.404</v>
      </c>
      <c r="BQ140" s="422">
        <v>-429.65899999999999</v>
      </c>
      <c r="BR140" s="422">
        <v>-1099.838</v>
      </c>
      <c r="BS140" s="422">
        <v>-544.63499999999999</v>
      </c>
      <c r="BT140" s="422">
        <v>-557.83600000000001</v>
      </c>
      <c r="BU140" s="422">
        <v>-2631.1790000000001</v>
      </c>
      <c r="BV140" s="422">
        <v>-78.896000000000001</v>
      </c>
      <c r="BW140" s="422">
        <v>-97.600999999999999</v>
      </c>
      <c r="BX140" s="422">
        <v>-2.2650000000000001</v>
      </c>
      <c r="BY140" s="422">
        <v>0</v>
      </c>
      <c r="BZ140" s="422">
        <v>0</v>
      </c>
      <c r="CC140" s="420"/>
      <c r="CD140" s="421" t="s">
        <v>126</v>
      </c>
      <c r="CE140" s="420">
        <f t="shared" si="32"/>
        <v>0</v>
      </c>
      <c r="CF140" s="420">
        <f t="shared" ref="CF140:CF170" si="33">M140</f>
        <v>0</v>
      </c>
      <c r="CG140" s="420">
        <f t="shared" ref="CG140:CG170" si="34">R140</f>
        <v>0</v>
      </c>
      <c r="CH140" s="420">
        <f t="shared" si="19"/>
        <v>0</v>
      </c>
      <c r="CI140" s="420">
        <f t="shared" si="20"/>
        <v>0</v>
      </c>
      <c r="CJ140" s="420">
        <f t="shared" si="21"/>
        <v>0</v>
      </c>
      <c r="CK140" s="420">
        <f t="shared" si="22"/>
        <v>0</v>
      </c>
      <c r="CL140" s="420">
        <f t="shared" si="23"/>
        <v>0</v>
      </c>
      <c r="CM140" s="420">
        <f t="shared" si="24"/>
        <v>0</v>
      </c>
      <c r="CN140" s="420">
        <f t="shared" si="25"/>
        <v>0</v>
      </c>
      <c r="CO140" s="420">
        <f t="shared" si="26"/>
        <v>-30.387</v>
      </c>
      <c r="CP140" s="420">
        <f t="shared" si="27"/>
        <v>127.471</v>
      </c>
      <c r="CQ140" s="420">
        <f t="shared" si="28"/>
        <v>3190.404</v>
      </c>
      <c r="CR140" s="420">
        <f t="shared" si="29"/>
        <v>-2631.1790000000001</v>
      </c>
      <c r="CS140" s="420">
        <f t="shared" si="30"/>
        <v>0</v>
      </c>
      <c r="CT140" s="21"/>
    </row>
    <row r="141" spans="3:98" ht="4.5" hidden="1" customHeight="1">
      <c r="D141" s="416">
        <v>0</v>
      </c>
      <c r="E141" s="416">
        <v>0</v>
      </c>
      <c r="F141" s="416">
        <v>0</v>
      </c>
      <c r="G141" s="416">
        <v>0</v>
      </c>
      <c r="H141" s="427">
        <v>0</v>
      </c>
      <c r="I141" s="416">
        <v>0</v>
      </c>
      <c r="J141" s="416">
        <v>0</v>
      </c>
      <c r="K141" s="416">
        <v>0</v>
      </c>
      <c r="L141" s="416">
        <v>0</v>
      </c>
      <c r="M141" s="416">
        <v>0</v>
      </c>
      <c r="N141" s="416">
        <v>0</v>
      </c>
      <c r="O141" s="416">
        <v>0</v>
      </c>
      <c r="P141" s="416">
        <v>0</v>
      </c>
      <c r="Q141" s="416">
        <v>0</v>
      </c>
      <c r="R141" s="416">
        <v>0</v>
      </c>
      <c r="S141" s="416">
        <v>0</v>
      </c>
      <c r="T141" s="416">
        <v>0</v>
      </c>
      <c r="U141" s="416">
        <v>0</v>
      </c>
      <c r="V141" s="416">
        <v>0</v>
      </c>
      <c r="W141" s="416">
        <v>0</v>
      </c>
      <c r="X141" s="416">
        <v>0</v>
      </c>
      <c r="Y141" s="416">
        <v>0</v>
      </c>
      <c r="Z141" s="416">
        <v>0</v>
      </c>
      <c r="AA141" s="416">
        <v>0</v>
      </c>
      <c r="AB141" s="416">
        <v>0</v>
      </c>
      <c r="AC141" s="416">
        <v>0</v>
      </c>
      <c r="AD141" s="416">
        <v>0</v>
      </c>
      <c r="AE141" s="416">
        <v>0</v>
      </c>
      <c r="AF141" s="416">
        <v>0</v>
      </c>
      <c r="AG141" s="416">
        <v>0</v>
      </c>
      <c r="AH141" s="416">
        <v>0</v>
      </c>
      <c r="AI141" s="416">
        <v>0</v>
      </c>
      <c r="AJ141" s="416">
        <v>0</v>
      </c>
      <c r="AK141" s="416">
        <v>0</v>
      </c>
      <c r="AL141" s="416">
        <v>0</v>
      </c>
      <c r="AM141" s="416">
        <v>0</v>
      </c>
      <c r="AN141" s="416">
        <v>0</v>
      </c>
      <c r="AO141" s="416">
        <v>0</v>
      </c>
      <c r="AP141" s="416">
        <v>0</v>
      </c>
      <c r="AQ141" s="416">
        <v>0</v>
      </c>
      <c r="AR141" s="416">
        <v>0</v>
      </c>
      <c r="AS141" s="416">
        <v>0</v>
      </c>
      <c r="AT141" s="416">
        <v>0</v>
      </c>
      <c r="AU141" s="416">
        <v>0</v>
      </c>
      <c r="AV141" s="416">
        <v>0</v>
      </c>
      <c r="AW141" s="416">
        <v>0</v>
      </c>
      <c r="AX141" s="416">
        <v>0</v>
      </c>
      <c r="AY141" s="416">
        <v>0</v>
      </c>
      <c r="AZ141" s="416">
        <v>0</v>
      </c>
      <c r="BA141" s="416">
        <v>0</v>
      </c>
      <c r="BB141" s="416">
        <v>0</v>
      </c>
      <c r="BC141" s="416">
        <v>0</v>
      </c>
      <c r="BD141" s="416">
        <v>0</v>
      </c>
      <c r="BE141" s="416">
        <v>0</v>
      </c>
      <c r="BF141" s="416">
        <v>0</v>
      </c>
      <c r="BG141" s="416">
        <v>0</v>
      </c>
      <c r="BH141" s="416">
        <v>0</v>
      </c>
      <c r="BI141" s="416">
        <v>0</v>
      </c>
      <c r="BJ141" s="416">
        <v>0</v>
      </c>
      <c r="BK141" s="416">
        <v>0</v>
      </c>
      <c r="BL141" s="416">
        <v>0</v>
      </c>
      <c r="BM141" s="416">
        <v>0</v>
      </c>
      <c r="BN141" s="416">
        <v>0</v>
      </c>
      <c r="BO141" s="416">
        <v>0</v>
      </c>
      <c r="BP141" s="416">
        <v>0</v>
      </c>
      <c r="BQ141" s="416">
        <v>0</v>
      </c>
      <c r="BR141" s="416">
        <v>0</v>
      </c>
      <c r="BS141" s="416">
        <v>0</v>
      </c>
      <c r="BT141" s="416">
        <v>0</v>
      </c>
      <c r="BU141" s="416">
        <v>0</v>
      </c>
      <c r="BV141" s="416">
        <v>0</v>
      </c>
      <c r="BW141" s="416">
        <v>0</v>
      </c>
      <c r="BX141" s="416">
        <v>0</v>
      </c>
      <c r="BY141" s="416">
        <v>0</v>
      </c>
      <c r="BZ141" s="416">
        <v>0</v>
      </c>
      <c r="CC141" s="420"/>
      <c r="CD141" s="58"/>
      <c r="CE141" s="420">
        <f t="shared" si="32"/>
        <v>0</v>
      </c>
      <c r="CF141" s="420">
        <f t="shared" si="33"/>
        <v>0</v>
      </c>
      <c r="CG141" s="420">
        <f t="shared" si="34"/>
        <v>0</v>
      </c>
      <c r="CH141" s="420">
        <f t="shared" si="19"/>
        <v>0</v>
      </c>
      <c r="CI141" s="420">
        <f t="shared" si="20"/>
        <v>0</v>
      </c>
      <c r="CJ141" s="420">
        <f t="shared" si="21"/>
        <v>0</v>
      </c>
      <c r="CK141" s="420">
        <f t="shared" si="22"/>
        <v>0</v>
      </c>
      <c r="CL141" s="420">
        <f t="shared" si="23"/>
        <v>0</v>
      </c>
      <c r="CM141" s="420">
        <f t="shared" si="24"/>
        <v>0</v>
      </c>
      <c r="CN141" s="420">
        <f t="shared" si="25"/>
        <v>0</v>
      </c>
      <c r="CO141" s="420">
        <f t="shared" si="26"/>
        <v>0</v>
      </c>
      <c r="CP141" s="420">
        <f t="shared" si="27"/>
        <v>0</v>
      </c>
      <c r="CQ141" s="420">
        <f t="shared" si="28"/>
        <v>0</v>
      </c>
      <c r="CR141" s="420">
        <f t="shared" si="29"/>
        <v>0</v>
      </c>
      <c r="CS141" s="420">
        <f t="shared" si="30"/>
        <v>0</v>
      </c>
      <c r="CT141" s="21"/>
    </row>
    <row r="142" spans="3:98" hidden="1" outlineLevel="1">
      <c r="C142" s="424" t="s">
        <v>547</v>
      </c>
      <c r="D142" s="416">
        <v>0</v>
      </c>
      <c r="E142" s="416">
        <v>0</v>
      </c>
      <c r="F142" s="416">
        <v>0</v>
      </c>
      <c r="G142" s="416">
        <v>0</v>
      </c>
      <c r="H142" s="427">
        <v>0</v>
      </c>
      <c r="I142" s="416">
        <v>0</v>
      </c>
      <c r="J142" s="416">
        <v>0</v>
      </c>
      <c r="K142" s="416">
        <v>0</v>
      </c>
      <c r="L142" s="416">
        <v>0</v>
      </c>
      <c r="M142" s="416">
        <v>0</v>
      </c>
      <c r="N142" s="416">
        <v>0</v>
      </c>
      <c r="O142" s="416">
        <v>0</v>
      </c>
      <c r="P142" s="416">
        <v>0</v>
      </c>
      <c r="Q142" s="416">
        <v>0</v>
      </c>
      <c r="R142" s="416">
        <v>0</v>
      </c>
      <c r="S142" s="416">
        <v>0</v>
      </c>
      <c r="T142" s="416">
        <v>0</v>
      </c>
      <c r="U142" s="416">
        <v>0</v>
      </c>
      <c r="V142" s="416">
        <v>0</v>
      </c>
      <c r="W142" s="416">
        <v>0</v>
      </c>
      <c r="X142" s="416">
        <v>0</v>
      </c>
      <c r="Y142" s="416">
        <v>0</v>
      </c>
      <c r="Z142" s="416">
        <v>0</v>
      </c>
      <c r="AA142" s="416">
        <v>0</v>
      </c>
      <c r="AB142" s="416">
        <v>0</v>
      </c>
      <c r="AC142" s="416">
        <v>0</v>
      </c>
      <c r="AD142" s="416">
        <v>0</v>
      </c>
      <c r="AE142" s="416">
        <v>0</v>
      </c>
      <c r="AF142" s="416">
        <v>0</v>
      </c>
      <c r="AG142" s="416">
        <v>0</v>
      </c>
      <c r="AH142" s="416">
        <v>0</v>
      </c>
      <c r="AI142" s="416">
        <v>0</v>
      </c>
      <c r="AJ142" s="416">
        <v>0</v>
      </c>
      <c r="AK142" s="416">
        <v>0</v>
      </c>
      <c r="AL142" s="416">
        <v>0</v>
      </c>
      <c r="AM142" s="416">
        <v>0</v>
      </c>
      <c r="AN142" s="416">
        <v>0</v>
      </c>
      <c r="AO142" s="416">
        <v>0</v>
      </c>
      <c r="AP142" s="416">
        <v>0</v>
      </c>
      <c r="AQ142" s="416">
        <v>0</v>
      </c>
      <c r="AR142" s="416">
        <v>0</v>
      </c>
      <c r="AS142" s="416">
        <v>0</v>
      </c>
      <c r="AT142" s="416">
        <v>0</v>
      </c>
      <c r="AU142" s="416">
        <v>0</v>
      </c>
      <c r="AV142" s="416">
        <v>0</v>
      </c>
      <c r="AW142" s="416">
        <v>0</v>
      </c>
      <c r="AX142" s="416">
        <v>0</v>
      </c>
      <c r="AY142" s="416">
        <v>0</v>
      </c>
      <c r="AZ142" s="416">
        <v>0</v>
      </c>
      <c r="BA142" s="416">
        <v>0</v>
      </c>
      <c r="BB142" s="416">
        <v>0</v>
      </c>
      <c r="BC142" s="416">
        <v>0</v>
      </c>
      <c r="BD142" s="416">
        <v>0</v>
      </c>
      <c r="BE142" s="416">
        <v>0</v>
      </c>
      <c r="BF142" s="416">
        <v>0</v>
      </c>
      <c r="BG142" s="416">
        <v>0</v>
      </c>
      <c r="BH142" s="416">
        <v>0</v>
      </c>
      <c r="BI142" s="416">
        <v>0</v>
      </c>
      <c r="BJ142" s="416">
        <v>0</v>
      </c>
      <c r="BK142" s="416">
        <v>0</v>
      </c>
      <c r="BL142" s="416">
        <v>0</v>
      </c>
      <c r="BM142" s="416">
        <v>0</v>
      </c>
      <c r="BN142" s="416">
        <v>0</v>
      </c>
      <c r="BO142" s="416">
        <v>0</v>
      </c>
      <c r="BP142" s="416">
        <v>0</v>
      </c>
      <c r="BQ142" s="416">
        <v>0</v>
      </c>
      <c r="BR142" s="416">
        <v>0</v>
      </c>
      <c r="BS142" s="416">
        <v>0</v>
      </c>
      <c r="BT142" s="416">
        <v>0</v>
      </c>
      <c r="BU142" s="416">
        <v>0</v>
      </c>
      <c r="BV142" s="416">
        <v>0</v>
      </c>
      <c r="BW142" s="416">
        <v>0</v>
      </c>
      <c r="BX142" s="416">
        <v>0</v>
      </c>
      <c r="BY142" s="416">
        <v>0</v>
      </c>
      <c r="BZ142" s="416">
        <v>0</v>
      </c>
      <c r="CC142" s="420"/>
      <c r="CD142" s="424" t="s">
        <v>547</v>
      </c>
      <c r="CE142" s="420">
        <f t="shared" si="32"/>
        <v>0</v>
      </c>
      <c r="CF142" s="420">
        <f t="shared" si="33"/>
        <v>0</v>
      </c>
      <c r="CG142" s="420">
        <f t="shared" si="34"/>
        <v>0</v>
      </c>
      <c r="CH142" s="420">
        <f t="shared" si="19"/>
        <v>0</v>
      </c>
      <c r="CI142" s="420">
        <f t="shared" si="20"/>
        <v>0</v>
      </c>
      <c r="CJ142" s="420">
        <f t="shared" si="21"/>
        <v>0</v>
      </c>
      <c r="CK142" s="420">
        <f t="shared" si="22"/>
        <v>0</v>
      </c>
      <c r="CL142" s="420">
        <f t="shared" si="23"/>
        <v>0</v>
      </c>
      <c r="CM142" s="420">
        <f t="shared" si="24"/>
        <v>0</v>
      </c>
      <c r="CN142" s="420">
        <f t="shared" si="25"/>
        <v>0</v>
      </c>
      <c r="CO142" s="420">
        <f t="shared" si="26"/>
        <v>0</v>
      </c>
      <c r="CP142" s="420">
        <f t="shared" si="27"/>
        <v>0</v>
      </c>
      <c r="CQ142" s="420">
        <f t="shared" si="28"/>
        <v>0</v>
      </c>
      <c r="CR142" s="420">
        <f t="shared" si="29"/>
        <v>0</v>
      </c>
      <c r="CS142" s="420">
        <f t="shared" si="30"/>
        <v>0</v>
      </c>
      <c r="CT142" s="21"/>
    </row>
    <row r="143" spans="3:98" hidden="1" outlineLevel="1">
      <c r="C143" s="424" t="s">
        <v>548</v>
      </c>
      <c r="D143" s="416">
        <v>0</v>
      </c>
      <c r="E143" s="416">
        <v>0</v>
      </c>
      <c r="F143" s="416">
        <v>0</v>
      </c>
      <c r="G143" s="416">
        <v>0</v>
      </c>
      <c r="H143" s="427">
        <v>0</v>
      </c>
      <c r="I143" s="416">
        <v>0</v>
      </c>
      <c r="J143" s="416">
        <v>0</v>
      </c>
      <c r="K143" s="416">
        <v>0</v>
      </c>
      <c r="L143" s="416">
        <v>0</v>
      </c>
      <c r="M143" s="416">
        <v>0</v>
      </c>
      <c r="N143" s="416">
        <v>0</v>
      </c>
      <c r="O143" s="416">
        <v>0</v>
      </c>
      <c r="P143" s="416">
        <v>0</v>
      </c>
      <c r="Q143" s="416">
        <v>0</v>
      </c>
      <c r="R143" s="416">
        <v>0</v>
      </c>
      <c r="S143" s="416">
        <v>0</v>
      </c>
      <c r="T143" s="416">
        <v>0</v>
      </c>
      <c r="U143" s="416">
        <v>0</v>
      </c>
      <c r="V143" s="416">
        <v>0</v>
      </c>
      <c r="W143" s="416">
        <v>0</v>
      </c>
      <c r="X143" s="416">
        <v>0</v>
      </c>
      <c r="Y143" s="416">
        <v>0</v>
      </c>
      <c r="Z143" s="416">
        <v>0</v>
      </c>
      <c r="AA143" s="416">
        <v>0</v>
      </c>
      <c r="AB143" s="416">
        <v>0</v>
      </c>
      <c r="AC143" s="416">
        <v>0</v>
      </c>
      <c r="AD143" s="416">
        <v>0</v>
      </c>
      <c r="AE143" s="416">
        <v>0</v>
      </c>
      <c r="AF143" s="416">
        <v>0</v>
      </c>
      <c r="AG143" s="416">
        <v>0</v>
      </c>
      <c r="AH143" s="416">
        <v>0</v>
      </c>
      <c r="AI143" s="416">
        <v>0</v>
      </c>
      <c r="AJ143" s="416">
        <v>0</v>
      </c>
      <c r="AK143" s="416">
        <v>0</v>
      </c>
      <c r="AL143" s="416">
        <v>0</v>
      </c>
      <c r="AM143" s="416">
        <v>0</v>
      </c>
      <c r="AN143" s="416">
        <v>0</v>
      </c>
      <c r="AO143" s="416">
        <v>0</v>
      </c>
      <c r="AP143" s="416">
        <v>0</v>
      </c>
      <c r="AQ143" s="416">
        <v>0</v>
      </c>
      <c r="AR143" s="416">
        <v>0</v>
      </c>
      <c r="AS143" s="416">
        <v>0</v>
      </c>
      <c r="AT143" s="416">
        <v>0</v>
      </c>
      <c r="AU143" s="416">
        <v>0</v>
      </c>
      <c r="AV143" s="416">
        <v>0</v>
      </c>
      <c r="AW143" s="416">
        <v>0</v>
      </c>
      <c r="AX143" s="416">
        <v>0</v>
      </c>
      <c r="AY143" s="416">
        <v>0</v>
      </c>
      <c r="AZ143" s="416">
        <v>0</v>
      </c>
      <c r="BA143" s="416">
        <v>0</v>
      </c>
      <c r="BB143" s="416">
        <v>0</v>
      </c>
      <c r="BC143" s="416">
        <v>0</v>
      </c>
      <c r="BD143" s="416">
        <v>0</v>
      </c>
      <c r="BE143" s="416">
        <v>0</v>
      </c>
      <c r="BF143" s="416">
        <v>0</v>
      </c>
      <c r="BG143" s="416">
        <v>0</v>
      </c>
      <c r="BH143" s="416">
        <v>0</v>
      </c>
      <c r="BI143" s="416">
        <v>0</v>
      </c>
      <c r="BJ143" s="416">
        <v>0</v>
      </c>
      <c r="BK143" s="416">
        <v>0</v>
      </c>
      <c r="BL143" s="416">
        <v>0</v>
      </c>
      <c r="BM143" s="416">
        <v>0</v>
      </c>
      <c r="BN143" s="416">
        <v>0</v>
      </c>
      <c r="BO143" s="416">
        <v>0</v>
      </c>
      <c r="BP143" s="416">
        <v>0</v>
      </c>
      <c r="BQ143" s="416">
        <v>0</v>
      </c>
      <c r="BR143" s="416">
        <v>0</v>
      </c>
      <c r="BS143" s="416">
        <v>0</v>
      </c>
      <c r="BT143" s="416">
        <v>0</v>
      </c>
      <c r="BU143" s="416">
        <v>0</v>
      </c>
      <c r="BV143" s="416">
        <v>0</v>
      </c>
      <c r="BW143" s="416">
        <v>0</v>
      </c>
      <c r="BX143" s="416">
        <v>0</v>
      </c>
      <c r="BY143" s="416">
        <v>0</v>
      </c>
      <c r="BZ143" s="416">
        <v>0</v>
      </c>
      <c r="CC143" s="420"/>
      <c r="CD143" s="424" t="s">
        <v>548</v>
      </c>
      <c r="CE143" s="420">
        <f t="shared" si="32"/>
        <v>0</v>
      </c>
      <c r="CF143" s="420">
        <f t="shared" si="33"/>
        <v>0</v>
      </c>
      <c r="CG143" s="420">
        <f t="shared" si="34"/>
        <v>0</v>
      </c>
      <c r="CH143" s="420">
        <f t="shared" si="19"/>
        <v>0</v>
      </c>
      <c r="CI143" s="420">
        <f t="shared" si="20"/>
        <v>0</v>
      </c>
      <c r="CJ143" s="420">
        <f t="shared" si="21"/>
        <v>0</v>
      </c>
      <c r="CK143" s="420">
        <f t="shared" si="22"/>
        <v>0</v>
      </c>
      <c r="CL143" s="420">
        <f t="shared" si="23"/>
        <v>0</v>
      </c>
      <c r="CM143" s="420">
        <f t="shared" si="24"/>
        <v>0</v>
      </c>
      <c r="CN143" s="420">
        <f t="shared" si="25"/>
        <v>0</v>
      </c>
      <c r="CO143" s="420">
        <f t="shared" si="26"/>
        <v>0</v>
      </c>
      <c r="CP143" s="420">
        <f t="shared" si="27"/>
        <v>0</v>
      </c>
      <c r="CQ143" s="420">
        <f t="shared" si="28"/>
        <v>0</v>
      </c>
      <c r="CR143" s="420">
        <f t="shared" si="29"/>
        <v>0</v>
      </c>
      <c r="CS143" s="420">
        <f t="shared" si="30"/>
        <v>0</v>
      </c>
      <c r="CT143" s="21"/>
    </row>
    <row r="144" spans="3:98" hidden="1" outlineLevel="1">
      <c r="C144" s="424" t="s">
        <v>549</v>
      </c>
      <c r="D144" s="416">
        <v>0</v>
      </c>
      <c r="E144" s="416">
        <v>0</v>
      </c>
      <c r="F144" s="416">
        <v>0</v>
      </c>
      <c r="G144" s="416">
        <v>0</v>
      </c>
      <c r="H144" s="427">
        <v>0</v>
      </c>
      <c r="I144" s="416">
        <v>0</v>
      </c>
      <c r="J144" s="416">
        <v>0</v>
      </c>
      <c r="K144" s="416">
        <v>0</v>
      </c>
      <c r="L144" s="416">
        <v>0</v>
      </c>
      <c r="M144" s="416">
        <v>0</v>
      </c>
      <c r="N144" s="416">
        <v>0</v>
      </c>
      <c r="O144" s="416">
        <v>0</v>
      </c>
      <c r="P144" s="416">
        <v>0</v>
      </c>
      <c r="Q144" s="416">
        <v>0</v>
      </c>
      <c r="R144" s="416">
        <v>0</v>
      </c>
      <c r="S144" s="416">
        <v>0</v>
      </c>
      <c r="T144" s="416">
        <v>0</v>
      </c>
      <c r="U144" s="416">
        <v>0</v>
      </c>
      <c r="V144" s="416">
        <v>0</v>
      </c>
      <c r="W144" s="416">
        <v>0</v>
      </c>
      <c r="X144" s="416">
        <v>0</v>
      </c>
      <c r="Y144" s="416">
        <v>0</v>
      </c>
      <c r="Z144" s="416">
        <v>0</v>
      </c>
      <c r="AA144" s="416">
        <v>0</v>
      </c>
      <c r="AB144" s="416">
        <v>0</v>
      </c>
      <c r="AC144" s="416">
        <v>0</v>
      </c>
      <c r="AD144" s="416">
        <v>0</v>
      </c>
      <c r="AE144" s="416">
        <v>0</v>
      </c>
      <c r="AF144" s="416">
        <v>0</v>
      </c>
      <c r="AG144" s="416">
        <v>0</v>
      </c>
      <c r="AH144" s="416">
        <v>0</v>
      </c>
      <c r="AI144" s="416">
        <v>0</v>
      </c>
      <c r="AJ144" s="416">
        <v>0</v>
      </c>
      <c r="AK144" s="416">
        <v>0</v>
      </c>
      <c r="AL144" s="416">
        <v>0</v>
      </c>
      <c r="AM144" s="416">
        <v>0</v>
      </c>
      <c r="AN144" s="416">
        <v>0</v>
      </c>
      <c r="AO144" s="416">
        <v>0</v>
      </c>
      <c r="AP144" s="416">
        <v>0</v>
      </c>
      <c r="AQ144" s="416">
        <v>0</v>
      </c>
      <c r="AR144" s="416">
        <v>0</v>
      </c>
      <c r="AS144" s="416">
        <v>0</v>
      </c>
      <c r="AT144" s="416">
        <v>0</v>
      </c>
      <c r="AU144" s="416">
        <v>0</v>
      </c>
      <c r="AV144" s="416">
        <v>0</v>
      </c>
      <c r="AW144" s="416">
        <v>0</v>
      </c>
      <c r="AX144" s="416">
        <v>0</v>
      </c>
      <c r="AY144" s="416">
        <v>0</v>
      </c>
      <c r="AZ144" s="416">
        <v>0</v>
      </c>
      <c r="BA144" s="416">
        <v>0</v>
      </c>
      <c r="BB144" s="416">
        <v>0</v>
      </c>
      <c r="BC144" s="416">
        <v>0</v>
      </c>
      <c r="BD144" s="416">
        <v>0</v>
      </c>
      <c r="BE144" s="416">
        <v>0</v>
      </c>
      <c r="BF144" s="416">
        <v>0</v>
      </c>
      <c r="BG144" s="416">
        <v>0</v>
      </c>
      <c r="BH144" s="416">
        <v>0</v>
      </c>
      <c r="BI144" s="416">
        <v>0</v>
      </c>
      <c r="BJ144" s="416">
        <v>0</v>
      </c>
      <c r="BK144" s="416">
        <v>0</v>
      </c>
      <c r="BL144" s="416">
        <v>0</v>
      </c>
      <c r="BM144" s="416">
        <v>0</v>
      </c>
      <c r="BN144" s="416">
        <v>0</v>
      </c>
      <c r="BO144" s="416">
        <v>0</v>
      </c>
      <c r="BP144" s="416">
        <v>0</v>
      </c>
      <c r="BQ144" s="416">
        <v>0</v>
      </c>
      <c r="BR144" s="416">
        <v>0</v>
      </c>
      <c r="BS144" s="416">
        <v>0</v>
      </c>
      <c r="BT144" s="416">
        <v>0</v>
      </c>
      <c r="BU144" s="416">
        <v>0</v>
      </c>
      <c r="BV144" s="416">
        <v>0</v>
      </c>
      <c r="BW144" s="416">
        <v>0</v>
      </c>
      <c r="BX144" s="416">
        <v>0</v>
      </c>
      <c r="BY144" s="416">
        <v>0</v>
      </c>
      <c r="BZ144" s="416">
        <v>0</v>
      </c>
      <c r="CC144" s="420"/>
      <c r="CD144" s="424" t="s">
        <v>549</v>
      </c>
      <c r="CE144" s="420">
        <f t="shared" si="32"/>
        <v>0</v>
      </c>
      <c r="CF144" s="420">
        <f t="shared" si="33"/>
        <v>0</v>
      </c>
      <c r="CG144" s="420">
        <f t="shared" si="34"/>
        <v>0</v>
      </c>
      <c r="CH144" s="420">
        <f t="shared" si="19"/>
        <v>0</v>
      </c>
      <c r="CI144" s="420">
        <f t="shared" si="20"/>
        <v>0</v>
      </c>
      <c r="CJ144" s="420">
        <f t="shared" si="21"/>
        <v>0</v>
      </c>
      <c r="CK144" s="420">
        <f t="shared" si="22"/>
        <v>0</v>
      </c>
      <c r="CL144" s="420">
        <f t="shared" si="23"/>
        <v>0</v>
      </c>
      <c r="CM144" s="420">
        <f t="shared" si="24"/>
        <v>0</v>
      </c>
      <c r="CN144" s="420">
        <f t="shared" si="25"/>
        <v>0</v>
      </c>
      <c r="CO144" s="420">
        <f t="shared" si="26"/>
        <v>0</v>
      </c>
      <c r="CP144" s="420">
        <f t="shared" si="27"/>
        <v>0</v>
      </c>
      <c r="CQ144" s="420">
        <f t="shared" si="28"/>
        <v>0</v>
      </c>
      <c r="CR144" s="420">
        <f t="shared" si="29"/>
        <v>0</v>
      </c>
      <c r="CS144" s="420">
        <f t="shared" si="30"/>
        <v>0</v>
      </c>
      <c r="CT144" s="21"/>
    </row>
    <row r="145" spans="3:98" hidden="1" outlineLevel="1">
      <c r="C145" s="424" t="s">
        <v>550</v>
      </c>
      <c r="D145" s="416">
        <v>0</v>
      </c>
      <c r="E145" s="416">
        <v>0</v>
      </c>
      <c r="F145" s="416">
        <v>0</v>
      </c>
      <c r="G145" s="416">
        <v>0</v>
      </c>
      <c r="H145" s="427">
        <v>0</v>
      </c>
      <c r="I145" s="416">
        <v>0</v>
      </c>
      <c r="J145" s="416">
        <v>0</v>
      </c>
      <c r="K145" s="416">
        <v>0</v>
      </c>
      <c r="L145" s="416">
        <v>0</v>
      </c>
      <c r="M145" s="416">
        <v>0</v>
      </c>
      <c r="N145" s="416">
        <v>0</v>
      </c>
      <c r="O145" s="416">
        <v>0</v>
      </c>
      <c r="P145" s="416">
        <v>0</v>
      </c>
      <c r="Q145" s="416">
        <v>0</v>
      </c>
      <c r="R145" s="416">
        <v>0</v>
      </c>
      <c r="S145" s="416">
        <v>0</v>
      </c>
      <c r="T145" s="416">
        <v>0</v>
      </c>
      <c r="U145" s="416">
        <v>0</v>
      </c>
      <c r="V145" s="416">
        <v>0</v>
      </c>
      <c r="W145" s="416">
        <v>0</v>
      </c>
      <c r="X145" s="416">
        <v>0</v>
      </c>
      <c r="Y145" s="416">
        <v>0</v>
      </c>
      <c r="Z145" s="416">
        <v>0</v>
      </c>
      <c r="AA145" s="416">
        <v>0</v>
      </c>
      <c r="AB145" s="416">
        <v>0</v>
      </c>
      <c r="AC145" s="416">
        <v>0</v>
      </c>
      <c r="AD145" s="416">
        <v>0</v>
      </c>
      <c r="AE145" s="416">
        <v>0</v>
      </c>
      <c r="AF145" s="416">
        <v>0</v>
      </c>
      <c r="AG145" s="416">
        <v>0</v>
      </c>
      <c r="AH145" s="416">
        <v>0</v>
      </c>
      <c r="AI145" s="416">
        <v>0</v>
      </c>
      <c r="AJ145" s="416">
        <v>0</v>
      </c>
      <c r="AK145" s="416">
        <v>0</v>
      </c>
      <c r="AL145" s="416">
        <v>0</v>
      </c>
      <c r="AM145" s="416">
        <v>0</v>
      </c>
      <c r="AN145" s="416">
        <v>0</v>
      </c>
      <c r="AO145" s="416">
        <v>0</v>
      </c>
      <c r="AP145" s="416">
        <v>0</v>
      </c>
      <c r="AQ145" s="416">
        <v>0</v>
      </c>
      <c r="AR145" s="416">
        <v>0</v>
      </c>
      <c r="AS145" s="416">
        <v>0</v>
      </c>
      <c r="AT145" s="416">
        <v>0</v>
      </c>
      <c r="AU145" s="416">
        <v>0</v>
      </c>
      <c r="AV145" s="416">
        <v>0</v>
      </c>
      <c r="AW145" s="416">
        <v>0</v>
      </c>
      <c r="AX145" s="416">
        <v>0</v>
      </c>
      <c r="AY145" s="416">
        <v>0</v>
      </c>
      <c r="AZ145" s="416">
        <v>0</v>
      </c>
      <c r="BA145" s="416">
        <v>0</v>
      </c>
      <c r="BB145" s="416">
        <v>0</v>
      </c>
      <c r="BC145" s="416">
        <v>0</v>
      </c>
      <c r="BD145" s="416">
        <v>0</v>
      </c>
      <c r="BE145" s="416">
        <v>0</v>
      </c>
      <c r="BF145" s="416">
        <v>0</v>
      </c>
      <c r="BG145" s="416">
        <v>0</v>
      </c>
      <c r="BH145" s="416">
        <v>0</v>
      </c>
      <c r="BI145" s="416">
        <v>0</v>
      </c>
      <c r="BJ145" s="416">
        <v>0</v>
      </c>
      <c r="BK145" s="416">
        <v>0</v>
      </c>
      <c r="BL145" s="416">
        <v>0</v>
      </c>
      <c r="BM145" s="416">
        <v>0</v>
      </c>
      <c r="BN145" s="416">
        <v>0</v>
      </c>
      <c r="BO145" s="416">
        <v>0</v>
      </c>
      <c r="BP145" s="416">
        <v>0</v>
      </c>
      <c r="BQ145" s="416">
        <v>0</v>
      </c>
      <c r="BR145" s="416">
        <v>0</v>
      </c>
      <c r="BS145" s="416">
        <v>0</v>
      </c>
      <c r="BT145" s="416">
        <v>0</v>
      </c>
      <c r="BU145" s="416">
        <v>0</v>
      </c>
      <c r="BV145" s="416">
        <v>0</v>
      </c>
      <c r="BW145" s="416">
        <v>0</v>
      </c>
      <c r="BX145" s="416">
        <v>0</v>
      </c>
      <c r="BY145" s="416">
        <v>0</v>
      </c>
      <c r="BZ145" s="416">
        <v>0</v>
      </c>
      <c r="CC145" s="420"/>
      <c r="CD145" s="424" t="s">
        <v>550</v>
      </c>
      <c r="CE145" s="420">
        <f t="shared" si="32"/>
        <v>0</v>
      </c>
      <c r="CF145" s="420">
        <f t="shared" si="33"/>
        <v>0</v>
      </c>
      <c r="CG145" s="420">
        <f t="shared" si="34"/>
        <v>0</v>
      </c>
      <c r="CH145" s="420">
        <f t="shared" si="19"/>
        <v>0</v>
      </c>
      <c r="CI145" s="420">
        <f t="shared" si="20"/>
        <v>0</v>
      </c>
      <c r="CJ145" s="420">
        <f t="shared" si="21"/>
        <v>0</v>
      </c>
      <c r="CK145" s="420">
        <f t="shared" si="22"/>
        <v>0</v>
      </c>
      <c r="CL145" s="420">
        <f t="shared" si="23"/>
        <v>0</v>
      </c>
      <c r="CM145" s="420">
        <f t="shared" si="24"/>
        <v>0</v>
      </c>
      <c r="CN145" s="420">
        <f t="shared" si="25"/>
        <v>0</v>
      </c>
      <c r="CO145" s="420">
        <f t="shared" si="26"/>
        <v>0</v>
      </c>
      <c r="CP145" s="420">
        <f t="shared" si="27"/>
        <v>0</v>
      </c>
      <c r="CQ145" s="420">
        <f t="shared" si="28"/>
        <v>0</v>
      </c>
      <c r="CR145" s="420">
        <f t="shared" si="29"/>
        <v>0</v>
      </c>
      <c r="CS145" s="420">
        <f t="shared" si="30"/>
        <v>0</v>
      </c>
      <c r="CT145" s="21"/>
    </row>
    <row r="146" spans="3:98" hidden="1" outlineLevel="1" collapsed="1">
      <c r="C146" s="415" t="s">
        <v>546</v>
      </c>
      <c r="D146" s="416">
        <v>0</v>
      </c>
      <c r="E146" s="416">
        <v>0</v>
      </c>
      <c r="F146" s="416">
        <v>0</v>
      </c>
      <c r="G146" s="416">
        <v>0</v>
      </c>
      <c r="H146" s="427">
        <v>0</v>
      </c>
      <c r="I146" s="416">
        <v>0</v>
      </c>
      <c r="J146" s="416">
        <v>0</v>
      </c>
      <c r="K146" s="416">
        <v>0</v>
      </c>
      <c r="L146" s="416">
        <v>0</v>
      </c>
      <c r="M146" s="416">
        <v>0</v>
      </c>
      <c r="N146" s="416">
        <v>0</v>
      </c>
      <c r="O146" s="416">
        <v>0</v>
      </c>
      <c r="P146" s="416">
        <v>0</v>
      </c>
      <c r="Q146" s="416">
        <v>0</v>
      </c>
      <c r="R146" s="416">
        <v>0</v>
      </c>
      <c r="S146" s="416">
        <v>0</v>
      </c>
      <c r="T146" s="416">
        <v>0</v>
      </c>
      <c r="U146" s="416">
        <v>0</v>
      </c>
      <c r="V146" s="416">
        <v>0</v>
      </c>
      <c r="W146" s="416">
        <v>0</v>
      </c>
      <c r="X146" s="416">
        <v>0</v>
      </c>
      <c r="Y146" s="416">
        <v>0</v>
      </c>
      <c r="Z146" s="416">
        <v>0</v>
      </c>
      <c r="AA146" s="416">
        <v>0</v>
      </c>
      <c r="AB146" s="416">
        <v>0</v>
      </c>
      <c r="AC146" s="416">
        <v>0</v>
      </c>
      <c r="AD146" s="416">
        <v>0</v>
      </c>
      <c r="AE146" s="416">
        <v>0</v>
      </c>
      <c r="AF146" s="416">
        <v>0</v>
      </c>
      <c r="AG146" s="416">
        <v>0</v>
      </c>
      <c r="AH146" s="416">
        <v>0</v>
      </c>
      <c r="AI146" s="416">
        <v>0</v>
      </c>
      <c r="AJ146" s="416">
        <v>0</v>
      </c>
      <c r="AK146" s="416">
        <v>0</v>
      </c>
      <c r="AL146" s="416">
        <v>0</v>
      </c>
      <c r="AM146" s="416">
        <v>0</v>
      </c>
      <c r="AN146" s="416">
        <v>0</v>
      </c>
      <c r="AO146" s="416">
        <v>0</v>
      </c>
      <c r="AP146" s="416">
        <v>0</v>
      </c>
      <c r="AQ146" s="416">
        <v>0</v>
      </c>
      <c r="AR146" s="416">
        <v>0</v>
      </c>
      <c r="AS146" s="416">
        <v>0</v>
      </c>
      <c r="AT146" s="416">
        <v>0</v>
      </c>
      <c r="AU146" s="416">
        <v>0</v>
      </c>
      <c r="AV146" s="416">
        <v>0</v>
      </c>
      <c r="AW146" s="416">
        <v>0</v>
      </c>
      <c r="AX146" s="416">
        <v>0</v>
      </c>
      <c r="AY146" s="416">
        <v>0</v>
      </c>
      <c r="AZ146" s="416">
        <v>0</v>
      </c>
      <c r="BA146" s="416">
        <v>0</v>
      </c>
      <c r="BB146" s="416">
        <v>0</v>
      </c>
      <c r="BC146" s="416">
        <v>0</v>
      </c>
      <c r="BD146" s="416">
        <v>0</v>
      </c>
      <c r="BE146" s="416">
        <v>0</v>
      </c>
      <c r="BF146" s="416">
        <v>0</v>
      </c>
      <c r="BG146" s="416">
        <v>0</v>
      </c>
      <c r="BH146" s="416">
        <v>0</v>
      </c>
      <c r="BI146" s="416">
        <v>0</v>
      </c>
      <c r="BJ146" s="416">
        <v>0</v>
      </c>
      <c r="BK146" s="416">
        <v>0</v>
      </c>
      <c r="BL146" s="416">
        <v>0</v>
      </c>
      <c r="BM146" s="416">
        <v>0</v>
      </c>
      <c r="BN146" s="416">
        <v>0</v>
      </c>
      <c r="BO146" s="416">
        <v>0</v>
      </c>
      <c r="BP146" s="416">
        <v>0</v>
      </c>
      <c r="BQ146" s="416">
        <v>0</v>
      </c>
      <c r="BR146" s="416">
        <v>0</v>
      </c>
      <c r="BS146" s="416">
        <v>0</v>
      </c>
      <c r="BT146" s="416">
        <v>0</v>
      </c>
      <c r="BU146" s="416">
        <v>0</v>
      </c>
      <c r="BV146" s="416">
        <v>0</v>
      </c>
      <c r="BW146" s="416">
        <v>0</v>
      </c>
      <c r="BX146" s="416">
        <v>0</v>
      </c>
      <c r="BY146" s="416">
        <v>0</v>
      </c>
      <c r="BZ146" s="416">
        <v>0</v>
      </c>
      <c r="CC146" s="420"/>
      <c r="CD146" s="415" t="s">
        <v>546</v>
      </c>
      <c r="CE146" s="420">
        <f t="shared" si="32"/>
        <v>0</v>
      </c>
      <c r="CF146" s="420">
        <f t="shared" si="33"/>
        <v>0</v>
      </c>
      <c r="CG146" s="420">
        <f t="shared" si="34"/>
        <v>0</v>
      </c>
      <c r="CH146" s="420">
        <f t="shared" si="19"/>
        <v>0</v>
      </c>
      <c r="CI146" s="420">
        <f t="shared" si="20"/>
        <v>0</v>
      </c>
      <c r="CJ146" s="420">
        <f t="shared" si="21"/>
        <v>0</v>
      </c>
      <c r="CK146" s="420">
        <f t="shared" si="22"/>
        <v>0</v>
      </c>
      <c r="CL146" s="420">
        <f t="shared" si="23"/>
        <v>0</v>
      </c>
      <c r="CM146" s="420">
        <f t="shared" si="24"/>
        <v>0</v>
      </c>
      <c r="CN146" s="420">
        <f t="shared" si="25"/>
        <v>0</v>
      </c>
      <c r="CO146" s="420">
        <f t="shared" si="26"/>
        <v>0</v>
      </c>
      <c r="CP146" s="420">
        <f t="shared" si="27"/>
        <v>0</v>
      </c>
      <c r="CQ146" s="420">
        <f t="shared" si="28"/>
        <v>0</v>
      </c>
      <c r="CR146" s="420">
        <f t="shared" si="29"/>
        <v>0</v>
      </c>
      <c r="CS146" s="420">
        <f t="shared" si="30"/>
        <v>0</v>
      </c>
      <c r="CT146" s="21"/>
    </row>
    <row r="147" spans="3:98" hidden="1" outlineLevel="1">
      <c r="C147" s="415" t="s">
        <v>551</v>
      </c>
      <c r="D147" s="416">
        <v>0</v>
      </c>
      <c r="E147" s="416">
        <v>0</v>
      </c>
      <c r="F147" s="416">
        <v>0</v>
      </c>
      <c r="G147" s="416">
        <v>0</v>
      </c>
      <c r="H147" s="427">
        <v>0</v>
      </c>
      <c r="I147" s="416">
        <v>0</v>
      </c>
      <c r="J147" s="416">
        <v>0</v>
      </c>
      <c r="K147" s="416">
        <v>0</v>
      </c>
      <c r="L147" s="416">
        <v>0</v>
      </c>
      <c r="M147" s="416">
        <v>0</v>
      </c>
      <c r="N147" s="416">
        <v>0</v>
      </c>
      <c r="O147" s="416">
        <v>0</v>
      </c>
      <c r="P147" s="416">
        <v>0</v>
      </c>
      <c r="Q147" s="416">
        <v>0</v>
      </c>
      <c r="R147" s="416">
        <v>0</v>
      </c>
      <c r="S147" s="416">
        <v>0</v>
      </c>
      <c r="T147" s="416">
        <v>0</v>
      </c>
      <c r="U147" s="416">
        <v>0</v>
      </c>
      <c r="V147" s="416">
        <v>0</v>
      </c>
      <c r="W147" s="416">
        <v>0</v>
      </c>
      <c r="X147" s="416">
        <v>0</v>
      </c>
      <c r="Y147" s="416">
        <v>0</v>
      </c>
      <c r="Z147" s="416">
        <v>0</v>
      </c>
      <c r="AA147" s="416">
        <v>0</v>
      </c>
      <c r="AB147" s="416">
        <v>0</v>
      </c>
      <c r="AC147" s="416">
        <v>0</v>
      </c>
      <c r="AD147" s="416">
        <v>0</v>
      </c>
      <c r="AE147" s="416">
        <v>0</v>
      </c>
      <c r="AF147" s="416">
        <v>0</v>
      </c>
      <c r="AG147" s="416">
        <v>0</v>
      </c>
      <c r="AH147" s="416">
        <v>0</v>
      </c>
      <c r="AI147" s="416">
        <v>0</v>
      </c>
      <c r="AJ147" s="416">
        <v>0</v>
      </c>
      <c r="AK147" s="416">
        <v>0</v>
      </c>
      <c r="AL147" s="416">
        <v>0</v>
      </c>
      <c r="AM147" s="416">
        <v>0</v>
      </c>
      <c r="AN147" s="416">
        <v>0</v>
      </c>
      <c r="AO147" s="416">
        <v>0</v>
      </c>
      <c r="AP147" s="416">
        <v>0</v>
      </c>
      <c r="AQ147" s="416">
        <v>0</v>
      </c>
      <c r="AR147" s="416">
        <v>0</v>
      </c>
      <c r="AS147" s="416">
        <v>0</v>
      </c>
      <c r="AT147" s="416">
        <v>0</v>
      </c>
      <c r="AU147" s="416">
        <v>0</v>
      </c>
      <c r="AV147" s="416">
        <v>0</v>
      </c>
      <c r="AW147" s="416">
        <v>0</v>
      </c>
      <c r="AX147" s="416">
        <v>0</v>
      </c>
      <c r="AY147" s="416">
        <v>0</v>
      </c>
      <c r="AZ147" s="416">
        <v>0</v>
      </c>
      <c r="BA147" s="416">
        <v>0</v>
      </c>
      <c r="BB147" s="416">
        <v>0</v>
      </c>
      <c r="BC147" s="416">
        <v>0</v>
      </c>
      <c r="BD147" s="416">
        <v>0</v>
      </c>
      <c r="BE147" s="416">
        <v>0</v>
      </c>
      <c r="BF147" s="416">
        <v>0</v>
      </c>
      <c r="BG147" s="416">
        <v>0</v>
      </c>
      <c r="BH147" s="416">
        <v>0</v>
      </c>
      <c r="BI147" s="416">
        <v>0</v>
      </c>
      <c r="BJ147" s="416">
        <v>0</v>
      </c>
      <c r="BK147" s="416">
        <v>0</v>
      </c>
      <c r="BL147" s="416">
        <v>0</v>
      </c>
      <c r="BM147" s="416">
        <v>0</v>
      </c>
      <c r="BN147" s="416">
        <v>0</v>
      </c>
      <c r="BO147" s="416">
        <v>0</v>
      </c>
      <c r="BP147" s="416">
        <v>0</v>
      </c>
      <c r="BQ147" s="416">
        <v>0</v>
      </c>
      <c r="BR147" s="416">
        <v>0</v>
      </c>
      <c r="BS147" s="416">
        <v>0</v>
      </c>
      <c r="BT147" s="416">
        <v>0</v>
      </c>
      <c r="BU147" s="416">
        <v>0</v>
      </c>
      <c r="BV147" s="416">
        <v>0</v>
      </c>
      <c r="BW147" s="416">
        <v>0</v>
      </c>
      <c r="BX147" s="416">
        <v>0</v>
      </c>
      <c r="BY147" s="416">
        <v>0</v>
      </c>
      <c r="BZ147" s="416">
        <v>0</v>
      </c>
      <c r="CC147" s="420"/>
      <c r="CD147" s="415" t="s">
        <v>551</v>
      </c>
      <c r="CE147" s="420">
        <f t="shared" si="32"/>
        <v>0</v>
      </c>
      <c r="CF147" s="420">
        <f t="shared" si="33"/>
        <v>0</v>
      </c>
      <c r="CG147" s="420">
        <f t="shared" si="34"/>
        <v>0</v>
      </c>
      <c r="CH147" s="420">
        <f t="shared" si="19"/>
        <v>0</v>
      </c>
      <c r="CI147" s="420">
        <f t="shared" si="20"/>
        <v>0</v>
      </c>
      <c r="CJ147" s="420">
        <f t="shared" si="21"/>
        <v>0</v>
      </c>
      <c r="CK147" s="420">
        <f t="shared" si="22"/>
        <v>0</v>
      </c>
      <c r="CL147" s="420">
        <f t="shared" si="23"/>
        <v>0</v>
      </c>
      <c r="CM147" s="420">
        <f t="shared" si="24"/>
        <v>0</v>
      </c>
      <c r="CN147" s="420">
        <f t="shared" si="25"/>
        <v>0</v>
      </c>
      <c r="CO147" s="420">
        <f t="shared" si="26"/>
        <v>0</v>
      </c>
      <c r="CP147" s="420">
        <f t="shared" si="27"/>
        <v>0</v>
      </c>
      <c r="CQ147" s="420">
        <f t="shared" si="28"/>
        <v>0</v>
      </c>
      <c r="CR147" s="420">
        <f t="shared" si="29"/>
        <v>0</v>
      </c>
      <c r="CS147" s="420">
        <f t="shared" si="30"/>
        <v>0</v>
      </c>
      <c r="CT147" s="21"/>
    </row>
    <row r="148" spans="3:98" hidden="1" outlineLevel="1">
      <c r="C148" s="415" t="s">
        <v>552</v>
      </c>
      <c r="D148" s="416">
        <v>0</v>
      </c>
      <c r="E148" s="416">
        <v>0</v>
      </c>
      <c r="F148" s="416">
        <v>0</v>
      </c>
      <c r="G148" s="416">
        <v>0</v>
      </c>
      <c r="H148" s="427">
        <v>0</v>
      </c>
      <c r="I148" s="416">
        <v>0</v>
      </c>
      <c r="J148" s="416">
        <v>0</v>
      </c>
      <c r="K148" s="416">
        <v>0</v>
      </c>
      <c r="L148" s="416">
        <v>0</v>
      </c>
      <c r="M148" s="416">
        <v>0</v>
      </c>
      <c r="N148" s="416">
        <v>0</v>
      </c>
      <c r="O148" s="416">
        <v>0</v>
      </c>
      <c r="P148" s="416">
        <v>0</v>
      </c>
      <c r="Q148" s="416">
        <v>0</v>
      </c>
      <c r="R148" s="416">
        <v>0</v>
      </c>
      <c r="S148" s="416">
        <v>0</v>
      </c>
      <c r="T148" s="416">
        <v>0</v>
      </c>
      <c r="U148" s="416">
        <v>0</v>
      </c>
      <c r="V148" s="416">
        <v>0</v>
      </c>
      <c r="W148" s="416">
        <v>0</v>
      </c>
      <c r="X148" s="416">
        <v>0</v>
      </c>
      <c r="Y148" s="416">
        <v>0</v>
      </c>
      <c r="Z148" s="416">
        <v>0</v>
      </c>
      <c r="AA148" s="416">
        <v>0</v>
      </c>
      <c r="AB148" s="416">
        <v>0</v>
      </c>
      <c r="AC148" s="416">
        <v>0</v>
      </c>
      <c r="AD148" s="416">
        <v>0</v>
      </c>
      <c r="AE148" s="416">
        <v>0</v>
      </c>
      <c r="AF148" s="416">
        <v>0</v>
      </c>
      <c r="AG148" s="416">
        <v>0</v>
      </c>
      <c r="AH148" s="416">
        <v>0</v>
      </c>
      <c r="AI148" s="416">
        <v>0</v>
      </c>
      <c r="AJ148" s="416">
        <v>0</v>
      </c>
      <c r="AK148" s="416">
        <v>0</v>
      </c>
      <c r="AL148" s="416">
        <v>0</v>
      </c>
      <c r="AM148" s="416">
        <v>0</v>
      </c>
      <c r="AN148" s="416">
        <v>0</v>
      </c>
      <c r="AO148" s="416">
        <v>0</v>
      </c>
      <c r="AP148" s="416">
        <v>0</v>
      </c>
      <c r="AQ148" s="416">
        <v>0</v>
      </c>
      <c r="AR148" s="416">
        <v>0</v>
      </c>
      <c r="AS148" s="416">
        <v>0</v>
      </c>
      <c r="AT148" s="416">
        <v>0</v>
      </c>
      <c r="AU148" s="416">
        <v>0</v>
      </c>
      <c r="AV148" s="416">
        <v>0</v>
      </c>
      <c r="AW148" s="416">
        <v>0</v>
      </c>
      <c r="AX148" s="416">
        <v>0</v>
      </c>
      <c r="AY148" s="416">
        <v>0</v>
      </c>
      <c r="AZ148" s="416">
        <v>0</v>
      </c>
      <c r="BA148" s="416">
        <v>0</v>
      </c>
      <c r="BB148" s="416">
        <v>0</v>
      </c>
      <c r="BC148" s="416">
        <v>0</v>
      </c>
      <c r="BD148" s="416">
        <v>0</v>
      </c>
      <c r="BE148" s="416">
        <v>0</v>
      </c>
      <c r="BF148" s="416">
        <v>0</v>
      </c>
      <c r="BG148" s="416">
        <v>0</v>
      </c>
      <c r="BH148" s="416">
        <v>0</v>
      </c>
      <c r="BI148" s="416">
        <v>0</v>
      </c>
      <c r="BJ148" s="416">
        <v>0</v>
      </c>
      <c r="BK148" s="416">
        <v>0</v>
      </c>
      <c r="BL148" s="416">
        <v>0</v>
      </c>
      <c r="BM148" s="416">
        <v>0</v>
      </c>
      <c r="BN148" s="416">
        <v>0</v>
      </c>
      <c r="BO148" s="416">
        <v>0</v>
      </c>
      <c r="BP148" s="416">
        <v>0</v>
      </c>
      <c r="BQ148" s="416">
        <v>0</v>
      </c>
      <c r="BR148" s="416">
        <v>0</v>
      </c>
      <c r="BS148" s="416">
        <v>0</v>
      </c>
      <c r="BT148" s="416">
        <v>0</v>
      </c>
      <c r="BU148" s="416">
        <v>0</v>
      </c>
      <c r="BV148" s="416">
        <v>0</v>
      </c>
      <c r="BW148" s="416">
        <v>0</v>
      </c>
      <c r="BX148" s="416">
        <v>0</v>
      </c>
      <c r="BY148" s="416">
        <v>0</v>
      </c>
      <c r="BZ148" s="416">
        <v>0</v>
      </c>
      <c r="CC148" s="420"/>
      <c r="CD148" s="415" t="s">
        <v>552</v>
      </c>
      <c r="CE148" s="420">
        <f t="shared" si="32"/>
        <v>0</v>
      </c>
      <c r="CF148" s="420">
        <f t="shared" si="33"/>
        <v>0</v>
      </c>
      <c r="CG148" s="420">
        <f t="shared" si="34"/>
        <v>0</v>
      </c>
      <c r="CH148" s="420">
        <f t="shared" si="19"/>
        <v>0</v>
      </c>
      <c r="CI148" s="420">
        <f t="shared" si="20"/>
        <v>0</v>
      </c>
      <c r="CJ148" s="420">
        <f t="shared" si="21"/>
        <v>0</v>
      </c>
      <c r="CK148" s="420">
        <f t="shared" si="22"/>
        <v>0</v>
      </c>
      <c r="CL148" s="420">
        <f t="shared" si="23"/>
        <v>0</v>
      </c>
      <c r="CM148" s="420">
        <f t="shared" si="24"/>
        <v>0</v>
      </c>
      <c r="CN148" s="420">
        <f t="shared" si="25"/>
        <v>0</v>
      </c>
      <c r="CO148" s="420">
        <f t="shared" si="26"/>
        <v>0</v>
      </c>
      <c r="CP148" s="420">
        <f t="shared" si="27"/>
        <v>0</v>
      </c>
      <c r="CQ148" s="420">
        <f t="shared" si="28"/>
        <v>0</v>
      </c>
      <c r="CR148" s="420">
        <f t="shared" si="29"/>
        <v>0</v>
      </c>
      <c r="CS148" s="420">
        <f t="shared" si="30"/>
        <v>0</v>
      </c>
      <c r="CT148" s="21"/>
    </row>
    <row r="149" spans="3:98" collapsed="1">
      <c r="C149" s="417" t="s">
        <v>545</v>
      </c>
      <c r="D149" s="416">
        <v>0</v>
      </c>
      <c r="E149" s="416">
        <v>0</v>
      </c>
      <c r="F149" s="416">
        <v>0</v>
      </c>
      <c r="G149" s="416">
        <v>0</v>
      </c>
      <c r="H149" s="427">
        <v>0</v>
      </c>
      <c r="I149" s="416">
        <v>0</v>
      </c>
      <c r="J149" s="416">
        <v>0</v>
      </c>
      <c r="K149" s="416">
        <v>0</v>
      </c>
      <c r="L149" s="416">
        <v>0</v>
      </c>
      <c r="M149" s="416">
        <v>0</v>
      </c>
      <c r="N149" s="416">
        <v>0</v>
      </c>
      <c r="O149" s="416">
        <v>0</v>
      </c>
      <c r="P149" s="416">
        <v>0</v>
      </c>
      <c r="Q149" s="416">
        <v>0</v>
      </c>
      <c r="R149" s="416">
        <v>0</v>
      </c>
      <c r="S149" s="416">
        <v>0</v>
      </c>
      <c r="T149" s="416">
        <v>0</v>
      </c>
      <c r="U149" s="416">
        <v>0</v>
      </c>
      <c r="V149" s="416">
        <v>0</v>
      </c>
      <c r="W149" s="416">
        <v>0</v>
      </c>
      <c r="X149" s="416">
        <v>0</v>
      </c>
      <c r="Y149" s="416">
        <v>0</v>
      </c>
      <c r="Z149" s="416">
        <v>0</v>
      </c>
      <c r="AA149" s="416">
        <v>0</v>
      </c>
      <c r="AB149" s="416">
        <v>0</v>
      </c>
      <c r="AC149" s="416">
        <v>0</v>
      </c>
      <c r="AD149" s="416">
        <v>0</v>
      </c>
      <c r="AE149" s="416">
        <v>0</v>
      </c>
      <c r="AF149" s="416">
        <v>0</v>
      </c>
      <c r="AG149" s="416">
        <v>0</v>
      </c>
      <c r="AH149" s="416">
        <v>0</v>
      </c>
      <c r="AI149" s="416">
        <v>0</v>
      </c>
      <c r="AJ149" s="416">
        <v>0</v>
      </c>
      <c r="AK149" s="416">
        <v>0</v>
      </c>
      <c r="AL149" s="416">
        <v>0</v>
      </c>
      <c r="AM149" s="416">
        <v>0</v>
      </c>
      <c r="AN149" s="416">
        <v>0</v>
      </c>
      <c r="AO149" s="416">
        <v>0</v>
      </c>
      <c r="AP149" s="416">
        <v>0</v>
      </c>
      <c r="AQ149" s="416">
        <v>0</v>
      </c>
      <c r="AR149" s="416">
        <v>0</v>
      </c>
      <c r="AS149" s="416">
        <v>0</v>
      </c>
      <c r="AT149" s="416">
        <v>0</v>
      </c>
      <c r="AU149" s="416">
        <v>0</v>
      </c>
      <c r="AV149" s="416">
        <v>0</v>
      </c>
      <c r="AW149" s="416">
        <v>0</v>
      </c>
      <c r="AX149" s="416">
        <v>0</v>
      </c>
      <c r="AY149" s="416">
        <v>0</v>
      </c>
      <c r="AZ149" s="416">
        <v>0</v>
      </c>
      <c r="BA149" s="416">
        <v>0</v>
      </c>
      <c r="BB149" s="416">
        <v>0</v>
      </c>
      <c r="BC149" s="416">
        <v>0</v>
      </c>
      <c r="BD149" s="416">
        <v>0</v>
      </c>
      <c r="BE149" s="416">
        <v>0</v>
      </c>
      <c r="BF149" s="416">
        <v>0</v>
      </c>
      <c r="BG149" s="416">
        <v>0</v>
      </c>
      <c r="BH149" s="416">
        <v>0</v>
      </c>
      <c r="BI149" s="416">
        <v>0</v>
      </c>
      <c r="BJ149" s="416">
        <v>0</v>
      </c>
      <c r="BK149" s="416">
        <v>0</v>
      </c>
      <c r="BL149" s="416">
        <v>0</v>
      </c>
      <c r="BM149" s="416">
        <v>0</v>
      </c>
      <c r="BN149" s="416">
        <v>0</v>
      </c>
      <c r="BO149" s="416">
        <v>0</v>
      </c>
      <c r="BP149" s="416">
        <v>0</v>
      </c>
      <c r="BQ149" s="416">
        <v>0</v>
      </c>
      <c r="BR149" s="416">
        <v>0</v>
      </c>
      <c r="BS149" s="416">
        <v>0</v>
      </c>
      <c r="BT149" s="416">
        <v>0</v>
      </c>
      <c r="BU149" s="416">
        <v>0</v>
      </c>
      <c r="BV149" s="416">
        <v>0</v>
      </c>
      <c r="BW149" s="416">
        <v>0</v>
      </c>
      <c r="BX149" s="416">
        <v>0</v>
      </c>
      <c r="BY149" s="416">
        <v>0</v>
      </c>
      <c r="BZ149" s="416">
        <v>0</v>
      </c>
      <c r="CC149" s="420"/>
      <c r="CD149" s="417" t="s">
        <v>545</v>
      </c>
      <c r="CE149" s="420">
        <f t="shared" si="32"/>
        <v>0</v>
      </c>
      <c r="CF149" s="420">
        <f t="shared" si="33"/>
        <v>0</v>
      </c>
      <c r="CG149" s="420">
        <f t="shared" si="34"/>
        <v>0</v>
      </c>
      <c r="CH149" s="420">
        <f t="shared" si="19"/>
        <v>0</v>
      </c>
      <c r="CI149" s="420">
        <f t="shared" si="20"/>
        <v>0</v>
      </c>
      <c r="CJ149" s="420">
        <f t="shared" si="21"/>
        <v>0</v>
      </c>
      <c r="CK149" s="420">
        <f t="shared" si="22"/>
        <v>0</v>
      </c>
      <c r="CL149" s="420">
        <f t="shared" si="23"/>
        <v>0</v>
      </c>
      <c r="CM149" s="420">
        <f t="shared" si="24"/>
        <v>0</v>
      </c>
      <c r="CN149" s="420">
        <f t="shared" si="25"/>
        <v>0</v>
      </c>
      <c r="CO149" s="420">
        <f t="shared" si="26"/>
        <v>0</v>
      </c>
      <c r="CP149" s="420">
        <f t="shared" si="27"/>
        <v>0</v>
      </c>
      <c r="CQ149" s="420">
        <f t="shared" si="28"/>
        <v>0</v>
      </c>
      <c r="CR149" s="420">
        <f t="shared" si="29"/>
        <v>0</v>
      </c>
      <c r="CS149" s="420">
        <f t="shared" si="30"/>
        <v>0</v>
      </c>
      <c r="CT149" s="21"/>
    </row>
    <row r="150" spans="3:98">
      <c r="C150" s="417" t="s">
        <v>553</v>
      </c>
      <c r="D150" s="416">
        <v>0</v>
      </c>
      <c r="E150" s="416">
        <v>0</v>
      </c>
      <c r="F150" s="416">
        <v>0</v>
      </c>
      <c r="G150" s="416">
        <v>0</v>
      </c>
      <c r="H150" s="427">
        <v>0</v>
      </c>
      <c r="I150" s="416">
        <v>0</v>
      </c>
      <c r="J150" s="416">
        <v>0</v>
      </c>
      <c r="K150" s="416">
        <v>0</v>
      </c>
      <c r="L150" s="416">
        <v>0</v>
      </c>
      <c r="M150" s="416">
        <v>0</v>
      </c>
      <c r="N150" s="416">
        <v>0</v>
      </c>
      <c r="O150" s="416">
        <v>0</v>
      </c>
      <c r="P150" s="416">
        <v>0</v>
      </c>
      <c r="Q150" s="416">
        <v>0</v>
      </c>
      <c r="R150" s="416">
        <v>0</v>
      </c>
      <c r="S150" s="416">
        <v>0</v>
      </c>
      <c r="T150" s="416">
        <v>0</v>
      </c>
      <c r="U150" s="416">
        <v>0</v>
      </c>
      <c r="V150" s="416">
        <v>0</v>
      </c>
      <c r="W150" s="416">
        <v>0</v>
      </c>
      <c r="X150" s="416">
        <v>0</v>
      </c>
      <c r="Y150" s="416">
        <v>0</v>
      </c>
      <c r="Z150" s="416">
        <v>0</v>
      </c>
      <c r="AA150" s="416">
        <v>0</v>
      </c>
      <c r="AB150" s="416">
        <v>0</v>
      </c>
      <c r="AC150" s="416">
        <v>0</v>
      </c>
      <c r="AD150" s="416">
        <v>0</v>
      </c>
      <c r="AE150" s="416">
        <v>0</v>
      </c>
      <c r="AF150" s="416">
        <v>0</v>
      </c>
      <c r="AG150" s="416">
        <v>0</v>
      </c>
      <c r="AH150" s="416">
        <v>0</v>
      </c>
      <c r="AI150" s="416">
        <v>0</v>
      </c>
      <c r="AJ150" s="416">
        <v>0</v>
      </c>
      <c r="AK150" s="416">
        <v>0</v>
      </c>
      <c r="AL150" s="416">
        <v>0</v>
      </c>
      <c r="AM150" s="416">
        <v>0</v>
      </c>
      <c r="AN150" s="416">
        <v>0</v>
      </c>
      <c r="AO150" s="416">
        <v>0</v>
      </c>
      <c r="AP150" s="416">
        <v>0</v>
      </c>
      <c r="AQ150" s="416">
        <v>0</v>
      </c>
      <c r="AR150" s="416">
        <v>0</v>
      </c>
      <c r="AS150" s="416">
        <v>0</v>
      </c>
      <c r="AT150" s="416">
        <v>0</v>
      </c>
      <c r="AU150" s="416">
        <v>0</v>
      </c>
      <c r="AV150" s="416">
        <v>0</v>
      </c>
      <c r="AW150" s="416">
        <v>0</v>
      </c>
      <c r="AX150" s="416">
        <v>0</v>
      </c>
      <c r="AY150" s="416">
        <v>0</v>
      </c>
      <c r="AZ150" s="416">
        <v>0</v>
      </c>
      <c r="BA150" s="416">
        <v>0</v>
      </c>
      <c r="BB150" s="416">
        <v>0</v>
      </c>
      <c r="BC150" s="416">
        <v>0</v>
      </c>
      <c r="BD150" s="416">
        <v>0</v>
      </c>
      <c r="BE150" s="416">
        <v>0</v>
      </c>
      <c r="BF150" s="416">
        <v>0</v>
      </c>
      <c r="BG150" s="416">
        <v>0</v>
      </c>
      <c r="BH150" s="416">
        <v>0</v>
      </c>
      <c r="BI150" s="416">
        <v>0</v>
      </c>
      <c r="BJ150" s="416">
        <v>0</v>
      </c>
      <c r="BK150" s="416">
        <v>0</v>
      </c>
      <c r="BL150" s="416">
        <v>0</v>
      </c>
      <c r="BM150" s="416">
        <v>0</v>
      </c>
      <c r="BN150" s="416">
        <v>0</v>
      </c>
      <c r="BO150" s="416">
        <v>0</v>
      </c>
      <c r="BP150" s="416">
        <v>0</v>
      </c>
      <c r="BQ150" s="416">
        <v>0</v>
      </c>
      <c r="BR150" s="416">
        <v>0</v>
      </c>
      <c r="BS150" s="416">
        <v>0</v>
      </c>
      <c r="BT150" s="416">
        <v>0</v>
      </c>
      <c r="BU150" s="416">
        <v>0</v>
      </c>
      <c r="BV150" s="416">
        <v>0</v>
      </c>
      <c r="BW150" s="416">
        <v>0</v>
      </c>
      <c r="BX150" s="416">
        <v>0</v>
      </c>
      <c r="BY150" s="416">
        <v>0</v>
      </c>
      <c r="BZ150" s="416">
        <v>0</v>
      </c>
      <c r="CC150" s="420"/>
      <c r="CD150" s="417" t="s">
        <v>553</v>
      </c>
      <c r="CE150" s="420">
        <f t="shared" si="32"/>
        <v>0</v>
      </c>
      <c r="CF150" s="420">
        <f t="shared" si="33"/>
        <v>0</v>
      </c>
      <c r="CG150" s="420">
        <f t="shared" si="34"/>
        <v>0</v>
      </c>
      <c r="CH150" s="420">
        <f t="shared" si="19"/>
        <v>0</v>
      </c>
      <c r="CI150" s="420">
        <f t="shared" si="20"/>
        <v>0</v>
      </c>
      <c r="CJ150" s="420">
        <f t="shared" si="21"/>
        <v>0</v>
      </c>
      <c r="CK150" s="420">
        <f t="shared" si="22"/>
        <v>0</v>
      </c>
      <c r="CL150" s="420">
        <f t="shared" si="23"/>
        <v>0</v>
      </c>
      <c r="CM150" s="420">
        <f t="shared" si="24"/>
        <v>0</v>
      </c>
      <c r="CN150" s="420">
        <f t="shared" si="25"/>
        <v>0</v>
      </c>
      <c r="CO150" s="420">
        <f t="shared" si="26"/>
        <v>0</v>
      </c>
      <c r="CP150" s="420">
        <f t="shared" si="27"/>
        <v>0</v>
      </c>
      <c r="CQ150" s="420">
        <f t="shared" si="28"/>
        <v>0</v>
      </c>
      <c r="CR150" s="420">
        <f t="shared" si="29"/>
        <v>0</v>
      </c>
      <c r="CS150" s="420">
        <f t="shared" si="30"/>
        <v>0</v>
      </c>
      <c r="CT150" s="21"/>
    </row>
    <row r="151" spans="3:98">
      <c r="C151" s="421" t="s">
        <v>544</v>
      </c>
      <c r="D151" s="429">
        <v>0</v>
      </c>
      <c r="E151" s="429">
        <v>0</v>
      </c>
      <c r="F151" s="429">
        <v>0</v>
      </c>
      <c r="G151" s="429">
        <v>0</v>
      </c>
      <c r="H151" s="422">
        <v>0</v>
      </c>
      <c r="I151" s="422">
        <v>0</v>
      </c>
      <c r="J151" s="422">
        <v>0</v>
      </c>
      <c r="K151" s="422">
        <v>0</v>
      </c>
      <c r="L151" s="422">
        <v>0</v>
      </c>
      <c r="M151" s="422">
        <v>0</v>
      </c>
      <c r="N151" s="422">
        <v>0</v>
      </c>
      <c r="O151" s="422">
        <v>0</v>
      </c>
      <c r="P151" s="422">
        <v>0</v>
      </c>
      <c r="Q151" s="422">
        <v>0</v>
      </c>
      <c r="R151" s="422">
        <v>0</v>
      </c>
      <c r="S151" s="422">
        <v>0</v>
      </c>
      <c r="T151" s="422">
        <v>0</v>
      </c>
      <c r="U151" s="422">
        <v>0</v>
      </c>
      <c r="V151" s="422">
        <v>0</v>
      </c>
      <c r="W151" s="422">
        <v>0</v>
      </c>
      <c r="X151" s="422">
        <v>0</v>
      </c>
      <c r="Y151" s="422">
        <v>0</v>
      </c>
      <c r="Z151" s="422">
        <v>0</v>
      </c>
      <c r="AA151" s="422">
        <v>0</v>
      </c>
      <c r="AB151" s="422">
        <v>0</v>
      </c>
      <c r="AC151" s="422">
        <v>0</v>
      </c>
      <c r="AD151" s="422">
        <v>0</v>
      </c>
      <c r="AE151" s="422">
        <v>0</v>
      </c>
      <c r="AF151" s="422">
        <v>0</v>
      </c>
      <c r="AG151" s="422">
        <v>0</v>
      </c>
      <c r="AH151" s="422">
        <v>0</v>
      </c>
      <c r="AI151" s="422">
        <v>0</v>
      </c>
      <c r="AJ151" s="422">
        <v>0</v>
      </c>
      <c r="AK151" s="422">
        <v>0</v>
      </c>
      <c r="AL151" s="422">
        <v>0</v>
      </c>
      <c r="AM151" s="422">
        <v>0</v>
      </c>
      <c r="AN151" s="422">
        <v>0</v>
      </c>
      <c r="AO151" s="422">
        <v>0</v>
      </c>
      <c r="AP151" s="422">
        <v>0</v>
      </c>
      <c r="AQ151" s="422">
        <v>0</v>
      </c>
      <c r="AR151" s="422">
        <v>0</v>
      </c>
      <c r="AS151" s="422">
        <v>0</v>
      </c>
      <c r="AT151" s="422">
        <v>0</v>
      </c>
      <c r="AU151" s="422">
        <v>0</v>
      </c>
      <c r="AV151" s="422">
        <v>0</v>
      </c>
      <c r="AW151" s="422">
        <v>0</v>
      </c>
      <c r="AX151" s="422">
        <v>0</v>
      </c>
      <c r="AY151" s="422">
        <v>0</v>
      </c>
      <c r="AZ151" s="422">
        <v>0</v>
      </c>
      <c r="BA151" s="422">
        <v>0</v>
      </c>
      <c r="BB151" s="422">
        <v>0</v>
      </c>
      <c r="BC151" s="422">
        <v>0</v>
      </c>
      <c r="BD151" s="422">
        <v>0</v>
      </c>
      <c r="BE151" s="422">
        <v>0</v>
      </c>
      <c r="BF151" s="422">
        <v>0</v>
      </c>
      <c r="BG151" s="422">
        <v>0</v>
      </c>
      <c r="BH151" s="422">
        <v>0</v>
      </c>
      <c r="BI151" s="422">
        <v>0</v>
      </c>
      <c r="BJ151" s="422">
        <v>0</v>
      </c>
      <c r="BK151" s="422">
        <v>0</v>
      </c>
      <c r="BL151" s="422">
        <v>0</v>
      </c>
      <c r="BM151" s="422">
        <v>0</v>
      </c>
      <c r="BN151" s="422">
        <v>0</v>
      </c>
      <c r="BO151" s="422">
        <v>0</v>
      </c>
      <c r="BP151" s="422">
        <v>0</v>
      </c>
      <c r="BQ151" s="422">
        <v>0</v>
      </c>
      <c r="BR151" s="422">
        <v>0</v>
      </c>
      <c r="BS151" s="422">
        <v>0</v>
      </c>
      <c r="BT151" s="422">
        <v>0</v>
      </c>
      <c r="BU151" s="422">
        <v>0</v>
      </c>
      <c r="BV151" s="422">
        <v>0</v>
      </c>
      <c r="BW151" s="422">
        <v>0</v>
      </c>
      <c r="BX151" s="422">
        <v>0</v>
      </c>
      <c r="BY151" s="422">
        <v>0</v>
      </c>
      <c r="BZ151" s="422">
        <v>0</v>
      </c>
      <c r="CC151" s="420"/>
      <c r="CD151" s="421" t="s">
        <v>544</v>
      </c>
      <c r="CE151" s="423">
        <f t="shared" si="32"/>
        <v>0</v>
      </c>
      <c r="CF151" s="423">
        <f t="shared" si="33"/>
        <v>0</v>
      </c>
      <c r="CG151" s="423">
        <f t="shared" si="34"/>
        <v>0</v>
      </c>
      <c r="CH151" s="423">
        <f t="shared" si="19"/>
        <v>0</v>
      </c>
      <c r="CI151" s="423">
        <f t="shared" si="20"/>
        <v>0</v>
      </c>
      <c r="CJ151" s="423">
        <f t="shared" si="21"/>
        <v>0</v>
      </c>
      <c r="CK151" s="423">
        <f t="shared" si="22"/>
        <v>0</v>
      </c>
      <c r="CL151" s="423">
        <f t="shared" si="23"/>
        <v>0</v>
      </c>
      <c r="CM151" s="423">
        <f t="shared" si="24"/>
        <v>0</v>
      </c>
      <c r="CN151" s="423">
        <f t="shared" si="25"/>
        <v>0</v>
      </c>
      <c r="CO151" s="423">
        <f t="shared" si="26"/>
        <v>0</v>
      </c>
      <c r="CP151" s="423">
        <f t="shared" si="27"/>
        <v>0</v>
      </c>
      <c r="CQ151" s="423">
        <f t="shared" si="28"/>
        <v>0</v>
      </c>
      <c r="CR151" s="423">
        <f t="shared" si="29"/>
        <v>0</v>
      </c>
      <c r="CS151" s="423">
        <f t="shared" si="30"/>
        <v>0</v>
      </c>
      <c r="CT151" s="21"/>
    </row>
    <row r="152" spans="3:98" ht="4.5" customHeight="1">
      <c r="D152" s="416">
        <v>0</v>
      </c>
      <c r="E152" s="416">
        <v>0</v>
      </c>
      <c r="F152" s="416">
        <v>0</v>
      </c>
      <c r="G152" s="416">
        <v>0</v>
      </c>
      <c r="H152" s="427">
        <v>0</v>
      </c>
      <c r="I152" s="416">
        <v>0</v>
      </c>
      <c r="J152" s="416">
        <v>0</v>
      </c>
      <c r="K152" s="416">
        <v>0</v>
      </c>
      <c r="L152" s="416">
        <v>0</v>
      </c>
      <c r="M152" s="416">
        <v>0</v>
      </c>
      <c r="N152" s="416">
        <v>0</v>
      </c>
      <c r="O152" s="416">
        <v>0</v>
      </c>
      <c r="P152" s="416">
        <v>0</v>
      </c>
      <c r="Q152" s="416">
        <v>0</v>
      </c>
      <c r="R152" s="416">
        <v>0</v>
      </c>
      <c r="S152" s="416">
        <v>0</v>
      </c>
      <c r="T152" s="416">
        <v>0</v>
      </c>
      <c r="U152" s="416">
        <v>0</v>
      </c>
      <c r="V152" s="416">
        <v>0</v>
      </c>
      <c r="W152" s="416">
        <v>0</v>
      </c>
      <c r="X152" s="416">
        <v>0</v>
      </c>
      <c r="Y152" s="416">
        <v>0</v>
      </c>
      <c r="Z152" s="416">
        <v>0</v>
      </c>
      <c r="AA152" s="416">
        <v>0</v>
      </c>
      <c r="AB152" s="416">
        <v>0</v>
      </c>
      <c r="AC152" s="416">
        <v>0</v>
      </c>
      <c r="AD152" s="416">
        <v>0</v>
      </c>
      <c r="AE152" s="416">
        <v>0</v>
      </c>
      <c r="AF152" s="416">
        <v>0</v>
      </c>
      <c r="AG152" s="416">
        <v>0</v>
      </c>
      <c r="AH152" s="416">
        <v>0</v>
      </c>
      <c r="AI152" s="416">
        <v>0</v>
      </c>
      <c r="AJ152" s="416">
        <v>0</v>
      </c>
      <c r="AK152" s="416">
        <v>0</v>
      </c>
      <c r="AL152" s="416">
        <v>0</v>
      </c>
      <c r="AM152" s="416">
        <v>0</v>
      </c>
      <c r="AN152" s="416">
        <v>0</v>
      </c>
      <c r="AO152" s="416">
        <v>0</v>
      </c>
      <c r="AP152" s="416">
        <v>0</v>
      </c>
      <c r="AQ152" s="416">
        <v>0</v>
      </c>
      <c r="AR152" s="416">
        <v>0</v>
      </c>
      <c r="AS152" s="416">
        <v>0</v>
      </c>
      <c r="AT152" s="416">
        <v>0</v>
      </c>
      <c r="AU152" s="416">
        <v>0</v>
      </c>
      <c r="AV152" s="416">
        <v>0</v>
      </c>
      <c r="AW152" s="416">
        <v>0</v>
      </c>
      <c r="AX152" s="416">
        <v>0</v>
      </c>
      <c r="AY152" s="416">
        <v>0</v>
      </c>
      <c r="AZ152" s="416">
        <v>0</v>
      </c>
      <c r="BA152" s="416">
        <v>0</v>
      </c>
      <c r="BB152" s="416">
        <v>0</v>
      </c>
      <c r="BC152" s="416">
        <v>0</v>
      </c>
      <c r="BD152" s="416">
        <v>0</v>
      </c>
      <c r="BE152" s="416">
        <v>0</v>
      </c>
      <c r="BF152" s="416">
        <v>0</v>
      </c>
      <c r="BG152" s="416">
        <v>0</v>
      </c>
      <c r="BH152" s="416">
        <v>0</v>
      </c>
      <c r="BI152" s="416">
        <v>0</v>
      </c>
      <c r="BJ152" s="416">
        <v>0</v>
      </c>
      <c r="BK152" s="416">
        <v>0</v>
      </c>
      <c r="BL152" s="416">
        <v>0</v>
      </c>
      <c r="BM152" s="416">
        <v>0</v>
      </c>
      <c r="BN152" s="416">
        <v>0</v>
      </c>
      <c r="BO152" s="416">
        <v>0</v>
      </c>
      <c r="BP152" s="416">
        <v>0</v>
      </c>
      <c r="BQ152" s="416">
        <v>0</v>
      </c>
      <c r="BR152" s="416">
        <v>0</v>
      </c>
      <c r="BS152" s="416">
        <v>0</v>
      </c>
      <c r="BT152" s="416">
        <v>0</v>
      </c>
      <c r="BU152" s="416">
        <v>0</v>
      </c>
      <c r="BV152" s="416">
        <v>0</v>
      </c>
      <c r="BW152" s="416">
        <v>0</v>
      </c>
      <c r="BX152" s="416">
        <v>0</v>
      </c>
      <c r="BY152" s="416">
        <v>0</v>
      </c>
      <c r="BZ152" s="416">
        <v>0</v>
      </c>
      <c r="CC152" s="420"/>
      <c r="CD152" s="58"/>
      <c r="CE152" s="420"/>
      <c r="CF152" s="420"/>
      <c r="CG152" s="420"/>
      <c r="CH152" s="420"/>
      <c r="CI152" s="420"/>
      <c r="CJ152" s="420"/>
      <c r="CK152" s="420"/>
      <c r="CL152" s="420"/>
      <c r="CM152" s="420"/>
      <c r="CN152" s="420"/>
      <c r="CO152" s="420"/>
      <c r="CP152" s="420"/>
      <c r="CQ152" s="420"/>
      <c r="CR152" s="420"/>
      <c r="CS152" s="420"/>
      <c r="CT152" s="21"/>
    </row>
    <row r="153" spans="3:98">
      <c r="C153" s="430" t="s">
        <v>134</v>
      </c>
      <c r="D153" s="416">
        <v>0</v>
      </c>
      <c r="E153" s="416">
        <v>0</v>
      </c>
      <c r="F153" s="416">
        <v>0</v>
      </c>
      <c r="G153" s="416">
        <v>0</v>
      </c>
      <c r="H153" s="427">
        <v>0</v>
      </c>
      <c r="I153" s="416">
        <v>0</v>
      </c>
      <c r="J153" s="416">
        <v>0</v>
      </c>
      <c r="K153" s="416">
        <v>0</v>
      </c>
      <c r="L153" s="416">
        <v>0</v>
      </c>
      <c r="M153" s="416">
        <v>0</v>
      </c>
      <c r="N153" s="416">
        <v>0</v>
      </c>
      <c r="O153" s="416">
        <v>0</v>
      </c>
      <c r="P153" s="416">
        <v>0</v>
      </c>
      <c r="Q153" s="416">
        <v>0</v>
      </c>
      <c r="R153" s="416">
        <v>0</v>
      </c>
      <c r="S153" s="416">
        <v>0</v>
      </c>
      <c r="T153" s="416">
        <v>0</v>
      </c>
      <c r="U153" s="416">
        <v>0</v>
      </c>
      <c r="V153" s="416">
        <v>0</v>
      </c>
      <c r="W153" s="416">
        <v>0</v>
      </c>
      <c r="X153" s="416">
        <v>0</v>
      </c>
      <c r="Y153" s="416">
        <v>0</v>
      </c>
      <c r="Z153" s="416">
        <v>0</v>
      </c>
      <c r="AA153" s="416">
        <v>0</v>
      </c>
      <c r="AB153" s="416">
        <v>0</v>
      </c>
      <c r="AC153" s="416">
        <v>0</v>
      </c>
      <c r="AD153" s="416">
        <v>0</v>
      </c>
      <c r="AE153" s="416">
        <v>0</v>
      </c>
      <c r="AF153" s="416">
        <v>0</v>
      </c>
      <c r="AG153" s="416">
        <v>0</v>
      </c>
      <c r="AH153" s="416">
        <v>0</v>
      </c>
      <c r="AI153" s="416">
        <v>0</v>
      </c>
      <c r="AJ153" s="416">
        <v>0</v>
      </c>
      <c r="AK153" s="416">
        <v>0</v>
      </c>
      <c r="AL153" s="416">
        <v>0</v>
      </c>
      <c r="AM153" s="416">
        <v>0</v>
      </c>
      <c r="AN153" s="416">
        <v>0</v>
      </c>
      <c r="AO153" s="416">
        <v>0</v>
      </c>
      <c r="AP153" s="416">
        <v>0</v>
      </c>
      <c r="AQ153" s="416">
        <v>0</v>
      </c>
      <c r="AR153" s="416">
        <v>0</v>
      </c>
      <c r="AS153" s="416">
        <v>0</v>
      </c>
      <c r="AT153" s="416">
        <v>0</v>
      </c>
      <c r="AU153" s="416">
        <v>0</v>
      </c>
      <c r="AV153" s="416">
        <v>0</v>
      </c>
      <c r="AW153" s="416">
        <v>0</v>
      </c>
      <c r="AX153" s="416">
        <v>0</v>
      </c>
      <c r="AY153" s="416">
        <v>0</v>
      </c>
      <c r="AZ153" s="416">
        <v>0</v>
      </c>
      <c r="BA153" s="416">
        <v>0</v>
      </c>
      <c r="BB153" s="416">
        <v>0</v>
      </c>
      <c r="BC153" s="416">
        <v>0</v>
      </c>
      <c r="BD153" s="416">
        <v>0</v>
      </c>
      <c r="BE153" s="416">
        <v>0</v>
      </c>
      <c r="BF153" s="416">
        <v>182.94499999999999</v>
      </c>
      <c r="BG153" s="416">
        <v>182.94499999999999</v>
      </c>
      <c r="BH153" s="416">
        <v>182.94499999999999</v>
      </c>
      <c r="BI153" s="416">
        <v>182.94499999999999</v>
      </c>
      <c r="BJ153" s="416">
        <v>182.94499999999999</v>
      </c>
      <c r="BK153" s="416">
        <v>182.94499999999999</v>
      </c>
      <c r="BL153" s="416">
        <v>196.760122</v>
      </c>
      <c r="BM153" s="416">
        <v>204.72800000000001</v>
      </c>
      <c r="BN153" s="416">
        <v>209.60400000000001</v>
      </c>
      <c r="BO153" s="416">
        <v>214.14099999999999</v>
      </c>
      <c r="BP153" s="416">
        <v>177.31899999999999</v>
      </c>
      <c r="BQ153" s="416">
        <v>217.47200000000001</v>
      </c>
      <c r="BR153" s="416">
        <v>220.988</v>
      </c>
      <c r="BS153" s="416">
        <v>223.916</v>
      </c>
      <c r="BT153" s="416">
        <v>226.80799999999999</v>
      </c>
      <c r="BU153" s="416">
        <v>222.31399999999999</v>
      </c>
      <c r="BV153" s="416">
        <v>231.489</v>
      </c>
      <c r="BW153" s="416">
        <v>234.614</v>
      </c>
      <c r="BX153" s="416">
        <v>237.27</v>
      </c>
      <c r="BY153" s="416">
        <v>0</v>
      </c>
      <c r="BZ153" s="416">
        <v>0</v>
      </c>
      <c r="CC153" s="420"/>
      <c r="CD153" s="430" t="s">
        <v>134</v>
      </c>
      <c r="CE153" s="420">
        <f t="shared" si="32"/>
        <v>0</v>
      </c>
      <c r="CF153" s="420">
        <f t="shared" si="33"/>
        <v>0</v>
      </c>
      <c r="CG153" s="420">
        <f t="shared" si="34"/>
        <v>0</v>
      </c>
      <c r="CH153" s="420">
        <f t="shared" ref="CH153:CH170" si="35">W153</f>
        <v>0</v>
      </c>
      <c r="CI153" s="420">
        <f t="shared" ref="CI153:CI170" si="36">AB153</f>
        <v>0</v>
      </c>
      <c r="CJ153" s="420">
        <f t="shared" ref="CJ153:CJ170" si="37">AG153</f>
        <v>0</v>
      </c>
      <c r="CK153" s="420">
        <f t="shared" ref="CK153:CK170" si="38">AL153</f>
        <v>0</v>
      </c>
      <c r="CL153" s="420">
        <f t="shared" ref="CL153:CL170" si="39">AQ153</f>
        <v>0</v>
      </c>
      <c r="CM153" s="420">
        <f t="shared" ref="CM153:CM170" si="40">AV153</f>
        <v>0</v>
      </c>
      <c r="CN153" s="420">
        <f t="shared" ref="CN153:CN170" si="41">BA153</f>
        <v>0</v>
      </c>
      <c r="CO153" s="420">
        <f t="shared" ref="CO153:CO170" si="42">BF153</f>
        <v>182.94499999999999</v>
      </c>
      <c r="CP153" s="420">
        <f t="shared" ref="CP153:CP170" si="43">BK153</f>
        <v>182.94499999999999</v>
      </c>
      <c r="CQ153" s="420">
        <f t="shared" ref="CQ153:CQ170" si="44">BP153</f>
        <v>177.31899999999999</v>
      </c>
      <c r="CR153" s="420">
        <f t="shared" ref="CR153:CR170" si="45">BU153</f>
        <v>222.31399999999999</v>
      </c>
      <c r="CS153" s="420">
        <f t="shared" ref="CS153:CS170" si="46">BZ153</f>
        <v>0</v>
      </c>
      <c r="CT153" s="21"/>
    </row>
    <row r="154" spans="3:98">
      <c r="C154" s="430" t="s">
        <v>135</v>
      </c>
      <c r="D154" s="416">
        <v>0</v>
      </c>
      <c r="E154" s="416">
        <v>0</v>
      </c>
      <c r="F154" s="416">
        <v>0</v>
      </c>
      <c r="G154" s="416">
        <v>0</v>
      </c>
      <c r="H154" s="427">
        <v>0</v>
      </c>
      <c r="I154" s="416">
        <v>0</v>
      </c>
      <c r="J154" s="416">
        <v>0</v>
      </c>
      <c r="K154" s="416">
        <v>0</v>
      </c>
      <c r="L154" s="416">
        <v>0</v>
      </c>
      <c r="M154" s="416">
        <v>0</v>
      </c>
      <c r="N154" s="416">
        <v>0</v>
      </c>
      <c r="O154" s="416">
        <v>0</v>
      </c>
      <c r="P154" s="416">
        <v>0</v>
      </c>
      <c r="Q154" s="416">
        <v>0</v>
      </c>
      <c r="R154" s="416">
        <v>0</v>
      </c>
      <c r="S154" s="416">
        <v>0</v>
      </c>
      <c r="T154" s="416">
        <v>0</v>
      </c>
      <c r="U154" s="416">
        <v>0</v>
      </c>
      <c r="V154" s="416">
        <v>0</v>
      </c>
      <c r="W154" s="416">
        <v>0</v>
      </c>
      <c r="X154" s="416">
        <v>0</v>
      </c>
      <c r="Y154" s="416">
        <v>0</v>
      </c>
      <c r="Z154" s="416">
        <v>0</v>
      </c>
      <c r="AA154" s="416">
        <v>0</v>
      </c>
      <c r="AB154" s="416">
        <v>0</v>
      </c>
      <c r="AC154" s="416">
        <v>0</v>
      </c>
      <c r="AD154" s="416">
        <v>0</v>
      </c>
      <c r="AE154" s="416">
        <v>0</v>
      </c>
      <c r="AF154" s="416">
        <v>0</v>
      </c>
      <c r="AG154" s="416">
        <v>0</v>
      </c>
      <c r="AH154" s="416">
        <v>0</v>
      </c>
      <c r="AI154" s="416">
        <v>0</v>
      </c>
      <c r="AJ154" s="416">
        <v>0</v>
      </c>
      <c r="AK154" s="416">
        <v>0</v>
      </c>
      <c r="AL154" s="416">
        <v>0</v>
      </c>
      <c r="AM154" s="416">
        <v>0</v>
      </c>
      <c r="AN154" s="416">
        <v>0</v>
      </c>
      <c r="AO154" s="416">
        <v>0</v>
      </c>
      <c r="AP154" s="416">
        <v>0</v>
      </c>
      <c r="AQ154" s="416">
        <v>0</v>
      </c>
      <c r="AR154" s="416">
        <v>0</v>
      </c>
      <c r="AS154" s="416">
        <v>0</v>
      </c>
      <c r="AT154" s="416">
        <v>0</v>
      </c>
      <c r="AU154" s="416">
        <v>0</v>
      </c>
      <c r="AV154" s="416">
        <v>0</v>
      </c>
      <c r="AW154" s="416">
        <v>0</v>
      </c>
      <c r="AX154" s="416">
        <v>0</v>
      </c>
      <c r="AY154" s="416">
        <v>0</v>
      </c>
      <c r="AZ154" s="416">
        <v>0</v>
      </c>
      <c r="BA154" s="416">
        <v>0</v>
      </c>
      <c r="BB154" s="416">
        <v>0</v>
      </c>
      <c r="BC154" s="416">
        <v>0</v>
      </c>
      <c r="BD154" s="416">
        <v>0</v>
      </c>
      <c r="BE154" s="416">
        <v>0</v>
      </c>
      <c r="BF154" s="416">
        <v>182.94499999999999</v>
      </c>
      <c r="BG154" s="416">
        <v>182.94499999999999</v>
      </c>
      <c r="BH154" s="416">
        <v>182.94499999999999</v>
      </c>
      <c r="BI154" s="416">
        <v>182.94499999999999</v>
      </c>
      <c r="BJ154" s="416">
        <v>273.46499999999997</v>
      </c>
      <c r="BK154" s="416">
        <v>205.57499999999999</v>
      </c>
      <c r="BL154" s="416">
        <v>196.760122</v>
      </c>
      <c r="BM154" s="416">
        <v>248.14699999999999</v>
      </c>
      <c r="BN154" s="416">
        <v>250.536</v>
      </c>
      <c r="BO154" s="416">
        <v>252.70400000000001</v>
      </c>
      <c r="BP154" s="416">
        <v>219.965</v>
      </c>
      <c r="BQ154" s="416">
        <v>217.47200000000001</v>
      </c>
      <c r="BR154" s="416">
        <v>221.03399999999999</v>
      </c>
      <c r="BS154" s="416">
        <v>223.916</v>
      </c>
      <c r="BT154" s="416">
        <v>226.80799999999999</v>
      </c>
      <c r="BU154" s="416">
        <v>222.33799999999999</v>
      </c>
      <c r="BV154" s="416">
        <v>231.489</v>
      </c>
      <c r="BW154" s="416">
        <v>234.64099999999999</v>
      </c>
      <c r="BX154" s="416">
        <v>237.27</v>
      </c>
      <c r="BY154" s="416">
        <v>0</v>
      </c>
      <c r="BZ154" s="416">
        <v>0</v>
      </c>
      <c r="CC154" s="420"/>
      <c r="CD154" s="430" t="s">
        <v>135</v>
      </c>
      <c r="CE154" s="420">
        <f t="shared" si="32"/>
        <v>0</v>
      </c>
      <c r="CF154" s="420">
        <f t="shared" si="33"/>
        <v>0</v>
      </c>
      <c r="CG154" s="420">
        <f t="shared" si="34"/>
        <v>0</v>
      </c>
      <c r="CH154" s="420">
        <f t="shared" si="35"/>
        <v>0</v>
      </c>
      <c r="CI154" s="420">
        <f t="shared" si="36"/>
        <v>0</v>
      </c>
      <c r="CJ154" s="420">
        <f t="shared" si="37"/>
        <v>0</v>
      </c>
      <c r="CK154" s="420">
        <f t="shared" si="38"/>
        <v>0</v>
      </c>
      <c r="CL154" s="420">
        <f t="shared" si="39"/>
        <v>0</v>
      </c>
      <c r="CM154" s="420">
        <f t="shared" si="40"/>
        <v>0</v>
      </c>
      <c r="CN154" s="420">
        <f t="shared" si="41"/>
        <v>0</v>
      </c>
      <c r="CO154" s="420">
        <f t="shared" si="42"/>
        <v>182.94499999999999</v>
      </c>
      <c r="CP154" s="420">
        <f t="shared" si="43"/>
        <v>205.57499999999999</v>
      </c>
      <c r="CQ154" s="420">
        <f t="shared" si="44"/>
        <v>219.965</v>
      </c>
      <c r="CR154" s="420">
        <f t="shared" si="45"/>
        <v>222.33799999999999</v>
      </c>
      <c r="CS154" s="420">
        <f t="shared" si="46"/>
        <v>0</v>
      </c>
      <c r="CT154" s="21"/>
    </row>
    <row r="155" spans="3:98" ht="4.5" customHeight="1">
      <c r="C155" s="98"/>
      <c r="D155" s="416">
        <v>0</v>
      </c>
      <c r="E155" s="416">
        <v>0</v>
      </c>
      <c r="F155" s="416">
        <v>0</v>
      </c>
      <c r="G155" s="416">
        <v>0</v>
      </c>
      <c r="H155" s="427">
        <v>0</v>
      </c>
      <c r="I155" s="416">
        <v>0</v>
      </c>
      <c r="J155" s="416">
        <v>0</v>
      </c>
      <c r="K155" s="416">
        <v>0</v>
      </c>
      <c r="L155" s="416">
        <v>0</v>
      </c>
      <c r="M155" s="416">
        <v>0</v>
      </c>
      <c r="N155" s="416">
        <v>0</v>
      </c>
      <c r="O155" s="416">
        <v>0</v>
      </c>
      <c r="P155" s="416">
        <v>0</v>
      </c>
      <c r="Q155" s="416">
        <v>0</v>
      </c>
      <c r="R155" s="416">
        <v>0</v>
      </c>
      <c r="S155" s="416">
        <v>0</v>
      </c>
      <c r="T155" s="416">
        <v>0</v>
      </c>
      <c r="U155" s="416">
        <v>0</v>
      </c>
      <c r="V155" s="416">
        <v>0</v>
      </c>
      <c r="W155" s="416">
        <v>0</v>
      </c>
      <c r="X155" s="416">
        <v>0</v>
      </c>
      <c r="Y155" s="416">
        <v>0</v>
      </c>
      <c r="Z155" s="416">
        <v>0</v>
      </c>
      <c r="AA155" s="416">
        <v>0</v>
      </c>
      <c r="AB155" s="416">
        <v>0</v>
      </c>
      <c r="AC155" s="416">
        <v>0</v>
      </c>
      <c r="AD155" s="416">
        <v>0</v>
      </c>
      <c r="AE155" s="416">
        <v>0</v>
      </c>
      <c r="AF155" s="416">
        <v>0</v>
      </c>
      <c r="AG155" s="416">
        <v>0</v>
      </c>
      <c r="AH155" s="416">
        <v>0</v>
      </c>
      <c r="AI155" s="416">
        <v>0</v>
      </c>
      <c r="AJ155" s="416">
        <v>0</v>
      </c>
      <c r="AK155" s="416">
        <v>0</v>
      </c>
      <c r="AL155" s="416">
        <v>0</v>
      </c>
      <c r="AM155" s="416">
        <v>0</v>
      </c>
      <c r="AN155" s="416">
        <v>0</v>
      </c>
      <c r="AO155" s="416">
        <v>0</v>
      </c>
      <c r="AP155" s="416">
        <v>0</v>
      </c>
      <c r="AQ155" s="416">
        <v>0</v>
      </c>
      <c r="AR155" s="416">
        <v>0</v>
      </c>
      <c r="AS155" s="416">
        <v>0</v>
      </c>
      <c r="AT155" s="416">
        <v>0</v>
      </c>
      <c r="AU155" s="416">
        <v>0</v>
      </c>
      <c r="AV155" s="416">
        <v>0</v>
      </c>
      <c r="AW155" s="416">
        <v>0</v>
      </c>
      <c r="AX155" s="416">
        <v>0</v>
      </c>
      <c r="AY155" s="416">
        <v>0</v>
      </c>
      <c r="AZ155" s="416">
        <v>0</v>
      </c>
      <c r="BA155" s="416">
        <v>0</v>
      </c>
      <c r="BB155" s="416">
        <v>0</v>
      </c>
      <c r="BC155" s="416">
        <v>0</v>
      </c>
      <c r="BD155" s="416">
        <v>0</v>
      </c>
      <c r="BE155" s="416">
        <v>0</v>
      </c>
      <c r="BF155" s="416">
        <v>0</v>
      </c>
      <c r="BG155" s="416">
        <v>0</v>
      </c>
      <c r="BH155" s="416">
        <v>0</v>
      </c>
      <c r="BI155" s="416">
        <v>0</v>
      </c>
      <c r="BJ155" s="416">
        <v>0</v>
      </c>
      <c r="BK155" s="416">
        <v>0</v>
      </c>
      <c r="BL155" s="416">
        <v>0</v>
      </c>
      <c r="BM155" s="416">
        <v>0</v>
      </c>
      <c r="BN155" s="416">
        <v>0</v>
      </c>
      <c r="BO155" s="416">
        <v>0</v>
      </c>
      <c r="BP155" s="416">
        <v>0</v>
      </c>
      <c r="BQ155" s="416">
        <v>0</v>
      </c>
      <c r="BR155" s="416">
        <v>0</v>
      </c>
      <c r="BS155" s="416">
        <v>0</v>
      </c>
      <c r="BT155" s="416">
        <v>0</v>
      </c>
      <c r="BU155" s="416">
        <v>0</v>
      </c>
      <c r="BV155" s="416">
        <v>0</v>
      </c>
      <c r="BW155" s="416">
        <v>0</v>
      </c>
      <c r="BX155" s="416">
        <v>0</v>
      </c>
      <c r="BY155" s="416">
        <v>0</v>
      </c>
      <c r="BZ155" s="416">
        <v>0</v>
      </c>
      <c r="CC155" s="420"/>
      <c r="CD155" s="98"/>
      <c r="CE155" s="420">
        <f t="shared" si="32"/>
        <v>0</v>
      </c>
      <c r="CF155" s="420">
        <f t="shared" si="33"/>
        <v>0</v>
      </c>
      <c r="CG155" s="420">
        <f t="shared" si="34"/>
        <v>0</v>
      </c>
      <c r="CH155" s="420">
        <f t="shared" si="35"/>
        <v>0</v>
      </c>
      <c r="CI155" s="420">
        <f t="shared" si="36"/>
        <v>0</v>
      </c>
      <c r="CJ155" s="420">
        <f t="shared" si="37"/>
        <v>0</v>
      </c>
      <c r="CK155" s="420">
        <f t="shared" si="38"/>
        <v>0</v>
      </c>
      <c r="CL155" s="420">
        <f t="shared" si="39"/>
        <v>0</v>
      </c>
      <c r="CM155" s="420">
        <f t="shared" si="40"/>
        <v>0</v>
      </c>
      <c r="CN155" s="420">
        <f t="shared" si="41"/>
        <v>0</v>
      </c>
      <c r="CO155" s="420">
        <f t="shared" si="42"/>
        <v>0</v>
      </c>
      <c r="CP155" s="420">
        <f t="shared" si="43"/>
        <v>0</v>
      </c>
      <c r="CQ155" s="420">
        <f t="shared" si="44"/>
        <v>0</v>
      </c>
      <c r="CR155" s="420">
        <f t="shared" si="45"/>
        <v>0</v>
      </c>
      <c r="CS155" s="420">
        <f t="shared" si="46"/>
        <v>0</v>
      </c>
      <c r="CT155" s="21"/>
    </row>
    <row r="156" spans="3:98" outlineLevel="1">
      <c r="C156" s="417" t="s">
        <v>129</v>
      </c>
      <c r="D156" s="416">
        <v>0</v>
      </c>
      <c r="E156" s="416">
        <v>0</v>
      </c>
      <c r="F156" s="416">
        <v>0</v>
      </c>
      <c r="G156" s="416">
        <v>0</v>
      </c>
      <c r="H156" s="427">
        <v>0</v>
      </c>
      <c r="I156" s="416">
        <v>0</v>
      </c>
      <c r="J156" s="416">
        <v>0</v>
      </c>
      <c r="K156" s="416">
        <v>0</v>
      </c>
      <c r="L156" s="416">
        <v>0</v>
      </c>
      <c r="M156" s="416">
        <v>0</v>
      </c>
      <c r="N156" s="416">
        <v>0</v>
      </c>
      <c r="O156" s="416">
        <v>0</v>
      </c>
      <c r="P156" s="416">
        <v>0</v>
      </c>
      <c r="Q156" s="416">
        <v>0</v>
      </c>
      <c r="R156" s="416">
        <v>0</v>
      </c>
      <c r="S156" s="416">
        <v>0</v>
      </c>
      <c r="T156" s="416">
        <v>0</v>
      </c>
      <c r="U156" s="416">
        <v>0</v>
      </c>
      <c r="V156" s="416">
        <v>0</v>
      </c>
      <c r="W156" s="416">
        <v>0</v>
      </c>
      <c r="X156" s="416">
        <v>0</v>
      </c>
      <c r="Y156" s="416">
        <v>0</v>
      </c>
      <c r="Z156" s="416">
        <v>0</v>
      </c>
      <c r="AA156" s="416">
        <v>0</v>
      </c>
      <c r="AB156" s="416">
        <v>0</v>
      </c>
      <c r="AC156" s="416">
        <v>0</v>
      </c>
      <c r="AD156" s="416">
        <v>0</v>
      </c>
      <c r="AE156" s="416">
        <v>0</v>
      </c>
      <c r="AF156" s="416">
        <v>0</v>
      </c>
      <c r="AG156" s="416">
        <v>0</v>
      </c>
      <c r="AH156" s="416">
        <v>0</v>
      </c>
      <c r="AI156" s="416">
        <v>0</v>
      </c>
      <c r="AJ156" s="416">
        <v>0</v>
      </c>
      <c r="AK156" s="416">
        <v>0</v>
      </c>
      <c r="AL156" s="416">
        <v>0</v>
      </c>
      <c r="AM156" s="416">
        <v>0</v>
      </c>
      <c r="AN156" s="416">
        <v>0</v>
      </c>
      <c r="AO156" s="416">
        <v>0</v>
      </c>
      <c r="AP156" s="416">
        <v>0</v>
      </c>
      <c r="AQ156" s="416">
        <v>0</v>
      </c>
      <c r="AR156" s="416">
        <v>0</v>
      </c>
      <c r="AS156" s="416">
        <v>0</v>
      </c>
      <c r="AT156" s="416">
        <v>0</v>
      </c>
      <c r="AU156" s="416">
        <v>0</v>
      </c>
      <c r="AV156" s="416">
        <v>0</v>
      </c>
      <c r="AW156" s="416">
        <v>0</v>
      </c>
      <c r="AX156" s="416">
        <v>0</v>
      </c>
      <c r="AY156" s="416">
        <v>0</v>
      </c>
      <c r="AZ156" s="416">
        <v>0</v>
      </c>
      <c r="BA156" s="416">
        <v>0</v>
      </c>
      <c r="BB156" s="416">
        <v>0</v>
      </c>
      <c r="BC156" s="416">
        <v>0</v>
      </c>
      <c r="BD156" s="416">
        <v>0</v>
      </c>
      <c r="BE156" s="416">
        <v>0</v>
      </c>
      <c r="BF156" s="416">
        <v>-0.166099</v>
      </c>
      <c r="BG156" s="416">
        <v>0</v>
      </c>
      <c r="BH156" s="416">
        <v>0</v>
      </c>
      <c r="BI156" s="416">
        <v>9.5312999999999995E-2</v>
      </c>
      <c r="BJ156" s="416">
        <v>1.5358229999999999</v>
      </c>
      <c r="BK156" s="416">
        <v>1.76</v>
      </c>
      <c r="BL156" s="416">
        <v>1.534335</v>
      </c>
      <c r="BM156" s="416">
        <v>7.77</v>
      </c>
      <c r="BN156" s="416">
        <v>1.92</v>
      </c>
      <c r="BO156" s="416">
        <v>3.89</v>
      </c>
      <c r="BP156" s="416">
        <v>17.47</v>
      </c>
      <c r="BQ156" s="416">
        <v>-1.98</v>
      </c>
      <c r="BR156" s="416">
        <v>-4.95</v>
      </c>
      <c r="BS156" s="416">
        <v>-2.4300000000000002</v>
      </c>
      <c r="BT156" s="416">
        <v>-2.44</v>
      </c>
      <c r="BU156" s="416">
        <v>-11.81</v>
      </c>
      <c r="BV156" s="416">
        <v>-0.34</v>
      </c>
      <c r="BW156" s="416">
        <v>-0.42</v>
      </c>
      <c r="BX156" s="416">
        <v>-0.01</v>
      </c>
      <c r="BY156" s="416">
        <v>0</v>
      </c>
      <c r="BZ156" s="416">
        <v>0</v>
      </c>
      <c r="CC156" s="420"/>
      <c r="CD156" s="417" t="s">
        <v>129</v>
      </c>
      <c r="CE156" s="420">
        <f t="shared" si="32"/>
        <v>0</v>
      </c>
      <c r="CF156" s="420">
        <f t="shared" si="33"/>
        <v>0</v>
      </c>
      <c r="CG156" s="420">
        <f t="shared" si="34"/>
        <v>0</v>
      </c>
      <c r="CH156" s="420">
        <f t="shared" si="35"/>
        <v>0</v>
      </c>
      <c r="CI156" s="420">
        <f t="shared" si="36"/>
        <v>0</v>
      </c>
      <c r="CJ156" s="420">
        <f t="shared" si="37"/>
        <v>0</v>
      </c>
      <c r="CK156" s="420">
        <f t="shared" si="38"/>
        <v>0</v>
      </c>
      <c r="CL156" s="420">
        <f t="shared" si="39"/>
        <v>0</v>
      </c>
      <c r="CM156" s="420">
        <f t="shared" si="40"/>
        <v>0</v>
      </c>
      <c r="CN156" s="420">
        <f t="shared" si="41"/>
        <v>0</v>
      </c>
      <c r="CO156" s="420">
        <f t="shared" si="42"/>
        <v>-0.166099</v>
      </c>
      <c r="CP156" s="420">
        <f t="shared" si="43"/>
        <v>1.76</v>
      </c>
      <c r="CQ156" s="420">
        <f t="shared" si="44"/>
        <v>17.47</v>
      </c>
      <c r="CR156" s="420">
        <f t="shared" si="45"/>
        <v>-11.81</v>
      </c>
      <c r="CS156" s="420">
        <f t="shared" si="46"/>
        <v>0</v>
      </c>
      <c r="CT156" s="21"/>
    </row>
    <row r="157" spans="3:98" outlineLevel="1">
      <c r="C157" s="417" t="s">
        <v>130</v>
      </c>
      <c r="D157" s="416">
        <v>0</v>
      </c>
      <c r="E157" s="416">
        <v>0</v>
      </c>
      <c r="F157" s="416">
        <v>0</v>
      </c>
      <c r="G157" s="416">
        <v>0</v>
      </c>
      <c r="H157" s="427">
        <v>0</v>
      </c>
      <c r="I157" s="416">
        <v>0</v>
      </c>
      <c r="J157" s="416">
        <v>0</v>
      </c>
      <c r="K157" s="416">
        <v>0</v>
      </c>
      <c r="L157" s="416">
        <v>0</v>
      </c>
      <c r="M157" s="416">
        <v>0</v>
      </c>
      <c r="N157" s="416">
        <v>0</v>
      </c>
      <c r="O157" s="416">
        <v>0</v>
      </c>
      <c r="P157" s="416">
        <v>0</v>
      </c>
      <c r="Q157" s="416">
        <v>0</v>
      </c>
      <c r="R157" s="416">
        <v>0</v>
      </c>
      <c r="S157" s="416">
        <v>0</v>
      </c>
      <c r="T157" s="416">
        <v>0</v>
      </c>
      <c r="U157" s="416">
        <v>0</v>
      </c>
      <c r="V157" s="416">
        <v>0</v>
      </c>
      <c r="W157" s="416">
        <v>0</v>
      </c>
      <c r="X157" s="416">
        <v>0</v>
      </c>
      <c r="Y157" s="416">
        <v>0</v>
      </c>
      <c r="Z157" s="416">
        <v>0</v>
      </c>
      <c r="AA157" s="416">
        <v>0</v>
      </c>
      <c r="AB157" s="416">
        <v>0</v>
      </c>
      <c r="AC157" s="416">
        <v>0</v>
      </c>
      <c r="AD157" s="416">
        <v>0</v>
      </c>
      <c r="AE157" s="416">
        <v>0</v>
      </c>
      <c r="AF157" s="416">
        <v>0</v>
      </c>
      <c r="AG157" s="416">
        <v>0</v>
      </c>
      <c r="AH157" s="416">
        <v>0</v>
      </c>
      <c r="AI157" s="416">
        <v>0</v>
      </c>
      <c r="AJ157" s="416">
        <v>0</v>
      </c>
      <c r="AK157" s="416">
        <v>0</v>
      </c>
      <c r="AL157" s="416">
        <v>0</v>
      </c>
      <c r="AM157" s="416">
        <v>0</v>
      </c>
      <c r="AN157" s="416">
        <v>0</v>
      </c>
      <c r="AO157" s="416">
        <v>0</v>
      </c>
      <c r="AP157" s="416">
        <v>0</v>
      </c>
      <c r="AQ157" s="416">
        <v>0</v>
      </c>
      <c r="AR157" s="416">
        <v>0</v>
      </c>
      <c r="AS157" s="416">
        <v>0</v>
      </c>
      <c r="AT157" s="416">
        <v>0</v>
      </c>
      <c r="AU157" s="416">
        <v>0</v>
      </c>
      <c r="AV157" s="416">
        <v>0</v>
      </c>
      <c r="AW157" s="416">
        <v>0</v>
      </c>
      <c r="AX157" s="416">
        <v>0</v>
      </c>
      <c r="AY157" s="416">
        <v>0</v>
      </c>
      <c r="AZ157" s="416">
        <v>0</v>
      </c>
      <c r="BA157" s="416">
        <v>0</v>
      </c>
      <c r="BB157" s="416">
        <v>0</v>
      </c>
      <c r="BC157" s="416">
        <v>0</v>
      </c>
      <c r="BD157" s="416">
        <v>0</v>
      </c>
      <c r="BE157" s="416">
        <v>0</v>
      </c>
      <c r="BF157" s="416">
        <v>0</v>
      </c>
      <c r="BG157" s="416">
        <v>0</v>
      </c>
      <c r="BH157" s="416">
        <v>0</v>
      </c>
      <c r="BI157" s="416">
        <v>0</v>
      </c>
      <c r="BJ157" s="416">
        <v>0</v>
      </c>
      <c r="BK157" s="416">
        <v>0</v>
      </c>
      <c r="BL157" s="416">
        <v>0</v>
      </c>
      <c r="BM157" s="416">
        <v>0</v>
      </c>
      <c r="BN157" s="416">
        <v>0</v>
      </c>
      <c r="BO157" s="416">
        <v>0</v>
      </c>
      <c r="BP157" s="416">
        <v>0</v>
      </c>
      <c r="BQ157" s="416">
        <v>0</v>
      </c>
      <c r="BR157" s="416">
        <v>0</v>
      </c>
      <c r="BS157" s="416">
        <v>0</v>
      </c>
      <c r="BT157" s="416">
        <v>0</v>
      </c>
      <c r="BU157" s="416">
        <v>0</v>
      </c>
      <c r="BV157" s="416">
        <v>0</v>
      </c>
      <c r="BW157" s="416">
        <v>0</v>
      </c>
      <c r="BX157" s="416">
        <v>0</v>
      </c>
      <c r="BY157" s="416">
        <v>0</v>
      </c>
      <c r="BZ157" s="416">
        <v>0</v>
      </c>
      <c r="CC157" s="420"/>
      <c r="CD157" s="417" t="s">
        <v>130</v>
      </c>
      <c r="CE157" s="420">
        <f t="shared" si="32"/>
        <v>0</v>
      </c>
      <c r="CF157" s="420">
        <f t="shared" si="33"/>
        <v>0</v>
      </c>
      <c r="CG157" s="420">
        <f t="shared" si="34"/>
        <v>0</v>
      </c>
      <c r="CH157" s="420">
        <f t="shared" si="35"/>
        <v>0</v>
      </c>
      <c r="CI157" s="420">
        <f t="shared" si="36"/>
        <v>0</v>
      </c>
      <c r="CJ157" s="420">
        <f t="shared" si="37"/>
        <v>0</v>
      </c>
      <c r="CK157" s="420">
        <f t="shared" si="38"/>
        <v>0</v>
      </c>
      <c r="CL157" s="420">
        <f t="shared" si="39"/>
        <v>0</v>
      </c>
      <c r="CM157" s="420">
        <f t="shared" si="40"/>
        <v>0</v>
      </c>
      <c r="CN157" s="420">
        <f t="shared" si="41"/>
        <v>0</v>
      </c>
      <c r="CO157" s="420">
        <f t="shared" si="42"/>
        <v>0</v>
      </c>
      <c r="CP157" s="420">
        <f t="shared" si="43"/>
        <v>0</v>
      </c>
      <c r="CQ157" s="420">
        <f t="shared" si="44"/>
        <v>0</v>
      </c>
      <c r="CR157" s="420">
        <f t="shared" si="45"/>
        <v>0</v>
      </c>
      <c r="CS157" s="420">
        <f t="shared" si="46"/>
        <v>0</v>
      </c>
      <c r="CT157" s="21"/>
    </row>
    <row r="158" spans="3:98">
      <c r="C158" s="431" t="s">
        <v>128</v>
      </c>
      <c r="D158" s="416">
        <v>0</v>
      </c>
      <c r="E158" s="416">
        <v>0</v>
      </c>
      <c r="F158" s="416">
        <v>0</v>
      </c>
      <c r="G158" s="416">
        <v>0</v>
      </c>
      <c r="H158" s="427">
        <v>0</v>
      </c>
      <c r="I158" s="416">
        <v>0</v>
      </c>
      <c r="J158" s="416">
        <v>0</v>
      </c>
      <c r="K158" s="416">
        <v>0</v>
      </c>
      <c r="L158" s="416">
        <v>0</v>
      </c>
      <c r="M158" s="416">
        <v>0</v>
      </c>
      <c r="N158" s="416">
        <v>0</v>
      </c>
      <c r="O158" s="416">
        <v>0</v>
      </c>
      <c r="P158" s="416">
        <v>0</v>
      </c>
      <c r="Q158" s="416">
        <v>0</v>
      </c>
      <c r="R158" s="416">
        <v>0</v>
      </c>
      <c r="S158" s="416">
        <v>0</v>
      </c>
      <c r="T158" s="416">
        <v>0</v>
      </c>
      <c r="U158" s="416">
        <v>0</v>
      </c>
      <c r="V158" s="416">
        <v>0</v>
      </c>
      <c r="W158" s="416">
        <v>0</v>
      </c>
      <c r="X158" s="416">
        <v>0</v>
      </c>
      <c r="Y158" s="416">
        <v>0</v>
      </c>
      <c r="Z158" s="416">
        <v>0</v>
      </c>
      <c r="AA158" s="416">
        <v>0</v>
      </c>
      <c r="AB158" s="416">
        <v>0</v>
      </c>
      <c r="AC158" s="416">
        <v>0</v>
      </c>
      <c r="AD158" s="416">
        <v>0</v>
      </c>
      <c r="AE158" s="416">
        <v>0</v>
      </c>
      <c r="AF158" s="416">
        <v>0</v>
      </c>
      <c r="AG158" s="416">
        <v>0</v>
      </c>
      <c r="AH158" s="416">
        <v>0</v>
      </c>
      <c r="AI158" s="416">
        <v>0</v>
      </c>
      <c r="AJ158" s="416">
        <v>0</v>
      </c>
      <c r="AK158" s="416">
        <v>0</v>
      </c>
      <c r="AL158" s="416">
        <v>0</v>
      </c>
      <c r="AM158" s="416">
        <v>0</v>
      </c>
      <c r="AN158" s="416">
        <v>0</v>
      </c>
      <c r="AO158" s="416">
        <v>0</v>
      </c>
      <c r="AP158" s="416">
        <v>0</v>
      </c>
      <c r="AQ158" s="416">
        <v>0</v>
      </c>
      <c r="AR158" s="416">
        <v>0</v>
      </c>
      <c r="AS158" s="416">
        <v>0</v>
      </c>
      <c r="AT158" s="416">
        <v>0</v>
      </c>
      <c r="AU158" s="416">
        <v>0</v>
      </c>
      <c r="AV158" s="416">
        <v>0</v>
      </c>
      <c r="AW158" s="416">
        <v>0</v>
      </c>
      <c r="AX158" s="416">
        <v>0</v>
      </c>
      <c r="AY158" s="416">
        <v>0</v>
      </c>
      <c r="AZ158" s="416">
        <v>0</v>
      </c>
      <c r="BA158" s="416">
        <v>0</v>
      </c>
      <c r="BB158" s="416">
        <v>0</v>
      </c>
      <c r="BC158" s="416">
        <v>0</v>
      </c>
      <c r="BD158" s="416">
        <v>0</v>
      </c>
      <c r="BE158" s="416">
        <v>0</v>
      </c>
      <c r="BF158" s="416">
        <v>-0.166099</v>
      </c>
      <c r="BG158" s="416">
        <v>0</v>
      </c>
      <c r="BH158" s="416">
        <v>0</v>
      </c>
      <c r="BI158" s="416">
        <v>9.5312999999999995E-2</v>
      </c>
      <c r="BJ158" s="416">
        <v>1.5358229999999999</v>
      </c>
      <c r="BK158" s="416">
        <v>1.76</v>
      </c>
      <c r="BL158" s="416">
        <v>1.534335</v>
      </c>
      <c r="BM158" s="416">
        <v>7.77</v>
      </c>
      <c r="BN158" s="416">
        <v>1.92</v>
      </c>
      <c r="BO158" s="416">
        <v>3.89</v>
      </c>
      <c r="BP158" s="416">
        <v>17.47</v>
      </c>
      <c r="BQ158" s="416">
        <v>-1.98</v>
      </c>
      <c r="BR158" s="416">
        <v>-4.95</v>
      </c>
      <c r="BS158" s="416">
        <v>-2.4300000000000002</v>
      </c>
      <c r="BT158" s="416">
        <v>-2.44</v>
      </c>
      <c r="BU158" s="416">
        <v>-11.81</v>
      </c>
      <c r="BV158" s="416">
        <v>-0.34</v>
      </c>
      <c r="BW158" s="416">
        <v>-0.42</v>
      </c>
      <c r="BX158" s="416">
        <v>-0.01</v>
      </c>
      <c r="BY158" s="416">
        <v>0</v>
      </c>
      <c r="BZ158" s="416">
        <v>0</v>
      </c>
      <c r="CC158" s="420"/>
      <c r="CD158" s="431" t="s">
        <v>128</v>
      </c>
      <c r="CE158" s="420">
        <f t="shared" si="32"/>
        <v>0</v>
      </c>
      <c r="CF158" s="420">
        <f t="shared" si="33"/>
        <v>0</v>
      </c>
      <c r="CG158" s="420">
        <f t="shared" si="34"/>
        <v>0</v>
      </c>
      <c r="CH158" s="420">
        <f t="shared" si="35"/>
        <v>0</v>
      </c>
      <c r="CI158" s="420">
        <f t="shared" si="36"/>
        <v>0</v>
      </c>
      <c r="CJ158" s="420">
        <f t="shared" si="37"/>
        <v>0</v>
      </c>
      <c r="CK158" s="420">
        <f t="shared" si="38"/>
        <v>0</v>
      </c>
      <c r="CL158" s="420">
        <f t="shared" si="39"/>
        <v>0</v>
      </c>
      <c r="CM158" s="420">
        <f t="shared" si="40"/>
        <v>0</v>
      </c>
      <c r="CN158" s="420">
        <f t="shared" si="41"/>
        <v>0</v>
      </c>
      <c r="CO158" s="420">
        <f t="shared" si="42"/>
        <v>-0.166099</v>
      </c>
      <c r="CP158" s="420">
        <f t="shared" si="43"/>
        <v>1.76</v>
      </c>
      <c r="CQ158" s="420">
        <f t="shared" si="44"/>
        <v>17.47</v>
      </c>
      <c r="CR158" s="420">
        <f t="shared" si="45"/>
        <v>-11.81</v>
      </c>
      <c r="CS158" s="420">
        <f t="shared" si="46"/>
        <v>0</v>
      </c>
      <c r="CT158" s="21"/>
    </row>
    <row r="159" spans="3:98" outlineLevel="1">
      <c r="C159" s="417" t="s">
        <v>132</v>
      </c>
      <c r="D159" s="416">
        <v>0</v>
      </c>
      <c r="E159" s="416">
        <v>0</v>
      </c>
      <c r="F159" s="416">
        <v>0</v>
      </c>
      <c r="G159" s="416">
        <v>0</v>
      </c>
      <c r="H159" s="427">
        <v>0</v>
      </c>
      <c r="I159" s="416">
        <v>0</v>
      </c>
      <c r="J159" s="416">
        <v>0</v>
      </c>
      <c r="K159" s="416">
        <v>0</v>
      </c>
      <c r="L159" s="416">
        <v>0</v>
      </c>
      <c r="M159" s="416">
        <v>0</v>
      </c>
      <c r="N159" s="416">
        <v>0</v>
      </c>
      <c r="O159" s="416">
        <v>0</v>
      </c>
      <c r="P159" s="416">
        <v>0</v>
      </c>
      <c r="Q159" s="416">
        <v>0</v>
      </c>
      <c r="R159" s="416">
        <v>0</v>
      </c>
      <c r="S159" s="416">
        <v>0</v>
      </c>
      <c r="T159" s="416">
        <v>0</v>
      </c>
      <c r="U159" s="416">
        <v>0</v>
      </c>
      <c r="V159" s="416">
        <v>0</v>
      </c>
      <c r="W159" s="416">
        <v>0</v>
      </c>
      <c r="X159" s="416">
        <v>0</v>
      </c>
      <c r="Y159" s="416">
        <v>0</v>
      </c>
      <c r="Z159" s="416">
        <v>0</v>
      </c>
      <c r="AA159" s="416">
        <v>0</v>
      </c>
      <c r="AB159" s="416">
        <v>0</v>
      </c>
      <c r="AC159" s="416">
        <v>0</v>
      </c>
      <c r="AD159" s="416">
        <v>0</v>
      </c>
      <c r="AE159" s="416">
        <v>0</v>
      </c>
      <c r="AF159" s="416">
        <v>0</v>
      </c>
      <c r="AG159" s="416">
        <v>0</v>
      </c>
      <c r="AH159" s="416">
        <v>0</v>
      </c>
      <c r="AI159" s="416">
        <v>0</v>
      </c>
      <c r="AJ159" s="416">
        <v>0</v>
      </c>
      <c r="AK159" s="416">
        <v>0</v>
      </c>
      <c r="AL159" s="416">
        <v>0</v>
      </c>
      <c r="AM159" s="416">
        <v>0</v>
      </c>
      <c r="AN159" s="416">
        <v>0</v>
      </c>
      <c r="AO159" s="416">
        <v>0</v>
      </c>
      <c r="AP159" s="416">
        <v>0</v>
      </c>
      <c r="AQ159" s="416">
        <v>0</v>
      </c>
      <c r="AR159" s="416">
        <v>0</v>
      </c>
      <c r="AS159" s="416">
        <v>0</v>
      </c>
      <c r="AT159" s="416">
        <v>0</v>
      </c>
      <c r="AU159" s="416">
        <v>0</v>
      </c>
      <c r="AV159" s="416">
        <v>0</v>
      </c>
      <c r="AW159" s="416">
        <v>0</v>
      </c>
      <c r="AX159" s="416">
        <v>0</v>
      </c>
      <c r="AY159" s="416">
        <v>0</v>
      </c>
      <c r="AZ159" s="416">
        <v>0</v>
      </c>
      <c r="BA159" s="416">
        <v>0</v>
      </c>
      <c r="BB159" s="416">
        <v>0</v>
      </c>
      <c r="BC159" s="416">
        <v>0</v>
      </c>
      <c r="BD159" s="416">
        <v>0</v>
      </c>
      <c r="BE159" s="416">
        <v>0</v>
      </c>
      <c r="BF159" s="416">
        <v>-0.166099</v>
      </c>
      <c r="BG159" s="416">
        <v>0</v>
      </c>
      <c r="BH159" s="416">
        <v>0</v>
      </c>
      <c r="BI159" s="416">
        <v>9.5312999999999995E-2</v>
      </c>
      <c r="BJ159" s="416">
        <v>1.345823</v>
      </c>
      <c r="BK159" s="416">
        <v>1.57</v>
      </c>
      <c r="BL159" s="416">
        <v>1.534335</v>
      </c>
      <c r="BM159" s="416">
        <v>6.42</v>
      </c>
      <c r="BN159" s="416">
        <v>1.62</v>
      </c>
      <c r="BO159" s="416">
        <v>3.31</v>
      </c>
      <c r="BP159" s="416">
        <v>14.5</v>
      </c>
      <c r="BQ159" s="416">
        <v>-1.98</v>
      </c>
      <c r="BR159" s="416">
        <v>-4.9800000000000004</v>
      </c>
      <c r="BS159" s="416">
        <v>-2.4300000000000002</v>
      </c>
      <c r="BT159" s="416">
        <v>-2.44</v>
      </c>
      <c r="BU159" s="416">
        <v>-11.83</v>
      </c>
      <c r="BV159" s="416">
        <v>-0.34</v>
      </c>
      <c r="BW159" s="416">
        <v>-0.42</v>
      </c>
      <c r="BX159" s="416">
        <v>-0.01</v>
      </c>
      <c r="BY159" s="416">
        <v>0</v>
      </c>
      <c r="BZ159" s="416">
        <v>0</v>
      </c>
      <c r="CC159" s="420"/>
      <c r="CD159" s="417" t="s">
        <v>132</v>
      </c>
      <c r="CE159" s="420">
        <f t="shared" si="32"/>
        <v>0</v>
      </c>
      <c r="CF159" s="420">
        <f t="shared" si="33"/>
        <v>0</v>
      </c>
      <c r="CG159" s="420">
        <f t="shared" si="34"/>
        <v>0</v>
      </c>
      <c r="CH159" s="420">
        <f t="shared" si="35"/>
        <v>0</v>
      </c>
      <c r="CI159" s="420">
        <f t="shared" si="36"/>
        <v>0</v>
      </c>
      <c r="CJ159" s="420">
        <f t="shared" si="37"/>
        <v>0</v>
      </c>
      <c r="CK159" s="420">
        <f t="shared" si="38"/>
        <v>0</v>
      </c>
      <c r="CL159" s="420">
        <f t="shared" si="39"/>
        <v>0</v>
      </c>
      <c r="CM159" s="420">
        <f t="shared" si="40"/>
        <v>0</v>
      </c>
      <c r="CN159" s="420">
        <f t="shared" si="41"/>
        <v>0</v>
      </c>
      <c r="CO159" s="420">
        <f t="shared" si="42"/>
        <v>-0.166099</v>
      </c>
      <c r="CP159" s="420">
        <f t="shared" si="43"/>
        <v>1.57</v>
      </c>
      <c r="CQ159" s="420">
        <f t="shared" si="44"/>
        <v>14.5</v>
      </c>
      <c r="CR159" s="420">
        <f t="shared" si="45"/>
        <v>-11.83</v>
      </c>
      <c r="CS159" s="420">
        <f t="shared" si="46"/>
        <v>0</v>
      </c>
      <c r="CT159" s="21"/>
    </row>
    <row r="160" spans="3:98" outlineLevel="1">
      <c r="C160" s="417" t="s">
        <v>133</v>
      </c>
      <c r="D160" s="416">
        <v>0</v>
      </c>
      <c r="E160" s="416">
        <v>0</v>
      </c>
      <c r="F160" s="416">
        <v>0</v>
      </c>
      <c r="G160" s="416">
        <v>0</v>
      </c>
      <c r="H160" s="427">
        <v>0</v>
      </c>
      <c r="I160" s="416">
        <v>0</v>
      </c>
      <c r="J160" s="416">
        <v>0</v>
      </c>
      <c r="K160" s="416">
        <v>0</v>
      </c>
      <c r="L160" s="416">
        <v>0</v>
      </c>
      <c r="M160" s="416">
        <v>0</v>
      </c>
      <c r="N160" s="416">
        <v>0</v>
      </c>
      <c r="O160" s="416">
        <v>0</v>
      </c>
      <c r="P160" s="416">
        <v>0</v>
      </c>
      <c r="Q160" s="416">
        <v>0</v>
      </c>
      <c r="R160" s="416">
        <v>0</v>
      </c>
      <c r="S160" s="416">
        <v>0</v>
      </c>
      <c r="T160" s="416">
        <v>0</v>
      </c>
      <c r="U160" s="416">
        <v>0</v>
      </c>
      <c r="V160" s="416">
        <v>0</v>
      </c>
      <c r="W160" s="416">
        <v>0</v>
      </c>
      <c r="X160" s="416">
        <v>0</v>
      </c>
      <c r="Y160" s="416">
        <v>0</v>
      </c>
      <c r="Z160" s="416">
        <v>0</v>
      </c>
      <c r="AA160" s="416">
        <v>0</v>
      </c>
      <c r="AB160" s="416">
        <v>0</v>
      </c>
      <c r="AC160" s="416">
        <v>0</v>
      </c>
      <c r="AD160" s="416">
        <v>0</v>
      </c>
      <c r="AE160" s="416">
        <v>0</v>
      </c>
      <c r="AF160" s="416">
        <v>0</v>
      </c>
      <c r="AG160" s="416">
        <v>0</v>
      </c>
      <c r="AH160" s="416">
        <v>0</v>
      </c>
      <c r="AI160" s="416">
        <v>0</v>
      </c>
      <c r="AJ160" s="416">
        <v>0</v>
      </c>
      <c r="AK160" s="416">
        <v>0</v>
      </c>
      <c r="AL160" s="416">
        <v>0</v>
      </c>
      <c r="AM160" s="416">
        <v>0</v>
      </c>
      <c r="AN160" s="416">
        <v>0</v>
      </c>
      <c r="AO160" s="416">
        <v>0</v>
      </c>
      <c r="AP160" s="416">
        <v>0</v>
      </c>
      <c r="AQ160" s="416">
        <v>0</v>
      </c>
      <c r="AR160" s="416">
        <v>0</v>
      </c>
      <c r="AS160" s="416">
        <v>0</v>
      </c>
      <c r="AT160" s="416">
        <v>0</v>
      </c>
      <c r="AU160" s="416">
        <v>0</v>
      </c>
      <c r="AV160" s="416">
        <v>0</v>
      </c>
      <c r="AW160" s="416">
        <v>0</v>
      </c>
      <c r="AX160" s="416">
        <v>0</v>
      </c>
      <c r="AY160" s="416">
        <v>0</v>
      </c>
      <c r="AZ160" s="416">
        <v>0</v>
      </c>
      <c r="BA160" s="416">
        <v>0</v>
      </c>
      <c r="BB160" s="416">
        <v>0</v>
      </c>
      <c r="BC160" s="416">
        <v>0</v>
      </c>
      <c r="BD160" s="416">
        <v>0</v>
      </c>
      <c r="BE160" s="416">
        <v>0</v>
      </c>
      <c r="BF160" s="416">
        <v>0</v>
      </c>
      <c r="BG160" s="416">
        <v>0</v>
      </c>
      <c r="BH160" s="416">
        <v>0</v>
      </c>
      <c r="BI160" s="416">
        <v>0</v>
      </c>
      <c r="BJ160" s="416">
        <v>0</v>
      </c>
      <c r="BK160" s="416">
        <v>0</v>
      </c>
      <c r="BL160" s="416">
        <v>0</v>
      </c>
      <c r="BM160" s="416">
        <v>0</v>
      </c>
      <c r="BN160" s="416">
        <v>0</v>
      </c>
      <c r="BO160" s="416">
        <v>0</v>
      </c>
      <c r="BP160" s="416">
        <v>0</v>
      </c>
      <c r="BQ160" s="416">
        <v>0</v>
      </c>
      <c r="BR160" s="416">
        <v>0</v>
      </c>
      <c r="BS160" s="416">
        <v>0</v>
      </c>
      <c r="BT160" s="416">
        <v>0</v>
      </c>
      <c r="BU160" s="416">
        <v>0</v>
      </c>
      <c r="BV160" s="416">
        <v>0</v>
      </c>
      <c r="BW160" s="416">
        <v>0</v>
      </c>
      <c r="BX160" s="416">
        <v>0</v>
      </c>
      <c r="BY160" s="416">
        <v>0</v>
      </c>
      <c r="BZ160" s="416">
        <v>0</v>
      </c>
      <c r="CC160" s="420"/>
      <c r="CD160" s="417" t="s">
        <v>133</v>
      </c>
      <c r="CE160" s="420">
        <f t="shared" si="32"/>
        <v>0</v>
      </c>
      <c r="CF160" s="420">
        <f t="shared" si="33"/>
        <v>0</v>
      </c>
      <c r="CG160" s="420">
        <f t="shared" si="34"/>
        <v>0</v>
      </c>
      <c r="CH160" s="420">
        <f t="shared" si="35"/>
        <v>0</v>
      </c>
      <c r="CI160" s="420">
        <f t="shared" si="36"/>
        <v>0</v>
      </c>
      <c r="CJ160" s="420">
        <f t="shared" si="37"/>
        <v>0</v>
      </c>
      <c r="CK160" s="420">
        <f t="shared" si="38"/>
        <v>0</v>
      </c>
      <c r="CL160" s="420">
        <f t="shared" si="39"/>
        <v>0</v>
      </c>
      <c r="CM160" s="420">
        <f t="shared" si="40"/>
        <v>0</v>
      </c>
      <c r="CN160" s="420">
        <f t="shared" si="41"/>
        <v>0</v>
      </c>
      <c r="CO160" s="420">
        <f t="shared" si="42"/>
        <v>0</v>
      </c>
      <c r="CP160" s="420">
        <f t="shared" si="43"/>
        <v>0</v>
      </c>
      <c r="CQ160" s="420">
        <f t="shared" si="44"/>
        <v>0</v>
      </c>
      <c r="CR160" s="420">
        <f t="shared" si="45"/>
        <v>0</v>
      </c>
      <c r="CS160" s="420">
        <f t="shared" si="46"/>
        <v>0</v>
      </c>
      <c r="CT160" s="21"/>
    </row>
    <row r="161" spans="3:98">
      <c r="C161" s="431" t="s">
        <v>131</v>
      </c>
      <c r="D161" s="416">
        <v>0</v>
      </c>
      <c r="E161" s="416">
        <v>0</v>
      </c>
      <c r="F161" s="416">
        <v>0</v>
      </c>
      <c r="G161" s="416">
        <v>0</v>
      </c>
      <c r="H161" s="427">
        <v>0</v>
      </c>
      <c r="I161" s="416">
        <v>0</v>
      </c>
      <c r="J161" s="416">
        <v>0</v>
      </c>
      <c r="K161" s="416">
        <v>0</v>
      </c>
      <c r="L161" s="416">
        <v>0</v>
      </c>
      <c r="M161" s="416">
        <v>0</v>
      </c>
      <c r="N161" s="416">
        <v>0</v>
      </c>
      <c r="O161" s="416">
        <v>0</v>
      </c>
      <c r="P161" s="416">
        <v>0</v>
      </c>
      <c r="Q161" s="416">
        <v>0</v>
      </c>
      <c r="R161" s="416">
        <v>0</v>
      </c>
      <c r="S161" s="416">
        <v>0</v>
      </c>
      <c r="T161" s="416">
        <v>0</v>
      </c>
      <c r="U161" s="416">
        <v>0</v>
      </c>
      <c r="V161" s="416">
        <v>0</v>
      </c>
      <c r="W161" s="416">
        <v>0</v>
      </c>
      <c r="X161" s="416">
        <v>0</v>
      </c>
      <c r="Y161" s="416">
        <v>0</v>
      </c>
      <c r="Z161" s="416">
        <v>0</v>
      </c>
      <c r="AA161" s="416">
        <v>0</v>
      </c>
      <c r="AB161" s="416">
        <v>0</v>
      </c>
      <c r="AC161" s="416">
        <v>0</v>
      </c>
      <c r="AD161" s="416">
        <v>0</v>
      </c>
      <c r="AE161" s="416">
        <v>0</v>
      </c>
      <c r="AF161" s="416">
        <v>0</v>
      </c>
      <c r="AG161" s="416">
        <v>0</v>
      </c>
      <c r="AH161" s="416">
        <v>0</v>
      </c>
      <c r="AI161" s="416">
        <v>0</v>
      </c>
      <c r="AJ161" s="416">
        <v>0</v>
      </c>
      <c r="AK161" s="416">
        <v>0</v>
      </c>
      <c r="AL161" s="416">
        <v>0</v>
      </c>
      <c r="AM161" s="416">
        <v>0</v>
      </c>
      <c r="AN161" s="416">
        <v>0</v>
      </c>
      <c r="AO161" s="416">
        <v>0</v>
      </c>
      <c r="AP161" s="416">
        <v>0</v>
      </c>
      <c r="AQ161" s="416">
        <v>0</v>
      </c>
      <c r="AR161" s="416">
        <v>0</v>
      </c>
      <c r="AS161" s="416">
        <v>0</v>
      </c>
      <c r="AT161" s="416">
        <v>0</v>
      </c>
      <c r="AU161" s="416">
        <v>0</v>
      </c>
      <c r="AV161" s="416">
        <v>0</v>
      </c>
      <c r="AW161" s="416">
        <v>0</v>
      </c>
      <c r="AX161" s="416">
        <v>0</v>
      </c>
      <c r="AY161" s="416">
        <v>0</v>
      </c>
      <c r="AZ161" s="416">
        <v>0</v>
      </c>
      <c r="BA161" s="416">
        <v>0</v>
      </c>
      <c r="BB161" s="416">
        <v>0</v>
      </c>
      <c r="BC161" s="416">
        <v>0</v>
      </c>
      <c r="BD161" s="416">
        <v>0</v>
      </c>
      <c r="BE161" s="416">
        <v>0</v>
      </c>
      <c r="BF161" s="416">
        <v>-0.166099</v>
      </c>
      <c r="BG161" s="416">
        <v>0</v>
      </c>
      <c r="BH161" s="416">
        <v>0</v>
      </c>
      <c r="BI161" s="416">
        <v>9.5312999999999995E-2</v>
      </c>
      <c r="BJ161" s="416">
        <v>1.345823</v>
      </c>
      <c r="BK161" s="416">
        <v>1.57</v>
      </c>
      <c r="BL161" s="416">
        <v>1.534335</v>
      </c>
      <c r="BM161" s="416">
        <v>6.42</v>
      </c>
      <c r="BN161" s="416">
        <v>1.62</v>
      </c>
      <c r="BO161" s="416">
        <v>3.31</v>
      </c>
      <c r="BP161" s="416">
        <v>14.5</v>
      </c>
      <c r="BQ161" s="416">
        <v>-1.98</v>
      </c>
      <c r="BR161" s="416">
        <v>-4.9800000000000004</v>
      </c>
      <c r="BS161" s="416">
        <v>-2.4300000000000002</v>
      </c>
      <c r="BT161" s="416">
        <v>-2.44</v>
      </c>
      <c r="BU161" s="416">
        <v>-11.83</v>
      </c>
      <c r="BV161" s="416">
        <v>-0.34</v>
      </c>
      <c r="BW161" s="416">
        <v>-0.42</v>
      </c>
      <c r="BX161" s="416">
        <v>-0.01</v>
      </c>
      <c r="BY161" s="416">
        <v>0</v>
      </c>
      <c r="BZ161" s="416">
        <v>0</v>
      </c>
      <c r="CC161" s="420"/>
      <c r="CD161" s="431" t="s">
        <v>131</v>
      </c>
      <c r="CE161" s="420">
        <f t="shared" si="32"/>
        <v>0</v>
      </c>
      <c r="CF161" s="420">
        <f t="shared" si="33"/>
        <v>0</v>
      </c>
      <c r="CG161" s="420">
        <f t="shared" si="34"/>
        <v>0</v>
      </c>
      <c r="CH161" s="420">
        <f t="shared" si="35"/>
        <v>0</v>
      </c>
      <c r="CI161" s="420">
        <f t="shared" si="36"/>
        <v>0</v>
      </c>
      <c r="CJ161" s="420">
        <f t="shared" si="37"/>
        <v>0</v>
      </c>
      <c r="CK161" s="420">
        <f t="shared" si="38"/>
        <v>0</v>
      </c>
      <c r="CL161" s="420">
        <f t="shared" si="39"/>
        <v>0</v>
      </c>
      <c r="CM161" s="420">
        <f t="shared" si="40"/>
        <v>0</v>
      </c>
      <c r="CN161" s="420">
        <f t="shared" si="41"/>
        <v>0</v>
      </c>
      <c r="CO161" s="420">
        <f t="shared" si="42"/>
        <v>-0.166099</v>
      </c>
      <c r="CP161" s="420">
        <f t="shared" si="43"/>
        <v>1.57</v>
      </c>
      <c r="CQ161" s="420">
        <f t="shared" si="44"/>
        <v>14.5</v>
      </c>
      <c r="CR161" s="420">
        <f t="shared" si="45"/>
        <v>-11.83</v>
      </c>
      <c r="CS161" s="420">
        <f t="shared" si="46"/>
        <v>0</v>
      </c>
      <c r="CT161" s="21"/>
    </row>
    <row r="162" spans="3:98" ht="4.5" customHeight="1">
      <c r="D162" s="416" t="s">
        <v>3333</v>
      </c>
      <c r="E162" s="416" t="s">
        <v>3333</v>
      </c>
      <c r="F162" s="416" t="s">
        <v>3333</v>
      </c>
      <c r="G162" s="416" t="s">
        <v>3333</v>
      </c>
      <c r="H162" s="427" t="s">
        <v>3333</v>
      </c>
      <c r="I162" s="416" t="s">
        <v>3333</v>
      </c>
      <c r="J162" s="416" t="s">
        <v>3333</v>
      </c>
      <c r="K162" s="416" t="s">
        <v>3333</v>
      </c>
      <c r="L162" s="416" t="s">
        <v>3333</v>
      </c>
      <c r="M162" s="416" t="s">
        <v>3333</v>
      </c>
      <c r="N162" s="416" t="s">
        <v>3333</v>
      </c>
      <c r="O162" s="416" t="s">
        <v>3333</v>
      </c>
      <c r="P162" s="416" t="s">
        <v>3333</v>
      </c>
      <c r="Q162" s="416" t="s">
        <v>3333</v>
      </c>
      <c r="R162" s="416" t="s">
        <v>3333</v>
      </c>
      <c r="S162" s="416" t="s">
        <v>3333</v>
      </c>
      <c r="T162" s="416" t="s">
        <v>3333</v>
      </c>
      <c r="U162" s="416" t="s">
        <v>3333</v>
      </c>
      <c r="V162" s="416" t="s">
        <v>3333</v>
      </c>
      <c r="W162" s="416" t="s">
        <v>3333</v>
      </c>
      <c r="X162" s="416" t="s">
        <v>3333</v>
      </c>
      <c r="Y162" s="416" t="s">
        <v>3333</v>
      </c>
      <c r="Z162" s="416" t="s">
        <v>3333</v>
      </c>
      <c r="AA162" s="416" t="s">
        <v>3333</v>
      </c>
      <c r="AB162" s="416" t="s">
        <v>3333</v>
      </c>
      <c r="AC162" s="416" t="s">
        <v>3333</v>
      </c>
      <c r="AD162" s="416" t="s">
        <v>3333</v>
      </c>
      <c r="AE162" s="416" t="s">
        <v>3333</v>
      </c>
      <c r="AF162" s="416" t="s">
        <v>3333</v>
      </c>
      <c r="AG162" s="416" t="s">
        <v>3333</v>
      </c>
      <c r="AH162" s="416" t="s">
        <v>3333</v>
      </c>
      <c r="AI162" s="416" t="s">
        <v>3333</v>
      </c>
      <c r="AJ162" s="416" t="s">
        <v>3333</v>
      </c>
      <c r="AK162" s="416" t="s">
        <v>3333</v>
      </c>
      <c r="AL162" s="416" t="s">
        <v>3333</v>
      </c>
      <c r="AM162" s="416" t="s">
        <v>3333</v>
      </c>
      <c r="AN162" s="416" t="s">
        <v>3333</v>
      </c>
      <c r="AO162" s="416" t="s">
        <v>3333</v>
      </c>
      <c r="AP162" s="416" t="s">
        <v>3333</v>
      </c>
      <c r="AQ162" s="416" t="s">
        <v>3333</v>
      </c>
      <c r="AR162" s="416" t="s">
        <v>3333</v>
      </c>
      <c r="AS162" s="416" t="s">
        <v>3333</v>
      </c>
      <c r="AT162" s="416" t="s">
        <v>3333</v>
      </c>
      <c r="AU162" s="416" t="s">
        <v>3333</v>
      </c>
      <c r="AV162" s="416" t="s">
        <v>3333</v>
      </c>
      <c r="AW162" s="416" t="s">
        <v>3333</v>
      </c>
      <c r="AX162" s="416" t="s">
        <v>3333</v>
      </c>
      <c r="AY162" s="416" t="s">
        <v>3333</v>
      </c>
      <c r="AZ162" s="416" t="s">
        <v>3333</v>
      </c>
      <c r="BA162" s="416" t="s">
        <v>3333</v>
      </c>
      <c r="BB162" s="416" t="s">
        <v>3333</v>
      </c>
      <c r="BC162" s="416" t="s">
        <v>3333</v>
      </c>
      <c r="BD162" s="416" t="s">
        <v>3333</v>
      </c>
      <c r="BE162" s="416" t="s">
        <v>3333</v>
      </c>
      <c r="BF162" s="416" t="s">
        <v>3333</v>
      </c>
      <c r="BG162" s="416" t="s">
        <v>3333</v>
      </c>
      <c r="BH162" s="416" t="s">
        <v>3333</v>
      </c>
      <c r="BI162" s="416" t="s">
        <v>3333</v>
      </c>
      <c r="BJ162" s="416" t="s">
        <v>3333</v>
      </c>
      <c r="BK162" s="416" t="s">
        <v>3333</v>
      </c>
      <c r="BL162" s="416" t="s">
        <v>3333</v>
      </c>
      <c r="BM162" s="416" t="s">
        <v>3333</v>
      </c>
      <c r="BN162" s="416" t="s">
        <v>3333</v>
      </c>
      <c r="BO162" s="416" t="s">
        <v>3333</v>
      </c>
      <c r="BP162" s="416" t="s">
        <v>3333</v>
      </c>
      <c r="BQ162" s="416" t="s">
        <v>3333</v>
      </c>
      <c r="BR162" s="416" t="s">
        <v>3333</v>
      </c>
      <c r="BS162" s="416" t="s">
        <v>3333</v>
      </c>
      <c r="BT162" s="416" t="s">
        <v>3333</v>
      </c>
      <c r="BU162" s="416" t="s">
        <v>3333</v>
      </c>
      <c r="BV162" s="416" t="s">
        <v>3333</v>
      </c>
      <c r="BW162" s="416" t="s">
        <v>3333</v>
      </c>
      <c r="BX162" s="416" t="s">
        <v>3333</v>
      </c>
      <c r="BY162" s="416" t="s">
        <v>3333</v>
      </c>
      <c r="BZ162" s="416" t="s">
        <v>3333</v>
      </c>
      <c r="CC162" s="420"/>
      <c r="CD162" s="58"/>
      <c r="CE162" s="420"/>
      <c r="CF162" s="420"/>
      <c r="CG162" s="420"/>
      <c r="CH162" s="420"/>
      <c r="CI162" s="420"/>
      <c r="CJ162" s="420"/>
      <c r="CK162" s="420"/>
      <c r="CL162" s="420"/>
      <c r="CM162" s="420"/>
      <c r="CN162" s="420"/>
      <c r="CO162" s="420"/>
      <c r="CP162" s="420"/>
      <c r="CQ162" s="420"/>
      <c r="CR162" s="420"/>
      <c r="CS162" s="420"/>
      <c r="CT162" s="21"/>
    </row>
    <row r="163" spans="3:98">
      <c r="C163" s="430" t="s">
        <v>127</v>
      </c>
      <c r="D163" s="416">
        <v>0</v>
      </c>
      <c r="E163" s="416">
        <v>0</v>
      </c>
      <c r="F163" s="416">
        <v>0</v>
      </c>
      <c r="G163" s="416">
        <v>0</v>
      </c>
      <c r="H163" s="427">
        <v>0</v>
      </c>
      <c r="I163" s="416">
        <v>0</v>
      </c>
      <c r="J163" s="416">
        <v>0</v>
      </c>
      <c r="K163" s="416">
        <v>0</v>
      </c>
      <c r="L163" s="416">
        <v>0</v>
      </c>
      <c r="M163" s="416">
        <v>0</v>
      </c>
      <c r="N163" s="416">
        <v>0</v>
      </c>
      <c r="O163" s="416">
        <v>0</v>
      </c>
      <c r="P163" s="416">
        <v>0</v>
      </c>
      <c r="Q163" s="416">
        <v>0</v>
      </c>
      <c r="R163" s="416">
        <v>0</v>
      </c>
      <c r="S163" s="416">
        <v>0</v>
      </c>
      <c r="T163" s="416">
        <v>0</v>
      </c>
      <c r="U163" s="416">
        <v>0</v>
      </c>
      <c r="V163" s="416">
        <v>0</v>
      </c>
      <c r="W163" s="416">
        <v>0</v>
      </c>
      <c r="X163" s="416">
        <v>0</v>
      </c>
      <c r="Y163" s="416">
        <v>0</v>
      </c>
      <c r="Z163" s="416">
        <v>0</v>
      </c>
      <c r="AA163" s="416">
        <v>0</v>
      </c>
      <c r="AB163" s="416">
        <v>0</v>
      </c>
      <c r="AC163" s="416">
        <v>0</v>
      </c>
      <c r="AD163" s="416">
        <v>0</v>
      </c>
      <c r="AE163" s="416">
        <v>0</v>
      </c>
      <c r="AF163" s="416">
        <v>0</v>
      </c>
      <c r="AG163" s="416">
        <v>0</v>
      </c>
      <c r="AH163" s="416">
        <v>0</v>
      </c>
      <c r="AI163" s="416">
        <v>0</v>
      </c>
      <c r="AJ163" s="416">
        <v>0</v>
      </c>
      <c r="AK163" s="416">
        <v>0</v>
      </c>
      <c r="AL163" s="416">
        <v>0</v>
      </c>
      <c r="AM163" s="416">
        <v>0</v>
      </c>
      <c r="AN163" s="416">
        <v>0</v>
      </c>
      <c r="AO163" s="416">
        <v>0</v>
      </c>
      <c r="AP163" s="416">
        <v>0</v>
      </c>
      <c r="AQ163" s="416">
        <v>0</v>
      </c>
      <c r="AR163" s="416">
        <v>0</v>
      </c>
      <c r="AS163" s="416">
        <v>0</v>
      </c>
      <c r="AT163" s="416">
        <v>0</v>
      </c>
      <c r="AU163" s="416">
        <v>0</v>
      </c>
      <c r="AV163" s="416">
        <v>0</v>
      </c>
      <c r="AW163" s="416">
        <v>0</v>
      </c>
      <c r="AX163" s="416">
        <v>0</v>
      </c>
      <c r="AY163" s="416">
        <v>0</v>
      </c>
      <c r="AZ163" s="416">
        <v>0</v>
      </c>
      <c r="BA163" s="416">
        <v>0</v>
      </c>
      <c r="BB163" s="416">
        <v>0</v>
      </c>
      <c r="BC163" s="416">
        <v>0</v>
      </c>
      <c r="BD163" s="416">
        <v>0</v>
      </c>
      <c r="BE163" s="416">
        <v>0</v>
      </c>
      <c r="BF163" s="416">
        <v>0</v>
      </c>
      <c r="BG163" s="416">
        <v>0</v>
      </c>
      <c r="BH163" s="416">
        <v>0</v>
      </c>
      <c r="BI163" s="416">
        <v>0</v>
      </c>
      <c r="BJ163" s="416">
        <v>0</v>
      </c>
      <c r="BK163" s="416">
        <v>0</v>
      </c>
      <c r="BL163" s="416">
        <v>0</v>
      </c>
      <c r="BM163" s="416">
        <v>0</v>
      </c>
      <c r="BN163" s="416">
        <v>0</v>
      </c>
      <c r="BO163" s="416">
        <v>0</v>
      </c>
      <c r="BP163" s="416">
        <v>0</v>
      </c>
      <c r="BQ163" s="416">
        <v>0</v>
      </c>
      <c r="BR163" s="416">
        <v>0</v>
      </c>
      <c r="BS163" s="416">
        <v>0</v>
      </c>
      <c r="BT163" s="416">
        <v>0</v>
      </c>
      <c r="BU163" s="416">
        <v>0</v>
      </c>
      <c r="BV163" s="416">
        <v>0</v>
      </c>
      <c r="BW163" s="416">
        <v>0</v>
      </c>
      <c r="BX163" s="416">
        <v>0</v>
      </c>
      <c r="BY163" s="416">
        <v>0</v>
      </c>
      <c r="BZ163" s="416">
        <v>0</v>
      </c>
      <c r="CC163" s="420"/>
      <c r="CD163" s="430" t="s">
        <v>127</v>
      </c>
      <c r="CE163" s="420">
        <f t="shared" si="32"/>
        <v>0</v>
      </c>
      <c r="CF163" s="420">
        <f t="shared" si="33"/>
        <v>0</v>
      </c>
      <c r="CG163" s="420">
        <f t="shared" si="34"/>
        <v>0</v>
      </c>
      <c r="CH163" s="420">
        <f t="shared" si="35"/>
        <v>0</v>
      </c>
      <c r="CI163" s="420">
        <f t="shared" si="36"/>
        <v>0</v>
      </c>
      <c r="CJ163" s="420">
        <f t="shared" si="37"/>
        <v>0</v>
      </c>
      <c r="CK163" s="420">
        <f t="shared" si="38"/>
        <v>0</v>
      </c>
      <c r="CL163" s="420">
        <f t="shared" si="39"/>
        <v>0</v>
      </c>
      <c r="CM163" s="420">
        <f t="shared" si="40"/>
        <v>0</v>
      </c>
      <c r="CN163" s="420">
        <f t="shared" si="41"/>
        <v>0</v>
      </c>
      <c r="CO163" s="420">
        <f t="shared" si="42"/>
        <v>0</v>
      </c>
      <c r="CP163" s="420">
        <f t="shared" si="43"/>
        <v>0</v>
      </c>
      <c r="CQ163" s="420">
        <f t="shared" si="44"/>
        <v>0</v>
      </c>
      <c r="CR163" s="420">
        <f t="shared" si="45"/>
        <v>0</v>
      </c>
      <c r="CS163" s="420">
        <f t="shared" si="46"/>
        <v>0</v>
      </c>
      <c r="CT163" s="21"/>
    </row>
    <row r="164" spans="3:98">
      <c r="C164" s="430" t="s">
        <v>554</v>
      </c>
      <c r="D164" s="416">
        <v>0</v>
      </c>
      <c r="E164" s="416">
        <v>0</v>
      </c>
      <c r="F164" s="416">
        <v>0</v>
      </c>
      <c r="G164" s="416">
        <v>0</v>
      </c>
      <c r="H164" s="427">
        <v>0</v>
      </c>
      <c r="I164" s="416">
        <v>0</v>
      </c>
      <c r="J164" s="416">
        <v>0</v>
      </c>
      <c r="K164" s="416">
        <v>0</v>
      </c>
      <c r="L164" s="416">
        <v>0</v>
      </c>
      <c r="M164" s="416">
        <v>0</v>
      </c>
      <c r="N164" s="416">
        <v>0</v>
      </c>
      <c r="O164" s="416">
        <v>0</v>
      </c>
      <c r="P164" s="416">
        <v>0</v>
      </c>
      <c r="Q164" s="416">
        <v>0</v>
      </c>
      <c r="R164" s="416">
        <v>0</v>
      </c>
      <c r="S164" s="416">
        <v>0</v>
      </c>
      <c r="T164" s="416">
        <v>0</v>
      </c>
      <c r="U164" s="416">
        <v>0</v>
      </c>
      <c r="V164" s="416">
        <v>0</v>
      </c>
      <c r="W164" s="416">
        <v>0</v>
      </c>
      <c r="X164" s="416">
        <v>0</v>
      </c>
      <c r="Y164" s="416">
        <v>0</v>
      </c>
      <c r="Z164" s="416">
        <v>0</v>
      </c>
      <c r="AA164" s="416">
        <v>0</v>
      </c>
      <c r="AB164" s="416">
        <v>0</v>
      </c>
      <c r="AC164" s="416">
        <v>0</v>
      </c>
      <c r="AD164" s="416">
        <v>0</v>
      </c>
      <c r="AE164" s="416">
        <v>0</v>
      </c>
      <c r="AF164" s="416">
        <v>0</v>
      </c>
      <c r="AG164" s="416">
        <v>0</v>
      </c>
      <c r="AH164" s="416">
        <v>0</v>
      </c>
      <c r="AI164" s="416">
        <v>0</v>
      </c>
      <c r="AJ164" s="416">
        <v>0</v>
      </c>
      <c r="AK164" s="416">
        <v>0</v>
      </c>
      <c r="AL164" s="416">
        <v>0</v>
      </c>
      <c r="AM164" s="416">
        <v>0</v>
      </c>
      <c r="AN164" s="416">
        <v>0</v>
      </c>
      <c r="AO164" s="416">
        <v>0</v>
      </c>
      <c r="AP164" s="416">
        <v>0</v>
      </c>
      <c r="AQ164" s="416">
        <v>0</v>
      </c>
      <c r="AR164" s="416">
        <v>0</v>
      </c>
      <c r="AS164" s="416">
        <v>0</v>
      </c>
      <c r="AT164" s="416">
        <v>0</v>
      </c>
      <c r="AU164" s="416">
        <v>0</v>
      </c>
      <c r="AV164" s="416">
        <v>0</v>
      </c>
      <c r="AW164" s="416">
        <v>0</v>
      </c>
      <c r="AX164" s="416">
        <v>0</v>
      </c>
      <c r="AY164" s="416">
        <v>0</v>
      </c>
      <c r="AZ164" s="416">
        <v>0</v>
      </c>
      <c r="BA164" s="416">
        <v>0</v>
      </c>
      <c r="BB164" s="416">
        <v>0</v>
      </c>
      <c r="BC164" s="416">
        <v>0</v>
      </c>
      <c r="BD164" s="416">
        <v>0</v>
      </c>
      <c r="BE164" s="416">
        <v>0</v>
      </c>
      <c r="BF164" s="416">
        <v>0</v>
      </c>
      <c r="BG164" s="416">
        <v>0</v>
      </c>
      <c r="BH164" s="416">
        <v>0</v>
      </c>
      <c r="BI164" s="416">
        <v>0</v>
      </c>
      <c r="BJ164" s="416">
        <v>0</v>
      </c>
      <c r="BK164" s="416">
        <v>0</v>
      </c>
      <c r="BL164" s="416">
        <v>0</v>
      </c>
      <c r="BM164" s="416">
        <v>0</v>
      </c>
      <c r="BN164" s="416">
        <v>0</v>
      </c>
      <c r="BO164" s="416">
        <v>0</v>
      </c>
      <c r="BP164" s="416">
        <v>0</v>
      </c>
      <c r="BQ164" s="416">
        <v>0</v>
      </c>
      <c r="BR164" s="416">
        <v>0</v>
      </c>
      <c r="BS164" s="416">
        <v>0</v>
      </c>
      <c r="BT164" s="416">
        <v>0</v>
      </c>
      <c r="BU164" s="416">
        <v>0</v>
      </c>
      <c r="BV164" s="416">
        <v>0</v>
      </c>
      <c r="BW164" s="416">
        <v>0</v>
      </c>
      <c r="BX164" s="416">
        <v>0</v>
      </c>
      <c r="BY164" s="416">
        <v>0</v>
      </c>
      <c r="BZ164" s="416">
        <v>0</v>
      </c>
      <c r="CC164" s="420"/>
      <c r="CD164" s="430" t="s">
        <v>554</v>
      </c>
      <c r="CE164" s="420">
        <f t="shared" si="32"/>
        <v>0</v>
      </c>
      <c r="CF164" s="420">
        <f t="shared" si="33"/>
        <v>0</v>
      </c>
      <c r="CG164" s="420">
        <f t="shared" si="34"/>
        <v>0</v>
      </c>
      <c r="CH164" s="420">
        <f t="shared" si="35"/>
        <v>0</v>
      </c>
      <c r="CI164" s="420">
        <f t="shared" si="36"/>
        <v>0</v>
      </c>
      <c r="CJ164" s="420">
        <f t="shared" si="37"/>
        <v>0</v>
      </c>
      <c r="CK164" s="420">
        <f t="shared" si="38"/>
        <v>0</v>
      </c>
      <c r="CL164" s="420">
        <f t="shared" si="39"/>
        <v>0</v>
      </c>
      <c r="CM164" s="420">
        <f t="shared" si="40"/>
        <v>0</v>
      </c>
      <c r="CN164" s="420">
        <f t="shared" si="41"/>
        <v>0</v>
      </c>
      <c r="CO164" s="420">
        <f t="shared" si="42"/>
        <v>0</v>
      </c>
      <c r="CP164" s="420">
        <f t="shared" si="43"/>
        <v>0</v>
      </c>
      <c r="CQ164" s="420">
        <f t="shared" si="44"/>
        <v>0</v>
      </c>
      <c r="CR164" s="420">
        <f t="shared" si="45"/>
        <v>0</v>
      </c>
      <c r="CS164" s="420">
        <f t="shared" si="46"/>
        <v>0</v>
      </c>
      <c r="CT164" s="21"/>
    </row>
    <row r="165" spans="3:98">
      <c r="C165" s="430" t="s">
        <v>555</v>
      </c>
      <c r="D165" s="416">
        <v>0</v>
      </c>
      <c r="E165" s="416">
        <v>0</v>
      </c>
      <c r="F165" s="416">
        <v>0</v>
      </c>
      <c r="G165" s="416">
        <v>0</v>
      </c>
      <c r="H165" s="427">
        <v>0</v>
      </c>
      <c r="I165" s="416">
        <v>0</v>
      </c>
      <c r="J165" s="416">
        <v>0</v>
      </c>
      <c r="K165" s="416">
        <v>0</v>
      </c>
      <c r="L165" s="416">
        <v>0</v>
      </c>
      <c r="M165" s="416">
        <v>0</v>
      </c>
      <c r="N165" s="416">
        <v>0</v>
      </c>
      <c r="O165" s="416">
        <v>0</v>
      </c>
      <c r="P165" s="416">
        <v>0</v>
      </c>
      <c r="Q165" s="416">
        <v>0</v>
      </c>
      <c r="R165" s="416">
        <v>0</v>
      </c>
      <c r="S165" s="416">
        <v>0</v>
      </c>
      <c r="T165" s="416">
        <v>0</v>
      </c>
      <c r="U165" s="416">
        <v>0</v>
      </c>
      <c r="V165" s="416">
        <v>0</v>
      </c>
      <c r="W165" s="416">
        <v>0</v>
      </c>
      <c r="X165" s="416">
        <v>0</v>
      </c>
      <c r="Y165" s="416">
        <v>0</v>
      </c>
      <c r="Z165" s="416">
        <v>0</v>
      </c>
      <c r="AA165" s="416">
        <v>0</v>
      </c>
      <c r="AB165" s="416">
        <v>0</v>
      </c>
      <c r="AC165" s="416">
        <v>0</v>
      </c>
      <c r="AD165" s="416">
        <v>0</v>
      </c>
      <c r="AE165" s="416">
        <v>0</v>
      </c>
      <c r="AF165" s="416">
        <v>0</v>
      </c>
      <c r="AG165" s="416">
        <v>0</v>
      </c>
      <c r="AH165" s="416">
        <v>0</v>
      </c>
      <c r="AI165" s="416">
        <v>0</v>
      </c>
      <c r="AJ165" s="416">
        <v>0</v>
      </c>
      <c r="AK165" s="416">
        <v>0</v>
      </c>
      <c r="AL165" s="416">
        <v>0</v>
      </c>
      <c r="AM165" s="416">
        <v>0</v>
      </c>
      <c r="AN165" s="416">
        <v>0</v>
      </c>
      <c r="AO165" s="416">
        <v>0</v>
      </c>
      <c r="AP165" s="416">
        <v>0</v>
      </c>
      <c r="AQ165" s="416">
        <v>0</v>
      </c>
      <c r="AR165" s="416">
        <v>0</v>
      </c>
      <c r="AS165" s="416">
        <v>0</v>
      </c>
      <c r="AT165" s="416">
        <v>0</v>
      </c>
      <c r="AU165" s="416">
        <v>0</v>
      </c>
      <c r="AV165" s="416">
        <v>0</v>
      </c>
      <c r="AW165" s="416">
        <v>0</v>
      </c>
      <c r="AX165" s="416">
        <v>0</v>
      </c>
      <c r="AY165" s="416">
        <v>0</v>
      </c>
      <c r="AZ165" s="416">
        <v>0</v>
      </c>
      <c r="BA165" s="416">
        <v>0</v>
      </c>
      <c r="BB165" s="416">
        <v>0</v>
      </c>
      <c r="BC165" s="416">
        <v>0</v>
      </c>
      <c r="BD165" s="416">
        <v>0</v>
      </c>
      <c r="BE165" s="416">
        <v>0</v>
      </c>
      <c r="BF165" s="416">
        <v>0</v>
      </c>
      <c r="BG165" s="416">
        <v>0</v>
      </c>
      <c r="BH165" s="416">
        <v>0</v>
      </c>
      <c r="BI165" s="416">
        <v>0</v>
      </c>
      <c r="BJ165" s="416">
        <v>0</v>
      </c>
      <c r="BK165" s="416">
        <v>0</v>
      </c>
      <c r="BL165" s="416">
        <v>0</v>
      </c>
      <c r="BM165" s="416">
        <v>0</v>
      </c>
      <c r="BN165" s="416">
        <v>0</v>
      </c>
      <c r="BO165" s="416">
        <v>0</v>
      </c>
      <c r="BP165" s="416">
        <v>0</v>
      </c>
      <c r="BQ165" s="416">
        <v>0</v>
      </c>
      <c r="BR165" s="416">
        <v>0</v>
      </c>
      <c r="BS165" s="416">
        <v>0</v>
      </c>
      <c r="BT165" s="416">
        <v>0</v>
      </c>
      <c r="BU165" s="416">
        <v>0</v>
      </c>
      <c r="BV165" s="416">
        <v>0</v>
      </c>
      <c r="BW165" s="416">
        <v>0</v>
      </c>
      <c r="BX165" s="416">
        <v>0</v>
      </c>
      <c r="BY165" s="416">
        <v>0</v>
      </c>
      <c r="BZ165" s="416">
        <v>0</v>
      </c>
      <c r="CC165" s="420"/>
      <c r="CD165" s="430" t="s">
        <v>555</v>
      </c>
      <c r="CE165" s="420">
        <f t="shared" si="32"/>
        <v>0</v>
      </c>
      <c r="CF165" s="420">
        <f t="shared" si="33"/>
        <v>0</v>
      </c>
      <c r="CG165" s="420">
        <f t="shared" si="34"/>
        <v>0</v>
      </c>
      <c r="CH165" s="420">
        <f t="shared" si="35"/>
        <v>0</v>
      </c>
      <c r="CI165" s="420">
        <f t="shared" si="36"/>
        <v>0</v>
      </c>
      <c r="CJ165" s="420">
        <f t="shared" si="37"/>
        <v>0</v>
      </c>
      <c r="CK165" s="420">
        <f t="shared" si="38"/>
        <v>0</v>
      </c>
      <c r="CL165" s="420">
        <f t="shared" si="39"/>
        <v>0</v>
      </c>
      <c r="CM165" s="420">
        <f t="shared" si="40"/>
        <v>0</v>
      </c>
      <c r="CN165" s="420">
        <f t="shared" si="41"/>
        <v>0</v>
      </c>
      <c r="CO165" s="420">
        <f t="shared" si="42"/>
        <v>0</v>
      </c>
      <c r="CP165" s="420">
        <f t="shared" si="43"/>
        <v>0</v>
      </c>
      <c r="CQ165" s="420">
        <f t="shared" si="44"/>
        <v>0</v>
      </c>
      <c r="CR165" s="420">
        <f t="shared" si="45"/>
        <v>0</v>
      </c>
      <c r="CS165" s="420">
        <f t="shared" si="46"/>
        <v>0</v>
      </c>
      <c r="CT165" s="21"/>
    </row>
    <row r="166" spans="3:98" ht="4.5" customHeight="1">
      <c r="D166" s="416">
        <v>0</v>
      </c>
      <c r="E166" s="416">
        <v>0</v>
      </c>
      <c r="F166" s="416">
        <v>0</v>
      </c>
      <c r="G166" s="416">
        <v>0</v>
      </c>
      <c r="H166" s="427">
        <v>0</v>
      </c>
      <c r="I166" s="416">
        <v>0</v>
      </c>
      <c r="J166" s="416">
        <v>0</v>
      </c>
      <c r="K166" s="416">
        <v>0</v>
      </c>
      <c r="L166" s="416">
        <v>0</v>
      </c>
      <c r="M166" s="416">
        <v>0</v>
      </c>
      <c r="N166" s="416">
        <v>0</v>
      </c>
      <c r="O166" s="416">
        <v>0</v>
      </c>
      <c r="P166" s="416">
        <v>0</v>
      </c>
      <c r="Q166" s="416">
        <v>0</v>
      </c>
      <c r="R166" s="416">
        <v>0</v>
      </c>
      <c r="S166" s="416">
        <v>0</v>
      </c>
      <c r="T166" s="416">
        <v>0</v>
      </c>
      <c r="U166" s="416">
        <v>0</v>
      </c>
      <c r="V166" s="416">
        <v>0</v>
      </c>
      <c r="W166" s="416">
        <v>0</v>
      </c>
      <c r="X166" s="416">
        <v>0</v>
      </c>
      <c r="Y166" s="416">
        <v>0</v>
      </c>
      <c r="Z166" s="416">
        <v>0</v>
      </c>
      <c r="AA166" s="416">
        <v>0</v>
      </c>
      <c r="AB166" s="416">
        <v>0</v>
      </c>
      <c r="AC166" s="416">
        <v>0</v>
      </c>
      <c r="AD166" s="416">
        <v>0</v>
      </c>
      <c r="AE166" s="416">
        <v>0</v>
      </c>
      <c r="AF166" s="416">
        <v>0</v>
      </c>
      <c r="AG166" s="416">
        <v>0</v>
      </c>
      <c r="AH166" s="416">
        <v>0</v>
      </c>
      <c r="AI166" s="416">
        <v>0</v>
      </c>
      <c r="AJ166" s="416">
        <v>0</v>
      </c>
      <c r="AK166" s="416">
        <v>0</v>
      </c>
      <c r="AL166" s="416">
        <v>0</v>
      </c>
      <c r="AM166" s="416">
        <v>0</v>
      </c>
      <c r="AN166" s="416">
        <v>0</v>
      </c>
      <c r="AO166" s="416">
        <v>0</v>
      </c>
      <c r="AP166" s="416">
        <v>0</v>
      </c>
      <c r="AQ166" s="416">
        <v>0</v>
      </c>
      <c r="AR166" s="416">
        <v>0</v>
      </c>
      <c r="AS166" s="416">
        <v>0</v>
      </c>
      <c r="AT166" s="416">
        <v>0</v>
      </c>
      <c r="AU166" s="416">
        <v>0</v>
      </c>
      <c r="AV166" s="416">
        <v>0</v>
      </c>
      <c r="AW166" s="416">
        <v>0</v>
      </c>
      <c r="AX166" s="416">
        <v>0</v>
      </c>
      <c r="AY166" s="416">
        <v>0</v>
      </c>
      <c r="AZ166" s="416">
        <v>0</v>
      </c>
      <c r="BA166" s="416">
        <v>0</v>
      </c>
      <c r="BB166" s="416">
        <v>0</v>
      </c>
      <c r="BC166" s="416">
        <v>0</v>
      </c>
      <c r="BD166" s="416">
        <v>0</v>
      </c>
      <c r="BE166" s="416">
        <v>0</v>
      </c>
      <c r="BF166" s="416">
        <v>0</v>
      </c>
      <c r="BG166" s="416">
        <v>0</v>
      </c>
      <c r="BH166" s="416">
        <v>0</v>
      </c>
      <c r="BI166" s="416">
        <v>0</v>
      </c>
      <c r="BJ166" s="416">
        <v>0</v>
      </c>
      <c r="BK166" s="416">
        <v>0</v>
      </c>
      <c r="BL166" s="416">
        <v>0</v>
      </c>
      <c r="BM166" s="416">
        <v>0</v>
      </c>
      <c r="BN166" s="416">
        <v>0</v>
      </c>
      <c r="BO166" s="416">
        <v>0</v>
      </c>
      <c r="BP166" s="416">
        <v>0</v>
      </c>
      <c r="BQ166" s="416">
        <v>0</v>
      </c>
      <c r="BR166" s="416">
        <v>0</v>
      </c>
      <c r="BS166" s="416">
        <v>0</v>
      </c>
      <c r="BT166" s="416">
        <v>0</v>
      </c>
      <c r="BU166" s="416">
        <v>0</v>
      </c>
      <c r="BV166" s="416">
        <v>0</v>
      </c>
      <c r="BW166" s="416">
        <v>0</v>
      </c>
      <c r="BX166" s="416">
        <v>0</v>
      </c>
      <c r="BY166" s="416">
        <v>0</v>
      </c>
      <c r="BZ166" s="416">
        <v>0</v>
      </c>
      <c r="CC166" s="420"/>
      <c r="CD166" s="58"/>
      <c r="CE166" s="420">
        <f>H166</f>
        <v>0</v>
      </c>
      <c r="CF166" s="420">
        <f t="shared" si="33"/>
        <v>0</v>
      </c>
      <c r="CG166" s="420">
        <f t="shared" si="34"/>
        <v>0</v>
      </c>
      <c r="CH166" s="420">
        <f t="shared" si="35"/>
        <v>0</v>
      </c>
      <c r="CI166" s="420">
        <f t="shared" si="36"/>
        <v>0</v>
      </c>
      <c r="CJ166" s="420">
        <f t="shared" si="37"/>
        <v>0</v>
      </c>
      <c r="CK166" s="420">
        <f t="shared" si="38"/>
        <v>0</v>
      </c>
      <c r="CL166" s="420">
        <f t="shared" si="39"/>
        <v>0</v>
      </c>
      <c r="CM166" s="420">
        <f t="shared" si="40"/>
        <v>0</v>
      </c>
      <c r="CN166" s="420">
        <f t="shared" si="41"/>
        <v>0</v>
      </c>
      <c r="CO166" s="420">
        <f t="shared" si="42"/>
        <v>0</v>
      </c>
      <c r="CP166" s="420">
        <f t="shared" si="43"/>
        <v>0</v>
      </c>
      <c r="CQ166" s="420">
        <f t="shared" si="44"/>
        <v>0</v>
      </c>
      <c r="CR166" s="420">
        <f t="shared" si="45"/>
        <v>0</v>
      </c>
      <c r="CS166" s="420">
        <f t="shared" si="46"/>
        <v>0</v>
      </c>
      <c r="CT166" s="21"/>
    </row>
    <row r="167" spans="3:98" hidden="1" outlineLevel="1">
      <c r="C167" s="417" t="s">
        <v>557</v>
      </c>
      <c r="D167" s="416">
        <v>0</v>
      </c>
      <c r="E167" s="416">
        <v>0</v>
      </c>
      <c r="F167" s="416">
        <v>0</v>
      </c>
      <c r="G167" s="416">
        <v>0</v>
      </c>
      <c r="H167" s="427">
        <v>0</v>
      </c>
      <c r="I167" s="416">
        <v>0</v>
      </c>
      <c r="J167" s="416">
        <v>0</v>
      </c>
      <c r="K167" s="416">
        <v>0</v>
      </c>
      <c r="L167" s="416">
        <v>0</v>
      </c>
      <c r="M167" s="416">
        <v>0</v>
      </c>
      <c r="N167" s="416">
        <v>0</v>
      </c>
      <c r="O167" s="416">
        <v>0</v>
      </c>
      <c r="P167" s="416">
        <v>0</v>
      </c>
      <c r="Q167" s="416">
        <v>0</v>
      </c>
      <c r="R167" s="416">
        <v>0</v>
      </c>
      <c r="S167" s="416">
        <v>0</v>
      </c>
      <c r="T167" s="416">
        <v>0</v>
      </c>
      <c r="U167" s="416">
        <v>0</v>
      </c>
      <c r="V167" s="416">
        <v>0</v>
      </c>
      <c r="W167" s="416">
        <v>0</v>
      </c>
      <c r="X167" s="416">
        <v>0</v>
      </c>
      <c r="Y167" s="416">
        <v>0</v>
      </c>
      <c r="Z167" s="416">
        <v>0</v>
      </c>
      <c r="AA167" s="416">
        <v>0</v>
      </c>
      <c r="AB167" s="416">
        <v>0</v>
      </c>
      <c r="AC167" s="416">
        <v>0</v>
      </c>
      <c r="AD167" s="416">
        <v>0</v>
      </c>
      <c r="AE167" s="416">
        <v>0</v>
      </c>
      <c r="AF167" s="416">
        <v>0</v>
      </c>
      <c r="AG167" s="416">
        <v>0</v>
      </c>
      <c r="AH167" s="416">
        <v>0</v>
      </c>
      <c r="AI167" s="416">
        <v>0</v>
      </c>
      <c r="AJ167" s="416">
        <v>0</v>
      </c>
      <c r="AK167" s="416">
        <v>0</v>
      </c>
      <c r="AL167" s="416">
        <v>0</v>
      </c>
      <c r="AM167" s="416">
        <v>0</v>
      </c>
      <c r="AN167" s="416">
        <v>0</v>
      </c>
      <c r="AO167" s="416">
        <v>0</v>
      </c>
      <c r="AP167" s="416">
        <v>0</v>
      </c>
      <c r="AQ167" s="416">
        <v>0</v>
      </c>
      <c r="AR167" s="416">
        <v>0</v>
      </c>
      <c r="AS167" s="416">
        <v>0</v>
      </c>
      <c r="AT167" s="416">
        <v>0</v>
      </c>
      <c r="AU167" s="416">
        <v>0</v>
      </c>
      <c r="AV167" s="416">
        <v>0</v>
      </c>
      <c r="AW167" s="416">
        <v>0</v>
      </c>
      <c r="AX167" s="416">
        <v>0</v>
      </c>
      <c r="AY167" s="416">
        <v>0</v>
      </c>
      <c r="AZ167" s="416">
        <v>0</v>
      </c>
      <c r="BA167" s="416">
        <v>0</v>
      </c>
      <c r="BB167" s="416">
        <v>0</v>
      </c>
      <c r="BC167" s="416">
        <v>0</v>
      </c>
      <c r="BD167" s="416">
        <v>0</v>
      </c>
      <c r="BE167" s="416">
        <v>0</v>
      </c>
      <c r="BF167" s="416">
        <v>0</v>
      </c>
      <c r="BG167" s="416">
        <v>0</v>
      </c>
      <c r="BH167" s="416">
        <v>0</v>
      </c>
      <c r="BI167" s="416">
        <v>0</v>
      </c>
      <c r="BJ167" s="416">
        <v>0</v>
      </c>
      <c r="BK167" s="416">
        <v>0</v>
      </c>
      <c r="BL167" s="416">
        <v>0</v>
      </c>
      <c r="BM167" s="416">
        <v>0</v>
      </c>
      <c r="BN167" s="416">
        <v>0</v>
      </c>
      <c r="BO167" s="416">
        <v>0</v>
      </c>
      <c r="BP167" s="416">
        <v>0</v>
      </c>
      <c r="BQ167" s="416">
        <v>0</v>
      </c>
      <c r="BR167" s="416">
        <v>0</v>
      </c>
      <c r="BS167" s="416">
        <v>0</v>
      </c>
      <c r="BT167" s="416">
        <v>0</v>
      </c>
      <c r="BU167" s="416">
        <v>0</v>
      </c>
      <c r="BV167" s="416">
        <v>0</v>
      </c>
      <c r="BW167" s="416">
        <v>0</v>
      </c>
      <c r="BX167" s="416">
        <v>0</v>
      </c>
      <c r="BY167" s="416">
        <v>0</v>
      </c>
      <c r="BZ167" s="416">
        <v>0</v>
      </c>
      <c r="CC167" s="420"/>
      <c r="CD167" s="417" t="s">
        <v>557</v>
      </c>
      <c r="CE167" s="420">
        <f>H167</f>
        <v>0</v>
      </c>
      <c r="CF167" s="420">
        <f t="shared" si="33"/>
        <v>0</v>
      </c>
      <c r="CG167" s="420">
        <f t="shared" si="34"/>
        <v>0</v>
      </c>
      <c r="CH167" s="420">
        <f t="shared" si="35"/>
        <v>0</v>
      </c>
      <c r="CI167" s="420">
        <f t="shared" si="36"/>
        <v>0</v>
      </c>
      <c r="CJ167" s="420">
        <f t="shared" si="37"/>
        <v>0</v>
      </c>
      <c r="CK167" s="420">
        <f t="shared" si="38"/>
        <v>0</v>
      </c>
      <c r="CL167" s="420">
        <f t="shared" si="39"/>
        <v>0</v>
      </c>
      <c r="CM167" s="420">
        <f t="shared" si="40"/>
        <v>0</v>
      </c>
      <c r="CN167" s="420">
        <f t="shared" si="41"/>
        <v>0</v>
      </c>
      <c r="CO167" s="420">
        <f t="shared" si="42"/>
        <v>0</v>
      </c>
      <c r="CP167" s="420">
        <f t="shared" si="43"/>
        <v>0</v>
      </c>
      <c r="CQ167" s="420">
        <f t="shared" si="44"/>
        <v>0</v>
      </c>
      <c r="CR167" s="420">
        <f t="shared" si="45"/>
        <v>0</v>
      </c>
      <c r="CS167" s="420">
        <f t="shared" si="46"/>
        <v>0</v>
      </c>
      <c r="CT167" s="21"/>
    </row>
    <row r="168" spans="3:98" hidden="1" outlineLevel="1">
      <c r="C168" s="417" t="s">
        <v>558</v>
      </c>
      <c r="D168" s="416">
        <v>0</v>
      </c>
      <c r="E168" s="416">
        <v>0</v>
      </c>
      <c r="F168" s="416">
        <v>0</v>
      </c>
      <c r="G168" s="416">
        <v>0</v>
      </c>
      <c r="H168" s="427">
        <v>0</v>
      </c>
      <c r="I168" s="416">
        <v>0</v>
      </c>
      <c r="J168" s="416">
        <v>0</v>
      </c>
      <c r="K168" s="416">
        <v>0</v>
      </c>
      <c r="L168" s="416">
        <v>0</v>
      </c>
      <c r="M168" s="416">
        <v>0</v>
      </c>
      <c r="N168" s="416">
        <v>0</v>
      </c>
      <c r="O168" s="416">
        <v>0</v>
      </c>
      <c r="P168" s="416">
        <v>0</v>
      </c>
      <c r="Q168" s="416">
        <v>0</v>
      </c>
      <c r="R168" s="416">
        <v>0</v>
      </c>
      <c r="S168" s="416">
        <v>0</v>
      </c>
      <c r="T168" s="416">
        <v>0</v>
      </c>
      <c r="U168" s="416">
        <v>0</v>
      </c>
      <c r="V168" s="416">
        <v>0</v>
      </c>
      <c r="W168" s="416">
        <v>0</v>
      </c>
      <c r="X168" s="416">
        <v>0</v>
      </c>
      <c r="Y168" s="416">
        <v>0</v>
      </c>
      <c r="Z168" s="416">
        <v>0</v>
      </c>
      <c r="AA168" s="416">
        <v>0</v>
      </c>
      <c r="AB168" s="416">
        <v>0</v>
      </c>
      <c r="AC168" s="416">
        <v>0</v>
      </c>
      <c r="AD168" s="416">
        <v>0</v>
      </c>
      <c r="AE168" s="416">
        <v>0</v>
      </c>
      <c r="AF168" s="416">
        <v>0</v>
      </c>
      <c r="AG168" s="416">
        <v>0</v>
      </c>
      <c r="AH168" s="416">
        <v>0</v>
      </c>
      <c r="AI168" s="416">
        <v>0</v>
      </c>
      <c r="AJ168" s="416">
        <v>0</v>
      </c>
      <c r="AK168" s="416">
        <v>0</v>
      </c>
      <c r="AL168" s="416">
        <v>0</v>
      </c>
      <c r="AM168" s="416">
        <v>0</v>
      </c>
      <c r="AN168" s="416">
        <v>0</v>
      </c>
      <c r="AO168" s="416">
        <v>0</v>
      </c>
      <c r="AP168" s="416">
        <v>0</v>
      </c>
      <c r="AQ168" s="416">
        <v>0</v>
      </c>
      <c r="AR168" s="416">
        <v>0</v>
      </c>
      <c r="AS168" s="416">
        <v>0</v>
      </c>
      <c r="AT168" s="416">
        <v>0</v>
      </c>
      <c r="AU168" s="416">
        <v>0</v>
      </c>
      <c r="AV168" s="416">
        <v>0</v>
      </c>
      <c r="AW168" s="416">
        <v>0</v>
      </c>
      <c r="AX168" s="416">
        <v>0</v>
      </c>
      <c r="AY168" s="416">
        <v>0</v>
      </c>
      <c r="AZ168" s="416">
        <v>0</v>
      </c>
      <c r="BA168" s="416">
        <v>0</v>
      </c>
      <c r="BB168" s="416">
        <v>0</v>
      </c>
      <c r="BC168" s="416">
        <v>0</v>
      </c>
      <c r="BD168" s="416">
        <v>0</v>
      </c>
      <c r="BE168" s="416">
        <v>0</v>
      </c>
      <c r="BF168" s="416">
        <v>0</v>
      </c>
      <c r="BG168" s="416">
        <v>0</v>
      </c>
      <c r="BH168" s="416">
        <v>0</v>
      </c>
      <c r="BI168" s="416">
        <v>0</v>
      </c>
      <c r="BJ168" s="416">
        <v>0</v>
      </c>
      <c r="BK168" s="416">
        <v>0</v>
      </c>
      <c r="BL168" s="416">
        <v>0</v>
      </c>
      <c r="BM168" s="416">
        <v>0</v>
      </c>
      <c r="BN168" s="416">
        <v>0</v>
      </c>
      <c r="BO168" s="416">
        <v>0</v>
      </c>
      <c r="BP168" s="416">
        <v>0</v>
      </c>
      <c r="BQ168" s="416">
        <v>0</v>
      </c>
      <c r="BR168" s="416">
        <v>0</v>
      </c>
      <c r="BS168" s="416">
        <v>0</v>
      </c>
      <c r="BT168" s="416">
        <v>0</v>
      </c>
      <c r="BU168" s="416">
        <v>0</v>
      </c>
      <c r="BV168" s="416">
        <v>0</v>
      </c>
      <c r="BW168" s="416">
        <v>0</v>
      </c>
      <c r="BX168" s="416">
        <v>0</v>
      </c>
      <c r="BY168" s="416">
        <v>0</v>
      </c>
      <c r="BZ168" s="416">
        <v>0</v>
      </c>
      <c r="CC168" s="420"/>
      <c r="CD168" s="417" t="s">
        <v>558</v>
      </c>
      <c r="CE168" s="420">
        <f>H168</f>
        <v>0</v>
      </c>
      <c r="CF168" s="420">
        <f t="shared" si="33"/>
        <v>0</v>
      </c>
      <c r="CG168" s="420">
        <f t="shared" si="34"/>
        <v>0</v>
      </c>
      <c r="CH168" s="420">
        <f t="shared" si="35"/>
        <v>0</v>
      </c>
      <c r="CI168" s="420">
        <f t="shared" si="36"/>
        <v>0</v>
      </c>
      <c r="CJ168" s="420">
        <f t="shared" si="37"/>
        <v>0</v>
      </c>
      <c r="CK168" s="420">
        <f t="shared" si="38"/>
        <v>0</v>
      </c>
      <c r="CL168" s="420">
        <f t="shared" si="39"/>
        <v>0</v>
      </c>
      <c r="CM168" s="420">
        <f t="shared" si="40"/>
        <v>0</v>
      </c>
      <c r="CN168" s="420">
        <f t="shared" si="41"/>
        <v>0</v>
      </c>
      <c r="CO168" s="420">
        <f t="shared" si="42"/>
        <v>0</v>
      </c>
      <c r="CP168" s="420">
        <f t="shared" si="43"/>
        <v>0</v>
      </c>
      <c r="CQ168" s="420">
        <f t="shared" si="44"/>
        <v>0</v>
      </c>
      <c r="CR168" s="420">
        <f t="shared" si="45"/>
        <v>0</v>
      </c>
      <c r="CS168" s="420">
        <f t="shared" si="46"/>
        <v>0</v>
      </c>
      <c r="CT168" s="21"/>
    </row>
    <row r="169" spans="3:98" hidden="1" outlineLevel="1">
      <c r="C169" s="417" t="s">
        <v>559</v>
      </c>
      <c r="D169" s="416">
        <v>0</v>
      </c>
      <c r="E169" s="416">
        <v>0</v>
      </c>
      <c r="F169" s="416">
        <v>0</v>
      </c>
      <c r="G169" s="416">
        <v>0</v>
      </c>
      <c r="H169" s="427">
        <v>0</v>
      </c>
      <c r="I169" s="416">
        <v>0</v>
      </c>
      <c r="J169" s="416">
        <v>0</v>
      </c>
      <c r="K169" s="416">
        <v>0</v>
      </c>
      <c r="L169" s="416">
        <v>0</v>
      </c>
      <c r="M169" s="416">
        <v>0</v>
      </c>
      <c r="N169" s="416">
        <v>0</v>
      </c>
      <c r="O169" s="416">
        <v>0</v>
      </c>
      <c r="P169" s="416">
        <v>0</v>
      </c>
      <c r="Q169" s="416">
        <v>0</v>
      </c>
      <c r="R169" s="416">
        <v>0</v>
      </c>
      <c r="S169" s="416">
        <v>0</v>
      </c>
      <c r="T169" s="416">
        <v>0</v>
      </c>
      <c r="U169" s="416">
        <v>0</v>
      </c>
      <c r="V169" s="416">
        <v>0</v>
      </c>
      <c r="W169" s="416">
        <v>0</v>
      </c>
      <c r="X169" s="416">
        <v>0</v>
      </c>
      <c r="Y169" s="416">
        <v>0</v>
      </c>
      <c r="Z169" s="416">
        <v>0</v>
      </c>
      <c r="AA169" s="416">
        <v>0</v>
      </c>
      <c r="AB169" s="416">
        <v>0</v>
      </c>
      <c r="AC169" s="416">
        <v>0</v>
      </c>
      <c r="AD169" s="416">
        <v>0</v>
      </c>
      <c r="AE169" s="416">
        <v>0</v>
      </c>
      <c r="AF169" s="416">
        <v>0</v>
      </c>
      <c r="AG169" s="416">
        <v>0</v>
      </c>
      <c r="AH169" s="416">
        <v>0</v>
      </c>
      <c r="AI169" s="416">
        <v>0</v>
      </c>
      <c r="AJ169" s="416">
        <v>0</v>
      </c>
      <c r="AK169" s="416">
        <v>0</v>
      </c>
      <c r="AL169" s="416">
        <v>0</v>
      </c>
      <c r="AM169" s="416">
        <v>0</v>
      </c>
      <c r="AN169" s="416">
        <v>0</v>
      </c>
      <c r="AO169" s="416">
        <v>0</v>
      </c>
      <c r="AP169" s="416">
        <v>0</v>
      </c>
      <c r="AQ169" s="416">
        <v>0</v>
      </c>
      <c r="AR169" s="416">
        <v>0</v>
      </c>
      <c r="AS169" s="416">
        <v>0</v>
      </c>
      <c r="AT169" s="416">
        <v>0</v>
      </c>
      <c r="AU169" s="416">
        <v>0</v>
      </c>
      <c r="AV169" s="416">
        <v>0</v>
      </c>
      <c r="AW169" s="416">
        <v>0</v>
      </c>
      <c r="AX169" s="416">
        <v>0</v>
      </c>
      <c r="AY169" s="416">
        <v>0</v>
      </c>
      <c r="AZ169" s="416">
        <v>0</v>
      </c>
      <c r="BA169" s="416">
        <v>0</v>
      </c>
      <c r="BB169" s="416">
        <v>0</v>
      </c>
      <c r="BC169" s="416">
        <v>0</v>
      </c>
      <c r="BD169" s="416">
        <v>0</v>
      </c>
      <c r="BE169" s="416">
        <v>0</v>
      </c>
      <c r="BF169" s="416">
        <v>0</v>
      </c>
      <c r="BG169" s="416">
        <v>0</v>
      </c>
      <c r="BH169" s="416">
        <v>0</v>
      </c>
      <c r="BI169" s="416">
        <v>0</v>
      </c>
      <c r="BJ169" s="416">
        <v>0</v>
      </c>
      <c r="BK169" s="416">
        <v>0</v>
      </c>
      <c r="BL169" s="416">
        <v>0</v>
      </c>
      <c r="BM169" s="416">
        <v>0</v>
      </c>
      <c r="BN169" s="416">
        <v>0</v>
      </c>
      <c r="BO169" s="416">
        <v>0</v>
      </c>
      <c r="BP169" s="416">
        <v>0</v>
      </c>
      <c r="BQ169" s="416">
        <v>0</v>
      </c>
      <c r="BR169" s="416">
        <v>0</v>
      </c>
      <c r="BS169" s="416">
        <v>0</v>
      </c>
      <c r="BT169" s="416">
        <v>0</v>
      </c>
      <c r="BU169" s="416">
        <v>0</v>
      </c>
      <c r="BV169" s="416">
        <v>0</v>
      </c>
      <c r="BW169" s="416">
        <v>0</v>
      </c>
      <c r="BX169" s="416">
        <v>0</v>
      </c>
      <c r="BY169" s="416">
        <v>0</v>
      </c>
      <c r="BZ169" s="416">
        <v>0</v>
      </c>
      <c r="CC169" s="420"/>
      <c r="CD169" s="417" t="s">
        <v>559</v>
      </c>
      <c r="CE169" s="420">
        <f>H169</f>
        <v>0</v>
      </c>
      <c r="CF169" s="420">
        <f t="shared" si="33"/>
        <v>0</v>
      </c>
      <c r="CG169" s="420">
        <f t="shared" si="34"/>
        <v>0</v>
      </c>
      <c r="CH169" s="420">
        <f t="shared" si="35"/>
        <v>0</v>
      </c>
      <c r="CI169" s="420">
        <f t="shared" si="36"/>
        <v>0</v>
      </c>
      <c r="CJ169" s="420">
        <f t="shared" si="37"/>
        <v>0</v>
      </c>
      <c r="CK169" s="420">
        <f t="shared" si="38"/>
        <v>0</v>
      </c>
      <c r="CL169" s="420">
        <f t="shared" si="39"/>
        <v>0</v>
      </c>
      <c r="CM169" s="420">
        <f t="shared" si="40"/>
        <v>0</v>
      </c>
      <c r="CN169" s="420">
        <f t="shared" si="41"/>
        <v>0</v>
      </c>
      <c r="CO169" s="420">
        <f t="shared" si="42"/>
        <v>0</v>
      </c>
      <c r="CP169" s="420">
        <f t="shared" si="43"/>
        <v>0</v>
      </c>
      <c r="CQ169" s="420">
        <f t="shared" si="44"/>
        <v>0</v>
      </c>
      <c r="CR169" s="420">
        <f t="shared" si="45"/>
        <v>0</v>
      </c>
      <c r="CS169" s="420">
        <f t="shared" si="46"/>
        <v>0</v>
      </c>
      <c r="CT169" s="21"/>
    </row>
    <row r="170" spans="3:98" collapsed="1">
      <c r="C170" s="431" t="s">
        <v>556</v>
      </c>
      <c r="D170" s="416">
        <v>0</v>
      </c>
      <c r="E170" s="416">
        <v>0</v>
      </c>
      <c r="F170" s="416">
        <v>0</v>
      </c>
      <c r="G170" s="416">
        <v>0</v>
      </c>
      <c r="H170" s="427">
        <v>0</v>
      </c>
      <c r="I170" s="416">
        <v>0</v>
      </c>
      <c r="J170" s="416">
        <v>0</v>
      </c>
      <c r="K170" s="416">
        <v>0</v>
      </c>
      <c r="L170" s="416">
        <v>0</v>
      </c>
      <c r="M170" s="416">
        <v>0</v>
      </c>
      <c r="N170" s="416">
        <v>0</v>
      </c>
      <c r="O170" s="416">
        <v>0</v>
      </c>
      <c r="P170" s="416">
        <v>0</v>
      </c>
      <c r="Q170" s="416">
        <v>0</v>
      </c>
      <c r="R170" s="416">
        <v>0</v>
      </c>
      <c r="S170" s="416">
        <v>0</v>
      </c>
      <c r="T170" s="416">
        <v>0</v>
      </c>
      <c r="U170" s="416">
        <v>0</v>
      </c>
      <c r="V170" s="416">
        <v>0</v>
      </c>
      <c r="W170" s="416">
        <v>0</v>
      </c>
      <c r="X170" s="416">
        <v>0</v>
      </c>
      <c r="Y170" s="416">
        <v>0</v>
      </c>
      <c r="Z170" s="416">
        <v>0</v>
      </c>
      <c r="AA170" s="416">
        <v>0</v>
      </c>
      <c r="AB170" s="416">
        <v>0</v>
      </c>
      <c r="AC170" s="416">
        <v>0</v>
      </c>
      <c r="AD170" s="416">
        <v>0</v>
      </c>
      <c r="AE170" s="416">
        <v>0</v>
      </c>
      <c r="AF170" s="416">
        <v>0</v>
      </c>
      <c r="AG170" s="416">
        <v>0</v>
      </c>
      <c r="AH170" s="416">
        <v>0</v>
      </c>
      <c r="AI170" s="416">
        <v>0</v>
      </c>
      <c r="AJ170" s="416">
        <v>0</v>
      </c>
      <c r="AK170" s="416">
        <v>0</v>
      </c>
      <c r="AL170" s="416">
        <v>0</v>
      </c>
      <c r="AM170" s="416">
        <v>0</v>
      </c>
      <c r="AN170" s="416">
        <v>0</v>
      </c>
      <c r="AO170" s="416">
        <v>0</v>
      </c>
      <c r="AP170" s="416">
        <v>0</v>
      </c>
      <c r="AQ170" s="416">
        <v>0</v>
      </c>
      <c r="AR170" s="416">
        <v>0</v>
      </c>
      <c r="AS170" s="416">
        <v>0</v>
      </c>
      <c r="AT170" s="416">
        <v>0</v>
      </c>
      <c r="AU170" s="416">
        <v>0</v>
      </c>
      <c r="AV170" s="416">
        <v>0</v>
      </c>
      <c r="AW170" s="416">
        <v>0</v>
      </c>
      <c r="AX170" s="416">
        <v>0</v>
      </c>
      <c r="AY170" s="416">
        <v>0</v>
      </c>
      <c r="AZ170" s="416">
        <v>0</v>
      </c>
      <c r="BA170" s="416">
        <v>0</v>
      </c>
      <c r="BB170" s="416">
        <v>0</v>
      </c>
      <c r="BC170" s="416">
        <v>0</v>
      </c>
      <c r="BD170" s="416">
        <v>0</v>
      </c>
      <c r="BE170" s="416">
        <v>0</v>
      </c>
      <c r="BF170" s="416">
        <v>0</v>
      </c>
      <c r="BG170" s="416">
        <v>0</v>
      </c>
      <c r="BH170" s="416">
        <v>0</v>
      </c>
      <c r="BI170" s="416">
        <v>0</v>
      </c>
      <c r="BJ170" s="416">
        <v>0</v>
      </c>
      <c r="BK170" s="416">
        <v>0</v>
      </c>
      <c r="BL170" s="416">
        <v>0</v>
      </c>
      <c r="BM170" s="416">
        <v>0</v>
      </c>
      <c r="BN170" s="416">
        <v>0</v>
      </c>
      <c r="BO170" s="416">
        <v>0</v>
      </c>
      <c r="BP170" s="416">
        <v>0</v>
      </c>
      <c r="BQ170" s="416">
        <v>0</v>
      </c>
      <c r="BR170" s="416">
        <v>0</v>
      </c>
      <c r="BS170" s="416">
        <v>0</v>
      </c>
      <c r="BT170" s="416">
        <v>0</v>
      </c>
      <c r="BU170" s="416">
        <v>0</v>
      </c>
      <c r="BV170" s="416">
        <v>0</v>
      </c>
      <c r="BW170" s="416">
        <v>0</v>
      </c>
      <c r="BX170" s="416">
        <v>0</v>
      </c>
      <c r="BY170" s="416">
        <v>0</v>
      </c>
      <c r="BZ170" s="416">
        <v>0</v>
      </c>
      <c r="CC170" s="420"/>
      <c r="CD170" s="431" t="s">
        <v>556</v>
      </c>
      <c r="CE170" s="420">
        <f>H170</f>
        <v>0</v>
      </c>
      <c r="CF170" s="420">
        <f t="shared" si="33"/>
        <v>0</v>
      </c>
      <c r="CG170" s="420">
        <f t="shared" si="34"/>
        <v>0</v>
      </c>
      <c r="CH170" s="420">
        <f t="shared" si="35"/>
        <v>0</v>
      </c>
      <c r="CI170" s="420">
        <f t="shared" si="36"/>
        <v>0</v>
      </c>
      <c r="CJ170" s="420">
        <f t="shared" si="37"/>
        <v>0</v>
      </c>
      <c r="CK170" s="420">
        <f t="shared" si="38"/>
        <v>0</v>
      </c>
      <c r="CL170" s="420">
        <f t="shared" si="39"/>
        <v>0</v>
      </c>
      <c r="CM170" s="420">
        <f t="shared" si="40"/>
        <v>0</v>
      </c>
      <c r="CN170" s="420">
        <f t="shared" si="41"/>
        <v>0</v>
      </c>
      <c r="CO170" s="420">
        <f t="shared" si="42"/>
        <v>0</v>
      </c>
      <c r="CP170" s="420">
        <f t="shared" si="43"/>
        <v>0</v>
      </c>
      <c r="CQ170" s="420">
        <f t="shared" si="44"/>
        <v>0</v>
      </c>
      <c r="CR170" s="420">
        <f t="shared" si="45"/>
        <v>0</v>
      </c>
      <c r="CS170" s="420">
        <f t="shared" si="46"/>
        <v>0</v>
      </c>
      <c r="CT170" s="21"/>
    </row>
    <row r="171" spans="3:98">
      <c r="CC171" s="420"/>
      <c r="CD171" s="420"/>
      <c r="CE171" s="420"/>
      <c r="CF171" s="420"/>
      <c r="CG171" s="420"/>
      <c r="CH171" s="420"/>
      <c r="CI171" s="420"/>
      <c r="CJ171" s="420"/>
      <c r="CK171" s="420"/>
      <c r="CL171" s="420"/>
      <c r="CM171" s="420"/>
      <c r="CN171" s="420"/>
      <c r="CO171" s="420"/>
      <c r="CP171" s="420"/>
      <c r="CQ171" s="420"/>
      <c r="CR171" s="420"/>
      <c r="CS171" s="420"/>
      <c r="CT171" s="21"/>
    </row>
    <row r="172" spans="3:98">
      <c r="CC172" s="420"/>
      <c r="CD172" s="420"/>
      <c r="CE172" s="420"/>
      <c r="CF172" s="420"/>
      <c r="CG172" s="420"/>
      <c r="CH172" s="420"/>
      <c r="CI172" s="420"/>
      <c r="CJ172" s="420"/>
      <c r="CK172" s="420"/>
      <c r="CL172" s="420"/>
      <c r="CM172" s="420"/>
      <c r="CN172" s="420"/>
      <c r="CO172" s="420"/>
      <c r="CP172" s="420"/>
      <c r="CQ172" s="420"/>
      <c r="CR172" s="420"/>
      <c r="CS172" s="420"/>
      <c r="CT172" s="21"/>
    </row>
    <row r="173" spans="3:98">
      <c r="CC173" s="420"/>
      <c r="CD173" s="420"/>
      <c r="CE173" s="420"/>
      <c r="CF173" s="420"/>
      <c r="CG173" s="420"/>
      <c r="CH173" s="420"/>
      <c r="CI173" s="420"/>
      <c r="CJ173" s="420"/>
      <c r="CK173" s="420"/>
      <c r="CL173" s="420"/>
      <c r="CM173" s="420"/>
      <c r="CN173" s="420"/>
      <c r="CO173" s="420"/>
      <c r="CP173" s="420"/>
      <c r="CQ173" s="420"/>
      <c r="CR173" s="420"/>
      <c r="CS173" s="420"/>
      <c r="CT173" s="21"/>
    </row>
    <row r="174" spans="3:98">
      <c r="CC174" s="420"/>
      <c r="CD174" s="420"/>
      <c r="CE174" s="420"/>
      <c r="CF174" s="420"/>
      <c r="CG174" s="420"/>
      <c r="CH174" s="420"/>
      <c r="CI174" s="420"/>
      <c r="CJ174" s="420"/>
      <c r="CK174" s="420"/>
      <c r="CL174" s="420"/>
      <c r="CM174" s="420"/>
      <c r="CN174" s="420"/>
      <c r="CO174" s="420"/>
      <c r="CP174" s="420"/>
      <c r="CQ174" s="420"/>
      <c r="CR174" s="420"/>
      <c r="CS174" s="420"/>
      <c r="CT174" s="21"/>
    </row>
    <row r="175" spans="3:98">
      <c r="CC175" s="420"/>
      <c r="CD175" s="420"/>
      <c r="CE175" s="420"/>
      <c r="CF175" s="420"/>
      <c r="CG175" s="420"/>
      <c r="CH175" s="420"/>
      <c r="CI175" s="420"/>
      <c r="CJ175" s="420"/>
      <c r="CK175" s="420"/>
      <c r="CL175" s="420"/>
      <c r="CM175" s="420"/>
      <c r="CN175" s="420"/>
      <c r="CO175" s="420"/>
      <c r="CP175" s="420"/>
      <c r="CQ175" s="420"/>
      <c r="CR175" s="420"/>
      <c r="CS175" s="420"/>
      <c r="CT175" s="21"/>
    </row>
    <row r="176" spans="3:98">
      <c r="CC176" s="420"/>
      <c r="CD176" s="420"/>
      <c r="CE176" s="420"/>
      <c r="CF176" s="420"/>
      <c r="CG176" s="420"/>
      <c r="CH176" s="420"/>
      <c r="CI176" s="420"/>
      <c r="CJ176" s="420"/>
      <c r="CK176" s="420"/>
      <c r="CL176" s="420"/>
      <c r="CM176" s="420"/>
      <c r="CN176" s="420"/>
      <c r="CO176" s="420"/>
      <c r="CP176" s="420"/>
      <c r="CQ176" s="420"/>
      <c r="CR176" s="420"/>
      <c r="CS176" s="420"/>
      <c r="CT176" s="21"/>
    </row>
    <row r="177" spans="81:98">
      <c r="CC177" s="420"/>
      <c r="CD177" s="420"/>
      <c r="CE177" s="420"/>
      <c r="CF177" s="420"/>
      <c r="CG177" s="420"/>
      <c r="CH177" s="420"/>
      <c r="CI177" s="420"/>
      <c r="CJ177" s="420"/>
      <c r="CK177" s="420"/>
      <c r="CL177" s="420"/>
      <c r="CM177" s="420"/>
      <c r="CN177" s="420"/>
      <c r="CO177" s="420"/>
      <c r="CP177" s="420"/>
      <c r="CQ177" s="420"/>
      <c r="CR177" s="420"/>
      <c r="CS177" s="420"/>
      <c r="CT177" s="21"/>
    </row>
    <row r="178" spans="81:98">
      <c r="CC178" s="420"/>
      <c r="CD178" s="420"/>
      <c r="CE178" s="420"/>
      <c r="CF178" s="420"/>
      <c r="CG178" s="420"/>
      <c r="CH178" s="420"/>
      <c r="CI178" s="420"/>
      <c r="CJ178" s="420"/>
      <c r="CK178" s="420"/>
      <c r="CL178" s="420"/>
      <c r="CM178" s="420"/>
      <c r="CN178" s="420"/>
      <c r="CO178" s="420"/>
      <c r="CP178" s="420"/>
      <c r="CQ178" s="420"/>
      <c r="CR178" s="420"/>
      <c r="CS178" s="420"/>
      <c r="CT178" s="21"/>
    </row>
    <row r="179" spans="81:98">
      <c r="CC179" s="420"/>
      <c r="CD179" s="420"/>
      <c r="CE179" s="420"/>
      <c r="CF179" s="420"/>
      <c r="CG179" s="420"/>
      <c r="CH179" s="420"/>
      <c r="CI179" s="420"/>
      <c r="CJ179" s="420"/>
      <c r="CK179" s="420"/>
      <c r="CL179" s="420"/>
      <c r="CM179" s="420"/>
      <c r="CN179" s="420"/>
      <c r="CO179" s="420"/>
      <c r="CP179" s="420"/>
      <c r="CQ179" s="420"/>
      <c r="CR179" s="420"/>
      <c r="CS179" s="420"/>
      <c r="CT179" s="21"/>
    </row>
    <row r="180" spans="81:98">
      <c r="CC180" s="420"/>
      <c r="CD180" s="420"/>
      <c r="CE180" s="420"/>
      <c r="CF180" s="420"/>
      <c r="CG180" s="420"/>
      <c r="CH180" s="420"/>
      <c r="CI180" s="420"/>
      <c r="CJ180" s="420"/>
      <c r="CK180" s="420"/>
      <c r="CL180" s="420"/>
      <c r="CM180" s="420"/>
      <c r="CN180" s="420"/>
      <c r="CO180" s="420"/>
      <c r="CP180" s="420"/>
      <c r="CQ180" s="420"/>
      <c r="CR180" s="420"/>
      <c r="CS180" s="420"/>
      <c r="CT180" s="21"/>
    </row>
    <row r="181" spans="81:98">
      <c r="CC181" s="420"/>
      <c r="CD181" s="420"/>
      <c r="CE181" s="420"/>
      <c r="CF181" s="420"/>
      <c r="CG181" s="420"/>
      <c r="CH181" s="420"/>
      <c r="CI181" s="420"/>
      <c r="CJ181" s="420"/>
      <c r="CK181" s="420"/>
      <c r="CL181" s="420"/>
      <c r="CM181" s="420"/>
      <c r="CN181" s="420"/>
      <c r="CO181" s="420"/>
      <c r="CP181" s="420"/>
      <c r="CQ181" s="420"/>
      <c r="CR181" s="420"/>
      <c r="CS181" s="420"/>
      <c r="CT181" s="21"/>
    </row>
    <row r="182" spans="81:98">
      <c r="CC182" s="420"/>
      <c r="CD182" s="420"/>
      <c r="CE182" s="420"/>
      <c r="CF182" s="420"/>
      <c r="CG182" s="420"/>
      <c r="CH182" s="420"/>
      <c r="CI182" s="420"/>
      <c r="CJ182" s="420"/>
      <c r="CK182" s="420"/>
      <c r="CL182" s="420"/>
      <c r="CM182" s="420"/>
      <c r="CN182" s="420"/>
      <c r="CO182" s="420"/>
      <c r="CP182" s="420"/>
      <c r="CQ182" s="420"/>
      <c r="CR182" s="420"/>
      <c r="CS182" s="420"/>
      <c r="CT182" s="21"/>
    </row>
    <row r="183" spans="81:98">
      <c r="CC183" s="420"/>
      <c r="CD183" s="420"/>
      <c r="CE183" s="420"/>
      <c r="CF183" s="420"/>
      <c r="CG183" s="420"/>
      <c r="CH183" s="420"/>
      <c r="CI183" s="420"/>
      <c r="CJ183" s="420"/>
      <c r="CK183" s="420"/>
      <c r="CL183" s="420"/>
      <c r="CM183" s="420"/>
      <c r="CN183" s="420"/>
      <c r="CO183" s="420"/>
      <c r="CP183" s="420"/>
      <c r="CQ183" s="420"/>
      <c r="CR183" s="420"/>
      <c r="CS183" s="420"/>
      <c r="CT183" s="21"/>
    </row>
    <row r="184" spans="81:98">
      <c r="CC184" s="420"/>
      <c r="CD184" s="420"/>
      <c r="CE184" s="420"/>
      <c r="CF184" s="420"/>
      <c r="CG184" s="420"/>
      <c r="CH184" s="420"/>
      <c r="CI184" s="420"/>
      <c r="CJ184" s="420"/>
      <c r="CK184" s="420"/>
      <c r="CL184" s="420"/>
      <c r="CM184" s="420"/>
      <c r="CN184" s="420"/>
      <c r="CO184" s="420"/>
      <c r="CP184" s="420"/>
      <c r="CQ184" s="420"/>
      <c r="CR184" s="420"/>
      <c r="CS184" s="420"/>
      <c r="CT184" s="21"/>
    </row>
    <row r="185" spans="81:98">
      <c r="CC185" s="420"/>
      <c r="CD185" s="420"/>
      <c r="CE185" s="420"/>
      <c r="CF185" s="420"/>
      <c r="CG185" s="420"/>
      <c r="CH185" s="420"/>
      <c r="CI185" s="420"/>
      <c r="CJ185" s="420"/>
      <c r="CK185" s="420"/>
      <c r="CL185" s="420"/>
      <c r="CM185" s="420"/>
      <c r="CN185" s="420"/>
      <c r="CO185" s="420"/>
      <c r="CP185" s="420"/>
      <c r="CQ185" s="420"/>
      <c r="CR185" s="420"/>
      <c r="CS185" s="420"/>
      <c r="CT185" s="21"/>
    </row>
    <row r="186" spans="81:98">
      <c r="CC186" s="420"/>
      <c r="CD186" s="420"/>
      <c r="CE186" s="420"/>
      <c r="CF186" s="420"/>
      <c r="CG186" s="420"/>
      <c r="CH186" s="420"/>
      <c r="CI186" s="420"/>
      <c r="CJ186" s="420"/>
      <c r="CK186" s="420"/>
      <c r="CL186" s="420"/>
      <c r="CM186" s="420"/>
      <c r="CN186" s="420"/>
      <c r="CO186" s="420"/>
      <c r="CP186" s="420"/>
      <c r="CQ186" s="420"/>
      <c r="CR186" s="420"/>
      <c r="CS186" s="420"/>
      <c r="CT186" s="21"/>
    </row>
    <row r="187" spans="81:98">
      <c r="CC187" s="420"/>
      <c r="CD187" s="420"/>
      <c r="CE187" s="420"/>
      <c r="CF187" s="420"/>
      <c r="CG187" s="420"/>
      <c r="CH187" s="420"/>
      <c r="CI187" s="420"/>
      <c r="CJ187" s="420"/>
      <c r="CK187" s="420"/>
      <c r="CL187" s="420"/>
      <c r="CM187" s="420"/>
      <c r="CN187" s="420"/>
      <c r="CO187" s="420"/>
      <c r="CP187" s="420"/>
      <c r="CQ187" s="420"/>
      <c r="CR187" s="420"/>
      <c r="CS187" s="420"/>
      <c r="CT187" s="21"/>
    </row>
    <row r="188" spans="81:98">
      <c r="CC188" s="420"/>
      <c r="CD188" s="420"/>
      <c r="CE188" s="420"/>
      <c r="CF188" s="420"/>
      <c r="CG188" s="420"/>
      <c r="CH188" s="420"/>
      <c r="CI188" s="420"/>
      <c r="CJ188" s="420"/>
      <c r="CK188" s="420"/>
      <c r="CL188" s="420"/>
      <c r="CM188" s="420"/>
      <c r="CN188" s="420"/>
      <c r="CO188" s="420"/>
      <c r="CP188" s="420"/>
      <c r="CQ188" s="420"/>
      <c r="CR188" s="420"/>
      <c r="CS188" s="420"/>
      <c r="CT188" s="21"/>
    </row>
    <row r="189" spans="81:98">
      <c r="CC189" s="420"/>
      <c r="CD189" s="420"/>
      <c r="CE189" s="420"/>
      <c r="CF189" s="420"/>
      <c r="CG189" s="420"/>
      <c r="CH189" s="420"/>
      <c r="CI189" s="420"/>
      <c r="CJ189" s="420"/>
      <c r="CK189" s="420"/>
      <c r="CL189" s="420"/>
      <c r="CM189" s="420"/>
      <c r="CN189" s="420"/>
      <c r="CO189" s="420"/>
      <c r="CP189" s="420"/>
      <c r="CQ189" s="420"/>
      <c r="CR189" s="420"/>
      <c r="CS189" s="420"/>
      <c r="CT189" s="21"/>
    </row>
    <row r="190" spans="81:98">
      <c r="CC190" s="420"/>
      <c r="CD190" s="420"/>
      <c r="CE190" s="420"/>
      <c r="CF190" s="420"/>
      <c r="CG190" s="420"/>
      <c r="CH190" s="420"/>
      <c r="CI190" s="420"/>
      <c r="CJ190" s="420"/>
      <c r="CK190" s="420"/>
      <c r="CL190" s="420"/>
      <c r="CM190" s="420"/>
      <c r="CN190" s="420"/>
      <c r="CO190" s="420"/>
      <c r="CP190" s="420"/>
      <c r="CQ190" s="420"/>
      <c r="CR190" s="420"/>
      <c r="CS190" s="420"/>
      <c r="CT190" s="21"/>
    </row>
    <row r="191" spans="81:98">
      <c r="CC191" s="420"/>
      <c r="CD191" s="420"/>
      <c r="CE191" s="420"/>
      <c r="CF191" s="420"/>
      <c r="CG191" s="420"/>
      <c r="CH191" s="420"/>
      <c r="CI191" s="420"/>
      <c r="CJ191" s="420"/>
      <c r="CK191" s="420"/>
      <c r="CL191" s="420"/>
      <c r="CM191" s="420"/>
      <c r="CN191" s="420"/>
      <c r="CO191" s="420"/>
      <c r="CP191" s="420"/>
      <c r="CQ191" s="420"/>
      <c r="CR191" s="420"/>
      <c r="CS191" s="420"/>
      <c r="CT191" s="21"/>
    </row>
    <row r="192" spans="81:98">
      <c r="CC192" s="420"/>
      <c r="CD192" s="420"/>
      <c r="CE192" s="420"/>
      <c r="CF192" s="420"/>
      <c r="CG192" s="420"/>
      <c r="CH192" s="420"/>
      <c r="CI192" s="420"/>
      <c r="CJ192" s="420"/>
      <c r="CK192" s="420"/>
      <c r="CL192" s="420"/>
      <c r="CM192" s="420"/>
      <c r="CN192" s="420"/>
      <c r="CO192" s="420"/>
      <c r="CP192" s="420"/>
      <c r="CQ192" s="420"/>
      <c r="CR192" s="420"/>
      <c r="CS192" s="420"/>
      <c r="CT192" s="21"/>
    </row>
    <row r="193" spans="81:98">
      <c r="CC193" s="420"/>
      <c r="CD193" s="420"/>
      <c r="CE193" s="420"/>
      <c r="CF193" s="420"/>
      <c r="CG193" s="420"/>
      <c r="CH193" s="420"/>
      <c r="CI193" s="420"/>
      <c r="CJ193" s="420"/>
      <c r="CK193" s="420"/>
      <c r="CL193" s="420"/>
      <c r="CM193" s="420"/>
      <c r="CN193" s="420"/>
      <c r="CO193" s="420"/>
      <c r="CP193" s="420"/>
      <c r="CQ193" s="420"/>
      <c r="CR193" s="420"/>
      <c r="CS193" s="420"/>
      <c r="CT193" s="21"/>
    </row>
    <row r="194" spans="81:98">
      <c r="CC194" s="420"/>
      <c r="CD194" s="420"/>
      <c r="CE194" s="420"/>
      <c r="CF194" s="420"/>
      <c r="CG194" s="420"/>
      <c r="CH194" s="420"/>
      <c r="CI194" s="420"/>
      <c r="CJ194" s="420"/>
      <c r="CK194" s="420"/>
      <c r="CL194" s="420"/>
      <c r="CM194" s="420"/>
      <c r="CN194" s="420"/>
      <c r="CO194" s="420"/>
      <c r="CP194" s="420"/>
      <c r="CQ194" s="420"/>
      <c r="CR194" s="420"/>
      <c r="CS194" s="420"/>
      <c r="CT194" s="21"/>
    </row>
    <row r="195" spans="81:98">
      <c r="CC195" s="420"/>
      <c r="CD195" s="420"/>
      <c r="CE195" s="420"/>
      <c r="CF195" s="420"/>
      <c r="CG195" s="420"/>
      <c r="CH195" s="420"/>
      <c r="CI195" s="420"/>
      <c r="CJ195" s="420"/>
      <c r="CK195" s="420"/>
      <c r="CL195" s="420"/>
      <c r="CM195" s="420"/>
      <c r="CN195" s="420"/>
      <c r="CO195" s="420"/>
      <c r="CP195" s="420"/>
      <c r="CQ195" s="420"/>
      <c r="CR195" s="420"/>
      <c r="CS195" s="420"/>
      <c r="CT195" s="21"/>
    </row>
    <row r="196" spans="81:98">
      <c r="CC196" s="420"/>
      <c r="CD196" s="420"/>
      <c r="CE196" s="420"/>
      <c r="CF196" s="420"/>
      <c r="CG196" s="420"/>
      <c r="CH196" s="420"/>
      <c r="CI196" s="420"/>
      <c r="CJ196" s="420"/>
      <c r="CK196" s="420"/>
      <c r="CL196" s="420"/>
      <c r="CM196" s="420"/>
      <c r="CN196" s="420"/>
      <c r="CO196" s="420"/>
      <c r="CP196" s="420"/>
      <c r="CQ196" s="420"/>
      <c r="CR196" s="420"/>
      <c r="CS196" s="420"/>
      <c r="CT196" s="21"/>
    </row>
    <row r="197" spans="81:98">
      <c r="CC197" s="420"/>
      <c r="CD197" s="420"/>
      <c r="CE197" s="420"/>
      <c r="CF197" s="420"/>
      <c r="CG197" s="420"/>
      <c r="CH197" s="420"/>
      <c r="CI197" s="420"/>
      <c r="CJ197" s="420"/>
      <c r="CK197" s="420"/>
      <c r="CL197" s="420"/>
      <c r="CM197" s="420"/>
      <c r="CN197" s="420"/>
      <c r="CO197" s="420"/>
      <c r="CP197" s="420"/>
      <c r="CQ197" s="420"/>
      <c r="CR197" s="420"/>
      <c r="CS197" s="420"/>
      <c r="CT197" s="21"/>
    </row>
    <row r="198" spans="81:98">
      <c r="CC198" s="420"/>
      <c r="CD198" s="420"/>
      <c r="CE198" s="420"/>
      <c r="CF198" s="420"/>
      <c r="CG198" s="420"/>
      <c r="CH198" s="420"/>
      <c r="CI198" s="420"/>
      <c r="CJ198" s="420"/>
      <c r="CK198" s="420"/>
      <c r="CL198" s="420"/>
      <c r="CM198" s="420"/>
      <c r="CN198" s="420"/>
      <c r="CO198" s="420"/>
      <c r="CP198" s="420"/>
      <c r="CQ198" s="420"/>
      <c r="CR198" s="420"/>
      <c r="CS198" s="420"/>
      <c r="CT198" s="21"/>
    </row>
    <row r="199" spans="81:98">
      <c r="CC199" s="420"/>
      <c r="CD199" s="420"/>
      <c r="CE199" s="420"/>
      <c r="CF199" s="420"/>
      <c r="CG199" s="420"/>
      <c r="CH199" s="420"/>
      <c r="CI199" s="420"/>
      <c r="CJ199" s="420"/>
      <c r="CK199" s="420"/>
      <c r="CL199" s="420"/>
      <c r="CM199" s="420"/>
      <c r="CN199" s="420"/>
      <c r="CO199" s="420"/>
      <c r="CP199" s="420"/>
      <c r="CQ199" s="420"/>
      <c r="CR199" s="420"/>
      <c r="CS199" s="420"/>
      <c r="CT199" s="21"/>
    </row>
    <row r="200" spans="81:98">
      <c r="CC200" s="420"/>
      <c r="CD200" s="420"/>
      <c r="CE200" s="420"/>
      <c r="CF200" s="420"/>
      <c r="CG200" s="420"/>
      <c r="CH200" s="420"/>
      <c r="CI200" s="420"/>
      <c r="CJ200" s="420"/>
      <c r="CK200" s="420"/>
      <c r="CL200" s="420"/>
      <c r="CM200" s="420"/>
      <c r="CN200" s="420"/>
      <c r="CO200" s="420"/>
      <c r="CP200" s="420"/>
      <c r="CQ200" s="420"/>
      <c r="CR200" s="420"/>
      <c r="CS200" s="420"/>
      <c r="CT200" s="21"/>
    </row>
    <row r="201" spans="81:98">
      <c r="CC201" s="420"/>
      <c r="CD201" s="420"/>
      <c r="CE201" s="420"/>
      <c r="CF201" s="420"/>
      <c r="CG201" s="420"/>
      <c r="CH201" s="420"/>
      <c r="CI201" s="420"/>
      <c r="CJ201" s="420"/>
      <c r="CK201" s="420"/>
      <c r="CL201" s="420"/>
      <c r="CM201" s="420"/>
      <c r="CN201" s="420"/>
      <c r="CO201" s="420"/>
      <c r="CP201" s="420"/>
      <c r="CQ201" s="420"/>
      <c r="CR201" s="420"/>
      <c r="CS201" s="420"/>
      <c r="CT201" s="21"/>
    </row>
    <row r="202" spans="81:98">
      <c r="CC202" s="420"/>
      <c r="CD202" s="420"/>
      <c r="CE202" s="420"/>
      <c r="CF202" s="420"/>
      <c r="CG202" s="420"/>
      <c r="CH202" s="420"/>
      <c r="CI202" s="420"/>
      <c r="CJ202" s="420"/>
      <c r="CK202" s="420"/>
      <c r="CL202" s="420"/>
      <c r="CM202" s="420"/>
      <c r="CN202" s="420"/>
      <c r="CO202" s="420"/>
      <c r="CP202" s="420"/>
      <c r="CQ202" s="420"/>
      <c r="CR202" s="420"/>
      <c r="CS202" s="420"/>
      <c r="CT202" s="21"/>
    </row>
    <row r="203" spans="81:98">
      <c r="CC203" s="420"/>
      <c r="CD203" s="420"/>
      <c r="CE203" s="420"/>
      <c r="CF203" s="420"/>
      <c r="CG203" s="420"/>
      <c r="CH203" s="420"/>
      <c r="CI203" s="420"/>
      <c r="CJ203" s="420"/>
      <c r="CK203" s="420"/>
      <c r="CL203" s="420"/>
      <c r="CM203" s="420"/>
      <c r="CN203" s="420"/>
      <c r="CO203" s="420"/>
      <c r="CP203" s="420"/>
      <c r="CQ203" s="420"/>
      <c r="CR203" s="420"/>
      <c r="CS203" s="420"/>
      <c r="CT203" s="21"/>
    </row>
    <row r="204" spans="81:98">
      <c r="CC204" s="420"/>
      <c r="CD204" s="420"/>
      <c r="CE204" s="420"/>
      <c r="CF204" s="420"/>
      <c r="CG204" s="420"/>
      <c r="CH204" s="420"/>
      <c r="CI204" s="420"/>
      <c r="CJ204" s="420"/>
      <c r="CK204" s="420"/>
      <c r="CL204" s="420"/>
      <c r="CM204" s="420"/>
      <c r="CN204" s="420"/>
      <c r="CO204" s="420"/>
      <c r="CP204" s="420"/>
      <c r="CQ204" s="420"/>
      <c r="CR204" s="420"/>
      <c r="CS204" s="420"/>
      <c r="CT204" s="21"/>
    </row>
    <row r="205" spans="81:98">
      <c r="CC205" s="420"/>
      <c r="CD205" s="420"/>
      <c r="CE205" s="420"/>
      <c r="CF205" s="420"/>
      <c r="CG205" s="420"/>
      <c r="CH205" s="420"/>
      <c r="CI205" s="420"/>
      <c r="CJ205" s="420"/>
      <c r="CK205" s="420"/>
      <c r="CL205" s="420"/>
      <c r="CM205" s="420"/>
      <c r="CN205" s="420"/>
      <c r="CO205" s="420"/>
      <c r="CP205" s="420"/>
      <c r="CQ205" s="420"/>
      <c r="CR205" s="420"/>
      <c r="CS205" s="420"/>
      <c r="CT205" s="21"/>
    </row>
    <row r="206" spans="81:98">
      <c r="CC206" s="420"/>
      <c r="CD206" s="420"/>
      <c r="CE206" s="420"/>
      <c r="CF206" s="420"/>
      <c r="CG206" s="420"/>
      <c r="CH206" s="420"/>
      <c r="CI206" s="420"/>
      <c r="CJ206" s="420"/>
      <c r="CK206" s="420"/>
      <c r="CL206" s="420"/>
      <c r="CM206" s="420"/>
      <c r="CN206" s="420"/>
      <c r="CO206" s="420"/>
      <c r="CP206" s="420"/>
      <c r="CQ206" s="420"/>
      <c r="CR206" s="420"/>
      <c r="CS206" s="420"/>
      <c r="CT206" s="21"/>
    </row>
    <row r="207" spans="81:98">
      <c r="CC207" s="420"/>
      <c r="CD207" s="420"/>
      <c r="CE207" s="420"/>
      <c r="CF207" s="420"/>
      <c r="CG207" s="420"/>
      <c r="CH207" s="420"/>
      <c r="CI207" s="420"/>
      <c r="CJ207" s="420"/>
      <c r="CK207" s="420"/>
      <c r="CL207" s="420"/>
      <c r="CM207" s="420"/>
      <c r="CN207" s="420"/>
      <c r="CO207" s="420"/>
      <c r="CP207" s="420"/>
      <c r="CQ207" s="420"/>
      <c r="CR207" s="420"/>
      <c r="CS207" s="420"/>
      <c r="CT207" s="21"/>
    </row>
    <row r="208" spans="81:98">
      <c r="CC208" s="420"/>
      <c r="CD208" s="420"/>
      <c r="CE208" s="420"/>
      <c r="CF208" s="420"/>
      <c r="CG208" s="420"/>
      <c r="CH208" s="420"/>
      <c r="CI208" s="420"/>
      <c r="CJ208" s="420"/>
      <c r="CK208" s="420"/>
      <c r="CL208" s="420"/>
      <c r="CM208" s="420"/>
      <c r="CN208" s="420"/>
      <c r="CO208" s="420"/>
      <c r="CP208" s="420"/>
      <c r="CQ208" s="420"/>
      <c r="CR208" s="420"/>
      <c r="CS208" s="420"/>
      <c r="CT208" s="21"/>
    </row>
    <row r="209" spans="81:98">
      <c r="CC209" s="420"/>
      <c r="CD209" s="420"/>
      <c r="CE209" s="420"/>
      <c r="CF209" s="420"/>
      <c r="CG209" s="420"/>
      <c r="CH209" s="420"/>
      <c r="CI209" s="420"/>
      <c r="CJ209" s="420"/>
      <c r="CK209" s="420"/>
      <c r="CL209" s="420"/>
      <c r="CM209" s="420"/>
      <c r="CN209" s="420"/>
      <c r="CO209" s="420"/>
      <c r="CP209" s="420"/>
      <c r="CQ209" s="420"/>
      <c r="CR209" s="420"/>
      <c r="CS209" s="420"/>
      <c r="CT209" s="21"/>
    </row>
    <row r="210" spans="81:98">
      <c r="CC210" s="420"/>
      <c r="CD210" s="420"/>
      <c r="CE210" s="420"/>
      <c r="CF210" s="420"/>
      <c r="CG210" s="420"/>
      <c r="CH210" s="420"/>
      <c r="CI210" s="420"/>
      <c r="CJ210" s="420"/>
      <c r="CK210" s="420"/>
      <c r="CL210" s="420"/>
      <c r="CM210" s="420"/>
      <c r="CN210" s="420"/>
      <c r="CO210" s="420"/>
      <c r="CP210" s="420"/>
      <c r="CQ210" s="420"/>
      <c r="CR210" s="420"/>
      <c r="CS210" s="420"/>
      <c r="CT210" s="21"/>
    </row>
    <row r="211" spans="81:98">
      <c r="CC211" s="420"/>
      <c r="CD211" s="420"/>
      <c r="CE211" s="420"/>
      <c r="CF211" s="420"/>
      <c r="CG211" s="420"/>
      <c r="CH211" s="420"/>
      <c r="CI211" s="420"/>
      <c r="CJ211" s="420"/>
      <c r="CK211" s="420"/>
      <c r="CL211" s="420"/>
      <c r="CM211" s="420"/>
      <c r="CN211" s="420"/>
      <c r="CO211" s="420"/>
      <c r="CP211" s="420"/>
      <c r="CQ211" s="420"/>
      <c r="CR211" s="420"/>
      <c r="CS211" s="420"/>
      <c r="CT211" s="21"/>
    </row>
    <row r="212" spans="81:98">
      <c r="CC212" s="420"/>
      <c r="CD212" s="420"/>
      <c r="CE212" s="420"/>
      <c r="CF212" s="420"/>
      <c r="CG212" s="420"/>
      <c r="CH212" s="420"/>
      <c r="CI212" s="420"/>
      <c r="CJ212" s="420"/>
      <c r="CK212" s="420"/>
      <c r="CL212" s="420"/>
      <c r="CM212" s="420"/>
      <c r="CN212" s="420"/>
      <c r="CO212" s="420"/>
      <c r="CP212" s="420"/>
      <c r="CQ212" s="420"/>
      <c r="CR212" s="420"/>
      <c r="CS212" s="420"/>
      <c r="CT212" s="21"/>
    </row>
    <row r="213" spans="81:98">
      <c r="CC213" s="420"/>
      <c r="CD213" s="420"/>
      <c r="CE213" s="420"/>
      <c r="CF213" s="420"/>
      <c r="CG213" s="420"/>
      <c r="CH213" s="420"/>
      <c r="CI213" s="420"/>
      <c r="CJ213" s="420"/>
      <c r="CK213" s="420"/>
      <c r="CL213" s="420"/>
      <c r="CM213" s="420"/>
      <c r="CN213" s="420"/>
      <c r="CO213" s="420"/>
      <c r="CP213" s="420"/>
      <c r="CQ213" s="420"/>
      <c r="CR213" s="420"/>
      <c r="CS213" s="420"/>
      <c r="CT213" s="21"/>
    </row>
    <row r="214" spans="81:98">
      <c r="CC214" s="420"/>
      <c r="CD214" s="420"/>
      <c r="CE214" s="420"/>
      <c r="CF214" s="420"/>
      <c r="CG214" s="420"/>
      <c r="CH214" s="420"/>
      <c r="CI214" s="420"/>
      <c r="CJ214" s="420"/>
      <c r="CK214" s="420"/>
      <c r="CL214" s="420"/>
      <c r="CM214" s="420"/>
      <c r="CN214" s="420"/>
      <c r="CO214" s="420"/>
      <c r="CP214" s="420"/>
      <c r="CQ214" s="420"/>
      <c r="CR214" s="420"/>
      <c r="CS214" s="420"/>
      <c r="CT214" s="21"/>
    </row>
    <row r="215" spans="81:98">
      <c r="CC215" s="420"/>
      <c r="CD215" s="420"/>
      <c r="CE215" s="420"/>
      <c r="CF215" s="420"/>
      <c r="CG215" s="420"/>
      <c r="CH215" s="420"/>
      <c r="CI215" s="420"/>
      <c r="CJ215" s="420"/>
      <c r="CK215" s="420"/>
      <c r="CL215" s="420"/>
      <c r="CM215" s="420"/>
      <c r="CN215" s="420"/>
      <c r="CO215" s="420"/>
      <c r="CP215" s="420"/>
      <c r="CQ215" s="420"/>
      <c r="CR215" s="420"/>
      <c r="CS215" s="420"/>
      <c r="CT215" s="21"/>
    </row>
    <row r="216" spans="81:98">
      <c r="CC216" s="420"/>
      <c r="CD216" s="420"/>
      <c r="CE216" s="420"/>
      <c r="CF216" s="420"/>
      <c r="CG216" s="420"/>
      <c r="CH216" s="420"/>
      <c r="CI216" s="420"/>
      <c r="CJ216" s="420"/>
      <c r="CK216" s="420"/>
      <c r="CL216" s="420"/>
      <c r="CM216" s="420"/>
      <c r="CN216" s="420"/>
      <c r="CO216" s="420"/>
      <c r="CP216" s="420"/>
      <c r="CQ216" s="420"/>
      <c r="CR216" s="420"/>
      <c r="CS216" s="420"/>
      <c r="CT216" s="21"/>
    </row>
    <row r="217" spans="81:98">
      <c r="CC217" s="420"/>
      <c r="CD217" s="420"/>
      <c r="CE217" s="420"/>
      <c r="CF217" s="420"/>
      <c r="CG217" s="420"/>
      <c r="CH217" s="420"/>
      <c r="CI217" s="420"/>
      <c r="CJ217" s="420"/>
      <c r="CK217" s="420"/>
      <c r="CL217" s="420"/>
      <c r="CM217" s="420"/>
      <c r="CN217" s="420"/>
      <c r="CO217" s="420"/>
      <c r="CP217" s="420"/>
      <c r="CQ217" s="420"/>
      <c r="CR217" s="420"/>
      <c r="CS217" s="420"/>
      <c r="CT217" s="21"/>
    </row>
    <row r="218" spans="81:98">
      <c r="CC218" s="420"/>
      <c r="CD218" s="420"/>
      <c r="CE218" s="420"/>
      <c r="CF218" s="420"/>
      <c r="CG218" s="420"/>
      <c r="CH218" s="420"/>
      <c r="CI218" s="420"/>
      <c r="CJ218" s="420"/>
      <c r="CK218" s="420"/>
      <c r="CL218" s="420"/>
      <c r="CM218" s="420"/>
      <c r="CN218" s="420"/>
      <c r="CO218" s="420"/>
      <c r="CP218" s="420"/>
      <c r="CQ218" s="420"/>
      <c r="CR218" s="420"/>
      <c r="CS218" s="420"/>
      <c r="CT218" s="21"/>
    </row>
    <row r="219" spans="81:98">
      <c r="CC219" s="420"/>
      <c r="CD219" s="420"/>
      <c r="CE219" s="420"/>
      <c r="CF219" s="420"/>
      <c r="CG219" s="420"/>
      <c r="CH219" s="420"/>
      <c r="CI219" s="420"/>
      <c r="CJ219" s="420"/>
      <c r="CK219" s="420"/>
      <c r="CL219" s="420"/>
      <c r="CM219" s="420"/>
      <c r="CN219" s="420"/>
      <c r="CO219" s="420"/>
      <c r="CP219" s="420"/>
      <c r="CQ219" s="420"/>
      <c r="CR219" s="420"/>
      <c r="CS219" s="420"/>
      <c r="CT219" s="21"/>
    </row>
    <row r="220" spans="81:98">
      <c r="CC220" s="420"/>
      <c r="CD220" s="420"/>
      <c r="CE220" s="420"/>
      <c r="CF220" s="420"/>
      <c r="CG220" s="420"/>
      <c r="CH220" s="420"/>
      <c r="CI220" s="420"/>
      <c r="CJ220" s="420"/>
      <c r="CK220" s="420"/>
      <c r="CL220" s="420"/>
      <c r="CM220" s="420"/>
      <c r="CN220" s="420"/>
      <c r="CO220" s="420"/>
      <c r="CP220" s="420"/>
      <c r="CQ220" s="420"/>
      <c r="CR220" s="420"/>
      <c r="CS220" s="420"/>
      <c r="CT220" s="21"/>
    </row>
    <row r="221" spans="81:98">
      <c r="CC221" s="420"/>
      <c r="CD221" s="420"/>
      <c r="CE221" s="420"/>
      <c r="CF221" s="420"/>
      <c r="CG221" s="420"/>
      <c r="CH221" s="420"/>
      <c r="CI221" s="420"/>
      <c r="CJ221" s="420"/>
      <c r="CK221" s="420"/>
      <c r="CL221" s="420"/>
      <c r="CM221" s="420"/>
      <c r="CN221" s="420"/>
      <c r="CO221" s="420"/>
      <c r="CP221" s="420"/>
      <c r="CQ221" s="420"/>
      <c r="CR221" s="420"/>
      <c r="CS221" s="420"/>
      <c r="CT221" s="21"/>
    </row>
    <row r="222" spans="81:98">
      <c r="CC222" s="420"/>
      <c r="CD222" s="420"/>
      <c r="CE222" s="420"/>
      <c r="CF222" s="420"/>
      <c r="CG222" s="420"/>
      <c r="CH222" s="420"/>
      <c r="CI222" s="420"/>
      <c r="CJ222" s="420"/>
      <c r="CK222" s="420"/>
      <c r="CL222" s="420"/>
      <c r="CM222" s="420"/>
      <c r="CN222" s="420"/>
      <c r="CO222" s="420"/>
      <c r="CP222" s="420"/>
      <c r="CQ222" s="420"/>
      <c r="CR222" s="420"/>
      <c r="CS222" s="420"/>
      <c r="CT222" s="21"/>
    </row>
    <row r="223" spans="81:98">
      <c r="CC223" s="420"/>
      <c r="CD223" s="420"/>
      <c r="CE223" s="420"/>
      <c r="CF223" s="420"/>
      <c r="CG223" s="420"/>
      <c r="CH223" s="420"/>
      <c r="CI223" s="420"/>
      <c r="CJ223" s="420"/>
      <c r="CK223" s="420"/>
      <c r="CL223" s="420"/>
      <c r="CM223" s="420"/>
      <c r="CN223" s="420"/>
      <c r="CO223" s="420"/>
      <c r="CP223" s="420"/>
      <c r="CQ223" s="420"/>
      <c r="CR223" s="420"/>
      <c r="CS223" s="420"/>
      <c r="CT223" s="21"/>
    </row>
    <row r="224" spans="81:98">
      <c r="CC224" s="420"/>
      <c r="CD224" s="420"/>
      <c r="CE224" s="420"/>
      <c r="CF224" s="420"/>
      <c r="CG224" s="420"/>
      <c r="CH224" s="420"/>
      <c r="CI224" s="420"/>
      <c r="CJ224" s="420"/>
      <c r="CK224" s="420"/>
      <c r="CL224" s="420"/>
      <c r="CM224" s="420"/>
      <c r="CN224" s="420"/>
      <c r="CO224" s="420"/>
      <c r="CP224" s="420"/>
      <c r="CQ224" s="420"/>
      <c r="CR224" s="420"/>
      <c r="CS224" s="420"/>
      <c r="CT224" s="21"/>
    </row>
    <row r="225" spans="81:98">
      <c r="CC225" s="420"/>
      <c r="CD225" s="420"/>
      <c r="CE225" s="420"/>
      <c r="CF225" s="420"/>
      <c r="CG225" s="420"/>
      <c r="CH225" s="420"/>
      <c r="CI225" s="420"/>
      <c r="CJ225" s="420"/>
      <c r="CK225" s="420"/>
      <c r="CL225" s="420"/>
      <c r="CM225" s="420"/>
      <c r="CN225" s="420"/>
      <c r="CO225" s="420"/>
      <c r="CP225" s="420"/>
      <c r="CQ225" s="420"/>
      <c r="CR225" s="420"/>
      <c r="CS225" s="420"/>
      <c r="CT225" s="21"/>
    </row>
    <row r="226" spans="81:98">
      <c r="CC226" s="420"/>
      <c r="CD226" s="420"/>
      <c r="CE226" s="420"/>
      <c r="CF226" s="420"/>
      <c r="CG226" s="420"/>
      <c r="CH226" s="420"/>
      <c r="CI226" s="420"/>
      <c r="CJ226" s="420"/>
      <c r="CK226" s="420"/>
      <c r="CL226" s="420"/>
      <c r="CM226" s="420"/>
      <c r="CN226" s="420"/>
      <c r="CO226" s="420"/>
      <c r="CP226" s="420"/>
      <c r="CQ226" s="420"/>
      <c r="CR226" s="420"/>
      <c r="CS226" s="420"/>
      <c r="CT226" s="21"/>
    </row>
    <row r="227" spans="81:98">
      <c r="CC227" s="420"/>
      <c r="CD227" s="420"/>
      <c r="CE227" s="420"/>
      <c r="CF227" s="420"/>
      <c r="CG227" s="420"/>
      <c r="CH227" s="420"/>
      <c r="CI227" s="420"/>
      <c r="CJ227" s="420"/>
      <c r="CK227" s="420"/>
      <c r="CL227" s="420"/>
      <c r="CM227" s="420"/>
      <c r="CN227" s="420"/>
      <c r="CO227" s="420"/>
      <c r="CP227" s="420"/>
      <c r="CQ227" s="420"/>
      <c r="CR227" s="420"/>
      <c r="CS227" s="420"/>
      <c r="CT227" s="21"/>
    </row>
    <row r="228" spans="81:98">
      <c r="CC228" s="420"/>
      <c r="CD228" s="420"/>
      <c r="CE228" s="420"/>
      <c r="CF228" s="420"/>
      <c r="CG228" s="420"/>
      <c r="CH228" s="420"/>
      <c r="CI228" s="420"/>
      <c r="CJ228" s="420"/>
      <c r="CK228" s="420"/>
      <c r="CL228" s="420"/>
      <c r="CM228" s="420"/>
      <c r="CN228" s="420"/>
      <c r="CO228" s="420"/>
      <c r="CP228" s="420"/>
      <c r="CQ228" s="420"/>
      <c r="CR228" s="420"/>
      <c r="CS228" s="420"/>
      <c r="CT228" s="21"/>
    </row>
    <row r="229" spans="81:98">
      <c r="CC229" s="420"/>
      <c r="CD229" s="420"/>
      <c r="CE229" s="420"/>
      <c r="CF229" s="420"/>
      <c r="CG229" s="420"/>
      <c r="CH229" s="420"/>
      <c r="CI229" s="420"/>
      <c r="CJ229" s="420"/>
      <c r="CK229" s="420"/>
      <c r="CL229" s="420"/>
      <c r="CM229" s="420"/>
      <c r="CN229" s="420"/>
      <c r="CO229" s="420"/>
      <c r="CP229" s="420"/>
      <c r="CQ229" s="420"/>
      <c r="CR229" s="420"/>
      <c r="CS229" s="420"/>
      <c r="CT229" s="21"/>
    </row>
    <row r="230" spans="81:98">
      <c r="CC230" s="420"/>
      <c r="CD230" s="420"/>
      <c r="CE230" s="420"/>
      <c r="CF230" s="420"/>
      <c r="CG230" s="420"/>
      <c r="CH230" s="420"/>
      <c r="CI230" s="420"/>
      <c r="CJ230" s="420"/>
      <c r="CK230" s="420"/>
      <c r="CL230" s="420"/>
      <c r="CM230" s="420"/>
      <c r="CN230" s="420"/>
      <c r="CO230" s="420"/>
      <c r="CP230" s="420"/>
      <c r="CQ230" s="420"/>
      <c r="CR230" s="420"/>
      <c r="CS230" s="420"/>
      <c r="CT230" s="21"/>
    </row>
    <row r="231" spans="81:98">
      <c r="CC231" s="420"/>
      <c r="CD231" s="420"/>
      <c r="CE231" s="420"/>
      <c r="CF231" s="420"/>
      <c r="CG231" s="420"/>
      <c r="CH231" s="420"/>
      <c r="CI231" s="420"/>
      <c r="CJ231" s="420"/>
      <c r="CK231" s="420"/>
      <c r="CL231" s="420"/>
      <c r="CM231" s="420"/>
      <c r="CN231" s="420"/>
      <c r="CO231" s="420"/>
      <c r="CP231" s="420"/>
      <c r="CQ231" s="420"/>
      <c r="CR231" s="420"/>
      <c r="CS231" s="420"/>
      <c r="CT231" s="21"/>
    </row>
    <row r="232" spans="81:98">
      <c r="CC232" s="420"/>
      <c r="CD232" s="420"/>
      <c r="CE232" s="420"/>
      <c r="CF232" s="420"/>
      <c r="CG232" s="420"/>
      <c r="CH232" s="420"/>
      <c r="CI232" s="420"/>
      <c r="CJ232" s="420"/>
      <c r="CK232" s="420"/>
      <c r="CL232" s="420"/>
      <c r="CM232" s="420"/>
      <c r="CN232" s="420"/>
      <c r="CO232" s="420"/>
      <c r="CP232" s="420"/>
      <c r="CQ232" s="420"/>
      <c r="CR232" s="420"/>
      <c r="CS232" s="420"/>
      <c r="CT232" s="21"/>
    </row>
    <row r="233" spans="81:98">
      <c r="CC233" s="420"/>
      <c r="CD233" s="420"/>
      <c r="CE233" s="420"/>
      <c r="CF233" s="420"/>
      <c r="CG233" s="420"/>
      <c r="CH233" s="420"/>
      <c r="CI233" s="420"/>
      <c r="CJ233" s="420"/>
      <c r="CK233" s="420"/>
      <c r="CL233" s="420"/>
      <c r="CM233" s="420"/>
      <c r="CN233" s="420"/>
      <c r="CO233" s="420"/>
      <c r="CP233" s="420"/>
      <c r="CQ233" s="420"/>
      <c r="CR233" s="420"/>
      <c r="CS233" s="420"/>
      <c r="CT233" s="21"/>
    </row>
    <row r="234" spans="81:98">
      <c r="CC234" s="420"/>
      <c r="CD234" s="420"/>
      <c r="CE234" s="420"/>
      <c r="CF234" s="420"/>
      <c r="CG234" s="420"/>
      <c r="CH234" s="420"/>
      <c r="CI234" s="420"/>
      <c r="CJ234" s="420"/>
      <c r="CK234" s="420"/>
      <c r="CL234" s="420"/>
      <c r="CM234" s="420"/>
      <c r="CN234" s="420"/>
      <c r="CO234" s="420"/>
      <c r="CP234" s="420"/>
      <c r="CQ234" s="420"/>
      <c r="CR234" s="420"/>
      <c r="CS234" s="420"/>
      <c r="CT234" s="21"/>
    </row>
    <row r="235" spans="81:98">
      <c r="CC235" s="420"/>
      <c r="CD235" s="420"/>
      <c r="CE235" s="420"/>
      <c r="CF235" s="420"/>
      <c r="CG235" s="420"/>
      <c r="CH235" s="420"/>
      <c r="CI235" s="420"/>
      <c r="CJ235" s="420"/>
      <c r="CK235" s="420"/>
      <c r="CL235" s="420"/>
      <c r="CM235" s="420"/>
      <c r="CN235" s="420"/>
      <c r="CO235" s="420"/>
      <c r="CP235" s="420"/>
      <c r="CQ235" s="420"/>
      <c r="CR235" s="420"/>
      <c r="CS235" s="420"/>
      <c r="CT235" s="21"/>
    </row>
    <row r="236" spans="81:98">
      <c r="CC236" s="420"/>
      <c r="CD236" s="420"/>
      <c r="CE236" s="420"/>
      <c r="CF236" s="420"/>
      <c r="CG236" s="420"/>
      <c r="CH236" s="420"/>
      <c r="CI236" s="420"/>
      <c r="CJ236" s="420"/>
      <c r="CK236" s="420"/>
      <c r="CL236" s="420"/>
      <c r="CM236" s="420"/>
      <c r="CN236" s="420"/>
      <c r="CO236" s="420"/>
      <c r="CP236" s="420"/>
      <c r="CQ236" s="420"/>
      <c r="CR236" s="420"/>
      <c r="CS236" s="420"/>
      <c r="CT236" s="21"/>
    </row>
    <row r="237" spans="81:98">
      <c r="CC237" s="420"/>
      <c r="CD237" s="420"/>
      <c r="CE237" s="420"/>
      <c r="CF237" s="420"/>
      <c r="CG237" s="420"/>
      <c r="CH237" s="420"/>
      <c r="CI237" s="420"/>
      <c r="CJ237" s="420"/>
      <c r="CK237" s="420"/>
      <c r="CL237" s="420"/>
      <c r="CM237" s="420"/>
      <c r="CN237" s="420"/>
      <c r="CO237" s="420"/>
      <c r="CP237" s="420"/>
      <c r="CQ237" s="420"/>
      <c r="CR237" s="420"/>
      <c r="CS237" s="420"/>
      <c r="CT237" s="21"/>
    </row>
    <row r="238" spans="81:98">
      <c r="CC238" s="420"/>
      <c r="CD238" s="420"/>
      <c r="CE238" s="420"/>
      <c r="CF238" s="420"/>
      <c r="CG238" s="420"/>
      <c r="CH238" s="420"/>
      <c r="CI238" s="420"/>
      <c r="CJ238" s="420"/>
      <c r="CK238" s="420"/>
      <c r="CL238" s="420"/>
      <c r="CM238" s="420"/>
      <c r="CN238" s="420"/>
      <c r="CO238" s="420"/>
      <c r="CP238" s="420"/>
      <c r="CQ238" s="420"/>
      <c r="CR238" s="420"/>
      <c r="CS238" s="420"/>
      <c r="CT238" s="21"/>
    </row>
    <row r="239" spans="81:98">
      <c r="CC239" s="420"/>
      <c r="CD239" s="420"/>
      <c r="CE239" s="420"/>
      <c r="CF239" s="420"/>
      <c r="CG239" s="420"/>
      <c r="CH239" s="420"/>
      <c r="CI239" s="420"/>
      <c r="CJ239" s="420"/>
      <c r="CK239" s="420"/>
      <c r="CL239" s="420"/>
      <c r="CM239" s="420"/>
      <c r="CN239" s="420"/>
      <c r="CO239" s="420"/>
      <c r="CP239" s="420"/>
      <c r="CQ239" s="420"/>
      <c r="CR239" s="420"/>
      <c r="CS239" s="420"/>
      <c r="CT239" s="21"/>
    </row>
    <row r="240" spans="81:98">
      <c r="CC240" s="420"/>
      <c r="CD240" s="420"/>
      <c r="CE240" s="420"/>
      <c r="CF240" s="420"/>
      <c r="CG240" s="420"/>
      <c r="CH240" s="420"/>
      <c r="CI240" s="420"/>
      <c r="CJ240" s="420"/>
      <c r="CK240" s="420"/>
      <c r="CL240" s="420"/>
      <c r="CM240" s="420"/>
      <c r="CN240" s="420"/>
      <c r="CO240" s="420"/>
      <c r="CP240" s="420"/>
      <c r="CQ240" s="420"/>
      <c r="CR240" s="420"/>
      <c r="CS240" s="420"/>
      <c r="CT240" s="21"/>
    </row>
    <row r="241" spans="81:98">
      <c r="CC241" s="420"/>
      <c r="CD241" s="420"/>
      <c r="CE241" s="420"/>
      <c r="CF241" s="420"/>
      <c r="CG241" s="420"/>
      <c r="CH241" s="420"/>
      <c r="CI241" s="420"/>
      <c r="CJ241" s="420"/>
      <c r="CK241" s="420"/>
      <c r="CL241" s="420"/>
      <c r="CM241" s="420"/>
      <c r="CN241" s="420"/>
      <c r="CO241" s="420"/>
      <c r="CP241" s="420"/>
      <c r="CQ241" s="420"/>
      <c r="CR241" s="420"/>
      <c r="CS241" s="420"/>
      <c r="CT241" s="21"/>
    </row>
    <row r="242" spans="81:98">
      <c r="CC242" s="420"/>
      <c r="CD242" s="420"/>
      <c r="CE242" s="420"/>
      <c r="CF242" s="420"/>
      <c r="CG242" s="420"/>
      <c r="CH242" s="420"/>
      <c r="CI242" s="420"/>
      <c r="CJ242" s="420"/>
      <c r="CK242" s="420"/>
      <c r="CL242" s="420"/>
      <c r="CM242" s="420"/>
      <c r="CN242" s="420"/>
      <c r="CO242" s="420"/>
      <c r="CP242" s="420"/>
      <c r="CQ242" s="420"/>
      <c r="CR242" s="420"/>
      <c r="CS242" s="420"/>
      <c r="CT242" s="21"/>
    </row>
    <row r="243" spans="81:98">
      <c r="CC243" s="420"/>
      <c r="CD243" s="420"/>
      <c r="CE243" s="420"/>
      <c r="CF243" s="420"/>
      <c r="CG243" s="420"/>
      <c r="CH243" s="420"/>
      <c r="CI243" s="420"/>
      <c r="CJ243" s="420"/>
      <c r="CK243" s="420"/>
      <c r="CL243" s="420"/>
      <c r="CM243" s="420"/>
      <c r="CN243" s="420"/>
      <c r="CO243" s="420"/>
      <c r="CP243" s="420"/>
      <c r="CQ243" s="420"/>
      <c r="CR243" s="420"/>
      <c r="CS243" s="420"/>
      <c r="CT243" s="21"/>
    </row>
    <row r="244" spans="81:98">
      <c r="CC244" s="420"/>
      <c r="CD244" s="420"/>
      <c r="CE244" s="420"/>
      <c r="CF244" s="420"/>
      <c r="CG244" s="420"/>
      <c r="CH244" s="420"/>
      <c r="CI244" s="420"/>
      <c r="CJ244" s="420"/>
      <c r="CK244" s="420"/>
      <c r="CL244" s="420"/>
      <c r="CM244" s="420"/>
      <c r="CN244" s="420"/>
      <c r="CO244" s="420"/>
      <c r="CP244" s="420"/>
      <c r="CQ244" s="420"/>
      <c r="CR244" s="420"/>
      <c r="CS244" s="420"/>
      <c r="CT244" s="21"/>
    </row>
    <row r="245" spans="81:98">
      <c r="CC245" s="420"/>
      <c r="CD245" s="420"/>
      <c r="CE245" s="420"/>
      <c r="CF245" s="420"/>
      <c r="CG245" s="420"/>
      <c r="CH245" s="420"/>
      <c r="CI245" s="420"/>
      <c r="CJ245" s="420"/>
      <c r="CK245" s="420"/>
      <c r="CL245" s="420"/>
      <c r="CM245" s="420"/>
      <c r="CN245" s="420"/>
      <c r="CO245" s="420"/>
      <c r="CP245" s="420"/>
      <c r="CQ245" s="420"/>
      <c r="CR245" s="420"/>
      <c r="CS245" s="420"/>
      <c r="CT245" s="21"/>
    </row>
    <row r="246" spans="81:98">
      <c r="CC246" s="420"/>
      <c r="CD246" s="420"/>
      <c r="CE246" s="420"/>
      <c r="CF246" s="420"/>
      <c r="CG246" s="420"/>
      <c r="CH246" s="420"/>
      <c r="CI246" s="420"/>
      <c r="CJ246" s="420"/>
      <c r="CK246" s="420"/>
      <c r="CL246" s="420"/>
      <c r="CM246" s="420"/>
      <c r="CN246" s="420"/>
      <c r="CO246" s="420"/>
      <c r="CP246" s="420"/>
      <c r="CQ246" s="420"/>
      <c r="CR246" s="420"/>
      <c r="CS246" s="420"/>
      <c r="CT246" s="21"/>
    </row>
    <row r="247" spans="81:98">
      <c r="CC247" s="420"/>
      <c r="CD247" s="420"/>
      <c r="CE247" s="420"/>
      <c r="CF247" s="420"/>
      <c r="CG247" s="420"/>
      <c r="CH247" s="420"/>
      <c r="CI247" s="420"/>
      <c r="CJ247" s="420"/>
      <c r="CK247" s="420"/>
      <c r="CL247" s="420"/>
      <c r="CM247" s="420"/>
      <c r="CN247" s="420"/>
      <c r="CO247" s="420"/>
      <c r="CP247" s="420"/>
      <c r="CQ247" s="420"/>
      <c r="CR247" s="420"/>
      <c r="CS247" s="420"/>
      <c r="CT247" s="21"/>
    </row>
    <row r="248" spans="81:98">
      <c r="CC248" s="420"/>
      <c r="CD248" s="420"/>
      <c r="CE248" s="420"/>
      <c r="CF248" s="420"/>
      <c r="CG248" s="420"/>
      <c r="CH248" s="420"/>
      <c r="CI248" s="420"/>
      <c r="CJ248" s="420"/>
      <c r="CK248" s="420"/>
      <c r="CL248" s="420"/>
      <c r="CM248" s="420"/>
      <c r="CN248" s="420"/>
      <c r="CO248" s="420"/>
      <c r="CP248" s="420"/>
      <c r="CQ248" s="420"/>
      <c r="CR248" s="420"/>
      <c r="CS248" s="420"/>
      <c r="CT248" s="21"/>
    </row>
    <row r="249" spans="81:98">
      <c r="CC249" s="420"/>
      <c r="CD249" s="420"/>
      <c r="CE249" s="420"/>
      <c r="CF249" s="420"/>
      <c r="CG249" s="420"/>
      <c r="CH249" s="420"/>
      <c r="CI249" s="420"/>
      <c r="CJ249" s="420"/>
      <c r="CK249" s="420"/>
      <c r="CL249" s="420"/>
      <c r="CM249" s="420"/>
      <c r="CN249" s="420"/>
      <c r="CO249" s="420"/>
      <c r="CP249" s="420"/>
      <c r="CQ249" s="420"/>
      <c r="CR249" s="420"/>
      <c r="CS249" s="420"/>
      <c r="CT249" s="21"/>
    </row>
    <row r="250" spans="81:98">
      <c r="CC250" s="420"/>
      <c r="CD250" s="420"/>
      <c r="CE250" s="420"/>
      <c r="CF250" s="420"/>
      <c r="CG250" s="420"/>
      <c r="CH250" s="420"/>
      <c r="CI250" s="420"/>
      <c r="CJ250" s="420"/>
      <c r="CK250" s="420"/>
      <c r="CL250" s="420"/>
      <c r="CM250" s="420"/>
      <c r="CN250" s="420"/>
      <c r="CO250" s="420"/>
      <c r="CP250" s="420"/>
      <c r="CQ250" s="420"/>
      <c r="CR250" s="420"/>
      <c r="CS250" s="420"/>
      <c r="CT250" s="21"/>
    </row>
    <row r="251" spans="81:98">
      <c r="CC251" s="420"/>
      <c r="CD251" s="420"/>
      <c r="CE251" s="420"/>
      <c r="CF251" s="420"/>
      <c r="CG251" s="420"/>
      <c r="CH251" s="420"/>
      <c r="CI251" s="420"/>
      <c r="CJ251" s="420"/>
      <c r="CK251" s="420"/>
      <c r="CL251" s="420"/>
      <c r="CM251" s="420"/>
      <c r="CN251" s="420"/>
      <c r="CO251" s="420"/>
      <c r="CP251" s="420"/>
      <c r="CQ251" s="420"/>
      <c r="CR251" s="420"/>
      <c r="CS251" s="420"/>
      <c r="CT251" s="21"/>
    </row>
    <row r="252" spans="81:98">
      <c r="CC252" s="420"/>
      <c r="CD252" s="420"/>
      <c r="CE252" s="420"/>
      <c r="CF252" s="420"/>
      <c r="CG252" s="420"/>
      <c r="CH252" s="420"/>
      <c r="CI252" s="420"/>
      <c r="CJ252" s="420"/>
      <c r="CK252" s="420"/>
      <c r="CL252" s="420"/>
      <c r="CM252" s="420"/>
      <c r="CN252" s="420"/>
      <c r="CO252" s="420"/>
      <c r="CP252" s="420"/>
      <c r="CQ252" s="420"/>
      <c r="CR252" s="420"/>
      <c r="CS252" s="420"/>
      <c r="CT252" s="21"/>
    </row>
    <row r="253" spans="81:98">
      <c r="CC253" s="420"/>
      <c r="CD253" s="420"/>
      <c r="CE253" s="420"/>
      <c r="CF253" s="420"/>
      <c r="CG253" s="420"/>
      <c r="CH253" s="420"/>
      <c r="CI253" s="420"/>
      <c r="CJ253" s="420"/>
      <c r="CK253" s="420"/>
      <c r="CL253" s="420"/>
      <c r="CM253" s="420"/>
      <c r="CN253" s="420"/>
      <c r="CO253" s="420"/>
      <c r="CP253" s="420"/>
      <c r="CQ253" s="420"/>
      <c r="CR253" s="420"/>
      <c r="CS253" s="420"/>
      <c r="CT253" s="21"/>
    </row>
    <row r="254" spans="81:98">
      <c r="CC254" s="420"/>
      <c r="CD254" s="420"/>
      <c r="CE254" s="420"/>
      <c r="CF254" s="420"/>
      <c r="CG254" s="420"/>
      <c r="CH254" s="420"/>
      <c r="CI254" s="420"/>
      <c r="CJ254" s="420"/>
      <c r="CK254" s="420"/>
      <c r="CL254" s="420"/>
      <c r="CM254" s="420"/>
      <c r="CN254" s="420"/>
      <c r="CO254" s="420"/>
      <c r="CP254" s="420"/>
      <c r="CQ254" s="420"/>
      <c r="CR254" s="420"/>
      <c r="CS254" s="420"/>
      <c r="CT254" s="21"/>
    </row>
    <row r="255" spans="81:98">
      <c r="CC255" s="420"/>
      <c r="CD255" s="420"/>
      <c r="CE255" s="420"/>
      <c r="CF255" s="420"/>
      <c r="CG255" s="420"/>
      <c r="CH255" s="420"/>
      <c r="CI255" s="420"/>
      <c r="CJ255" s="420"/>
      <c r="CK255" s="420"/>
      <c r="CL255" s="420"/>
      <c r="CM255" s="420"/>
      <c r="CN255" s="420"/>
      <c r="CO255" s="420"/>
      <c r="CP255" s="420"/>
      <c r="CQ255" s="420"/>
      <c r="CR255" s="420"/>
      <c r="CS255" s="420"/>
      <c r="CT255" s="21"/>
    </row>
    <row r="256" spans="81:98">
      <c r="CC256" s="420"/>
      <c r="CD256" s="420"/>
      <c r="CE256" s="420"/>
      <c r="CF256" s="420"/>
      <c r="CG256" s="420"/>
      <c r="CH256" s="420"/>
      <c r="CI256" s="420"/>
      <c r="CJ256" s="420"/>
      <c r="CK256" s="420"/>
      <c r="CL256" s="420"/>
      <c r="CM256" s="420"/>
      <c r="CN256" s="420"/>
      <c r="CO256" s="420"/>
      <c r="CP256" s="420"/>
      <c r="CQ256" s="420"/>
      <c r="CR256" s="420"/>
      <c r="CS256" s="420"/>
      <c r="CT256" s="21"/>
    </row>
    <row r="257" spans="81:98">
      <c r="CC257" s="420"/>
      <c r="CD257" s="420"/>
      <c r="CE257" s="420"/>
      <c r="CF257" s="420"/>
      <c r="CG257" s="420"/>
      <c r="CH257" s="420"/>
      <c r="CI257" s="420"/>
      <c r="CJ257" s="420"/>
      <c r="CK257" s="420"/>
      <c r="CL257" s="420"/>
      <c r="CM257" s="420"/>
      <c r="CN257" s="420"/>
      <c r="CO257" s="420"/>
      <c r="CP257" s="420"/>
      <c r="CQ257" s="420"/>
      <c r="CR257" s="420"/>
      <c r="CS257" s="420"/>
      <c r="CT257" s="21"/>
    </row>
    <row r="258" spans="81:98">
      <c r="CC258" s="420"/>
      <c r="CD258" s="420"/>
      <c r="CE258" s="420"/>
      <c r="CF258" s="420"/>
      <c r="CG258" s="420"/>
      <c r="CH258" s="420"/>
      <c r="CI258" s="420"/>
      <c r="CJ258" s="420"/>
      <c r="CK258" s="420"/>
      <c r="CL258" s="420"/>
      <c r="CM258" s="420"/>
      <c r="CN258" s="420"/>
      <c r="CO258" s="420"/>
      <c r="CP258" s="420"/>
      <c r="CQ258" s="420"/>
      <c r="CR258" s="420"/>
      <c r="CS258" s="420"/>
      <c r="CT258" s="21"/>
    </row>
    <row r="259" spans="81:98">
      <c r="CC259" s="420"/>
      <c r="CD259" s="420"/>
      <c r="CE259" s="420"/>
      <c r="CF259" s="420"/>
      <c r="CG259" s="420"/>
      <c r="CH259" s="420"/>
      <c r="CI259" s="420"/>
      <c r="CJ259" s="420"/>
      <c r="CK259" s="420"/>
      <c r="CL259" s="420"/>
      <c r="CM259" s="420"/>
      <c r="CN259" s="420"/>
      <c r="CO259" s="420"/>
      <c r="CP259" s="420"/>
      <c r="CQ259" s="420"/>
      <c r="CR259" s="420"/>
      <c r="CS259" s="420"/>
      <c r="CT259" s="21"/>
    </row>
    <row r="260" spans="81:98">
      <c r="CC260" s="420"/>
      <c r="CD260" s="420"/>
      <c r="CE260" s="420"/>
      <c r="CF260" s="420"/>
      <c r="CG260" s="420"/>
      <c r="CH260" s="420"/>
      <c r="CI260" s="420"/>
      <c r="CJ260" s="420"/>
      <c r="CK260" s="420"/>
      <c r="CL260" s="420"/>
      <c r="CM260" s="420"/>
      <c r="CN260" s="420"/>
      <c r="CO260" s="420"/>
      <c r="CP260" s="420"/>
      <c r="CQ260" s="420"/>
      <c r="CR260" s="420"/>
      <c r="CS260" s="420"/>
      <c r="CT260" s="21"/>
    </row>
    <row r="261" spans="81:98">
      <c r="CC261" s="420"/>
      <c r="CD261" s="420"/>
      <c r="CE261" s="420"/>
      <c r="CF261" s="420"/>
      <c r="CG261" s="420"/>
      <c r="CH261" s="420"/>
      <c r="CI261" s="420"/>
      <c r="CJ261" s="420"/>
      <c r="CK261" s="420"/>
      <c r="CL261" s="420"/>
      <c r="CM261" s="420"/>
      <c r="CN261" s="420"/>
      <c r="CO261" s="420"/>
      <c r="CP261" s="420"/>
      <c r="CQ261" s="420"/>
      <c r="CR261" s="420"/>
      <c r="CS261" s="420"/>
      <c r="CT261" s="21"/>
    </row>
    <row r="262" spans="81:98">
      <c r="CC262" s="420"/>
      <c r="CD262" s="420"/>
      <c r="CE262" s="420"/>
      <c r="CF262" s="420"/>
      <c r="CG262" s="420"/>
      <c r="CH262" s="420"/>
      <c r="CI262" s="420"/>
      <c r="CJ262" s="420"/>
      <c r="CK262" s="420"/>
      <c r="CL262" s="420"/>
      <c r="CM262" s="420"/>
      <c r="CN262" s="420"/>
      <c r="CO262" s="420"/>
      <c r="CP262" s="420"/>
      <c r="CQ262" s="420"/>
      <c r="CR262" s="420"/>
      <c r="CS262" s="420"/>
      <c r="CT262" s="21"/>
    </row>
    <row r="263" spans="81:98">
      <c r="CC263" s="420"/>
      <c r="CD263" s="420"/>
      <c r="CE263" s="420"/>
      <c r="CF263" s="420"/>
      <c r="CG263" s="420"/>
      <c r="CH263" s="420"/>
      <c r="CI263" s="420"/>
      <c r="CJ263" s="420"/>
      <c r="CK263" s="420"/>
      <c r="CL263" s="420"/>
      <c r="CM263" s="420"/>
      <c r="CN263" s="420"/>
      <c r="CO263" s="420"/>
      <c r="CP263" s="420"/>
      <c r="CQ263" s="420"/>
      <c r="CR263" s="420"/>
      <c r="CS263" s="420"/>
      <c r="CT263" s="21"/>
    </row>
    <row r="264" spans="81:98">
      <c r="CC264" s="420"/>
      <c r="CD264" s="420"/>
      <c r="CE264" s="420"/>
      <c r="CF264" s="420"/>
      <c r="CG264" s="420"/>
      <c r="CH264" s="420"/>
      <c r="CI264" s="420"/>
      <c r="CJ264" s="420"/>
      <c r="CK264" s="420"/>
      <c r="CL264" s="420"/>
      <c r="CM264" s="420"/>
      <c r="CN264" s="420"/>
      <c r="CO264" s="420"/>
      <c r="CP264" s="420"/>
      <c r="CQ264" s="420"/>
      <c r="CR264" s="420"/>
      <c r="CS264" s="420"/>
      <c r="CT264" s="21"/>
    </row>
    <row r="265" spans="81:98">
      <c r="CC265" s="420"/>
      <c r="CD265" s="420"/>
      <c r="CE265" s="420"/>
      <c r="CF265" s="420"/>
      <c r="CG265" s="420"/>
      <c r="CH265" s="420"/>
      <c r="CI265" s="420"/>
      <c r="CJ265" s="420"/>
      <c r="CK265" s="420"/>
      <c r="CL265" s="420"/>
      <c r="CM265" s="420"/>
      <c r="CN265" s="420"/>
      <c r="CO265" s="420"/>
      <c r="CP265" s="420"/>
      <c r="CQ265" s="420"/>
      <c r="CR265" s="420"/>
      <c r="CS265" s="420"/>
      <c r="CT265" s="21"/>
    </row>
    <row r="266" spans="81:98">
      <c r="CC266" s="420"/>
      <c r="CD266" s="420"/>
      <c r="CE266" s="420"/>
      <c r="CF266" s="420"/>
      <c r="CG266" s="420"/>
      <c r="CH266" s="420"/>
      <c r="CI266" s="420"/>
      <c r="CJ266" s="420"/>
      <c r="CK266" s="420"/>
      <c r="CL266" s="420"/>
      <c r="CM266" s="420"/>
      <c r="CN266" s="420"/>
      <c r="CO266" s="420"/>
      <c r="CP266" s="420"/>
      <c r="CQ266" s="420"/>
      <c r="CR266" s="420"/>
      <c r="CS266" s="420"/>
      <c r="CT266" s="21"/>
    </row>
    <row r="267" spans="81:98">
      <c r="CC267" s="420"/>
      <c r="CD267" s="420"/>
      <c r="CE267" s="420"/>
      <c r="CF267" s="420"/>
      <c r="CG267" s="420"/>
      <c r="CH267" s="420"/>
      <c r="CI267" s="420"/>
      <c r="CJ267" s="420"/>
      <c r="CK267" s="420"/>
      <c r="CL267" s="420"/>
      <c r="CM267" s="420"/>
      <c r="CN267" s="420"/>
      <c r="CO267" s="420"/>
      <c r="CP267" s="420"/>
      <c r="CQ267" s="420"/>
      <c r="CR267" s="420"/>
      <c r="CS267" s="420"/>
      <c r="CT267" s="21"/>
    </row>
    <row r="268" spans="81:98">
      <c r="CC268" s="420"/>
      <c r="CD268" s="420"/>
      <c r="CE268" s="420"/>
      <c r="CF268" s="420"/>
      <c r="CG268" s="420"/>
      <c r="CH268" s="420"/>
      <c r="CI268" s="420"/>
      <c r="CJ268" s="420"/>
      <c r="CK268" s="420"/>
      <c r="CL268" s="420"/>
      <c r="CM268" s="420"/>
      <c r="CN268" s="420"/>
      <c r="CO268" s="420"/>
      <c r="CP268" s="420"/>
      <c r="CQ268" s="420"/>
      <c r="CR268" s="420"/>
      <c r="CS268" s="420"/>
      <c r="CT268" s="21"/>
    </row>
    <row r="269" spans="81:98">
      <c r="CC269" s="420"/>
      <c r="CD269" s="420"/>
      <c r="CE269" s="420"/>
      <c r="CF269" s="420"/>
      <c r="CG269" s="420"/>
      <c r="CH269" s="420"/>
      <c r="CI269" s="420"/>
      <c r="CJ269" s="420"/>
      <c r="CK269" s="420"/>
      <c r="CL269" s="420"/>
      <c r="CM269" s="420"/>
      <c r="CN269" s="420"/>
      <c r="CO269" s="420"/>
      <c r="CP269" s="420"/>
      <c r="CQ269" s="420"/>
      <c r="CR269" s="420"/>
      <c r="CS269" s="420"/>
      <c r="CT269" s="21"/>
    </row>
    <row r="270" spans="81:98">
      <c r="CC270" s="420"/>
      <c r="CD270" s="420"/>
      <c r="CE270" s="420"/>
      <c r="CF270" s="420"/>
      <c r="CG270" s="420"/>
      <c r="CH270" s="420"/>
      <c r="CI270" s="420"/>
      <c r="CJ270" s="420"/>
      <c r="CK270" s="420"/>
      <c r="CL270" s="420"/>
      <c r="CM270" s="420"/>
      <c r="CN270" s="420"/>
      <c r="CO270" s="420"/>
      <c r="CP270" s="420"/>
      <c r="CQ270" s="420"/>
      <c r="CR270" s="420"/>
      <c r="CS270" s="420"/>
      <c r="CT270" s="21"/>
    </row>
    <row r="271" spans="81:98">
      <c r="CC271" s="420"/>
      <c r="CD271" s="420"/>
      <c r="CE271" s="420"/>
      <c r="CF271" s="420"/>
      <c r="CG271" s="420"/>
      <c r="CH271" s="420"/>
      <c r="CI271" s="420"/>
      <c r="CJ271" s="420"/>
      <c r="CK271" s="420"/>
      <c r="CL271" s="420"/>
      <c r="CM271" s="420"/>
      <c r="CN271" s="420"/>
      <c r="CO271" s="420"/>
      <c r="CP271" s="420"/>
      <c r="CQ271" s="420"/>
      <c r="CR271" s="420"/>
      <c r="CS271" s="420"/>
      <c r="CT271" s="21"/>
    </row>
    <row r="272" spans="81:98">
      <c r="CC272" s="420"/>
      <c r="CD272" s="420"/>
      <c r="CE272" s="420"/>
      <c r="CF272" s="420"/>
      <c r="CG272" s="420"/>
      <c r="CH272" s="420"/>
      <c r="CI272" s="420"/>
      <c r="CJ272" s="420"/>
      <c r="CK272" s="420"/>
      <c r="CL272" s="420"/>
      <c r="CM272" s="420"/>
      <c r="CN272" s="420"/>
      <c r="CO272" s="420"/>
      <c r="CP272" s="420"/>
      <c r="CQ272" s="420"/>
      <c r="CR272" s="420"/>
      <c r="CS272" s="420"/>
      <c r="CT272" s="21"/>
    </row>
    <row r="273" spans="81:98">
      <c r="CC273" s="420"/>
      <c r="CD273" s="420"/>
      <c r="CE273" s="420"/>
      <c r="CF273" s="420"/>
      <c r="CG273" s="420"/>
      <c r="CH273" s="420"/>
      <c r="CI273" s="420"/>
      <c r="CJ273" s="420"/>
      <c r="CK273" s="420"/>
      <c r="CL273" s="420"/>
      <c r="CM273" s="420"/>
      <c r="CN273" s="420"/>
      <c r="CO273" s="420"/>
      <c r="CP273" s="420"/>
      <c r="CQ273" s="420"/>
      <c r="CR273" s="420"/>
      <c r="CS273" s="420"/>
      <c r="CT273" s="21"/>
    </row>
    <row r="274" spans="81:98">
      <c r="CC274" s="420"/>
      <c r="CD274" s="420"/>
      <c r="CE274" s="420"/>
      <c r="CF274" s="420"/>
      <c r="CG274" s="420"/>
      <c r="CH274" s="420"/>
      <c r="CI274" s="420"/>
      <c r="CJ274" s="420"/>
      <c r="CK274" s="420"/>
      <c r="CL274" s="420"/>
      <c r="CM274" s="420"/>
      <c r="CN274" s="420"/>
      <c r="CO274" s="420"/>
      <c r="CP274" s="420"/>
      <c r="CQ274" s="420"/>
      <c r="CR274" s="420"/>
      <c r="CS274" s="420"/>
      <c r="CT274" s="21"/>
    </row>
    <row r="275" spans="81:98">
      <c r="CC275" s="420"/>
      <c r="CD275" s="420"/>
      <c r="CE275" s="420"/>
      <c r="CF275" s="420"/>
      <c r="CG275" s="420"/>
      <c r="CH275" s="420"/>
      <c r="CI275" s="420"/>
      <c r="CJ275" s="420"/>
      <c r="CK275" s="420"/>
      <c r="CL275" s="420"/>
      <c r="CM275" s="420"/>
      <c r="CN275" s="420"/>
      <c r="CO275" s="420"/>
      <c r="CP275" s="420"/>
      <c r="CQ275" s="420"/>
      <c r="CR275" s="420"/>
      <c r="CS275" s="420"/>
      <c r="CT275" s="21"/>
    </row>
    <row r="276" spans="81:98">
      <c r="CC276" s="420"/>
      <c r="CD276" s="420"/>
      <c r="CE276" s="420"/>
      <c r="CF276" s="420"/>
      <c r="CG276" s="420"/>
      <c r="CH276" s="420"/>
      <c r="CI276" s="420"/>
      <c r="CJ276" s="420"/>
      <c r="CK276" s="420"/>
      <c r="CL276" s="420"/>
      <c r="CM276" s="420"/>
      <c r="CN276" s="420"/>
      <c r="CO276" s="420"/>
      <c r="CP276" s="420"/>
      <c r="CQ276" s="420"/>
      <c r="CR276" s="420"/>
      <c r="CS276" s="420"/>
      <c r="CT276" s="21"/>
    </row>
    <row r="277" spans="81:98">
      <c r="CC277" s="420"/>
      <c r="CD277" s="420"/>
      <c r="CE277" s="420"/>
      <c r="CF277" s="420"/>
      <c r="CG277" s="420"/>
      <c r="CH277" s="420"/>
      <c r="CI277" s="420"/>
      <c r="CJ277" s="420"/>
      <c r="CK277" s="420"/>
      <c r="CL277" s="420"/>
      <c r="CM277" s="420"/>
      <c r="CN277" s="420"/>
      <c r="CO277" s="420"/>
      <c r="CP277" s="420"/>
      <c r="CQ277" s="420"/>
      <c r="CR277" s="420"/>
      <c r="CS277" s="420"/>
      <c r="CT277" s="21"/>
    </row>
    <row r="278" spans="81:98">
      <c r="CC278" s="420"/>
      <c r="CD278" s="420"/>
      <c r="CE278" s="420"/>
      <c r="CF278" s="420"/>
      <c r="CG278" s="420"/>
      <c r="CH278" s="420"/>
      <c r="CI278" s="420"/>
      <c r="CJ278" s="420"/>
      <c r="CK278" s="420"/>
      <c r="CL278" s="420"/>
      <c r="CM278" s="420"/>
      <c r="CN278" s="420"/>
      <c r="CO278" s="420"/>
      <c r="CP278" s="420"/>
      <c r="CQ278" s="420"/>
      <c r="CR278" s="420"/>
      <c r="CS278" s="420"/>
    </row>
    <row r="279" spans="81:98">
      <c r="CC279" s="420"/>
      <c r="CD279" s="420"/>
      <c r="CE279" s="420"/>
      <c r="CF279" s="420"/>
      <c r="CG279" s="420"/>
      <c r="CH279" s="420"/>
      <c r="CI279" s="420"/>
      <c r="CJ279" s="420"/>
      <c r="CK279" s="420"/>
      <c r="CL279" s="420"/>
      <c r="CM279" s="420"/>
      <c r="CN279" s="420"/>
      <c r="CO279" s="420"/>
      <c r="CP279" s="420"/>
      <c r="CQ279" s="420"/>
      <c r="CR279" s="420"/>
      <c r="CS279" s="420"/>
    </row>
    <row r="280" spans="81:98">
      <c r="CC280" s="420"/>
      <c r="CD280" s="420"/>
      <c r="CE280" s="420"/>
      <c r="CF280" s="420"/>
      <c r="CG280" s="420"/>
      <c r="CH280" s="420"/>
      <c r="CI280" s="420"/>
      <c r="CJ280" s="420"/>
      <c r="CK280" s="420"/>
      <c r="CL280" s="420"/>
      <c r="CM280" s="420"/>
      <c r="CN280" s="420"/>
      <c r="CO280" s="420"/>
      <c r="CP280" s="420"/>
      <c r="CQ280" s="420"/>
      <c r="CR280" s="420"/>
      <c r="CS280" s="420"/>
    </row>
    <row r="281" spans="81:98">
      <c r="CC281" s="420"/>
      <c r="CD281" s="420"/>
      <c r="CE281" s="420"/>
      <c r="CF281" s="420"/>
      <c r="CG281" s="420"/>
      <c r="CH281" s="420"/>
      <c r="CI281" s="420"/>
      <c r="CJ281" s="420"/>
      <c r="CK281" s="420"/>
      <c r="CL281" s="420"/>
      <c r="CM281" s="420"/>
      <c r="CN281" s="420"/>
      <c r="CO281" s="420"/>
      <c r="CP281" s="420"/>
      <c r="CQ281" s="420"/>
      <c r="CR281" s="420"/>
      <c r="CS281" s="420"/>
    </row>
    <row r="282" spans="81:98">
      <c r="CC282" s="420"/>
      <c r="CD282" s="420"/>
      <c r="CE282" s="420"/>
      <c r="CF282" s="420"/>
      <c r="CG282" s="420"/>
      <c r="CH282" s="420"/>
      <c r="CI282" s="420"/>
      <c r="CJ282" s="420"/>
      <c r="CK282" s="420"/>
      <c r="CL282" s="420"/>
      <c r="CM282" s="420"/>
      <c r="CN282" s="420"/>
      <c r="CO282" s="420"/>
      <c r="CP282" s="420"/>
      <c r="CQ282" s="420"/>
      <c r="CR282" s="420"/>
      <c r="CS282" s="420"/>
    </row>
    <row r="283" spans="81:98">
      <c r="CC283" s="420"/>
      <c r="CD283" s="420"/>
      <c r="CE283" s="420"/>
      <c r="CF283" s="420"/>
      <c r="CG283" s="420"/>
      <c r="CH283" s="420"/>
      <c r="CI283" s="420"/>
      <c r="CJ283" s="420"/>
      <c r="CK283" s="420"/>
      <c r="CL283" s="420"/>
      <c r="CM283" s="420"/>
      <c r="CN283" s="420"/>
      <c r="CO283" s="420"/>
      <c r="CP283" s="420"/>
      <c r="CQ283" s="420"/>
      <c r="CR283" s="420"/>
      <c r="CS283" s="420"/>
    </row>
    <row r="284" spans="81:98">
      <c r="CC284" s="420"/>
      <c r="CD284" s="420"/>
      <c r="CE284" s="420"/>
      <c r="CF284" s="420"/>
      <c r="CG284" s="420"/>
      <c r="CH284" s="420"/>
      <c r="CI284" s="420"/>
      <c r="CJ284" s="420"/>
      <c r="CK284" s="420"/>
      <c r="CL284" s="420"/>
      <c r="CM284" s="420"/>
      <c r="CN284" s="420"/>
      <c r="CO284" s="420"/>
      <c r="CP284" s="420"/>
      <c r="CQ284" s="420"/>
      <c r="CR284" s="420"/>
      <c r="CS284" s="420"/>
    </row>
    <row r="285" spans="81:98">
      <c r="CC285" s="420"/>
      <c r="CD285" s="420"/>
      <c r="CE285" s="420"/>
      <c r="CF285" s="420"/>
      <c r="CG285" s="420"/>
      <c r="CH285" s="420"/>
      <c r="CI285" s="420"/>
      <c r="CJ285" s="420"/>
      <c r="CK285" s="420"/>
      <c r="CL285" s="420"/>
      <c r="CM285" s="420"/>
      <c r="CN285" s="420"/>
      <c r="CO285" s="420"/>
      <c r="CP285" s="420"/>
      <c r="CQ285" s="420"/>
      <c r="CR285" s="420"/>
      <c r="CS285" s="420"/>
    </row>
    <row r="286" spans="81:98">
      <c r="CC286" s="420"/>
      <c r="CD286" s="420"/>
      <c r="CE286" s="420"/>
      <c r="CF286" s="420"/>
      <c r="CG286" s="420"/>
      <c r="CH286" s="420"/>
      <c r="CI286" s="420"/>
      <c r="CJ286" s="420"/>
      <c r="CK286" s="420"/>
      <c r="CL286" s="420"/>
      <c r="CM286" s="420"/>
      <c r="CN286" s="420"/>
      <c r="CO286" s="420"/>
      <c r="CP286" s="420"/>
      <c r="CQ286" s="420"/>
      <c r="CR286" s="420"/>
      <c r="CS286" s="420"/>
    </row>
    <row r="287" spans="81:98">
      <c r="CC287" s="420"/>
      <c r="CD287" s="420"/>
      <c r="CE287" s="420"/>
      <c r="CF287" s="420"/>
      <c r="CG287" s="420"/>
      <c r="CH287" s="420"/>
      <c r="CI287" s="420"/>
      <c r="CJ287" s="420"/>
      <c r="CK287" s="420"/>
      <c r="CL287" s="420"/>
      <c r="CM287" s="420"/>
      <c r="CN287" s="420"/>
      <c r="CO287" s="420"/>
      <c r="CP287" s="420"/>
      <c r="CQ287" s="420"/>
      <c r="CR287" s="420"/>
      <c r="CS287" s="420"/>
    </row>
    <row r="288" spans="81:98">
      <c r="CC288" s="420"/>
      <c r="CD288" s="420"/>
      <c r="CE288" s="420"/>
      <c r="CF288" s="420"/>
      <c r="CG288" s="420"/>
      <c r="CH288" s="420"/>
      <c r="CI288" s="420"/>
      <c r="CJ288" s="420"/>
      <c r="CK288" s="420"/>
      <c r="CL288" s="420"/>
      <c r="CM288" s="420"/>
      <c r="CN288" s="420"/>
      <c r="CO288" s="420"/>
      <c r="CP288" s="420"/>
      <c r="CQ288" s="420"/>
      <c r="CR288" s="420"/>
      <c r="CS288" s="420"/>
    </row>
    <row r="289" spans="81:97">
      <c r="CC289" s="420"/>
      <c r="CD289" s="420"/>
      <c r="CE289" s="420"/>
      <c r="CF289" s="420"/>
      <c r="CG289" s="420"/>
      <c r="CH289" s="420"/>
      <c r="CI289" s="420"/>
      <c r="CJ289" s="420"/>
      <c r="CK289" s="420"/>
      <c r="CL289" s="420"/>
      <c r="CM289" s="420"/>
      <c r="CN289" s="420"/>
      <c r="CO289" s="420"/>
      <c r="CP289" s="420"/>
      <c r="CQ289" s="420"/>
      <c r="CR289" s="420"/>
      <c r="CS289" s="420"/>
    </row>
    <row r="290" spans="81:97">
      <c r="CC290" s="420"/>
      <c r="CD290" s="420"/>
      <c r="CE290" s="420"/>
      <c r="CF290" s="420"/>
      <c r="CG290" s="420"/>
      <c r="CH290" s="420"/>
      <c r="CI290" s="420"/>
      <c r="CJ290" s="420"/>
      <c r="CK290" s="420"/>
      <c r="CL290" s="420"/>
      <c r="CM290" s="420"/>
      <c r="CN290" s="420"/>
      <c r="CO290" s="420"/>
      <c r="CP290" s="420"/>
      <c r="CQ290" s="420"/>
      <c r="CR290" s="420"/>
      <c r="CS290" s="420"/>
    </row>
    <row r="291" spans="81:97">
      <c r="CC291" s="420"/>
      <c r="CD291" s="420"/>
      <c r="CE291" s="420"/>
      <c r="CF291" s="420"/>
      <c r="CG291" s="420"/>
      <c r="CH291" s="420"/>
      <c r="CI291" s="420"/>
      <c r="CJ291" s="420"/>
      <c r="CK291" s="420"/>
      <c r="CL291" s="420"/>
      <c r="CM291" s="420"/>
      <c r="CN291" s="420"/>
      <c r="CO291" s="420"/>
      <c r="CP291" s="420"/>
      <c r="CQ291" s="420"/>
      <c r="CR291" s="420"/>
      <c r="CS291" s="420"/>
    </row>
    <row r="292" spans="81:97">
      <c r="CC292" s="420"/>
      <c r="CD292" s="420"/>
      <c r="CE292" s="420"/>
      <c r="CF292" s="420"/>
      <c r="CG292" s="420"/>
      <c r="CH292" s="420"/>
      <c r="CI292" s="420"/>
      <c r="CJ292" s="420"/>
      <c r="CK292" s="420"/>
      <c r="CL292" s="420"/>
      <c r="CM292" s="420"/>
      <c r="CN292" s="420"/>
      <c r="CO292" s="420"/>
      <c r="CP292" s="420"/>
      <c r="CQ292" s="420"/>
      <c r="CR292" s="420"/>
      <c r="CS292" s="420"/>
    </row>
    <row r="293" spans="81:97">
      <c r="CC293" s="420"/>
      <c r="CD293" s="420"/>
      <c r="CE293" s="420"/>
      <c r="CF293" s="420"/>
      <c r="CG293" s="420"/>
      <c r="CH293" s="420"/>
      <c r="CI293" s="420"/>
      <c r="CJ293" s="420"/>
      <c r="CK293" s="420"/>
      <c r="CL293" s="420"/>
      <c r="CM293" s="420"/>
      <c r="CN293" s="420"/>
      <c r="CO293" s="420"/>
      <c r="CP293" s="420"/>
      <c r="CQ293" s="420"/>
      <c r="CR293" s="420"/>
      <c r="CS293" s="420"/>
    </row>
    <row r="294" spans="81:97">
      <c r="CC294" s="420"/>
      <c r="CD294" s="420"/>
      <c r="CE294" s="420"/>
      <c r="CF294" s="420"/>
      <c r="CG294" s="420"/>
      <c r="CH294" s="420"/>
      <c r="CI294" s="420"/>
      <c r="CJ294" s="420"/>
      <c r="CK294" s="420"/>
      <c r="CL294" s="420"/>
      <c r="CM294" s="420"/>
      <c r="CN294" s="420"/>
      <c r="CO294" s="420"/>
      <c r="CP294" s="420"/>
      <c r="CQ294" s="420"/>
      <c r="CR294" s="420"/>
      <c r="CS294" s="420"/>
    </row>
    <row r="295" spans="81:97">
      <c r="CC295" s="420"/>
      <c r="CD295" s="420"/>
      <c r="CE295" s="420"/>
      <c r="CF295" s="420"/>
      <c r="CG295" s="420"/>
      <c r="CH295" s="420"/>
      <c r="CI295" s="420"/>
      <c r="CJ295" s="420"/>
      <c r="CK295" s="420"/>
      <c r="CL295" s="420"/>
      <c r="CM295" s="420"/>
      <c r="CN295" s="420"/>
      <c r="CO295" s="420"/>
      <c r="CP295" s="420"/>
      <c r="CQ295" s="420"/>
      <c r="CR295" s="420"/>
      <c r="CS295" s="420"/>
    </row>
    <row r="296" spans="81:97">
      <c r="CC296" s="420"/>
      <c r="CD296" s="420"/>
      <c r="CE296" s="420"/>
      <c r="CF296" s="420"/>
      <c r="CG296" s="420"/>
      <c r="CH296" s="420"/>
      <c r="CI296" s="420"/>
      <c r="CJ296" s="420"/>
      <c r="CK296" s="420"/>
      <c r="CL296" s="420"/>
      <c r="CM296" s="420"/>
      <c r="CN296" s="420"/>
      <c r="CO296" s="420"/>
      <c r="CP296" s="420"/>
      <c r="CQ296" s="420"/>
      <c r="CR296" s="420"/>
      <c r="CS296" s="420"/>
    </row>
    <row r="297" spans="81:97">
      <c r="CC297" s="420"/>
      <c r="CD297" s="420"/>
      <c r="CE297" s="420"/>
      <c r="CF297" s="420"/>
      <c r="CG297" s="420"/>
      <c r="CH297" s="420"/>
      <c r="CI297" s="420"/>
      <c r="CJ297" s="420"/>
      <c r="CK297" s="420"/>
      <c r="CL297" s="420"/>
      <c r="CM297" s="420"/>
      <c r="CN297" s="420"/>
      <c r="CO297" s="420"/>
      <c r="CP297" s="420"/>
      <c r="CQ297" s="420"/>
      <c r="CR297" s="420"/>
      <c r="CS297" s="420"/>
    </row>
    <row r="298" spans="81:97">
      <c r="CC298" s="420"/>
      <c r="CD298" s="420"/>
      <c r="CE298" s="420"/>
      <c r="CF298" s="420"/>
      <c r="CG298" s="420"/>
      <c r="CH298" s="420"/>
      <c r="CI298" s="420"/>
      <c r="CJ298" s="420"/>
      <c r="CK298" s="420"/>
      <c r="CL298" s="420"/>
      <c r="CM298" s="420"/>
      <c r="CN298" s="420"/>
      <c r="CO298" s="420"/>
      <c r="CP298" s="420"/>
      <c r="CQ298" s="420"/>
      <c r="CR298" s="420"/>
      <c r="CS298" s="420"/>
    </row>
    <row r="299" spans="81:97">
      <c r="CC299" s="420"/>
      <c r="CD299" s="420"/>
      <c r="CE299" s="420"/>
      <c r="CF299" s="420"/>
      <c r="CG299" s="420"/>
      <c r="CH299" s="420"/>
      <c r="CI299" s="420"/>
      <c r="CJ299" s="420"/>
      <c r="CK299" s="420"/>
      <c r="CL299" s="420"/>
      <c r="CM299" s="420"/>
      <c r="CN299" s="420"/>
      <c r="CO299" s="420"/>
      <c r="CP299" s="420"/>
      <c r="CQ299" s="420"/>
      <c r="CR299" s="420"/>
      <c r="CS299" s="420"/>
    </row>
  </sheetData>
  <sheetProtection algorithmName="SHA-512" hashValue="ssAo/Aqxj1agOehosZTfijy0BEYmTGb2G9tGUqrgUbYYW7Ri4XSdUz1MvbZYLDGmDeAYSC4+L1ung138MKJZ5A==" saltValue="9IW4Lc3oNZwpZz/dA/Y5SA=="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79061-57AB-44AE-97FF-AFA17A7C3A93}">
  <sheetPr codeName="Sheet9"/>
  <dimension ref="A1:CT423"/>
  <sheetViews>
    <sheetView showOutlineSymbols="0" workbookViewId="0">
      <selection activeCell="C25" sqref="C25"/>
    </sheetView>
  </sheetViews>
  <sheetFormatPr baseColWidth="10" defaultColWidth="9.1640625" defaultRowHeight="14" outlineLevelRow="4" outlineLevelCol="1"/>
  <cols>
    <col min="1" max="1" width="3.5" style="50" customWidth="1"/>
    <col min="2" max="2" width="3.5" style="2" customWidth="1"/>
    <col min="3" max="3" width="62.5" style="58" bestFit="1" customWidth="1"/>
    <col min="4" max="7" width="15.6640625" style="418" hidden="1" customWidth="1" outlineLevel="1"/>
    <col min="8" max="8" width="15.6640625" style="418" customWidth="1" collapsed="1"/>
    <col min="9" max="12" width="15.6640625" style="418" hidden="1" customWidth="1" outlineLevel="1"/>
    <col min="13" max="13" width="15.6640625" style="418" customWidth="1" collapsed="1"/>
    <col min="14" max="17" width="15.6640625" style="418" hidden="1" customWidth="1" outlineLevel="1"/>
    <col min="18" max="18" width="15.6640625" style="418" customWidth="1" collapsed="1"/>
    <col min="19" max="22" width="15.6640625" style="418" hidden="1" customWidth="1" outlineLevel="1"/>
    <col min="23" max="23" width="15.6640625" style="418" customWidth="1" collapsed="1"/>
    <col min="24" max="27" width="15.6640625" style="418" hidden="1" customWidth="1" outlineLevel="1"/>
    <col min="28" max="28" width="15.6640625" style="418" customWidth="1" collapsed="1"/>
    <col min="29" max="32" width="15.6640625" style="418" hidden="1" customWidth="1" outlineLevel="1"/>
    <col min="33" max="33" width="15.6640625" style="418" customWidth="1" collapsed="1"/>
    <col min="34" max="37" width="15.6640625" style="418" hidden="1" customWidth="1" outlineLevel="1"/>
    <col min="38" max="38" width="15.6640625" style="418" customWidth="1" collapsed="1"/>
    <col min="39" max="42" width="15.6640625" style="418" hidden="1" customWidth="1" outlineLevel="1"/>
    <col min="43" max="43" width="15.6640625" style="418" customWidth="1" collapsed="1"/>
    <col min="44" max="47" width="15.6640625" style="418" hidden="1" customWidth="1" outlineLevel="1"/>
    <col min="48" max="48" width="15.6640625" style="418" customWidth="1" collapsed="1"/>
    <col min="49" max="52" width="15.6640625" style="418" hidden="1" customWidth="1" outlineLevel="1"/>
    <col min="53" max="53" width="15.6640625" style="418" customWidth="1" collapsed="1"/>
    <col min="54" max="57" width="15.6640625" style="418" hidden="1" customWidth="1" outlineLevel="1"/>
    <col min="58" max="58" width="15.6640625" style="418" customWidth="1" collapsed="1"/>
    <col min="59" max="62" width="15.6640625" style="418" hidden="1" customWidth="1" outlineLevel="1"/>
    <col min="63" max="63" width="15.6640625" style="418" customWidth="1" collapsed="1"/>
    <col min="64" max="67" width="15.6640625" style="418" hidden="1" customWidth="1" outlineLevel="1"/>
    <col min="68" max="68" width="15.6640625" style="418" customWidth="1" collapsed="1"/>
    <col min="69" max="72" width="15.6640625" style="418" hidden="1" customWidth="1" outlineLevel="1"/>
    <col min="73" max="73" width="15.6640625" style="418" customWidth="1" collapsed="1"/>
    <col min="74" max="77" width="15.6640625" style="418" hidden="1" customWidth="1" outlineLevel="1"/>
    <col min="78" max="78" width="15.6640625" style="418" customWidth="1" collapsed="1"/>
    <col min="79" max="79" width="3.5" style="418" customWidth="1"/>
    <col min="80" max="80" width="3.5" style="419" customWidth="1"/>
    <col min="81" max="81" width="3.5" style="419" customWidth="1" outlineLevel="1"/>
    <col min="82" max="82" width="62.5" style="419" customWidth="1" outlineLevel="1"/>
    <col min="83" max="97" width="15.6640625" style="419" customWidth="1" outlineLevel="1"/>
    <col min="98" max="98" width="3.5" style="419" customWidth="1" outlineLevel="1"/>
    <col min="99" max="16384" width="9.1640625" style="419"/>
  </cols>
  <sheetData>
    <row r="1" spans="2:98" s="50" customFormat="1"/>
    <row r="2" spans="2:98" s="50" customFormat="1">
      <c r="B2" s="2"/>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C2" s="9"/>
      <c r="CD2" s="9"/>
      <c r="CE2" s="9"/>
      <c r="CF2" s="9"/>
      <c r="CG2" s="9"/>
      <c r="CH2" s="9"/>
      <c r="CI2" s="9"/>
      <c r="CJ2" s="9"/>
      <c r="CK2" s="9"/>
      <c r="CL2" s="9"/>
      <c r="CM2" s="9"/>
      <c r="CN2" s="9"/>
      <c r="CO2" s="9"/>
      <c r="CP2" s="9"/>
      <c r="CQ2" s="9"/>
      <c r="CR2" s="9"/>
      <c r="CS2" s="9"/>
      <c r="CT2" s="2"/>
    </row>
    <row r="3" spans="2:98" s="50" customFormat="1" ht="25">
      <c r="B3" s="2"/>
      <c r="C3" s="408" t="e">
        <f>Valuation!C3</f>
        <v>#NAME?</v>
      </c>
      <c r="D3" s="409"/>
      <c r="E3" s="409"/>
      <c r="F3" s="409"/>
      <c r="G3" s="409"/>
      <c r="H3" s="409"/>
      <c r="I3" s="409"/>
      <c r="J3" s="409"/>
      <c r="K3" s="409"/>
      <c r="L3" s="409"/>
      <c r="M3" s="409"/>
      <c r="N3" s="409"/>
      <c r="O3" s="409"/>
      <c r="P3" s="409"/>
      <c r="Q3" s="409"/>
      <c r="R3" s="409"/>
      <c r="S3" s="409"/>
      <c r="T3" s="409"/>
      <c r="U3" s="409"/>
      <c r="V3" s="409"/>
      <c r="W3" s="409"/>
      <c r="X3" s="409"/>
      <c r="Y3" s="409"/>
      <c r="Z3" s="409"/>
      <c r="AA3" s="409"/>
      <c r="AB3" s="409"/>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409"/>
      <c r="BA3" s="409"/>
      <c r="BB3" s="409"/>
      <c r="BC3" s="409"/>
      <c r="BD3" s="409"/>
      <c r="BE3" s="409"/>
      <c r="BF3" s="409"/>
      <c r="BG3" s="409"/>
      <c r="BH3" s="409"/>
      <c r="BI3" s="409"/>
      <c r="BJ3" s="409"/>
      <c r="BK3" s="409"/>
      <c r="BL3" s="409"/>
      <c r="BM3" s="409"/>
      <c r="BN3" s="409"/>
      <c r="BO3" s="409"/>
      <c r="BP3" s="409"/>
      <c r="BQ3" s="409"/>
      <c r="BR3" s="409"/>
      <c r="BS3" s="409"/>
      <c r="BT3" s="409"/>
      <c r="BU3" s="409"/>
      <c r="BV3" s="409"/>
      <c r="BW3" s="409"/>
      <c r="BX3" s="409"/>
      <c r="BY3" s="409"/>
      <c r="BZ3" s="410"/>
      <c r="CA3" s="58"/>
      <c r="CC3" s="9"/>
      <c r="CD3" s="411" t="e">
        <f>C3</f>
        <v>#NAME?</v>
      </c>
      <c r="CE3" s="412"/>
      <c r="CF3" s="412"/>
      <c r="CG3" s="412"/>
      <c r="CH3" s="412"/>
      <c r="CI3" s="412"/>
      <c r="CJ3" s="412"/>
      <c r="CK3" s="412"/>
      <c r="CL3" s="412"/>
      <c r="CM3" s="412"/>
      <c r="CN3" s="412"/>
      <c r="CO3" s="412"/>
      <c r="CP3" s="412"/>
      <c r="CQ3" s="412"/>
      <c r="CR3" s="412"/>
      <c r="CS3" s="19"/>
      <c r="CT3" s="2"/>
    </row>
    <row r="4" spans="2:98" s="50" customFormat="1">
      <c r="B4" s="2"/>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C4" s="9"/>
      <c r="CD4" s="9"/>
      <c r="CE4" s="9"/>
      <c r="CF4" s="9"/>
      <c r="CG4" s="9"/>
      <c r="CH4" s="9"/>
      <c r="CI4" s="9"/>
      <c r="CJ4" s="9"/>
      <c r="CK4" s="9"/>
      <c r="CL4" s="9"/>
      <c r="CM4" s="9"/>
      <c r="CN4" s="9"/>
      <c r="CO4" s="9"/>
      <c r="CP4" s="9"/>
      <c r="CQ4" s="9"/>
      <c r="CR4" s="9"/>
      <c r="CS4" s="9"/>
      <c r="CT4" s="2"/>
    </row>
    <row r="5" spans="2:98" s="50" customFormat="1">
      <c r="B5" s="2"/>
      <c r="C5" s="107" t="str">
        <f>"Balance Sheet, "&amp;Valuation!V119&amp;" "&amp;Valuation!V122</f>
        <v>Balance Sheet, USD Thousands</v>
      </c>
      <c r="D5" s="413" t="str">
        <f>H5&amp;"Q1"</f>
        <v>2012Q1</v>
      </c>
      <c r="E5" s="413" t="str">
        <f>H5&amp;"Q2"</f>
        <v>2012Q2</v>
      </c>
      <c r="F5" s="413" t="str">
        <f>H5&amp;"Q3"</f>
        <v>2012Q3</v>
      </c>
      <c r="G5" s="413" t="str">
        <f>H5&amp;"Q4"</f>
        <v>2012Q4</v>
      </c>
      <c r="H5" s="414">
        <f>Valuation!E9-Control!$A$27</f>
        <v>2012</v>
      </c>
      <c r="I5" s="413" t="str">
        <f>M5&amp;"Q1"</f>
        <v>2013Q1</v>
      </c>
      <c r="J5" s="413" t="str">
        <f>M5&amp;"Q2"</f>
        <v>2013Q2</v>
      </c>
      <c r="K5" s="413" t="str">
        <f>M5&amp;"Q3"</f>
        <v>2013Q3</v>
      </c>
      <c r="L5" s="413" t="str">
        <f>M5&amp;"Q4"</f>
        <v>2013Q4</v>
      </c>
      <c r="M5" s="414">
        <f>Valuation!F9-Control!$A$27</f>
        <v>2013</v>
      </c>
      <c r="N5" s="413" t="str">
        <f>R5&amp;"Q1"</f>
        <v>2014Q1</v>
      </c>
      <c r="O5" s="413" t="str">
        <f>R5&amp;"Q2"</f>
        <v>2014Q2</v>
      </c>
      <c r="P5" s="413" t="str">
        <f>R5&amp;"Q3"</f>
        <v>2014Q3</v>
      </c>
      <c r="Q5" s="413" t="str">
        <f>R5&amp;"Q4"</f>
        <v>2014Q4</v>
      </c>
      <c r="R5" s="414">
        <f>Valuation!G9-Control!$A$27</f>
        <v>2014</v>
      </c>
      <c r="S5" s="413" t="str">
        <f>W5&amp;"Q1"</f>
        <v>2015Q1</v>
      </c>
      <c r="T5" s="413" t="str">
        <f>W5&amp;"Q2"</f>
        <v>2015Q2</v>
      </c>
      <c r="U5" s="413" t="str">
        <f>W5&amp;"Q3"</f>
        <v>2015Q3</v>
      </c>
      <c r="V5" s="413" t="str">
        <f>W5&amp;"Q4"</f>
        <v>2015Q4</v>
      </c>
      <c r="W5" s="414">
        <f>Valuation!H9-Control!$A$27</f>
        <v>2015</v>
      </c>
      <c r="X5" s="413" t="str">
        <f>AB5&amp;"Q1"</f>
        <v>2016Q1</v>
      </c>
      <c r="Y5" s="413" t="str">
        <f>AB5&amp;"Q2"</f>
        <v>2016Q2</v>
      </c>
      <c r="Z5" s="413" t="str">
        <f>AB5&amp;"Q3"</f>
        <v>2016Q3</v>
      </c>
      <c r="AA5" s="413" t="str">
        <f>AB5&amp;"Q4"</f>
        <v>2016Q4</v>
      </c>
      <c r="AB5" s="414">
        <f>Valuation!I9-Control!$A$27</f>
        <v>2016</v>
      </c>
      <c r="AC5" s="413" t="str">
        <f>AG5&amp;"Q1"</f>
        <v>2017Q1</v>
      </c>
      <c r="AD5" s="413" t="str">
        <f>AG5&amp;"Q2"</f>
        <v>2017Q2</v>
      </c>
      <c r="AE5" s="413" t="str">
        <f>AG5&amp;"Q3"</f>
        <v>2017Q3</v>
      </c>
      <c r="AF5" s="413" t="str">
        <f>AG5&amp;"Q4"</f>
        <v>2017Q4</v>
      </c>
      <c r="AG5" s="414">
        <f>Valuation!J9-Control!$A$27</f>
        <v>2017</v>
      </c>
      <c r="AH5" s="413" t="str">
        <f>AL5&amp;"Q1"</f>
        <v>2018Q1</v>
      </c>
      <c r="AI5" s="413" t="str">
        <f>AL5&amp;"Q2"</f>
        <v>2018Q2</v>
      </c>
      <c r="AJ5" s="413" t="str">
        <f>AL5&amp;"Q3"</f>
        <v>2018Q3</v>
      </c>
      <c r="AK5" s="413" t="str">
        <f>AL5&amp;"Q4"</f>
        <v>2018Q4</v>
      </c>
      <c r="AL5" s="414">
        <f>Valuation!K9-Control!$A$27</f>
        <v>2018</v>
      </c>
      <c r="AM5" s="413" t="str">
        <f>AQ5&amp;"Q1"</f>
        <v>2019Q1</v>
      </c>
      <c r="AN5" s="413" t="str">
        <f>AQ5&amp;"Q2"</f>
        <v>2019Q2</v>
      </c>
      <c r="AO5" s="413" t="str">
        <f>AQ5&amp;"Q3"</f>
        <v>2019Q3</v>
      </c>
      <c r="AP5" s="413" t="str">
        <f>AQ5&amp;"Q4"</f>
        <v>2019Q4</v>
      </c>
      <c r="AQ5" s="414">
        <f>Valuation!L9-Control!$A$27</f>
        <v>2019</v>
      </c>
      <c r="AR5" s="413" t="str">
        <f>AV5&amp;"Q1"</f>
        <v>2020Q1</v>
      </c>
      <c r="AS5" s="413" t="str">
        <f>AV5&amp;"Q2"</f>
        <v>2020Q2</v>
      </c>
      <c r="AT5" s="413" t="str">
        <f>AV5&amp;"Q3"</f>
        <v>2020Q3</v>
      </c>
      <c r="AU5" s="413" t="str">
        <f>AV5&amp;"Q4"</f>
        <v>2020Q4</v>
      </c>
      <c r="AV5" s="414">
        <f>Valuation!M9-Control!$A$27</f>
        <v>2020</v>
      </c>
      <c r="AW5" s="413" t="str">
        <f>BA5&amp;"Q1"</f>
        <v>2021Q1</v>
      </c>
      <c r="AX5" s="413" t="str">
        <f>BA5&amp;"Q2"</f>
        <v>2021Q2</v>
      </c>
      <c r="AY5" s="413" t="str">
        <f>BA5&amp;"Q3"</f>
        <v>2021Q3</v>
      </c>
      <c r="AZ5" s="413" t="str">
        <f>BA5&amp;"Q4"</f>
        <v>2021Q4</v>
      </c>
      <c r="BA5" s="414">
        <f>Valuation!N9-Control!$A$27</f>
        <v>2021</v>
      </c>
      <c r="BB5" s="413" t="str">
        <f>BF5&amp;"Q1"</f>
        <v>2022Q1</v>
      </c>
      <c r="BC5" s="413" t="str">
        <f>BF5&amp;"Q2"</f>
        <v>2022Q2</v>
      </c>
      <c r="BD5" s="413" t="str">
        <f>BF5&amp;"Q3"</f>
        <v>2022Q3</v>
      </c>
      <c r="BE5" s="413" t="str">
        <f>BF5&amp;"Q4"</f>
        <v>2022Q4</v>
      </c>
      <c r="BF5" s="414">
        <f>Valuation!O9-Control!$A$27</f>
        <v>2022</v>
      </c>
      <c r="BG5" s="413" t="str">
        <f>BK5&amp;"Q1"</f>
        <v>2023Q1</v>
      </c>
      <c r="BH5" s="413" t="str">
        <f>BK5&amp;"Q2"</f>
        <v>2023Q2</v>
      </c>
      <c r="BI5" s="413" t="str">
        <f>BK5&amp;"Q3"</f>
        <v>2023Q3</v>
      </c>
      <c r="BJ5" s="413" t="str">
        <f>BK5&amp;"Q4"</f>
        <v>2023Q4</v>
      </c>
      <c r="BK5" s="414">
        <f>Valuation!P9-Control!$A$27</f>
        <v>2023</v>
      </c>
      <c r="BL5" s="413" t="str">
        <f>BP5&amp;"Q1"</f>
        <v>2024Q1</v>
      </c>
      <c r="BM5" s="413" t="str">
        <f>BP5&amp;"Q2"</f>
        <v>2024Q2</v>
      </c>
      <c r="BN5" s="413" t="str">
        <f>BP5&amp;"Q3"</f>
        <v>2024Q3</v>
      </c>
      <c r="BO5" s="413" t="str">
        <f>BP5&amp;"Q4"</f>
        <v>2024Q4</v>
      </c>
      <c r="BP5" s="414">
        <f>Valuation!Q9-Control!$A$27</f>
        <v>2024</v>
      </c>
      <c r="BQ5" s="413" t="str">
        <f>BU5&amp;"Q1"</f>
        <v>2025Q1</v>
      </c>
      <c r="BR5" s="413" t="str">
        <f>BU5&amp;"Q2"</f>
        <v>2025Q2</v>
      </c>
      <c r="BS5" s="413" t="str">
        <f>BU5&amp;"Q3"</f>
        <v>2025Q3</v>
      </c>
      <c r="BT5" s="413" t="str">
        <f>BU5&amp;"Q4"</f>
        <v>2025Q4</v>
      </c>
      <c r="BU5" s="414">
        <f>Valuation!R9-Control!$A$27</f>
        <v>2025</v>
      </c>
      <c r="BV5" s="413" t="str">
        <f>BZ5&amp;"Q1"</f>
        <v>2026Q1</v>
      </c>
      <c r="BW5" s="413" t="str">
        <f>BZ5&amp;"Q2"</f>
        <v>2026Q2</v>
      </c>
      <c r="BX5" s="413" t="str">
        <f>BZ5&amp;"Q3"</f>
        <v>2026Q3</v>
      </c>
      <c r="BY5" s="413" t="str">
        <f>BZ5&amp;"Q4"</f>
        <v>2026Q4</v>
      </c>
      <c r="BZ5" s="414">
        <f>Valuation!S9-Control!$A$27</f>
        <v>2026</v>
      </c>
      <c r="CA5" s="58"/>
      <c r="CC5" s="9"/>
      <c r="CD5" s="107" t="str">
        <f>C5</f>
        <v>Balance Sheet, USD Thousands</v>
      </c>
      <c r="CE5" s="13">
        <f>Valuation!E9-Control!$A$27</f>
        <v>2012</v>
      </c>
      <c r="CF5" s="13">
        <f>Valuation!F9-Control!$A$27</f>
        <v>2013</v>
      </c>
      <c r="CG5" s="13">
        <f>Valuation!G9-Control!$A$27</f>
        <v>2014</v>
      </c>
      <c r="CH5" s="13">
        <f>Valuation!H9-Control!$A$27</f>
        <v>2015</v>
      </c>
      <c r="CI5" s="13">
        <f>Valuation!I9-Control!$A$27</f>
        <v>2016</v>
      </c>
      <c r="CJ5" s="13">
        <f>Valuation!J9-Control!$A$27</f>
        <v>2017</v>
      </c>
      <c r="CK5" s="13">
        <f>Valuation!K9-Control!$A$27</f>
        <v>2018</v>
      </c>
      <c r="CL5" s="13">
        <f>Valuation!L9-Control!$A$27</f>
        <v>2019</v>
      </c>
      <c r="CM5" s="13">
        <f>Valuation!M9-Control!$A$27</f>
        <v>2020</v>
      </c>
      <c r="CN5" s="13">
        <f>Valuation!N9-Control!$A$27</f>
        <v>2021</v>
      </c>
      <c r="CO5" s="13">
        <f>Valuation!O9-Control!$A$27</f>
        <v>2022</v>
      </c>
      <c r="CP5" s="13">
        <f>Valuation!P9-Control!$A$27</f>
        <v>2023</v>
      </c>
      <c r="CQ5" s="13">
        <f>Valuation!Q9-Control!$A$27</f>
        <v>2024</v>
      </c>
      <c r="CR5" s="13">
        <f>Valuation!R9-Control!$A$27</f>
        <v>2025</v>
      </c>
      <c r="CS5" s="13">
        <f>Valuation!S9-Control!$A$27</f>
        <v>2026</v>
      </c>
      <c r="CT5" s="2"/>
    </row>
    <row r="6" spans="2:98" s="50" customFormat="1" ht="4.5" customHeight="1">
      <c r="B6" s="2"/>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C6" s="2"/>
      <c r="CD6" s="2"/>
      <c r="CE6" s="2"/>
      <c r="CF6" s="2"/>
      <c r="CG6" s="2"/>
      <c r="CH6" s="2"/>
      <c r="CI6" s="2"/>
      <c r="CJ6" s="2"/>
      <c r="CK6" s="2"/>
      <c r="CL6" s="2"/>
      <c r="CM6" s="2"/>
      <c r="CN6" s="2"/>
      <c r="CO6" s="2"/>
      <c r="CP6" s="2"/>
      <c r="CQ6" s="2"/>
      <c r="CR6" s="2"/>
      <c r="CS6" s="2"/>
      <c r="CT6" s="2"/>
    </row>
    <row r="7" spans="2:98" s="50" customFormat="1" ht="24.75" hidden="1" customHeight="1" outlineLevel="2">
      <c r="B7" s="2"/>
      <c r="C7" s="426" t="s">
        <v>42</v>
      </c>
      <c r="D7" s="416">
        <v>0</v>
      </c>
      <c r="E7" s="416">
        <v>0</v>
      </c>
      <c r="F7" s="416">
        <v>0</v>
      </c>
      <c r="G7" s="416">
        <v>0</v>
      </c>
      <c r="H7" s="416">
        <v>0</v>
      </c>
      <c r="I7" s="416">
        <v>0</v>
      </c>
      <c r="J7" s="416">
        <v>0</v>
      </c>
      <c r="K7" s="416">
        <v>0</v>
      </c>
      <c r="L7" s="416">
        <v>0</v>
      </c>
      <c r="M7" s="416">
        <v>0</v>
      </c>
      <c r="N7" s="416">
        <v>0</v>
      </c>
      <c r="O7" s="416">
        <v>0</v>
      </c>
      <c r="P7" s="416">
        <v>0</v>
      </c>
      <c r="Q7" s="416">
        <v>0</v>
      </c>
      <c r="R7" s="416">
        <v>0</v>
      </c>
      <c r="S7" s="416">
        <v>0</v>
      </c>
      <c r="T7" s="416">
        <v>0</v>
      </c>
      <c r="U7" s="416">
        <v>0</v>
      </c>
      <c r="V7" s="416">
        <v>0</v>
      </c>
      <c r="W7" s="416">
        <v>0</v>
      </c>
      <c r="X7" s="416">
        <v>0</v>
      </c>
      <c r="Y7" s="416">
        <v>0</v>
      </c>
      <c r="Z7" s="416">
        <v>0</v>
      </c>
      <c r="AA7" s="416">
        <v>0</v>
      </c>
      <c r="AB7" s="416">
        <v>0</v>
      </c>
      <c r="AC7" s="416">
        <v>0</v>
      </c>
      <c r="AD7" s="416">
        <v>0</v>
      </c>
      <c r="AE7" s="416">
        <v>0</v>
      </c>
      <c r="AF7" s="416">
        <v>0</v>
      </c>
      <c r="AG7" s="416">
        <v>0</v>
      </c>
      <c r="AH7" s="416">
        <v>0</v>
      </c>
      <c r="AI7" s="416">
        <v>0</v>
      </c>
      <c r="AJ7" s="416">
        <v>0</v>
      </c>
      <c r="AK7" s="416">
        <v>0</v>
      </c>
      <c r="AL7" s="416">
        <v>0</v>
      </c>
      <c r="AM7" s="416">
        <v>0</v>
      </c>
      <c r="AN7" s="416">
        <v>0</v>
      </c>
      <c r="AO7" s="416">
        <v>0</v>
      </c>
      <c r="AP7" s="416">
        <v>0</v>
      </c>
      <c r="AQ7" s="416">
        <v>0</v>
      </c>
      <c r="AR7" s="416">
        <v>0</v>
      </c>
      <c r="AS7" s="416">
        <v>0</v>
      </c>
      <c r="AT7" s="416">
        <v>0</v>
      </c>
      <c r="AU7" s="416">
        <v>0</v>
      </c>
      <c r="AV7" s="416">
        <v>0</v>
      </c>
      <c r="AW7" s="416">
        <v>0</v>
      </c>
      <c r="AX7" s="416">
        <v>0</v>
      </c>
      <c r="AY7" s="416">
        <v>0</v>
      </c>
      <c r="AZ7" s="416">
        <v>0</v>
      </c>
      <c r="BA7" s="416">
        <v>0</v>
      </c>
      <c r="BB7" s="416">
        <v>0</v>
      </c>
      <c r="BC7" s="416">
        <v>0</v>
      </c>
      <c r="BD7" s="416">
        <v>0</v>
      </c>
      <c r="BE7" s="416">
        <v>0</v>
      </c>
      <c r="BF7" s="416">
        <v>0</v>
      </c>
      <c r="BG7" s="416">
        <v>0</v>
      </c>
      <c r="BH7" s="416">
        <v>0</v>
      </c>
      <c r="BI7" s="416">
        <v>0</v>
      </c>
      <c r="BJ7" s="416">
        <v>0</v>
      </c>
      <c r="BK7" s="416">
        <v>0</v>
      </c>
      <c r="BL7" s="416">
        <v>0</v>
      </c>
      <c r="BM7" s="416">
        <v>0</v>
      </c>
      <c r="BN7" s="416">
        <v>0</v>
      </c>
      <c r="BO7" s="416">
        <v>0</v>
      </c>
      <c r="BP7" s="416">
        <v>0</v>
      </c>
      <c r="BQ7" s="416">
        <v>0</v>
      </c>
      <c r="BR7" s="416">
        <v>0</v>
      </c>
      <c r="BS7" s="416">
        <v>0</v>
      </c>
      <c r="BT7" s="416">
        <v>0</v>
      </c>
      <c r="BU7" s="416">
        <v>0</v>
      </c>
      <c r="BV7" s="416">
        <v>0</v>
      </c>
      <c r="BW7" s="416">
        <v>0</v>
      </c>
      <c r="BX7" s="416">
        <v>0</v>
      </c>
      <c r="BY7" s="416">
        <v>0</v>
      </c>
      <c r="BZ7" s="416">
        <v>0</v>
      </c>
      <c r="CA7" s="58"/>
      <c r="CC7" s="2"/>
      <c r="CD7" s="426" t="s">
        <v>42</v>
      </c>
      <c r="CE7" s="433">
        <f>H7</f>
        <v>0</v>
      </c>
      <c r="CF7" s="433">
        <f>M7</f>
        <v>0</v>
      </c>
      <c r="CG7" s="433">
        <f>R7</f>
        <v>0</v>
      </c>
      <c r="CH7" s="433">
        <f>W7</f>
        <v>0</v>
      </c>
      <c r="CI7" s="433">
        <f>AB7</f>
        <v>0</v>
      </c>
      <c r="CJ7" s="433">
        <f>AG7</f>
        <v>0</v>
      </c>
      <c r="CK7" s="433">
        <f>AL7</f>
        <v>0</v>
      </c>
      <c r="CL7" s="433">
        <f>AQ7</f>
        <v>0</v>
      </c>
      <c r="CM7" s="433">
        <f>AV7</f>
        <v>0</v>
      </c>
      <c r="CN7" s="433">
        <f>BA7</f>
        <v>0</v>
      </c>
      <c r="CO7" s="433">
        <f>BF7</f>
        <v>0</v>
      </c>
      <c r="CP7" s="433">
        <f>BK7</f>
        <v>0</v>
      </c>
      <c r="CQ7" s="433">
        <f>BP7</f>
        <v>0</v>
      </c>
      <c r="CR7" s="433">
        <f>BU7</f>
        <v>0</v>
      </c>
      <c r="CS7" s="433">
        <f>BZ7</f>
        <v>0</v>
      </c>
      <c r="CT7" s="2"/>
    </row>
    <row r="8" spans="2:98" s="50" customFormat="1" ht="24.75" hidden="1" customHeight="1" outlineLevel="2">
      <c r="B8" s="2"/>
      <c r="C8" s="426" t="s">
        <v>138</v>
      </c>
      <c r="D8" s="416">
        <v>0</v>
      </c>
      <c r="E8" s="416">
        <v>0</v>
      </c>
      <c r="F8" s="416">
        <v>0</v>
      </c>
      <c r="G8" s="416">
        <v>0</v>
      </c>
      <c r="H8" s="416">
        <v>0</v>
      </c>
      <c r="I8" s="416">
        <v>0</v>
      </c>
      <c r="J8" s="416">
        <v>0</v>
      </c>
      <c r="K8" s="416">
        <v>0</v>
      </c>
      <c r="L8" s="416">
        <v>0</v>
      </c>
      <c r="M8" s="416">
        <v>0</v>
      </c>
      <c r="N8" s="416">
        <v>0</v>
      </c>
      <c r="O8" s="416">
        <v>0</v>
      </c>
      <c r="P8" s="416">
        <v>0</v>
      </c>
      <c r="Q8" s="416">
        <v>0</v>
      </c>
      <c r="R8" s="416">
        <v>0</v>
      </c>
      <c r="S8" s="416">
        <v>0</v>
      </c>
      <c r="T8" s="416">
        <v>0</v>
      </c>
      <c r="U8" s="416">
        <v>0</v>
      </c>
      <c r="V8" s="416">
        <v>0</v>
      </c>
      <c r="W8" s="416">
        <v>0</v>
      </c>
      <c r="X8" s="416">
        <v>0</v>
      </c>
      <c r="Y8" s="416">
        <v>0</v>
      </c>
      <c r="Z8" s="416">
        <v>0</v>
      </c>
      <c r="AA8" s="416">
        <v>0</v>
      </c>
      <c r="AB8" s="416">
        <v>0</v>
      </c>
      <c r="AC8" s="416">
        <v>0</v>
      </c>
      <c r="AD8" s="416">
        <v>0</v>
      </c>
      <c r="AE8" s="416">
        <v>0</v>
      </c>
      <c r="AF8" s="416">
        <v>0</v>
      </c>
      <c r="AG8" s="416">
        <v>0</v>
      </c>
      <c r="AH8" s="416">
        <v>0</v>
      </c>
      <c r="AI8" s="416">
        <v>0</v>
      </c>
      <c r="AJ8" s="416">
        <v>0</v>
      </c>
      <c r="AK8" s="416">
        <v>0</v>
      </c>
      <c r="AL8" s="416">
        <v>0</v>
      </c>
      <c r="AM8" s="416">
        <v>0</v>
      </c>
      <c r="AN8" s="416">
        <v>0</v>
      </c>
      <c r="AO8" s="416">
        <v>0</v>
      </c>
      <c r="AP8" s="416">
        <v>0</v>
      </c>
      <c r="AQ8" s="416">
        <v>0</v>
      </c>
      <c r="AR8" s="416">
        <v>0</v>
      </c>
      <c r="AS8" s="416">
        <v>0</v>
      </c>
      <c r="AT8" s="416">
        <v>0</v>
      </c>
      <c r="AU8" s="416">
        <v>0</v>
      </c>
      <c r="AV8" s="416">
        <v>0</v>
      </c>
      <c r="AW8" s="416">
        <v>0</v>
      </c>
      <c r="AX8" s="416">
        <v>0</v>
      </c>
      <c r="AY8" s="416">
        <v>0</v>
      </c>
      <c r="AZ8" s="416">
        <v>0</v>
      </c>
      <c r="BA8" s="416">
        <v>0</v>
      </c>
      <c r="BB8" s="416">
        <v>0</v>
      </c>
      <c r="BC8" s="416">
        <v>0</v>
      </c>
      <c r="BD8" s="416">
        <v>0</v>
      </c>
      <c r="BE8" s="416">
        <v>0</v>
      </c>
      <c r="BF8" s="416">
        <v>0</v>
      </c>
      <c r="BG8" s="416">
        <v>0</v>
      </c>
      <c r="BH8" s="416">
        <v>0</v>
      </c>
      <c r="BI8" s="416">
        <v>0</v>
      </c>
      <c r="BJ8" s="416">
        <v>0</v>
      </c>
      <c r="BK8" s="416">
        <v>0</v>
      </c>
      <c r="BL8" s="416">
        <v>0</v>
      </c>
      <c r="BM8" s="416">
        <v>0</v>
      </c>
      <c r="BN8" s="416">
        <v>0</v>
      </c>
      <c r="BO8" s="416">
        <v>0</v>
      </c>
      <c r="BP8" s="416">
        <v>0</v>
      </c>
      <c r="BQ8" s="416">
        <v>0</v>
      </c>
      <c r="BR8" s="416">
        <v>0</v>
      </c>
      <c r="BS8" s="416">
        <v>0</v>
      </c>
      <c r="BT8" s="416">
        <v>0</v>
      </c>
      <c r="BU8" s="416">
        <v>0</v>
      </c>
      <c r="BV8" s="416">
        <v>0</v>
      </c>
      <c r="BW8" s="416">
        <v>0</v>
      </c>
      <c r="BX8" s="416">
        <v>0</v>
      </c>
      <c r="BY8" s="416">
        <v>0</v>
      </c>
      <c r="BZ8" s="416">
        <v>0</v>
      </c>
      <c r="CA8" s="58"/>
      <c r="CC8" s="2"/>
      <c r="CD8" s="426" t="s">
        <v>138</v>
      </c>
      <c r="CE8" s="433">
        <f t="shared" ref="CE8:CE71" si="0">H8</f>
        <v>0</v>
      </c>
      <c r="CF8" s="433">
        <f t="shared" ref="CF8:CF71" si="1">M8</f>
        <v>0</v>
      </c>
      <c r="CG8" s="433">
        <f t="shared" ref="CG8:CG71" si="2">R8</f>
        <v>0</v>
      </c>
      <c r="CH8" s="433">
        <f t="shared" ref="CH8:CH71" si="3">W8</f>
        <v>0</v>
      </c>
      <c r="CI8" s="433">
        <f t="shared" ref="CI8:CI71" si="4">AB8</f>
        <v>0</v>
      </c>
      <c r="CJ8" s="433">
        <f t="shared" ref="CJ8:CJ71" si="5">AG8</f>
        <v>0</v>
      </c>
      <c r="CK8" s="433">
        <f t="shared" ref="CK8:CK71" si="6">AL8</f>
        <v>0</v>
      </c>
      <c r="CL8" s="433">
        <f t="shared" ref="CL8:CL71" si="7">AQ8</f>
        <v>0</v>
      </c>
      <c r="CM8" s="433">
        <f t="shared" ref="CM8:CM71" si="8">AV8</f>
        <v>0</v>
      </c>
      <c r="CN8" s="433">
        <f t="shared" ref="CN8:CN71" si="9">BA8</f>
        <v>0</v>
      </c>
      <c r="CO8" s="433">
        <f t="shared" ref="CO8:CO71" si="10">BF8</f>
        <v>0</v>
      </c>
      <c r="CP8" s="433">
        <f t="shared" ref="CP8:CP71" si="11">BK8</f>
        <v>0</v>
      </c>
      <c r="CQ8" s="433">
        <f t="shared" ref="CQ8:CQ71" si="12">BP8</f>
        <v>0</v>
      </c>
      <c r="CR8" s="433">
        <f t="shared" ref="CR8:CR71" si="13">BU8</f>
        <v>0</v>
      </c>
      <c r="CS8" s="433">
        <f t="shared" ref="CS8:CS71" si="14">BZ8</f>
        <v>0</v>
      </c>
      <c r="CT8" s="2"/>
    </row>
    <row r="9" spans="2:98" s="50" customFormat="1" ht="24.75" hidden="1" customHeight="1" outlineLevel="1">
      <c r="B9" s="2"/>
      <c r="C9" s="424" t="s">
        <v>43</v>
      </c>
      <c r="D9" s="416">
        <v>0</v>
      </c>
      <c r="E9" s="416">
        <v>0</v>
      </c>
      <c r="F9" s="416">
        <v>0</v>
      </c>
      <c r="G9" s="416">
        <v>0</v>
      </c>
      <c r="H9" s="416">
        <v>0</v>
      </c>
      <c r="I9" s="416">
        <v>0</v>
      </c>
      <c r="J9" s="416">
        <v>0</v>
      </c>
      <c r="K9" s="416">
        <v>0</v>
      </c>
      <c r="L9" s="416">
        <v>0</v>
      </c>
      <c r="M9" s="416">
        <v>0</v>
      </c>
      <c r="N9" s="416">
        <v>0</v>
      </c>
      <c r="O9" s="416">
        <v>0</v>
      </c>
      <c r="P9" s="416">
        <v>0</v>
      </c>
      <c r="Q9" s="416">
        <v>0</v>
      </c>
      <c r="R9" s="416">
        <v>0</v>
      </c>
      <c r="S9" s="416">
        <v>0</v>
      </c>
      <c r="T9" s="416">
        <v>0</v>
      </c>
      <c r="U9" s="416">
        <v>0</v>
      </c>
      <c r="V9" s="416">
        <v>0</v>
      </c>
      <c r="W9" s="416">
        <v>0</v>
      </c>
      <c r="X9" s="416">
        <v>0</v>
      </c>
      <c r="Y9" s="416">
        <v>0</v>
      </c>
      <c r="Z9" s="416">
        <v>0</v>
      </c>
      <c r="AA9" s="416">
        <v>0</v>
      </c>
      <c r="AB9" s="416">
        <v>0</v>
      </c>
      <c r="AC9" s="416">
        <v>0</v>
      </c>
      <c r="AD9" s="416">
        <v>0</v>
      </c>
      <c r="AE9" s="416">
        <v>0</v>
      </c>
      <c r="AF9" s="416">
        <v>0</v>
      </c>
      <c r="AG9" s="416">
        <v>0</v>
      </c>
      <c r="AH9" s="416">
        <v>0</v>
      </c>
      <c r="AI9" s="416">
        <v>0</v>
      </c>
      <c r="AJ9" s="416">
        <v>0</v>
      </c>
      <c r="AK9" s="416">
        <v>0</v>
      </c>
      <c r="AL9" s="416">
        <v>0</v>
      </c>
      <c r="AM9" s="416">
        <v>0</v>
      </c>
      <c r="AN9" s="416">
        <v>0</v>
      </c>
      <c r="AO9" s="416">
        <v>0</v>
      </c>
      <c r="AP9" s="416">
        <v>0</v>
      </c>
      <c r="AQ9" s="416">
        <v>0</v>
      </c>
      <c r="AR9" s="416">
        <v>0</v>
      </c>
      <c r="AS9" s="416">
        <v>0</v>
      </c>
      <c r="AT9" s="416">
        <v>0</v>
      </c>
      <c r="AU9" s="416">
        <v>0</v>
      </c>
      <c r="AV9" s="416">
        <v>0</v>
      </c>
      <c r="AW9" s="416">
        <v>0</v>
      </c>
      <c r="AX9" s="416">
        <v>0</v>
      </c>
      <c r="AY9" s="416">
        <v>0</v>
      </c>
      <c r="AZ9" s="416">
        <v>0</v>
      </c>
      <c r="BA9" s="416">
        <v>0</v>
      </c>
      <c r="BB9" s="416">
        <v>0</v>
      </c>
      <c r="BC9" s="416">
        <v>0</v>
      </c>
      <c r="BD9" s="416">
        <v>0</v>
      </c>
      <c r="BE9" s="416">
        <v>0</v>
      </c>
      <c r="BF9" s="416">
        <v>548.94500000000005</v>
      </c>
      <c r="BG9" s="416">
        <v>0</v>
      </c>
      <c r="BH9" s="416">
        <v>0</v>
      </c>
      <c r="BI9" s="416">
        <v>0</v>
      </c>
      <c r="BJ9" s="416">
        <v>1061.8499999999999</v>
      </c>
      <c r="BK9" s="416">
        <v>1061.8499999999999</v>
      </c>
      <c r="BL9" s="416">
        <v>1983.318</v>
      </c>
      <c r="BM9" s="416">
        <v>4365.982</v>
      </c>
      <c r="BN9" s="416">
        <v>6352.7749999999996</v>
      </c>
      <c r="BO9" s="416">
        <v>7123.4780000000001</v>
      </c>
      <c r="BP9" s="416">
        <v>7123.4780000000001</v>
      </c>
      <c r="BQ9" s="416">
        <v>6116.3879999999999</v>
      </c>
      <c r="BR9" s="416">
        <v>5682.0680000000002</v>
      </c>
      <c r="BS9" s="416">
        <v>5006.5839999999998</v>
      </c>
      <c r="BT9" s="416">
        <v>4425.0209999999997</v>
      </c>
      <c r="BU9" s="416">
        <v>4425.0209999999997</v>
      </c>
      <c r="BV9" s="416">
        <v>5018.4089999999997</v>
      </c>
      <c r="BW9" s="416">
        <v>5166.7330000000002</v>
      </c>
      <c r="BX9" s="416">
        <v>5100.799</v>
      </c>
      <c r="BY9" s="416">
        <v>0</v>
      </c>
      <c r="BZ9" s="416">
        <v>0</v>
      </c>
      <c r="CA9" s="58"/>
      <c r="CC9" s="2"/>
      <c r="CD9" s="424" t="s">
        <v>43</v>
      </c>
      <c r="CE9" s="433">
        <f t="shared" si="0"/>
        <v>0</v>
      </c>
      <c r="CF9" s="433">
        <f t="shared" si="1"/>
        <v>0</v>
      </c>
      <c r="CG9" s="433">
        <f t="shared" si="2"/>
        <v>0</v>
      </c>
      <c r="CH9" s="433">
        <f t="shared" si="3"/>
        <v>0</v>
      </c>
      <c r="CI9" s="433">
        <f t="shared" si="4"/>
        <v>0</v>
      </c>
      <c r="CJ9" s="433">
        <f t="shared" si="5"/>
        <v>0</v>
      </c>
      <c r="CK9" s="433">
        <f t="shared" si="6"/>
        <v>0</v>
      </c>
      <c r="CL9" s="433">
        <f t="shared" si="7"/>
        <v>0</v>
      </c>
      <c r="CM9" s="433">
        <f t="shared" si="8"/>
        <v>0</v>
      </c>
      <c r="CN9" s="433">
        <f t="shared" si="9"/>
        <v>0</v>
      </c>
      <c r="CO9" s="433">
        <f t="shared" si="10"/>
        <v>548.94500000000005</v>
      </c>
      <c r="CP9" s="433">
        <f t="shared" si="11"/>
        <v>1061.8499999999999</v>
      </c>
      <c r="CQ9" s="433">
        <f t="shared" si="12"/>
        <v>7123.4780000000001</v>
      </c>
      <c r="CR9" s="433">
        <f t="shared" si="13"/>
        <v>4425.0209999999997</v>
      </c>
      <c r="CS9" s="433">
        <f t="shared" si="14"/>
        <v>0</v>
      </c>
      <c r="CT9" s="2"/>
    </row>
    <row r="10" spans="2:98" s="50" customFormat="1" ht="24.75" hidden="1" customHeight="1" outlineLevel="2">
      <c r="B10" s="2"/>
      <c r="C10" s="426" t="s">
        <v>140</v>
      </c>
      <c r="D10" s="416">
        <v>0</v>
      </c>
      <c r="E10" s="416">
        <v>0</v>
      </c>
      <c r="F10" s="416">
        <v>0</v>
      </c>
      <c r="G10" s="416">
        <v>0</v>
      </c>
      <c r="H10" s="416">
        <v>0</v>
      </c>
      <c r="I10" s="416">
        <v>0</v>
      </c>
      <c r="J10" s="416">
        <v>0</v>
      </c>
      <c r="K10" s="416">
        <v>0</v>
      </c>
      <c r="L10" s="416">
        <v>0</v>
      </c>
      <c r="M10" s="416">
        <v>0</v>
      </c>
      <c r="N10" s="416">
        <v>0</v>
      </c>
      <c r="O10" s="416">
        <v>0</v>
      </c>
      <c r="P10" s="416">
        <v>0</v>
      </c>
      <c r="Q10" s="416">
        <v>0</v>
      </c>
      <c r="R10" s="416">
        <v>0</v>
      </c>
      <c r="S10" s="416">
        <v>0</v>
      </c>
      <c r="T10" s="416">
        <v>0</v>
      </c>
      <c r="U10" s="416">
        <v>0</v>
      </c>
      <c r="V10" s="416">
        <v>0</v>
      </c>
      <c r="W10" s="416">
        <v>0</v>
      </c>
      <c r="X10" s="416">
        <v>0</v>
      </c>
      <c r="Y10" s="416">
        <v>0</v>
      </c>
      <c r="Z10" s="416">
        <v>0</v>
      </c>
      <c r="AA10" s="416">
        <v>0</v>
      </c>
      <c r="AB10" s="416">
        <v>0</v>
      </c>
      <c r="AC10" s="416">
        <v>0</v>
      </c>
      <c r="AD10" s="416">
        <v>0</v>
      </c>
      <c r="AE10" s="416">
        <v>0</v>
      </c>
      <c r="AF10" s="416">
        <v>0</v>
      </c>
      <c r="AG10" s="416">
        <v>0</v>
      </c>
      <c r="AH10" s="416">
        <v>0</v>
      </c>
      <c r="AI10" s="416">
        <v>0</v>
      </c>
      <c r="AJ10" s="416">
        <v>0</v>
      </c>
      <c r="AK10" s="416">
        <v>0</v>
      </c>
      <c r="AL10" s="416">
        <v>0</v>
      </c>
      <c r="AM10" s="416">
        <v>0</v>
      </c>
      <c r="AN10" s="416">
        <v>0</v>
      </c>
      <c r="AO10" s="416">
        <v>0</v>
      </c>
      <c r="AP10" s="416">
        <v>0</v>
      </c>
      <c r="AQ10" s="416">
        <v>0</v>
      </c>
      <c r="AR10" s="416">
        <v>0</v>
      </c>
      <c r="AS10" s="416">
        <v>0</v>
      </c>
      <c r="AT10" s="416">
        <v>0</v>
      </c>
      <c r="AU10" s="416">
        <v>0</v>
      </c>
      <c r="AV10" s="416">
        <v>0</v>
      </c>
      <c r="AW10" s="416">
        <v>0</v>
      </c>
      <c r="AX10" s="416">
        <v>0</v>
      </c>
      <c r="AY10" s="416">
        <v>0</v>
      </c>
      <c r="AZ10" s="416">
        <v>0</v>
      </c>
      <c r="BA10" s="416">
        <v>0</v>
      </c>
      <c r="BB10" s="416">
        <v>0</v>
      </c>
      <c r="BC10" s="416">
        <v>0</v>
      </c>
      <c r="BD10" s="416">
        <v>0</v>
      </c>
      <c r="BE10" s="416">
        <v>0</v>
      </c>
      <c r="BF10" s="416">
        <v>0</v>
      </c>
      <c r="BG10" s="416">
        <v>0</v>
      </c>
      <c r="BH10" s="416">
        <v>0</v>
      </c>
      <c r="BI10" s="416">
        <v>0</v>
      </c>
      <c r="BJ10" s="416">
        <v>0</v>
      </c>
      <c r="BK10" s="416">
        <v>0</v>
      </c>
      <c r="BL10" s="416">
        <v>0</v>
      </c>
      <c r="BM10" s="416">
        <v>0</v>
      </c>
      <c r="BN10" s="416">
        <v>0</v>
      </c>
      <c r="BO10" s="416">
        <v>0</v>
      </c>
      <c r="BP10" s="416">
        <v>0</v>
      </c>
      <c r="BQ10" s="416">
        <v>0</v>
      </c>
      <c r="BR10" s="416">
        <v>0</v>
      </c>
      <c r="BS10" s="416">
        <v>0</v>
      </c>
      <c r="BT10" s="416">
        <v>0</v>
      </c>
      <c r="BU10" s="416">
        <v>0</v>
      </c>
      <c r="BV10" s="416">
        <v>0</v>
      </c>
      <c r="BW10" s="416">
        <v>0</v>
      </c>
      <c r="BX10" s="416">
        <v>0</v>
      </c>
      <c r="BY10" s="416">
        <v>0</v>
      </c>
      <c r="BZ10" s="416">
        <v>0</v>
      </c>
      <c r="CA10" s="58"/>
      <c r="CC10" s="2"/>
      <c r="CD10" s="426" t="s">
        <v>140</v>
      </c>
      <c r="CE10" s="433">
        <f t="shared" si="0"/>
        <v>0</v>
      </c>
      <c r="CF10" s="433">
        <f t="shared" si="1"/>
        <v>0</v>
      </c>
      <c r="CG10" s="433">
        <f t="shared" si="2"/>
        <v>0</v>
      </c>
      <c r="CH10" s="433">
        <f t="shared" si="3"/>
        <v>0</v>
      </c>
      <c r="CI10" s="433">
        <f t="shared" si="4"/>
        <v>0</v>
      </c>
      <c r="CJ10" s="433">
        <f t="shared" si="5"/>
        <v>0</v>
      </c>
      <c r="CK10" s="433">
        <f t="shared" si="6"/>
        <v>0</v>
      </c>
      <c r="CL10" s="433">
        <f t="shared" si="7"/>
        <v>0</v>
      </c>
      <c r="CM10" s="433">
        <f t="shared" si="8"/>
        <v>0</v>
      </c>
      <c r="CN10" s="433">
        <f t="shared" si="9"/>
        <v>0</v>
      </c>
      <c r="CO10" s="433">
        <f t="shared" si="10"/>
        <v>0</v>
      </c>
      <c r="CP10" s="433">
        <f t="shared" si="11"/>
        <v>0</v>
      </c>
      <c r="CQ10" s="433">
        <f t="shared" si="12"/>
        <v>0</v>
      </c>
      <c r="CR10" s="433">
        <f t="shared" si="13"/>
        <v>0</v>
      </c>
      <c r="CS10" s="433">
        <f t="shared" si="14"/>
        <v>0</v>
      </c>
      <c r="CT10" s="2"/>
    </row>
    <row r="11" spans="2:98" ht="24.75" hidden="1" customHeight="1" outlineLevel="2">
      <c r="C11" s="426" t="s">
        <v>141</v>
      </c>
      <c r="D11" s="416">
        <v>0</v>
      </c>
      <c r="E11" s="416">
        <v>0</v>
      </c>
      <c r="F11" s="416">
        <v>0</v>
      </c>
      <c r="G11" s="416">
        <v>0</v>
      </c>
      <c r="H11" s="416">
        <v>0</v>
      </c>
      <c r="I11" s="416">
        <v>0</v>
      </c>
      <c r="J11" s="416">
        <v>0</v>
      </c>
      <c r="K11" s="416">
        <v>0</v>
      </c>
      <c r="L11" s="416">
        <v>0</v>
      </c>
      <c r="M11" s="416">
        <v>0</v>
      </c>
      <c r="N11" s="416">
        <v>0</v>
      </c>
      <c r="O11" s="416">
        <v>0</v>
      </c>
      <c r="P11" s="416">
        <v>0</v>
      </c>
      <c r="Q11" s="416">
        <v>0</v>
      </c>
      <c r="R11" s="416">
        <v>0</v>
      </c>
      <c r="S11" s="416">
        <v>0</v>
      </c>
      <c r="T11" s="416">
        <v>0</v>
      </c>
      <c r="U11" s="416">
        <v>0</v>
      </c>
      <c r="V11" s="416">
        <v>0</v>
      </c>
      <c r="W11" s="416">
        <v>0</v>
      </c>
      <c r="X11" s="416">
        <v>0</v>
      </c>
      <c r="Y11" s="416">
        <v>0</v>
      </c>
      <c r="Z11" s="416">
        <v>0</v>
      </c>
      <c r="AA11" s="416">
        <v>0</v>
      </c>
      <c r="AB11" s="416">
        <v>0</v>
      </c>
      <c r="AC11" s="416">
        <v>0</v>
      </c>
      <c r="AD11" s="416">
        <v>0</v>
      </c>
      <c r="AE11" s="416">
        <v>0</v>
      </c>
      <c r="AF11" s="416">
        <v>0</v>
      </c>
      <c r="AG11" s="416">
        <v>0</v>
      </c>
      <c r="AH11" s="416">
        <v>0</v>
      </c>
      <c r="AI11" s="416">
        <v>0</v>
      </c>
      <c r="AJ11" s="416">
        <v>0</v>
      </c>
      <c r="AK11" s="416">
        <v>0</v>
      </c>
      <c r="AL11" s="416">
        <v>0</v>
      </c>
      <c r="AM11" s="416">
        <v>0</v>
      </c>
      <c r="AN11" s="416">
        <v>0</v>
      </c>
      <c r="AO11" s="416">
        <v>0</v>
      </c>
      <c r="AP11" s="416">
        <v>0</v>
      </c>
      <c r="AQ11" s="416">
        <v>0</v>
      </c>
      <c r="AR11" s="416">
        <v>0</v>
      </c>
      <c r="AS11" s="416">
        <v>0</v>
      </c>
      <c r="AT11" s="416">
        <v>0</v>
      </c>
      <c r="AU11" s="416">
        <v>0</v>
      </c>
      <c r="AV11" s="416">
        <v>0</v>
      </c>
      <c r="AW11" s="416">
        <v>0</v>
      </c>
      <c r="AX11" s="416">
        <v>0</v>
      </c>
      <c r="AY11" s="416">
        <v>0</v>
      </c>
      <c r="AZ11" s="416">
        <v>0</v>
      </c>
      <c r="BA11" s="416">
        <v>0</v>
      </c>
      <c r="BB11" s="416">
        <v>0</v>
      </c>
      <c r="BC11" s="416">
        <v>0</v>
      </c>
      <c r="BD11" s="416">
        <v>0</v>
      </c>
      <c r="BE11" s="416">
        <v>0</v>
      </c>
      <c r="BF11" s="416">
        <v>0</v>
      </c>
      <c r="BG11" s="416">
        <v>0</v>
      </c>
      <c r="BH11" s="416">
        <v>0</v>
      </c>
      <c r="BI11" s="416">
        <v>0</v>
      </c>
      <c r="BJ11" s="416">
        <v>0</v>
      </c>
      <c r="BK11" s="416">
        <v>0</v>
      </c>
      <c r="BL11" s="416">
        <v>0</v>
      </c>
      <c r="BM11" s="416">
        <v>0</v>
      </c>
      <c r="BN11" s="416">
        <v>0</v>
      </c>
      <c r="BO11" s="416">
        <v>0</v>
      </c>
      <c r="BP11" s="416">
        <v>0</v>
      </c>
      <c r="BQ11" s="416">
        <v>0</v>
      </c>
      <c r="BR11" s="416">
        <v>0</v>
      </c>
      <c r="BS11" s="416">
        <v>0</v>
      </c>
      <c r="BT11" s="416">
        <v>0</v>
      </c>
      <c r="BU11" s="416">
        <v>0</v>
      </c>
      <c r="BV11" s="416">
        <v>0</v>
      </c>
      <c r="BW11" s="416">
        <v>0</v>
      </c>
      <c r="BX11" s="416">
        <v>0</v>
      </c>
      <c r="BY11" s="416">
        <v>0</v>
      </c>
      <c r="BZ11" s="416">
        <v>0</v>
      </c>
      <c r="CC11" s="21"/>
      <c r="CD11" s="426" t="s">
        <v>141</v>
      </c>
      <c r="CE11" s="433">
        <f t="shared" si="0"/>
        <v>0</v>
      </c>
      <c r="CF11" s="433">
        <f t="shared" si="1"/>
        <v>0</v>
      </c>
      <c r="CG11" s="433">
        <f t="shared" si="2"/>
        <v>0</v>
      </c>
      <c r="CH11" s="433">
        <f t="shared" si="3"/>
        <v>0</v>
      </c>
      <c r="CI11" s="433">
        <f t="shared" si="4"/>
        <v>0</v>
      </c>
      <c r="CJ11" s="433">
        <f t="shared" si="5"/>
        <v>0</v>
      </c>
      <c r="CK11" s="433">
        <f t="shared" si="6"/>
        <v>0</v>
      </c>
      <c r="CL11" s="433">
        <f t="shared" si="7"/>
        <v>0</v>
      </c>
      <c r="CM11" s="433">
        <f t="shared" si="8"/>
        <v>0</v>
      </c>
      <c r="CN11" s="433">
        <f t="shared" si="9"/>
        <v>0</v>
      </c>
      <c r="CO11" s="433">
        <f t="shared" si="10"/>
        <v>0</v>
      </c>
      <c r="CP11" s="433">
        <f t="shared" si="11"/>
        <v>0</v>
      </c>
      <c r="CQ11" s="433">
        <f t="shared" si="12"/>
        <v>0</v>
      </c>
      <c r="CR11" s="433">
        <f t="shared" si="13"/>
        <v>0</v>
      </c>
      <c r="CS11" s="433">
        <f t="shared" si="14"/>
        <v>0</v>
      </c>
      <c r="CT11" s="21"/>
    </row>
    <row r="12" spans="2:98" ht="24.75" hidden="1" customHeight="1" outlineLevel="2">
      <c r="C12" s="426" t="s">
        <v>142</v>
      </c>
      <c r="D12" s="416">
        <v>0</v>
      </c>
      <c r="E12" s="416">
        <v>0</v>
      </c>
      <c r="F12" s="416">
        <v>0</v>
      </c>
      <c r="G12" s="416">
        <v>0</v>
      </c>
      <c r="H12" s="416">
        <v>0</v>
      </c>
      <c r="I12" s="416">
        <v>0</v>
      </c>
      <c r="J12" s="416">
        <v>0</v>
      </c>
      <c r="K12" s="416">
        <v>0</v>
      </c>
      <c r="L12" s="416">
        <v>0</v>
      </c>
      <c r="M12" s="416">
        <v>0</v>
      </c>
      <c r="N12" s="416">
        <v>0</v>
      </c>
      <c r="O12" s="416">
        <v>0</v>
      </c>
      <c r="P12" s="416">
        <v>0</v>
      </c>
      <c r="Q12" s="416">
        <v>0</v>
      </c>
      <c r="R12" s="416">
        <v>0</v>
      </c>
      <c r="S12" s="416">
        <v>0</v>
      </c>
      <c r="T12" s="416">
        <v>0</v>
      </c>
      <c r="U12" s="416">
        <v>0</v>
      </c>
      <c r="V12" s="416">
        <v>0</v>
      </c>
      <c r="W12" s="416">
        <v>0</v>
      </c>
      <c r="X12" s="416">
        <v>0</v>
      </c>
      <c r="Y12" s="416">
        <v>0</v>
      </c>
      <c r="Z12" s="416">
        <v>0</v>
      </c>
      <c r="AA12" s="416">
        <v>0</v>
      </c>
      <c r="AB12" s="416">
        <v>0</v>
      </c>
      <c r="AC12" s="416">
        <v>0</v>
      </c>
      <c r="AD12" s="416">
        <v>0</v>
      </c>
      <c r="AE12" s="416">
        <v>0</v>
      </c>
      <c r="AF12" s="416">
        <v>0</v>
      </c>
      <c r="AG12" s="416">
        <v>0</v>
      </c>
      <c r="AH12" s="416">
        <v>0</v>
      </c>
      <c r="AI12" s="416">
        <v>0</v>
      </c>
      <c r="AJ12" s="416">
        <v>0</v>
      </c>
      <c r="AK12" s="416">
        <v>0</v>
      </c>
      <c r="AL12" s="416">
        <v>0</v>
      </c>
      <c r="AM12" s="416">
        <v>0</v>
      </c>
      <c r="AN12" s="416">
        <v>0</v>
      </c>
      <c r="AO12" s="416">
        <v>0</v>
      </c>
      <c r="AP12" s="416">
        <v>0</v>
      </c>
      <c r="AQ12" s="416">
        <v>0</v>
      </c>
      <c r="AR12" s="416">
        <v>0</v>
      </c>
      <c r="AS12" s="416">
        <v>0</v>
      </c>
      <c r="AT12" s="416">
        <v>0</v>
      </c>
      <c r="AU12" s="416">
        <v>0</v>
      </c>
      <c r="AV12" s="416">
        <v>0</v>
      </c>
      <c r="AW12" s="416">
        <v>0</v>
      </c>
      <c r="AX12" s="416">
        <v>0</v>
      </c>
      <c r="AY12" s="416">
        <v>0</v>
      </c>
      <c r="AZ12" s="416">
        <v>0</v>
      </c>
      <c r="BA12" s="416">
        <v>0</v>
      </c>
      <c r="BB12" s="416">
        <v>0</v>
      </c>
      <c r="BC12" s="416">
        <v>0</v>
      </c>
      <c r="BD12" s="416">
        <v>0</v>
      </c>
      <c r="BE12" s="416">
        <v>0</v>
      </c>
      <c r="BF12" s="416">
        <v>0</v>
      </c>
      <c r="BG12" s="416">
        <v>0</v>
      </c>
      <c r="BH12" s="416">
        <v>0</v>
      </c>
      <c r="BI12" s="416">
        <v>0</v>
      </c>
      <c r="BJ12" s="416">
        <v>0</v>
      </c>
      <c r="BK12" s="416">
        <v>0</v>
      </c>
      <c r="BL12" s="416">
        <v>0</v>
      </c>
      <c r="BM12" s="416">
        <v>0</v>
      </c>
      <c r="BN12" s="416">
        <v>0</v>
      </c>
      <c r="BO12" s="416">
        <v>0</v>
      </c>
      <c r="BP12" s="416">
        <v>0</v>
      </c>
      <c r="BQ12" s="416">
        <v>0</v>
      </c>
      <c r="BR12" s="416">
        <v>0</v>
      </c>
      <c r="BS12" s="416">
        <v>0</v>
      </c>
      <c r="BT12" s="416">
        <v>0</v>
      </c>
      <c r="BU12" s="416">
        <v>0</v>
      </c>
      <c r="BV12" s="416">
        <v>0</v>
      </c>
      <c r="BW12" s="416">
        <v>0</v>
      </c>
      <c r="BX12" s="416">
        <v>0</v>
      </c>
      <c r="BY12" s="416">
        <v>0</v>
      </c>
      <c r="BZ12" s="416">
        <v>0</v>
      </c>
      <c r="CC12" s="21"/>
      <c r="CD12" s="426" t="s">
        <v>142</v>
      </c>
      <c r="CE12" s="433">
        <f t="shared" si="0"/>
        <v>0</v>
      </c>
      <c r="CF12" s="433">
        <f t="shared" si="1"/>
        <v>0</v>
      </c>
      <c r="CG12" s="433">
        <f t="shared" si="2"/>
        <v>0</v>
      </c>
      <c r="CH12" s="433">
        <f t="shared" si="3"/>
        <v>0</v>
      </c>
      <c r="CI12" s="433">
        <f t="shared" si="4"/>
        <v>0</v>
      </c>
      <c r="CJ12" s="433">
        <f t="shared" si="5"/>
        <v>0</v>
      </c>
      <c r="CK12" s="433">
        <f t="shared" si="6"/>
        <v>0</v>
      </c>
      <c r="CL12" s="433">
        <f t="shared" si="7"/>
        <v>0</v>
      </c>
      <c r="CM12" s="433">
        <f t="shared" si="8"/>
        <v>0</v>
      </c>
      <c r="CN12" s="433">
        <f t="shared" si="9"/>
        <v>0</v>
      </c>
      <c r="CO12" s="433">
        <f t="shared" si="10"/>
        <v>0</v>
      </c>
      <c r="CP12" s="433">
        <f t="shared" si="11"/>
        <v>0</v>
      </c>
      <c r="CQ12" s="433">
        <f t="shared" si="12"/>
        <v>0</v>
      </c>
      <c r="CR12" s="433">
        <f t="shared" si="13"/>
        <v>0</v>
      </c>
      <c r="CS12" s="433">
        <f t="shared" si="14"/>
        <v>0</v>
      </c>
      <c r="CT12" s="21"/>
    </row>
    <row r="13" spans="2:98" ht="24.75" hidden="1" customHeight="1" outlineLevel="2">
      <c r="C13" s="426" t="s">
        <v>143</v>
      </c>
      <c r="D13" s="416">
        <v>0</v>
      </c>
      <c r="E13" s="416">
        <v>0</v>
      </c>
      <c r="F13" s="416">
        <v>0</v>
      </c>
      <c r="G13" s="416">
        <v>0</v>
      </c>
      <c r="H13" s="416">
        <v>0</v>
      </c>
      <c r="I13" s="416">
        <v>0</v>
      </c>
      <c r="J13" s="416">
        <v>0</v>
      </c>
      <c r="K13" s="416">
        <v>0</v>
      </c>
      <c r="L13" s="416">
        <v>0</v>
      </c>
      <c r="M13" s="416">
        <v>0</v>
      </c>
      <c r="N13" s="416">
        <v>0</v>
      </c>
      <c r="O13" s="416">
        <v>0</v>
      </c>
      <c r="P13" s="416">
        <v>0</v>
      </c>
      <c r="Q13" s="416">
        <v>0</v>
      </c>
      <c r="R13" s="416">
        <v>0</v>
      </c>
      <c r="S13" s="416">
        <v>0</v>
      </c>
      <c r="T13" s="416">
        <v>0</v>
      </c>
      <c r="U13" s="416">
        <v>0</v>
      </c>
      <c r="V13" s="416">
        <v>0</v>
      </c>
      <c r="W13" s="416">
        <v>0</v>
      </c>
      <c r="X13" s="416">
        <v>0</v>
      </c>
      <c r="Y13" s="416">
        <v>0</v>
      </c>
      <c r="Z13" s="416">
        <v>0</v>
      </c>
      <c r="AA13" s="416">
        <v>0</v>
      </c>
      <c r="AB13" s="416">
        <v>0</v>
      </c>
      <c r="AC13" s="416">
        <v>0</v>
      </c>
      <c r="AD13" s="416">
        <v>0</v>
      </c>
      <c r="AE13" s="416">
        <v>0</v>
      </c>
      <c r="AF13" s="416">
        <v>0</v>
      </c>
      <c r="AG13" s="416">
        <v>0</v>
      </c>
      <c r="AH13" s="416">
        <v>0</v>
      </c>
      <c r="AI13" s="416">
        <v>0</v>
      </c>
      <c r="AJ13" s="416">
        <v>0</v>
      </c>
      <c r="AK13" s="416">
        <v>0</v>
      </c>
      <c r="AL13" s="416">
        <v>0</v>
      </c>
      <c r="AM13" s="416">
        <v>0</v>
      </c>
      <c r="AN13" s="416">
        <v>0</v>
      </c>
      <c r="AO13" s="416">
        <v>0</v>
      </c>
      <c r="AP13" s="416">
        <v>0</v>
      </c>
      <c r="AQ13" s="416">
        <v>0</v>
      </c>
      <c r="AR13" s="416">
        <v>0</v>
      </c>
      <c r="AS13" s="416">
        <v>0</v>
      </c>
      <c r="AT13" s="416">
        <v>0</v>
      </c>
      <c r="AU13" s="416">
        <v>0</v>
      </c>
      <c r="AV13" s="416">
        <v>0</v>
      </c>
      <c r="AW13" s="416">
        <v>0</v>
      </c>
      <c r="AX13" s="416">
        <v>0</v>
      </c>
      <c r="AY13" s="416">
        <v>0</v>
      </c>
      <c r="AZ13" s="416">
        <v>0</v>
      </c>
      <c r="BA13" s="416">
        <v>0</v>
      </c>
      <c r="BB13" s="416">
        <v>0</v>
      </c>
      <c r="BC13" s="416">
        <v>0</v>
      </c>
      <c r="BD13" s="416">
        <v>0</v>
      </c>
      <c r="BE13" s="416">
        <v>0</v>
      </c>
      <c r="BF13" s="416">
        <v>88.429000000000002</v>
      </c>
      <c r="BG13" s="416">
        <v>0</v>
      </c>
      <c r="BH13" s="416">
        <v>0</v>
      </c>
      <c r="BI13" s="416">
        <v>0</v>
      </c>
      <c r="BJ13" s="416">
        <v>48.938000000000002</v>
      </c>
      <c r="BK13" s="416">
        <v>48.938000000000002</v>
      </c>
      <c r="BL13" s="416">
        <v>102.11799999999999</v>
      </c>
      <c r="BM13" s="416">
        <v>144.99299999999999</v>
      </c>
      <c r="BN13" s="416">
        <v>92.106999999999999</v>
      </c>
      <c r="BO13" s="416">
        <v>100.096</v>
      </c>
      <c r="BP13" s="416">
        <v>100.096</v>
      </c>
      <c r="BQ13" s="416">
        <v>179.88499999999999</v>
      </c>
      <c r="BR13" s="416">
        <v>361.714</v>
      </c>
      <c r="BS13" s="416">
        <v>368.12099999999998</v>
      </c>
      <c r="BT13" s="416">
        <v>861.149</v>
      </c>
      <c r="BU13" s="416">
        <v>861.149</v>
      </c>
      <c r="BV13" s="416">
        <v>302.851</v>
      </c>
      <c r="BW13" s="416">
        <v>315.50799999999998</v>
      </c>
      <c r="BX13" s="416">
        <v>400.79899999999998</v>
      </c>
      <c r="BY13" s="416">
        <v>0</v>
      </c>
      <c r="BZ13" s="416">
        <v>0</v>
      </c>
      <c r="CC13" s="21"/>
      <c r="CD13" s="426" t="s">
        <v>143</v>
      </c>
      <c r="CE13" s="433">
        <f t="shared" si="0"/>
        <v>0</v>
      </c>
      <c r="CF13" s="433">
        <f t="shared" si="1"/>
        <v>0</v>
      </c>
      <c r="CG13" s="433">
        <f t="shared" si="2"/>
        <v>0</v>
      </c>
      <c r="CH13" s="433">
        <f t="shared" si="3"/>
        <v>0</v>
      </c>
      <c r="CI13" s="433">
        <f t="shared" si="4"/>
        <v>0</v>
      </c>
      <c r="CJ13" s="433">
        <f t="shared" si="5"/>
        <v>0</v>
      </c>
      <c r="CK13" s="433">
        <f t="shared" si="6"/>
        <v>0</v>
      </c>
      <c r="CL13" s="433">
        <f t="shared" si="7"/>
        <v>0</v>
      </c>
      <c r="CM13" s="433">
        <f t="shared" si="8"/>
        <v>0</v>
      </c>
      <c r="CN13" s="433">
        <f t="shared" si="9"/>
        <v>0</v>
      </c>
      <c r="CO13" s="433">
        <f t="shared" si="10"/>
        <v>88.429000000000002</v>
      </c>
      <c r="CP13" s="433">
        <f t="shared" si="11"/>
        <v>48.938000000000002</v>
      </c>
      <c r="CQ13" s="433">
        <f t="shared" si="12"/>
        <v>100.096</v>
      </c>
      <c r="CR13" s="433">
        <f t="shared" si="13"/>
        <v>861.149</v>
      </c>
      <c r="CS13" s="433">
        <f t="shared" si="14"/>
        <v>0</v>
      </c>
      <c r="CT13" s="21"/>
    </row>
    <row r="14" spans="2:98" ht="24.75" hidden="1" customHeight="1" outlineLevel="1">
      <c r="C14" s="424" t="s">
        <v>139</v>
      </c>
      <c r="D14" s="416">
        <v>0</v>
      </c>
      <c r="E14" s="416">
        <v>0</v>
      </c>
      <c r="F14" s="416">
        <v>0</v>
      </c>
      <c r="G14" s="416">
        <v>0</v>
      </c>
      <c r="H14" s="416">
        <v>0</v>
      </c>
      <c r="I14" s="416">
        <v>0</v>
      </c>
      <c r="J14" s="416">
        <v>0</v>
      </c>
      <c r="K14" s="416">
        <v>0</v>
      </c>
      <c r="L14" s="416">
        <v>0</v>
      </c>
      <c r="M14" s="416">
        <v>0</v>
      </c>
      <c r="N14" s="416">
        <v>0</v>
      </c>
      <c r="O14" s="416">
        <v>0</v>
      </c>
      <c r="P14" s="416">
        <v>0</v>
      </c>
      <c r="Q14" s="416">
        <v>0</v>
      </c>
      <c r="R14" s="416">
        <v>0</v>
      </c>
      <c r="S14" s="416">
        <v>0</v>
      </c>
      <c r="T14" s="416">
        <v>0</v>
      </c>
      <c r="U14" s="416">
        <v>0</v>
      </c>
      <c r="V14" s="416">
        <v>0</v>
      </c>
      <c r="W14" s="416">
        <v>0</v>
      </c>
      <c r="X14" s="416">
        <v>0</v>
      </c>
      <c r="Y14" s="416">
        <v>0</v>
      </c>
      <c r="Z14" s="416">
        <v>0</v>
      </c>
      <c r="AA14" s="416">
        <v>0</v>
      </c>
      <c r="AB14" s="416">
        <v>0</v>
      </c>
      <c r="AC14" s="416">
        <v>0</v>
      </c>
      <c r="AD14" s="416">
        <v>0</v>
      </c>
      <c r="AE14" s="416">
        <v>0</v>
      </c>
      <c r="AF14" s="416">
        <v>0</v>
      </c>
      <c r="AG14" s="416">
        <v>0</v>
      </c>
      <c r="AH14" s="416">
        <v>0</v>
      </c>
      <c r="AI14" s="416">
        <v>0</v>
      </c>
      <c r="AJ14" s="416">
        <v>0</v>
      </c>
      <c r="AK14" s="416">
        <v>0</v>
      </c>
      <c r="AL14" s="416">
        <v>0</v>
      </c>
      <c r="AM14" s="416">
        <v>0</v>
      </c>
      <c r="AN14" s="416">
        <v>0</v>
      </c>
      <c r="AO14" s="416">
        <v>0</v>
      </c>
      <c r="AP14" s="416">
        <v>0</v>
      </c>
      <c r="AQ14" s="416">
        <v>0</v>
      </c>
      <c r="AR14" s="416">
        <v>0</v>
      </c>
      <c r="AS14" s="416">
        <v>0</v>
      </c>
      <c r="AT14" s="416">
        <v>0</v>
      </c>
      <c r="AU14" s="416">
        <v>0</v>
      </c>
      <c r="AV14" s="416">
        <v>0</v>
      </c>
      <c r="AW14" s="416">
        <v>0</v>
      </c>
      <c r="AX14" s="416">
        <v>0</v>
      </c>
      <c r="AY14" s="416">
        <v>0</v>
      </c>
      <c r="AZ14" s="416">
        <v>0</v>
      </c>
      <c r="BA14" s="416">
        <v>0</v>
      </c>
      <c r="BB14" s="416">
        <v>0</v>
      </c>
      <c r="BC14" s="416">
        <v>0</v>
      </c>
      <c r="BD14" s="416">
        <v>0</v>
      </c>
      <c r="BE14" s="416">
        <v>0</v>
      </c>
      <c r="BF14" s="416">
        <v>88.429000000000002</v>
      </c>
      <c r="BG14" s="416">
        <v>0</v>
      </c>
      <c r="BH14" s="416">
        <v>0</v>
      </c>
      <c r="BI14" s="416">
        <v>0</v>
      </c>
      <c r="BJ14" s="416">
        <v>48.938000000000002</v>
      </c>
      <c r="BK14" s="416">
        <v>48.938000000000002</v>
      </c>
      <c r="BL14" s="416">
        <v>102.11799999999999</v>
      </c>
      <c r="BM14" s="416">
        <v>144.99299999999999</v>
      </c>
      <c r="BN14" s="416">
        <v>92.106999999999999</v>
      </c>
      <c r="BO14" s="416">
        <v>100.096</v>
      </c>
      <c r="BP14" s="416">
        <v>100.096</v>
      </c>
      <c r="BQ14" s="416">
        <v>179.88499999999999</v>
      </c>
      <c r="BR14" s="416">
        <v>361.714</v>
      </c>
      <c r="BS14" s="416">
        <v>368.12099999999998</v>
      </c>
      <c r="BT14" s="416">
        <v>861.149</v>
      </c>
      <c r="BU14" s="416">
        <v>861.149</v>
      </c>
      <c r="BV14" s="416">
        <v>302.851</v>
      </c>
      <c r="BW14" s="416">
        <v>315.50799999999998</v>
      </c>
      <c r="BX14" s="416">
        <v>400.79899999999998</v>
      </c>
      <c r="BY14" s="416">
        <v>0</v>
      </c>
      <c r="BZ14" s="416">
        <v>0</v>
      </c>
      <c r="CC14" s="21"/>
      <c r="CD14" s="424" t="s">
        <v>139</v>
      </c>
      <c r="CE14" s="433">
        <f t="shared" si="0"/>
        <v>0</v>
      </c>
      <c r="CF14" s="433">
        <f t="shared" si="1"/>
        <v>0</v>
      </c>
      <c r="CG14" s="433">
        <f t="shared" si="2"/>
        <v>0</v>
      </c>
      <c r="CH14" s="433">
        <f t="shared" si="3"/>
        <v>0</v>
      </c>
      <c r="CI14" s="433">
        <f t="shared" si="4"/>
        <v>0</v>
      </c>
      <c r="CJ14" s="433">
        <f t="shared" si="5"/>
        <v>0</v>
      </c>
      <c r="CK14" s="433">
        <f t="shared" si="6"/>
        <v>0</v>
      </c>
      <c r="CL14" s="433">
        <f t="shared" si="7"/>
        <v>0</v>
      </c>
      <c r="CM14" s="433">
        <f t="shared" si="8"/>
        <v>0</v>
      </c>
      <c r="CN14" s="433">
        <f t="shared" si="9"/>
        <v>0</v>
      </c>
      <c r="CO14" s="433">
        <f t="shared" si="10"/>
        <v>88.429000000000002</v>
      </c>
      <c r="CP14" s="433">
        <f t="shared" si="11"/>
        <v>48.938000000000002</v>
      </c>
      <c r="CQ14" s="433">
        <f t="shared" si="12"/>
        <v>100.096</v>
      </c>
      <c r="CR14" s="433">
        <f t="shared" si="13"/>
        <v>861.149</v>
      </c>
      <c r="CS14" s="433">
        <f t="shared" si="14"/>
        <v>0</v>
      </c>
      <c r="CT14" s="21"/>
    </row>
    <row r="15" spans="2:98" ht="24.75" customHeight="1" collapsed="1">
      <c r="C15" s="415" t="s">
        <v>44</v>
      </c>
      <c r="D15" s="416">
        <v>0</v>
      </c>
      <c r="E15" s="416">
        <v>0</v>
      </c>
      <c r="F15" s="416">
        <v>0</v>
      </c>
      <c r="G15" s="416">
        <v>0</v>
      </c>
      <c r="H15" s="416">
        <v>0</v>
      </c>
      <c r="I15" s="416">
        <v>0</v>
      </c>
      <c r="J15" s="416">
        <v>0</v>
      </c>
      <c r="K15" s="416">
        <v>0</v>
      </c>
      <c r="L15" s="416">
        <v>0</v>
      </c>
      <c r="M15" s="416">
        <v>0</v>
      </c>
      <c r="N15" s="416">
        <v>0</v>
      </c>
      <c r="O15" s="416">
        <v>0</v>
      </c>
      <c r="P15" s="416">
        <v>0</v>
      </c>
      <c r="Q15" s="416">
        <v>0</v>
      </c>
      <c r="R15" s="416">
        <v>0</v>
      </c>
      <c r="S15" s="416">
        <v>0</v>
      </c>
      <c r="T15" s="416">
        <v>0</v>
      </c>
      <c r="U15" s="416">
        <v>0</v>
      </c>
      <c r="V15" s="416">
        <v>0</v>
      </c>
      <c r="W15" s="416">
        <v>0</v>
      </c>
      <c r="X15" s="416">
        <v>0</v>
      </c>
      <c r="Y15" s="416">
        <v>0</v>
      </c>
      <c r="Z15" s="416">
        <v>0</v>
      </c>
      <c r="AA15" s="416">
        <v>0</v>
      </c>
      <c r="AB15" s="416">
        <v>0</v>
      </c>
      <c r="AC15" s="416">
        <v>0</v>
      </c>
      <c r="AD15" s="416">
        <v>0</v>
      </c>
      <c r="AE15" s="416">
        <v>0</v>
      </c>
      <c r="AF15" s="416">
        <v>0</v>
      </c>
      <c r="AG15" s="416">
        <v>0</v>
      </c>
      <c r="AH15" s="416">
        <v>0</v>
      </c>
      <c r="AI15" s="416">
        <v>0</v>
      </c>
      <c r="AJ15" s="416">
        <v>0</v>
      </c>
      <c r="AK15" s="416">
        <v>0</v>
      </c>
      <c r="AL15" s="416">
        <v>0</v>
      </c>
      <c r="AM15" s="416">
        <v>0</v>
      </c>
      <c r="AN15" s="416">
        <v>0</v>
      </c>
      <c r="AO15" s="416">
        <v>0</v>
      </c>
      <c r="AP15" s="416">
        <v>0</v>
      </c>
      <c r="AQ15" s="416">
        <v>0</v>
      </c>
      <c r="AR15" s="416">
        <v>0</v>
      </c>
      <c r="AS15" s="416">
        <v>0</v>
      </c>
      <c r="AT15" s="416">
        <v>0</v>
      </c>
      <c r="AU15" s="416">
        <v>0</v>
      </c>
      <c r="AV15" s="416">
        <v>0</v>
      </c>
      <c r="AW15" s="416">
        <v>0</v>
      </c>
      <c r="AX15" s="416">
        <v>0</v>
      </c>
      <c r="AY15" s="416">
        <v>0</v>
      </c>
      <c r="AZ15" s="416">
        <v>0</v>
      </c>
      <c r="BA15" s="416">
        <v>0</v>
      </c>
      <c r="BB15" s="416">
        <v>0</v>
      </c>
      <c r="BC15" s="416">
        <v>0</v>
      </c>
      <c r="BD15" s="416">
        <v>0</v>
      </c>
      <c r="BE15" s="416">
        <v>0</v>
      </c>
      <c r="BF15" s="416">
        <v>637.37400000000002</v>
      </c>
      <c r="BG15" s="416">
        <v>0</v>
      </c>
      <c r="BH15" s="416">
        <v>0</v>
      </c>
      <c r="BI15" s="416">
        <v>0</v>
      </c>
      <c r="BJ15" s="416">
        <v>1110.788</v>
      </c>
      <c r="BK15" s="416">
        <v>1110.788</v>
      </c>
      <c r="BL15" s="416">
        <v>2085.4360000000001</v>
      </c>
      <c r="BM15" s="416">
        <v>4510.9750000000004</v>
      </c>
      <c r="BN15" s="416">
        <v>6444.8819999999996</v>
      </c>
      <c r="BO15" s="416">
        <v>7223.5739999999996</v>
      </c>
      <c r="BP15" s="416">
        <v>7223.5739999999996</v>
      </c>
      <c r="BQ15" s="416">
        <v>6296.2730000000001</v>
      </c>
      <c r="BR15" s="416">
        <v>6043.7820000000002</v>
      </c>
      <c r="BS15" s="416">
        <v>5374.7049999999999</v>
      </c>
      <c r="BT15" s="416">
        <v>5286.17</v>
      </c>
      <c r="BU15" s="416">
        <v>5286.17</v>
      </c>
      <c r="BV15" s="416">
        <v>5321.26</v>
      </c>
      <c r="BW15" s="416">
        <v>5482.241</v>
      </c>
      <c r="BX15" s="416">
        <v>5501.598</v>
      </c>
      <c r="BY15" s="416">
        <v>0</v>
      </c>
      <c r="BZ15" s="416">
        <v>0</v>
      </c>
      <c r="CC15" s="21"/>
      <c r="CD15" s="415" t="s">
        <v>44</v>
      </c>
      <c r="CE15" s="433">
        <f t="shared" si="0"/>
        <v>0</v>
      </c>
      <c r="CF15" s="433">
        <f t="shared" si="1"/>
        <v>0</v>
      </c>
      <c r="CG15" s="433">
        <f t="shared" si="2"/>
        <v>0</v>
      </c>
      <c r="CH15" s="433">
        <f t="shared" si="3"/>
        <v>0</v>
      </c>
      <c r="CI15" s="433">
        <f t="shared" si="4"/>
        <v>0</v>
      </c>
      <c r="CJ15" s="433">
        <f t="shared" si="5"/>
        <v>0</v>
      </c>
      <c r="CK15" s="433">
        <f t="shared" si="6"/>
        <v>0</v>
      </c>
      <c r="CL15" s="433">
        <f t="shared" si="7"/>
        <v>0</v>
      </c>
      <c r="CM15" s="433">
        <f t="shared" si="8"/>
        <v>0</v>
      </c>
      <c r="CN15" s="433">
        <f t="shared" si="9"/>
        <v>0</v>
      </c>
      <c r="CO15" s="433">
        <f t="shared" si="10"/>
        <v>637.37400000000002</v>
      </c>
      <c r="CP15" s="433">
        <f t="shared" si="11"/>
        <v>1110.788</v>
      </c>
      <c r="CQ15" s="433">
        <f t="shared" si="12"/>
        <v>7223.5739999999996</v>
      </c>
      <c r="CR15" s="433">
        <f t="shared" si="13"/>
        <v>5286.17</v>
      </c>
      <c r="CS15" s="433">
        <f t="shared" si="14"/>
        <v>0</v>
      </c>
      <c r="CT15" s="21"/>
    </row>
    <row r="16" spans="2:98" ht="24.75" customHeight="1">
      <c r="C16" s="415" t="s">
        <v>144</v>
      </c>
      <c r="D16" s="416">
        <v>0</v>
      </c>
      <c r="E16" s="416">
        <v>0</v>
      </c>
      <c r="F16" s="416">
        <v>0</v>
      </c>
      <c r="G16" s="416">
        <v>0</v>
      </c>
      <c r="H16" s="416">
        <v>0</v>
      </c>
      <c r="I16" s="416">
        <v>0</v>
      </c>
      <c r="J16" s="416">
        <v>0</v>
      </c>
      <c r="K16" s="416">
        <v>0</v>
      </c>
      <c r="L16" s="416">
        <v>0</v>
      </c>
      <c r="M16" s="416">
        <v>0</v>
      </c>
      <c r="N16" s="416">
        <v>0</v>
      </c>
      <c r="O16" s="416">
        <v>0</v>
      </c>
      <c r="P16" s="416">
        <v>0</v>
      </c>
      <c r="Q16" s="416">
        <v>0</v>
      </c>
      <c r="R16" s="416">
        <v>0</v>
      </c>
      <c r="S16" s="416">
        <v>0</v>
      </c>
      <c r="T16" s="416">
        <v>0</v>
      </c>
      <c r="U16" s="416">
        <v>0</v>
      </c>
      <c r="V16" s="416">
        <v>0</v>
      </c>
      <c r="W16" s="416">
        <v>0</v>
      </c>
      <c r="X16" s="416">
        <v>0</v>
      </c>
      <c r="Y16" s="416">
        <v>0</v>
      </c>
      <c r="Z16" s="416">
        <v>0</v>
      </c>
      <c r="AA16" s="416">
        <v>0</v>
      </c>
      <c r="AB16" s="416">
        <v>0</v>
      </c>
      <c r="AC16" s="416">
        <v>0</v>
      </c>
      <c r="AD16" s="416">
        <v>0</v>
      </c>
      <c r="AE16" s="416">
        <v>0</v>
      </c>
      <c r="AF16" s="416">
        <v>0</v>
      </c>
      <c r="AG16" s="416">
        <v>0</v>
      </c>
      <c r="AH16" s="416">
        <v>0</v>
      </c>
      <c r="AI16" s="416">
        <v>0</v>
      </c>
      <c r="AJ16" s="416">
        <v>0</v>
      </c>
      <c r="AK16" s="416">
        <v>0</v>
      </c>
      <c r="AL16" s="416">
        <v>0</v>
      </c>
      <c r="AM16" s="416">
        <v>0</v>
      </c>
      <c r="AN16" s="416">
        <v>0</v>
      </c>
      <c r="AO16" s="416">
        <v>0</v>
      </c>
      <c r="AP16" s="416">
        <v>0</v>
      </c>
      <c r="AQ16" s="416">
        <v>0</v>
      </c>
      <c r="AR16" s="416">
        <v>0</v>
      </c>
      <c r="AS16" s="416">
        <v>0</v>
      </c>
      <c r="AT16" s="416">
        <v>0</v>
      </c>
      <c r="AU16" s="416">
        <v>0</v>
      </c>
      <c r="AV16" s="416">
        <v>0</v>
      </c>
      <c r="AW16" s="416">
        <v>0</v>
      </c>
      <c r="AX16" s="416">
        <v>0</v>
      </c>
      <c r="AY16" s="416">
        <v>0</v>
      </c>
      <c r="AZ16" s="416">
        <v>0</v>
      </c>
      <c r="BA16" s="416">
        <v>0</v>
      </c>
      <c r="BB16" s="416">
        <v>0</v>
      </c>
      <c r="BC16" s="416">
        <v>0</v>
      </c>
      <c r="BD16" s="416">
        <v>0</v>
      </c>
      <c r="BE16" s="416">
        <v>0</v>
      </c>
      <c r="BF16" s="416">
        <v>1235.472</v>
      </c>
      <c r="BG16" s="416">
        <v>0</v>
      </c>
      <c r="BH16" s="416">
        <v>0</v>
      </c>
      <c r="BI16" s="416">
        <v>0</v>
      </c>
      <c r="BJ16" s="416">
        <v>3794.1790000000001</v>
      </c>
      <c r="BK16" s="416">
        <v>3794.1790000000001</v>
      </c>
      <c r="BL16" s="416">
        <v>6322.6170000000002</v>
      </c>
      <c r="BM16" s="416">
        <v>8992.6540000000005</v>
      </c>
      <c r="BN16" s="416">
        <v>8987.85</v>
      </c>
      <c r="BO16" s="416">
        <v>10648.503000000001</v>
      </c>
      <c r="BP16" s="416">
        <v>10648.503000000001</v>
      </c>
      <c r="BQ16" s="416">
        <v>10050.495999999999</v>
      </c>
      <c r="BR16" s="416">
        <v>95663.982999999993</v>
      </c>
      <c r="BS16" s="416">
        <v>101727.342</v>
      </c>
      <c r="BT16" s="416">
        <v>80580.187000000005</v>
      </c>
      <c r="BU16" s="416">
        <v>80580.187000000005</v>
      </c>
      <c r="BV16" s="416">
        <v>129834.27</v>
      </c>
      <c r="BW16" s="416">
        <v>128191.77099999999</v>
      </c>
      <c r="BX16" s="416">
        <v>117842.798</v>
      </c>
      <c r="BY16" s="416">
        <v>0</v>
      </c>
      <c r="BZ16" s="416">
        <v>0</v>
      </c>
      <c r="CC16" s="21"/>
      <c r="CD16" s="415" t="s">
        <v>144</v>
      </c>
      <c r="CE16" s="433">
        <f t="shared" si="0"/>
        <v>0</v>
      </c>
      <c r="CF16" s="433">
        <f t="shared" si="1"/>
        <v>0</v>
      </c>
      <c r="CG16" s="433">
        <f t="shared" si="2"/>
        <v>0</v>
      </c>
      <c r="CH16" s="433">
        <f t="shared" si="3"/>
        <v>0</v>
      </c>
      <c r="CI16" s="433">
        <f t="shared" si="4"/>
        <v>0</v>
      </c>
      <c r="CJ16" s="433">
        <f t="shared" si="5"/>
        <v>0</v>
      </c>
      <c r="CK16" s="433">
        <f t="shared" si="6"/>
        <v>0</v>
      </c>
      <c r="CL16" s="433">
        <f t="shared" si="7"/>
        <v>0</v>
      </c>
      <c r="CM16" s="433">
        <f t="shared" si="8"/>
        <v>0</v>
      </c>
      <c r="CN16" s="433">
        <f t="shared" si="9"/>
        <v>0</v>
      </c>
      <c r="CO16" s="433">
        <f t="shared" si="10"/>
        <v>1235.472</v>
      </c>
      <c r="CP16" s="433">
        <f t="shared" si="11"/>
        <v>3794.1790000000001</v>
      </c>
      <c r="CQ16" s="433">
        <f t="shared" si="12"/>
        <v>10648.503000000001</v>
      </c>
      <c r="CR16" s="433">
        <f t="shared" si="13"/>
        <v>80580.187000000005</v>
      </c>
      <c r="CS16" s="433">
        <f t="shared" si="14"/>
        <v>0</v>
      </c>
      <c r="CT16" s="21"/>
    </row>
    <row r="17" spans="3:98" ht="24.75" customHeight="1">
      <c r="C17" s="415" t="s">
        <v>145</v>
      </c>
      <c r="D17" s="416">
        <v>0</v>
      </c>
      <c r="E17" s="416">
        <v>0</v>
      </c>
      <c r="F17" s="416">
        <v>0</v>
      </c>
      <c r="G17" s="416">
        <v>0</v>
      </c>
      <c r="H17" s="416">
        <v>0</v>
      </c>
      <c r="I17" s="416">
        <v>0</v>
      </c>
      <c r="J17" s="416">
        <v>0</v>
      </c>
      <c r="K17" s="416">
        <v>0</v>
      </c>
      <c r="L17" s="416">
        <v>0</v>
      </c>
      <c r="M17" s="416">
        <v>0</v>
      </c>
      <c r="N17" s="416">
        <v>0</v>
      </c>
      <c r="O17" s="416">
        <v>0</v>
      </c>
      <c r="P17" s="416">
        <v>0</v>
      </c>
      <c r="Q17" s="416">
        <v>0</v>
      </c>
      <c r="R17" s="416">
        <v>0</v>
      </c>
      <c r="S17" s="416">
        <v>0</v>
      </c>
      <c r="T17" s="416">
        <v>0</v>
      </c>
      <c r="U17" s="416">
        <v>0</v>
      </c>
      <c r="V17" s="416">
        <v>0</v>
      </c>
      <c r="W17" s="416">
        <v>0</v>
      </c>
      <c r="X17" s="416">
        <v>0</v>
      </c>
      <c r="Y17" s="416">
        <v>0</v>
      </c>
      <c r="Z17" s="416">
        <v>0</v>
      </c>
      <c r="AA17" s="416">
        <v>0</v>
      </c>
      <c r="AB17" s="416">
        <v>0</v>
      </c>
      <c r="AC17" s="416">
        <v>0</v>
      </c>
      <c r="AD17" s="416">
        <v>0</v>
      </c>
      <c r="AE17" s="416">
        <v>0</v>
      </c>
      <c r="AF17" s="416">
        <v>0</v>
      </c>
      <c r="AG17" s="416">
        <v>0</v>
      </c>
      <c r="AH17" s="416">
        <v>0</v>
      </c>
      <c r="AI17" s="416">
        <v>0</v>
      </c>
      <c r="AJ17" s="416">
        <v>0</v>
      </c>
      <c r="AK17" s="416">
        <v>0</v>
      </c>
      <c r="AL17" s="416">
        <v>0</v>
      </c>
      <c r="AM17" s="416">
        <v>0</v>
      </c>
      <c r="AN17" s="416">
        <v>0</v>
      </c>
      <c r="AO17" s="416">
        <v>0</v>
      </c>
      <c r="AP17" s="416">
        <v>0</v>
      </c>
      <c r="AQ17" s="416">
        <v>0</v>
      </c>
      <c r="AR17" s="416">
        <v>0</v>
      </c>
      <c r="AS17" s="416">
        <v>0</v>
      </c>
      <c r="AT17" s="416">
        <v>0</v>
      </c>
      <c r="AU17" s="416">
        <v>0</v>
      </c>
      <c r="AV17" s="416">
        <v>0</v>
      </c>
      <c r="AW17" s="416">
        <v>0</v>
      </c>
      <c r="AX17" s="416">
        <v>0</v>
      </c>
      <c r="AY17" s="416">
        <v>0</v>
      </c>
      <c r="AZ17" s="416">
        <v>0</v>
      </c>
      <c r="BA17" s="416">
        <v>0</v>
      </c>
      <c r="BB17" s="416">
        <v>0</v>
      </c>
      <c r="BC17" s="416">
        <v>0</v>
      </c>
      <c r="BD17" s="416">
        <v>0</v>
      </c>
      <c r="BE17" s="416">
        <v>0</v>
      </c>
      <c r="BF17" s="416">
        <v>0</v>
      </c>
      <c r="BG17" s="416">
        <v>0</v>
      </c>
      <c r="BH17" s="416">
        <v>0</v>
      </c>
      <c r="BI17" s="416">
        <v>0</v>
      </c>
      <c r="BJ17" s="416">
        <v>2.5750000000000002</v>
      </c>
      <c r="BK17" s="416">
        <v>2.5750000000000002</v>
      </c>
      <c r="BL17" s="416">
        <v>18.809000000000001</v>
      </c>
      <c r="BM17" s="416">
        <v>0</v>
      </c>
      <c r="BN17" s="416">
        <v>0</v>
      </c>
      <c r="BO17" s="416">
        <v>0</v>
      </c>
      <c r="BP17" s="416">
        <v>0</v>
      </c>
      <c r="BQ17" s="416">
        <v>0</v>
      </c>
      <c r="BR17" s="416">
        <v>0</v>
      </c>
      <c r="BS17" s="416">
        <v>0</v>
      </c>
      <c r="BT17" s="416">
        <v>0</v>
      </c>
      <c r="BU17" s="416">
        <v>0</v>
      </c>
      <c r="BV17" s="416">
        <v>0</v>
      </c>
      <c r="BW17" s="416">
        <v>0</v>
      </c>
      <c r="BX17" s="416">
        <v>0</v>
      </c>
      <c r="BY17" s="416">
        <v>0</v>
      </c>
      <c r="BZ17" s="416">
        <v>0</v>
      </c>
      <c r="CC17" s="21"/>
      <c r="CD17" s="415" t="s">
        <v>145</v>
      </c>
      <c r="CE17" s="433">
        <f t="shared" si="0"/>
        <v>0</v>
      </c>
      <c r="CF17" s="433">
        <f t="shared" si="1"/>
        <v>0</v>
      </c>
      <c r="CG17" s="433">
        <f t="shared" si="2"/>
        <v>0</v>
      </c>
      <c r="CH17" s="433">
        <f t="shared" si="3"/>
        <v>0</v>
      </c>
      <c r="CI17" s="433">
        <f t="shared" si="4"/>
        <v>0</v>
      </c>
      <c r="CJ17" s="433">
        <f t="shared" si="5"/>
        <v>0</v>
      </c>
      <c r="CK17" s="433">
        <f t="shared" si="6"/>
        <v>0</v>
      </c>
      <c r="CL17" s="433">
        <f t="shared" si="7"/>
        <v>0</v>
      </c>
      <c r="CM17" s="433">
        <f t="shared" si="8"/>
        <v>0</v>
      </c>
      <c r="CN17" s="433">
        <f t="shared" si="9"/>
        <v>0</v>
      </c>
      <c r="CO17" s="433">
        <f t="shared" si="10"/>
        <v>0</v>
      </c>
      <c r="CP17" s="433">
        <f t="shared" si="11"/>
        <v>2.5750000000000002</v>
      </c>
      <c r="CQ17" s="433">
        <f t="shared" si="12"/>
        <v>0</v>
      </c>
      <c r="CR17" s="433">
        <f t="shared" si="13"/>
        <v>0</v>
      </c>
      <c r="CS17" s="433">
        <f t="shared" si="14"/>
        <v>0</v>
      </c>
      <c r="CT17" s="21"/>
    </row>
    <row r="18" spans="3:98" ht="24.75" hidden="1" customHeight="1" outlineLevel="1">
      <c r="C18" s="424" t="s">
        <v>147</v>
      </c>
      <c r="D18" s="416">
        <v>0</v>
      </c>
      <c r="E18" s="416">
        <v>0</v>
      </c>
      <c r="F18" s="416">
        <v>0</v>
      </c>
      <c r="G18" s="416">
        <v>0</v>
      </c>
      <c r="H18" s="416">
        <v>0</v>
      </c>
      <c r="I18" s="416">
        <v>0</v>
      </c>
      <c r="J18" s="416">
        <v>0</v>
      </c>
      <c r="K18" s="416">
        <v>0</v>
      </c>
      <c r="L18" s="416">
        <v>0</v>
      </c>
      <c r="M18" s="416">
        <v>0</v>
      </c>
      <c r="N18" s="416">
        <v>0</v>
      </c>
      <c r="O18" s="416">
        <v>0</v>
      </c>
      <c r="P18" s="416">
        <v>0</v>
      </c>
      <c r="Q18" s="416">
        <v>0</v>
      </c>
      <c r="R18" s="416">
        <v>0</v>
      </c>
      <c r="S18" s="416">
        <v>0</v>
      </c>
      <c r="T18" s="416">
        <v>0</v>
      </c>
      <c r="U18" s="416">
        <v>0</v>
      </c>
      <c r="V18" s="416">
        <v>0</v>
      </c>
      <c r="W18" s="416">
        <v>0</v>
      </c>
      <c r="X18" s="416">
        <v>0</v>
      </c>
      <c r="Y18" s="416">
        <v>0</v>
      </c>
      <c r="Z18" s="416">
        <v>0</v>
      </c>
      <c r="AA18" s="416">
        <v>0</v>
      </c>
      <c r="AB18" s="416">
        <v>0</v>
      </c>
      <c r="AC18" s="416">
        <v>0</v>
      </c>
      <c r="AD18" s="416">
        <v>0</v>
      </c>
      <c r="AE18" s="416">
        <v>0</v>
      </c>
      <c r="AF18" s="416">
        <v>0</v>
      </c>
      <c r="AG18" s="416">
        <v>0</v>
      </c>
      <c r="AH18" s="416">
        <v>0</v>
      </c>
      <c r="AI18" s="416">
        <v>0</v>
      </c>
      <c r="AJ18" s="416">
        <v>0</v>
      </c>
      <c r="AK18" s="416">
        <v>0</v>
      </c>
      <c r="AL18" s="416">
        <v>0</v>
      </c>
      <c r="AM18" s="416">
        <v>0</v>
      </c>
      <c r="AN18" s="416">
        <v>0</v>
      </c>
      <c r="AO18" s="416">
        <v>0</v>
      </c>
      <c r="AP18" s="416">
        <v>0</v>
      </c>
      <c r="AQ18" s="416">
        <v>0</v>
      </c>
      <c r="AR18" s="416">
        <v>0</v>
      </c>
      <c r="AS18" s="416">
        <v>0</v>
      </c>
      <c r="AT18" s="416">
        <v>0</v>
      </c>
      <c r="AU18" s="416">
        <v>0</v>
      </c>
      <c r="AV18" s="416">
        <v>0</v>
      </c>
      <c r="AW18" s="416">
        <v>0</v>
      </c>
      <c r="AX18" s="416">
        <v>0</v>
      </c>
      <c r="AY18" s="416">
        <v>0</v>
      </c>
      <c r="AZ18" s="416">
        <v>0</v>
      </c>
      <c r="BA18" s="416">
        <v>0</v>
      </c>
      <c r="BB18" s="416">
        <v>0</v>
      </c>
      <c r="BC18" s="416">
        <v>0</v>
      </c>
      <c r="BD18" s="416">
        <v>0</v>
      </c>
      <c r="BE18" s="416">
        <v>0</v>
      </c>
      <c r="BF18" s="416">
        <v>0</v>
      </c>
      <c r="BG18" s="416">
        <v>0</v>
      </c>
      <c r="BH18" s="416">
        <v>0</v>
      </c>
      <c r="BI18" s="416">
        <v>0</v>
      </c>
      <c r="BJ18" s="416">
        <v>0</v>
      </c>
      <c r="BK18" s="416">
        <v>0</v>
      </c>
      <c r="BL18" s="416">
        <v>0</v>
      </c>
      <c r="BM18" s="416">
        <v>0</v>
      </c>
      <c r="BN18" s="416">
        <v>0</v>
      </c>
      <c r="BO18" s="416">
        <v>0</v>
      </c>
      <c r="BP18" s="416">
        <v>0</v>
      </c>
      <c r="BQ18" s="416">
        <v>0</v>
      </c>
      <c r="BR18" s="416">
        <v>0</v>
      </c>
      <c r="BS18" s="416">
        <v>0</v>
      </c>
      <c r="BT18" s="416">
        <v>0</v>
      </c>
      <c r="BU18" s="416">
        <v>0</v>
      </c>
      <c r="BV18" s="416">
        <v>0</v>
      </c>
      <c r="BW18" s="416">
        <v>0</v>
      </c>
      <c r="BX18" s="416">
        <v>0</v>
      </c>
      <c r="BY18" s="416">
        <v>0</v>
      </c>
      <c r="BZ18" s="416">
        <v>0</v>
      </c>
      <c r="CC18" s="21"/>
      <c r="CD18" s="424" t="s">
        <v>147</v>
      </c>
      <c r="CE18" s="433">
        <f t="shared" si="0"/>
        <v>0</v>
      </c>
      <c r="CF18" s="433">
        <f t="shared" si="1"/>
        <v>0</v>
      </c>
      <c r="CG18" s="433">
        <f t="shared" si="2"/>
        <v>0</v>
      </c>
      <c r="CH18" s="433">
        <f t="shared" si="3"/>
        <v>0</v>
      </c>
      <c r="CI18" s="433">
        <f t="shared" si="4"/>
        <v>0</v>
      </c>
      <c r="CJ18" s="433">
        <f t="shared" si="5"/>
        <v>0</v>
      </c>
      <c r="CK18" s="433">
        <f t="shared" si="6"/>
        <v>0</v>
      </c>
      <c r="CL18" s="433">
        <f t="shared" si="7"/>
        <v>0</v>
      </c>
      <c r="CM18" s="433">
        <f t="shared" si="8"/>
        <v>0</v>
      </c>
      <c r="CN18" s="433">
        <f t="shared" si="9"/>
        <v>0</v>
      </c>
      <c r="CO18" s="433">
        <f t="shared" si="10"/>
        <v>0</v>
      </c>
      <c r="CP18" s="433">
        <f t="shared" si="11"/>
        <v>0</v>
      </c>
      <c r="CQ18" s="433">
        <f t="shared" si="12"/>
        <v>0</v>
      </c>
      <c r="CR18" s="433">
        <f t="shared" si="13"/>
        <v>0</v>
      </c>
      <c r="CS18" s="433">
        <f t="shared" si="14"/>
        <v>0</v>
      </c>
      <c r="CT18" s="21"/>
    </row>
    <row r="19" spans="3:98" ht="24.75" hidden="1" customHeight="1" outlineLevel="1">
      <c r="C19" s="424" t="s">
        <v>148</v>
      </c>
      <c r="D19" s="416">
        <v>0</v>
      </c>
      <c r="E19" s="416">
        <v>0</v>
      </c>
      <c r="F19" s="416">
        <v>0</v>
      </c>
      <c r="G19" s="416">
        <v>0</v>
      </c>
      <c r="H19" s="416">
        <v>0</v>
      </c>
      <c r="I19" s="416">
        <v>0</v>
      </c>
      <c r="J19" s="416">
        <v>0</v>
      </c>
      <c r="K19" s="416">
        <v>0</v>
      </c>
      <c r="L19" s="416">
        <v>0</v>
      </c>
      <c r="M19" s="416">
        <v>0</v>
      </c>
      <c r="N19" s="416">
        <v>0</v>
      </c>
      <c r="O19" s="416">
        <v>0</v>
      </c>
      <c r="P19" s="416">
        <v>0</v>
      </c>
      <c r="Q19" s="416">
        <v>0</v>
      </c>
      <c r="R19" s="416">
        <v>0</v>
      </c>
      <c r="S19" s="416">
        <v>0</v>
      </c>
      <c r="T19" s="416">
        <v>0</v>
      </c>
      <c r="U19" s="416">
        <v>0</v>
      </c>
      <c r="V19" s="416">
        <v>0</v>
      </c>
      <c r="W19" s="416">
        <v>0</v>
      </c>
      <c r="X19" s="416">
        <v>0</v>
      </c>
      <c r="Y19" s="416">
        <v>0</v>
      </c>
      <c r="Z19" s="416">
        <v>0</v>
      </c>
      <c r="AA19" s="416">
        <v>0</v>
      </c>
      <c r="AB19" s="416">
        <v>0</v>
      </c>
      <c r="AC19" s="416">
        <v>0</v>
      </c>
      <c r="AD19" s="416">
        <v>0</v>
      </c>
      <c r="AE19" s="416">
        <v>0</v>
      </c>
      <c r="AF19" s="416">
        <v>0</v>
      </c>
      <c r="AG19" s="416">
        <v>0</v>
      </c>
      <c r="AH19" s="416">
        <v>0</v>
      </c>
      <c r="AI19" s="416">
        <v>0</v>
      </c>
      <c r="AJ19" s="416">
        <v>0</v>
      </c>
      <c r="AK19" s="416">
        <v>0</v>
      </c>
      <c r="AL19" s="416">
        <v>0</v>
      </c>
      <c r="AM19" s="416">
        <v>0</v>
      </c>
      <c r="AN19" s="416">
        <v>0</v>
      </c>
      <c r="AO19" s="416">
        <v>0</v>
      </c>
      <c r="AP19" s="416">
        <v>0</v>
      </c>
      <c r="AQ19" s="416">
        <v>0</v>
      </c>
      <c r="AR19" s="416">
        <v>0</v>
      </c>
      <c r="AS19" s="416">
        <v>0</v>
      </c>
      <c r="AT19" s="416">
        <v>0</v>
      </c>
      <c r="AU19" s="416">
        <v>0</v>
      </c>
      <c r="AV19" s="416">
        <v>0</v>
      </c>
      <c r="AW19" s="416">
        <v>0</v>
      </c>
      <c r="AX19" s="416">
        <v>0</v>
      </c>
      <c r="AY19" s="416">
        <v>0</v>
      </c>
      <c r="AZ19" s="416">
        <v>0</v>
      </c>
      <c r="BA19" s="416">
        <v>0</v>
      </c>
      <c r="BB19" s="416">
        <v>0</v>
      </c>
      <c r="BC19" s="416">
        <v>0</v>
      </c>
      <c r="BD19" s="416">
        <v>0</v>
      </c>
      <c r="BE19" s="416">
        <v>0</v>
      </c>
      <c r="BF19" s="416">
        <v>0</v>
      </c>
      <c r="BG19" s="416">
        <v>0</v>
      </c>
      <c r="BH19" s="416">
        <v>0</v>
      </c>
      <c r="BI19" s="416">
        <v>0</v>
      </c>
      <c r="BJ19" s="416">
        <v>0</v>
      </c>
      <c r="BK19" s="416">
        <v>0</v>
      </c>
      <c r="BL19" s="416">
        <v>0</v>
      </c>
      <c r="BM19" s="416">
        <v>0</v>
      </c>
      <c r="BN19" s="416">
        <v>0</v>
      </c>
      <c r="BO19" s="416">
        <v>0</v>
      </c>
      <c r="BP19" s="416">
        <v>0</v>
      </c>
      <c r="BQ19" s="416">
        <v>0</v>
      </c>
      <c r="BR19" s="416">
        <v>0</v>
      </c>
      <c r="BS19" s="416">
        <v>0</v>
      </c>
      <c r="BT19" s="416">
        <v>0</v>
      </c>
      <c r="BU19" s="416">
        <v>0</v>
      </c>
      <c r="BV19" s="416">
        <v>0</v>
      </c>
      <c r="BW19" s="416">
        <v>0</v>
      </c>
      <c r="BX19" s="416">
        <v>0</v>
      </c>
      <c r="BY19" s="416">
        <v>0</v>
      </c>
      <c r="BZ19" s="416">
        <v>0</v>
      </c>
      <c r="CC19" s="21"/>
      <c r="CD19" s="424" t="s">
        <v>148</v>
      </c>
      <c r="CE19" s="433">
        <f t="shared" si="0"/>
        <v>0</v>
      </c>
      <c r="CF19" s="433">
        <f t="shared" si="1"/>
        <v>0</v>
      </c>
      <c r="CG19" s="433">
        <f t="shared" si="2"/>
        <v>0</v>
      </c>
      <c r="CH19" s="433">
        <f t="shared" si="3"/>
        <v>0</v>
      </c>
      <c r="CI19" s="433">
        <f t="shared" si="4"/>
        <v>0</v>
      </c>
      <c r="CJ19" s="433">
        <f t="shared" si="5"/>
        <v>0</v>
      </c>
      <c r="CK19" s="433">
        <f t="shared" si="6"/>
        <v>0</v>
      </c>
      <c r="CL19" s="433">
        <f t="shared" si="7"/>
        <v>0</v>
      </c>
      <c r="CM19" s="433">
        <f t="shared" si="8"/>
        <v>0</v>
      </c>
      <c r="CN19" s="433">
        <f t="shared" si="9"/>
        <v>0</v>
      </c>
      <c r="CO19" s="433">
        <f t="shared" si="10"/>
        <v>0</v>
      </c>
      <c r="CP19" s="433">
        <f t="shared" si="11"/>
        <v>0</v>
      </c>
      <c r="CQ19" s="433">
        <f t="shared" si="12"/>
        <v>0</v>
      </c>
      <c r="CR19" s="433">
        <f t="shared" si="13"/>
        <v>0</v>
      </c>
      <c r="CS19" s="433">
        <f t="shared" si="14"/>
        <v>0</v>
      </c>
      <c r="CT19" s="21"/>
    </row>
    <row r="20" spans="3:98" ht="24.75" hidden="1" customHeight="1" outlineLevel="1">
      <c r="C20" s="424" t="s">
        <v>149</v>
      </c>
      <c r="D20" s="416">
        <v>0</v>
      </c>
      <c r="E20" s="416">
        <v>0</v>
      </c>
      <c r="F20" s="416">
        <v>0</v>
      </c>
      <c r="G20" s="416">
        <v>0</v>
      </c>
      <c r="H20" s="416">
        <v>0</v>
      </c>
      <c r="I20" s="416">
        <v>0</v>
      </c>
      <c r="J20" s="416">
        <v>0</v>
      </c>
      <c r="K20" s="416">
        <v>0</v>
      </c>
      <c r="L20" s="416">
        <v>0</v>
      </c>
      <c r="M20" s="416">
        <v>0</v>
      </c>
      <c r="N20" s="416">
        <v>0</v>
      </c>
      <c r="O20" s="416">
        <v>0</v>
      </c>
      <c r="P20" s="416">
        <v>0</v>
      </c>
      <c r="Q20" s="416">
        <v>0</v>
      </c>
      <c r="R20" s="416">
        <v>0</v>
      </c>
      <c r="S20" s="416">
        <v>0</v>
      </c>
      <c r="T20" s="416">
        <v>0</v>
      </c>
      <c r="U20" s="416">
        <v>0</v>
      </c>
      <c r="V20" s="416">
        <v>0</v>
      </c>
      <c r="W20" s="416">
        <v>0</v>
      </c>
      <c r="X20" s="416">
        <v>0</v>
      </c>
      <c r="Y20" s="416">
        <v>0</v>
      </c>
      <c r="Z20" s="416">
        <v>0</v>
      </c>
      <c r="AA20" s="416">
        <v>0</v>
      </c>
      <c r="AB20" s="416">
        <v>0</v>
      </c>
      <c r="AC20" s="416">
        <v>0</v>
      </c>
      <c r="AD20" s="416">
        <v>0</v>
      </c>
      <c r="AE20" s="416">
        <v>0</v>
      </c>
      <c r="AF20" s="416">
        <v>0</v>
      </c>
      <c r="AG20" s="416">
        <v>0</v>
      </c>
      <c r="AH20" s="416">
        <v>0</v>
      </c>
      <c r="AI20" s="416">
        <v>0</v>
      </c>
      <c r="AJ20" s="416">
        <v>0</v>
      </c>
      <c r="AK20" s="416">
        <v>0</v>
      </c>
      <c r="AL20" s="416">
        <v>0</v>
      </c>
      <c r="AM20" s="416">
        <v>0</v>
      </c>
      <c r="AN20" s="416">
        <v>0</v>
      </c>
      <c r="AO20" s="416">
        <v>0</v>
      </c>
      <c r="AP20" s="416">
        <v>0</v>
      </c>
      <c r="AQ20" s="416">
        <v>0</v>
      </c>
      <c r="AR20" s="416">
        <v>0</v>
      </c>
      <c r="AS20" s="416">
        <v>0</v>
      </c>
      <c r="AT20" s="416">
        <v>0</v>
      </c>
      <c r="AU20" s="416">
        <v>0</v>
      </c>
      <c r="AV20" s="416">
        <v>0</v>
      </c>
      <c r="AW20" s="416">
        <v>0</v>
      </c>
      <c r="AX20" s="416">
        <v>0</v>
      </c>
      <c r="AY20" s="416">
        <v>0</v>
      </c>
      <c r="AZ20" s="416">
        <v>0</v>
      </c>
      <c r="BA20" s="416">
        <v>0</v>
      </c>
      <c r="BB20" s="416">
        <v>0</v>
      </c>
      <c r="BC20" s="416">
        <v>0</v>
      </c>
      <c r="BD20" s="416">
        <v>0</v>
      </c>
      <c r="BE20" s="416">
        <v>0</v>
      </c>
      <c r="BF20" s="416">
        <v>0</v>
      </c>
      <c r="BG20" s="416">
        <v>0</v>
      </c>
      <c r="BH20" s="416">
        <v>0</v>
      </c>
      <c r="BI20" s="416">
        <v>0</v>
      </c>
      <c r="BJ20" s="416">
        <v>0</v>
      </c>
      <c r="BK20" s="416">
        <v>0</v>
      </c>
      <c r="BL20" s="416">
        <v>0</v>
      </c>
      <c r="BM20" s="416">
        <v>0</v>
      </c>
      <c r="BN20" s="416">
        <v>0</v>
      </c>
      <c r="BO20" s="416">
        <v>0</v>
      </c>
      <c r="BP20" s="416">
        <v>0</v>
      </c>
      <c r="BQ20" s="416">
        <v>0</v>
      </c>
      <c r="BR20" s="416">
        <v>0</v>
      </c>
      <c r="BS20" s="416">
        <v>0</v>
      </c>
      <c r="BT20" s="416">
        <v>0</v>
      </c>
      <c r="BU20" s="416">
        <v>0</v>
      </c>
      <c r="BV20" s="416">
        <v>0</v>
      </c>
      <c r="BW20" s="416">
        <v>0</v>
      </c>
      <c r="BX20" s="416">
        <v>0</v>
      </c>
      <c r="BY20" s="416">
        <v>0</v>
      </c>
      <c r="BZ20" s="416">
        <v>0</v>
      </c>
      <c r="CC20" s="21"/>
      <c r="CD20" s="424" t="s">
        <v>149</v>
      </c>
      <c r="CE20" s="433">
        <f t="shared" si="0"/>
        <v>0</v>
      </c>
      <c r="CF20" s="433">
        <f t="shared" si="1"/>
        <v>0</v>
      </c>
      <c r="CG20" s="433">
        <f t="shared" si="2"/>
        <v>0</v>
      </c>
      <c r="CH20" s="433">
        <f t="shared" si="3"/>
        <v>0</v>
      </c>
      <c r="CI20" s="433">
        <f t="shared" si="4"/>
        <v>0</v>
      </c>
      <c r="CJ20" s="433">
        <f t="shared" si="5"/>
        <v>0</v>
      </c>
      <c r="CK20" s="433">
        <f t="shared" si="6"/>
        <v>0</v>
      </c>
      <c r="CL20" s="433">
        <f t="shared" si="7"/>
        <v>0</v>
      </c>
      <c r="CM20" s="433">
        <f t="shared" si="8"/>
        <v>0</v>
      </c>
      <c r="CN20" s="433">
        <f t="shared" si="9"/>
        <v>0</v>
      </c>
      <c r="CO20" s="433">
        <f t="shared" si="10"/>
        <v>0</v>
      </c>
      <c r="CP20" s="433">
        <f t="shared" si="11"/>
        <v>0</v>
      </c>
      <c r="CQ20" s="433">
        <f t="shared" si="12"/>
        <v>0</v>
      </c>
      <c r="CR20" s="433">
        <f t="shared" si="13"/>
        <v>0</v>
      </c>
      <c r="CS20" s="433">
        <f t="shared" si="14"/>
        <v>0</v>
      </c>
      <c r="CT20" s="21"/>
    </row>
    <row r="21" spans="3:98" ht="24.75" hidden="1" customHeight="1" outlineLevel="1">
      <c r="C21" s="424" t="s">
        <v>150</v>
      </c>
      <c r="D21" s="427">
        <v>0</v>
      </c>
      <c r="E21" s="427">
        <v>0</v>
      </c>
      <c r="F21" s="427">
        <v>0</v>
      </c>
      <c r="G21" s="427">
        <v>0</v>
      </c>
      <c r="H21" s="427">
        <v>0</v>
      </c>
      <c r="I21" s="427">
        <v>0</v>
      </c>
      <c r="J21" s="427">
        <v>0</v>
      </c>
      <c r="K21" s="427">
        <v>0</v>
      </c>
      <c r="L21" s="427">
        <v>0</v>
      </c>
      <c r="M21" s="427">
        <v>0</v>
      </c>
      <c r="N21" s="427">
        <v>0</v>
      </c>
      <c r="O21" s="427">
        <v>0</v>
      </c>
      <c r="P21" s="427">
        <v>0</v>
      </c>
      <c r="Q21" s="427">
        <v>0</v>
      </c>
      <c r="R21" s="427">
        <v>0</v>
      </c>
      <c r="S21" s="427">
        <v>0</v>
      </c>
      <c r="T21" s="427">
        <v>0</v>
      </c>
      <c r="U21" s="427">
        <v>0</v>
      </c>
      <c r="V21" s="427">
        <v>0</v>
      </c>
      <c r="W21" s="427">
        <v>0</v>
      </c>
      <c r="X21" s="427">
        <v>0</v>
      </c>
      <c r="Y21" s="427">
        <v>0</v>
      </c>
      <c r="Z21" s="427">
        <v>0</v>
      </c>
      <c r="AA21" s="427">
        <v>0</v>
      </c>
      <c r="AB21" s="427">
        <v>0</v>
      </c>
      <c r="AC21" s="427">
        <v>0</v>
      </c>
      <c r="AD21" s="427">
        <v>0</v>
      </c>
      <c r="AE21" s="427">
        <v>0</v>
      </c>
      <c r="AF21" s="427">
        <v>0</v>
      </c>
      <c r="AG21" s="427">
        <v>0</v>
      </c>
      <c r="AH21" s="427">
        <v>0</v>
      </c>
      <c r="AI21" s="427">
        <v>0</v>
      </c>
      <c r="AJ21" s="427">
        <v>0</v>
      </c>
      <c r="AK21" s="427">
        <v>0</v>
      </c>
      <c r="AL21" s="427">
        <v>0</v>
      </c>
      <c r="AM21" s="427">
        <v>0</v>
      </c>
      <c r="AN21" s="427">
        <v>0</v>
      </c>
      <c r="AO21" s="427">
        <v>0</v>
      </c>
      <c r="AP21" s="427">
        <v>0</v>
      </c>
      <c r="AQ21" s="427">
        <v>0</v>
      </c>
      <c r="AR21" s="427">
        <v>0</v>
      </c>
      <c r="AS21" s="427">
        <v>0</v>
      </c>
      <c r="AT21" s="427">
        <v>0</v>
      </c>
      <c r="AU21" s="427">
        <v>0</v>
      </c>
      <c r="AV21" s="427">
        <v>0</v>
      </c>
      <c r="AW21" s="427">
        <v>0</v>
      </c>
      <c r="AX21" s="427">
        <v>0</v>
      </c>
      <c r="AY21" s="427">
        <v>0</v>
      </c>
      <c r="AZ21" s="427">
        <v>0</v>
      </c>
      <c r="BA21" s="427">
        <v>0</v>
      </c>
      <c r="BB21" s="427">
        <v>0</v>
      </c>
      <c r="BC21" s="427">
        <v>0</v>
      </c>
      <c r="BD21" s="427">
        <v>0</v>
      </c>
      <c r="BE21" s="427">
        <v>0</v>
      </c>
      <c r="BF21" s="427">
        <v>0</v>
      </c>
      <c r="BG21" s="427">
        <v>0</v>
      </c>
      <c r="BH21" s="427">
        <v>0</v>
      </c>
      <c r="BI21" s="427">
        <v>0</v>
      </c>
      <c r="BJ21" s="427">
        <v>0</v>
      </c>
      <c r="BK21" s="427">
        <v>0</v>
      </c>
      <c r="BL21" s="427">
        <v>0</v>
      </c>
      <c r="BM21" s="427">
        <v>0</v>
      </c>
      <c r="BN21" s="427">
        <v>0</v>
      </c>
      <c r="BO21" s="427">
        <v>0</v>
      </c>
      <c r="BP21" s="427">
        <v>0</v>
      </c>
      <c r="BQ21" s="427">
        <v>0</v>
      </c>
      <c r="BR21" s="427">
        <v>0</v>
      </c>
      <c r="BS21" s="427">
        <v>0</v>
      </c>
      <c r="BT21" s="427">
        <v>0</v>
      </c>
      <c r="BU21" s="427">
        <v>0</v>
      </c>
      <c r="BV21" s="427">
        <v>0</v>
      </c>
      <c r="BW21" s="427">
        <v>0</v>
      </c>
      <c r="BX21" s="427">
        <v>0</v>
      </c>
      <c r="BY21" s="427">
        <v>0</v>
      </c>
      <c r="BZ21" s="427">
        <v>0</v>
      </c>
      <c r="CC21" s="21"/>
      <c r="CD21" s="424" t="s">
        <v>150</v>
      </c>
      <c r="CE21" s="433">
        <f t="shared" si="0"/>
        <v>0</v>
      </c>
      <c r="CF21" s="433">
        <f t="shared" si="1"/>
        <v>0</v>
      </c>
      <c r="CG21" s="433">
        <f t="shared" si="2"/>
        <v>0</v>
      </c>
      <c r="CH21" s="433">
        <f t="shared" si="3"/>
        <v>0</v>
      </c>
      <c r="CI21" s="433">
        <f t="shared" si="4"/>
        <v>0</v>
      </c>
      <c r="CJ21" s="433">
        <f t="shared" si="5"/>
        <v>0</v>
      </c>
      <c r="CK21" s="433">
        <f t="shared" si="6"/>
        <v>0</v>
      </c>
      <c r="CL21" s="433">
        <f t="shared" si="7"/>
        <v>0</v>
      </c>
      <c r="CM21" s="433">
        <f t="shared" si="8"/>
        <v>0</v>
      </c>
      <c r="CN21" s="433">
        <f t="shared" si="9"/>
        <v>0</v>
      </c>
      <c r="CO21" s="433">
        <f t="shared" si="10"/>
        <v>0</v>
      </c>
      <c r="CP21" s="433">
        <f t="shared" si="11"/>
        <v>0</v>
      </c>
      <c r="CQ21" s="433">
        <f t="shared" si="12"/>
        <v>0</v>
      </c>
      <c r="CR21" s="433">
        <f t="shared" si="13"/>
        <v>0</v>
      </c>
      <c r="CS21" s="433">
        <f t="shared" si="14"/>
        <v>0</v>
      </c>
      <c r="CT21" s="21"/>
    </row>
    <row r="22" spans="3:98" ht="24.75" hidden="1" customHeight="1" outlineLevel="1">
      <c r="C22" s="424" t="s">
        <v>151</v>
      </c>
      <c r="D22" s="427">
        <v>0</v>
      </c>
      <c r="E22" s="427">
        <v>0</v>
      </c>
      <c r="F22" s="427">
        <v>0</v>
      </c>
      <c r="G22" s="427">
        <v>0</v>
      </c>
      <c r="H22" s="427">
        <v>0</v>
      </c>
      <c r="I22" s="427">
        <v>0</v>
      </c>
      <c r="J22" s="427">
        <v>0</v>
      </c>
      <c r="K22" s="427">
        <v>0</v>
      </c>
      <c r="L22" s="427">
        <v>0</v>
      </c>
      <c r="M22" s="427">
        <v>0</v>
      </c>
      <c r="N22" s="427">
        <v>0</v>
      </c>
      <c r="O22" s="427">
        <v>0</v>
      </c>
      <c r="P22" s="427">
        <v>0</v>
      </c>
      <c r="Q22" s="427">
        <v>0</v>
      </c>
      <c r="R22" s="427">
        <v>0</v>
      </c>
      <c r="S22" s="427">
        <v>0</v>
      </c>
      <c r="T22" s="427">
        <v>0</v>
      </c>
      <c r="U22" s="427">
        <v>0</v>
      </c>
      <c r="V22" s="427">
        <v>0</v>
      </c>
      <c r="W22" s="427">
        <v>0</v>
      </c>
      <c r="X22" s="427">
        <v>0</v>
      </c>
      <c r="Y22" s="427">
        <v>0</v>
      </c>
      <c r="Z22" s="427">
        <v>0</v>
      </c>
      <c r="AA22" s="427">
        <v>0</v>
      </c>
      <c r="AB22" s="427">
        <v>0</v>
      </c>
      <c r="AC22" s="427">
        <v>0</v>
      </c>
      <c r="AD22" s="427">
        <v>0</v>
      </c>
      <c r="AE22" s="427">
        <v>0</v>
      </c>
      <c r="AF22" s="427">
        <v>0</v>
      </c>
      <c r="AG22" s="427">
        <v>0</v>
      </c>
      <c r="AH22" s="427">
        <v>0</v>
      </c>
      <c r="AI22" s="427">
        <v>0</v>
      </c>
      <c r="AJ22" s="427">
        <v>0</v>
      </c>
      <c r="AK22" s="427">
        <v>0</v>
      </c>
      <c r="AL22" s="427">
        <v>0</v>
      </c>
      <c r="AM22" s="427">
        <v>0</v>
      </c>
      <c r="AN22" s="427">
        <v>0</v>
      </c>
      <c r="AO22" s="427">
        <v>0</v>
      </c>
      <c r="AP22" s="427">
        <v>0</v>
      </c>
      <c r="AQ22" s="427">
        <v>0</v>
      </c>
      <c r="AR22" s="427">
        <v>0</v>
      </c>
      <c r="AS22" s="427">
        <v>0</v>
      </c>
      <c r="AT22" s="427">
        <v>0</v>
      </c>
      <c r="AU22" s="427">
        <v>0</v>
      </c>
      <c r="AV22" s="427">
        <v>0</v>
      </c>
      <c r="AW22" s="427">
        <v>0</v>
      </c>
      <c r="AX22" s="427">
        <v>0</v>
      </c>
      <c r="AY22" s="427">
        <v>0</v>
      </c>
      <c r="AZ22" s="427">
        <v>0</v>
      </c>
      <c r="BA22" s="427">
        <v>0</v>
      </c>
      <c r="BB22" s="427">
        <v>0</v>
      </c>
      <c r="BC22" s="427">
        <v>0</v>
      </c>
      <c r="BD22" s="427">
        <v>0</v>
      </c>
      <c r="BE22" s="427">
        <v>0</v>
      </c>
      <c r="BF22" s="427">
        <v>0</v>
      </c>
      <c r="BG22" s="427">
        <v>0</v>
      </c>
      <c r="BH22" s="427">
        <v>0</v>
      </c>
      <c r="BI22" s="427">
        <v>0</v>
      </c>
      <c r="BJ22" s="427">
        <v>0</v>
      </c>
      <c r="BK22" s="427">
        <v>0</v>
      </c>
      <c r="BL22" s="427">
        <v>0</v>
      </c>
      <c r="BM22" s="427">
        <v>0</v>
      </c>
      <c r="BN22" s="427">
        <v>0</v>
      </c>
      <c r="BO22" s="427">
        <v>0</v>
      </c>
      <c r="BP22" s="427">
        <v>0</v>
      </c>
      <c r="BQ22" s="427">
        <v>0</v>
      </c>
      <c r="BR22" s="427">
        <v>0</v>
      </c>
      <c r="BS22" s="427">
        <v>0</v>
      </c>
      <c r="BT22" s="427">
        <v>0</v>
      </c>
      <c r="BU22" s="427">
        <v>0</v>
      </c>
      <c r="BV22" s="427">
        <v>0</v>
      </c>
      <c r="BW22" s="427">
        <v>0</v>
      </c>
      <c r="BX22" s="427">
        <v>0</v>
      </c>
      <c r="BY22" s="427">
        <v>0</v>
      </c>
      <c r="BZ22" s="427">
        <v>0</v>
      </c>
      <c r="CC22" s="21"/>
      <c r="CD22" s="424" t="s">
        <v>151</v>
      </c>
      <c r="CE22" s="433">
        <f t="shared" si="0"/>
        <v>0</v>
      </c>
      <c r="CF22" s="433">
        <f t="shared" si="1"/>
        <v>0</v>
      </c>
      <c r="CG22" s="433">
        <f t="shared" si="2"/>
        <v>0</v>
      </c>
      <c r="CH22" s="433">
        <f t="shared" si="3"/>
        <v>0</v>
      </c>
      <c r="CI22" s="433">
        <f t="shared" si="4"/>
        <v>0</v>
      </c>
      <c r="CJ22" s="433">
        <f t="shared" si="5"/>
        <v>0</v>
      </c>
      <c r="CK22" s="433">
        <f t="shared" si="6"/>
        <v>0</v>
      </c>
      <c r="CL22" s="433">
        <f t="shared" si="7"/>
        <v>0</v>
      </c>
      <c r="CM22" s="433">
        <f t="shared" si="8"/>
        <v>0</v>
      </c>
      <c r="CN22" s="433">
        <f t="shared" si="9"/>
        <v>0</v>
      </c>
      <c r="CO22" s="433">
        <f t="shared" si="10"/>
        <v>0</v>
      </c>
      <c r="CP22" s="433">
        <f t="shared" si="11"/>
        <v>0</v>
      </c>
      <c r="CQ22" s="433">
        <f t="shared" si="12"/>
        <v>0</v>
      </c>
      <c r="CR22" s="433">
        <f t="shared" si="13"/>
        <v>0</v>
      </c>
      <c r="CS22" s="433">
        <f t="shared" si="14"/>
        <v>0</v>
      </c>
      <c r="CT22" s="21"/>
    </row>
    <row r="23" spans="3:98" ht="24.75" hidden="1" customHeight="1" outlineLevel="1">
      <c r="C23" s="424" t="s">
        <v>152</v>
      </c>
      <c r="D23" s="427">
        <v>0</v>
      </c>
      <c r="E23" s="427">
        <v>0</v>
      </c>
      <c r="F23" s="427">
        <v>0</v>
      </c>
      <c r="G23" s="427">
        <v>0</v>
      </c>
      <c r="H23" s="427">
        <v>0</v>
      </c>
      <c r="I23" s="427">
        <v>0</v>
      </c>
      <c r="J23" s="427">
        <v>0</v>
      </c>
      <c r="K23" s="427">
        <v>0</v>
      </c>
      <c r="L23" s="427">
        <v>0</v>
      </c>
      <c r="M23" s="427">
        <v>0</v>
      </c>
      <c r="N23" s="427">
        <v>0</v>
      </c>
      <c r="O23" s="427">
        <v>0</v>
      </c>
      <c r="P23" s="427">
        <v>0</v>
      </c>
      <c r="Q23" s="427">
        <v>0</v>
      </c>
      <c r="R23" s="427">
        <v>0</v>
      </c>
      <c r="S23" s="427">
        <v>0</v>
      </c>
      <c r="T23" s="427">
        <v>0</v>
      </c>
      <c r="U23" s="427">
        <v>0</v>
      </c>
      <c r="V23" s="427">
        <v>0</v>
      </c>
      <c r="W23" s="427">
        <v>0</v>
      </c>
      <c r="X23" s="427">
        <v>0</v>
      </c>
      <c r="Y23" s="427">
        <v>0</v>
      </c>
      <c r="Z23" s="427">
        <v>0</v>
      </c>
      <c r="AA23" s="427">
        <v>0</v>
      </c>
      <c r="AB23" s="427">
        <v>0</v>
      </c>
      <c r="AC23" s="427">
        <v>0</v>
      </c>
      <c r="AD23" s="427">
        <v>0</v>
      </c>
      <c r="AE23" s="427">
        <v>0</v>
      </c>
      <c r="AF23" s="427">
        <v>0</v>
      </c>
      <c r="AG23" s="427">
        <v>0</v>
      </c>
      <c r="AH23" s="427">
        <v>0</v>
      </c>
      <c r="AI23" s="427">
        <v>0</v>
      </c>
      <c r="AJ23" s="427">
        <v>0</v>
      </c>
      <c r="AK23" s="427">
        <v>0</v>
      </c>
      <c r="AL23" s="427">
        <v>0</v>
      </c>
      <c r="AM23" s="427">
        <v>0</v>
      </c>
      <c r="AN23" s="427">
        <v>0</v>
      </c>
      <c r="AO23" s="427">
        <v>0</v>
      </c>
      <c r="AP23" s="427">
        <v>0</v>
      </c>
      <c r="AQ23" s="427">
        <v>0</v>
      </c>
      <c r="AR23" s="427">
        <v>0</v>
      </c>
      <c r="AS23" s="427">
        <v>0</v>
      </c>
      <c r="AT23" s="427">
        <v>0</v>
      </c>
      <c r="AU23" s="427">
        <v>0</v>
      </c>
      <c r="AV23" s="427">
        <v>0</v>
      </c>
      <c r="AW23" s="427">
        <v>0</v>
      </c>
      <c r="AX23" s="427">
        <v>0</v>
      </c>
      <c r="AY23" s="427">
        <v>0</v>
      </c>
      <c r="AZ23" s="427">
        <v>0</v>
      </c>
      <c r="BA23" s="427">
        <v>0</v>
      </c>
      <c r="BB23" s="427">
        <v>0</v>
      </c>
      <c r="BC23" s="427">
        <v>0</v>
      </c>
      <c r="BD23" s="427">
        <v>0</v>
      </c>
      <c r="BE23" s="427">
        <v>0</v>
      </c>
      <c r="BF23" s="427">
        <v>0</v>
      </c>
      <c r="BG23" s="427">
        <v>0</v>
      </c>
      <c r="BH23" s="427">
        <v>0</v>
      </c>
      <c r="BI23" s="427">
        <v>0</v>
      </c>
      <c r="BJ23" s="427">
        <v>0</v>
      </c>
      <c r="BK23" s="427">
        <v>0</v>
      </c>
      <c r="BL23" s="427">
        <v>0</v>
      </c>
      <c r="BM23" s="427">
        <v>0</v>
      </c>
      <c r="BN23" s="427">
        <v>0</v>
      </c>
      <c r="BO23" s="427">
        <v>0</v>
      </c>
      <c r="BP23" s="427">
        <v>0</v>
      </c>
      <c r="BQ23" s="427">
        <v>0</v>
      </c>
      <c r="BR23" s="427">
        <v>0</v>
      </c>
      <c r="BS23" s="427">
        <v>0</v>
      </c>
      <c r="BT23" s="427">
        <v>0</v>
      </c>
      <c r="BU23" s="427">
        <v>0</v>
      </c>
      <c r="BV23" s="427">
        <v>0</v>
      </c>
      <c r="BW23" s="427">
        <v>0</v>
      </c>
      <c r="BX23" s="427">
        <v>0</v>
      </c>
      <c r="BY23" s="427">
        <v>0</v>
      </c>
      <c r="BZ23" s="427">
        <v>0</v>
      </c>
      <c r="CC23" s="21"/>
      <c r="CD23" s="424" t="s">
        <v>152</v>
      </c>
      <c r="CE23" s="433">
        <f t="shared" si="0"/>
        <v>0</v>
      </c>
      <c r="CF23" s="433">
        <f t="shared" si="1"/>
        <v>0</v>
      </c>
      <c r="CG23" s="433">
        <f t="shared" si="2"/>
        <v>0</v>
      </c>
      <c r="CH23" s="433">
        <f t="shared" si="3"/>
        <v>0</v>
      </c>
      <c r="CI23" s="433">
        <f t="shared" si="4"/>
        <v>0</v>
      </c>
      <c r="CJ23" s="433">
        <f t="shared" si="5"/>
        <v>0</v>
      </c>
      <c r="CK23" s="433">
        <f t="shared" si="6"/>
        <v>0</v>
      </c>
      <c r="CL23" s="433">
        <f t="shared" si="7"/>
        <v>0</v>
      </c>
      <c r="CM23" s="433">
        <f t="shared" si="8"/>
        <v>0</v>
      </c>
      <c r="CN23" s="433">
        <f t="shared" si="9"/>
        <v>0</v>
      </c>
      <c r="CO23" s="433">
        <f t="shared" si="10"/>
        <v>0</v>
      </c>
      <c r="CP23" s="433">
        <f t="shared" si="11"/>
        <v>0</v>
      </c>
      <c r="CQ23" s="433">
        <f t="shared" si="12"/>
        <v>0</v>
      </c>
      <c r="CR23" s="433">
        <f t="shared" si="13"/>
        <v>0</v>
      </c>
      <c r="CS23" s="433">
        <f t="shared" si="14"/>
        <v>0</v>
      </c>
      <c r="CT23" s="21"/>
    </row>
    <row r="24" spans="3:98" ht="24.75" hidden="1" customHeight="1" outlineLevel="1" collapsed="1">
      <c r="C24" s="424" t="s">
        <v>153</v>
      </c>
      <c r="D24" s="427">
        <v>0</v>
      </c>
      <c r="E24" s="427">
        <v>0</v>
      </c>
      <c r="F24" s="427">
        <v>0</v>
      </c>
      <c r="G24" s="427">
        <v>0</v>
      </c>
      <c r="H24" s="427">
        <v>0</v>
      </c>
      <c r="I24" s="427">
        <v>0</v>
      </c>
      <c r="J24" s="427">
        <v>0</v>
      </c>
      <c r="K24" s="427">
        <v>0</v>
      </c>
      <c r="L24" s="427">
        <v>0</v>
      </c>
      <c r="M24" s="427">
        <v>0</v>
      </c>
      <c r="N24" s="427">
        <v>0</v>
      </c>
      <c r="O24" s="427">
        <v>0</v>
      </c>
      <c r="P24" s="427">
        <v>0</v>
      </c>
      <c r="Q24" s="427">
        <v>0</v>
      </c>
      <c r="R24" s="427">
        <v>0</v>
      </c>
      <c r="S24" s="427">
        <v>0</v>
      </c>
      <c r="T24" s="427">
        <v>0</v>
      </c>
      <c r="U24" s="427">
        <v>0</v>
      </c>
      <c r="V24" s="427">
        <v>0</v>
      </c>
      <c r="W24" s="427">
        <v>0</v>
      </c>
      <c r="X24" s="427">
        <v>0</v>
      </c>
      <c r="Y24" s="427">
        <v>0</v>
      </c>
      <c r="Z24" s="427">
        <v>0</v>
      </c>
      <c r="AA24" s="427">
        <v>0</v>
      </c>
      <c r="AB24" s="427">
        <v>0</v>
      </c>
      <c r="AC24" s="427">
        <v>0</v>
      </c>
      <c r="AD24" s="427">
        <v>0</v>
      </c>
      <c r="AE24" s="427">
        <v>0</v>
      </c>
      <c r="AF24" s="427">
        <v>0</v>
      </c>
      <c r="AG24" s="427">
        <v>0</v>
      </c>
      <c r="AH24" s="427">
        <v>0</v>
      </c>
      <c r="AI24" s="427">
        <v>0</v>
      </c>
      <c r="AJ24" s="427">
        <v>0</v>
      </c>
      <c r="AK24" s="427">
        <v>0</v>
      </c>
      <c r="AL24" s="427">
        <v>0</v>
      </c>
      <c r="AM24" s="427">
        <v>0</v>
      </c>
      <c r="AN24" s="427">
        <v>0</v>
      </c>
      <c r="AO24" s="427">
        <v>0</v>
      </c>
      <c r="AP24" s="427">
        <v>0</v>
      </c>
      <c r="AQ24" s="427">
        <v>0</v>
      </c>
      <c r="AR24" s="427">
        <v>0</v>
      </c>
      <c r="AS24" s="427">
        <v>0</v>
      </c>
      <c r="AT24" s="427">
        <v>0</v>
      </c>
      <c r="AU24" s="427">
        <v>0</v>
      </c>
      <c r="AV24" s="427">
        <v>0</v>
      </c>
      <c r="AW24" s="427">
        <v>0</v>
      </c>
      <c r="AX24" s="427">
        <v>0</v>
      </c>
      <c r="AY24" s="427">
        <v>0</v>
      </c>
      <c r="AZ24" s="427">
        <v>0</v>
      </c>
      <c r="BA24" s="427">
        <v>0</v>
      </c>
      <c r="BB24" s="427">
        <v>0</v>
      </c>
      <c r="BC24" s="427">
        <v>0</v>
      </c>
      <c r="BD24" s="427">
        <v>0</v>
      </c>
      <c r="BE24" s="427">
        <v>0</v>
      </c>
      <c r="BF24" s="427">
        <v>0</v>
      </c>
      <c r="BG24" s="427">
        <v>0</v>
      </c>
      <c r="BH24" s="427">
        <v>0</v>
      </c>
      <c r="BI24" s="427">
        <v>0</v>
      </c>
      <c r="BJ24" s="427">
        <v>0</v>
      </c>
      <c r="BK24" s="427">
        <v>0</v>
      </c>
      <c r="BL24" s="427">
        <v>0</v>
      </c>
      <c r="BM24" s="427">
        <v>0</v>
      </c>
      <c r="BN24" s="427">
        <v>0</v>
      </c>
      <c r="BO24" s="427">
        <v>0</v>
      </c>
      <c r="BP24" s="427">
        <v>0</v>
      </c>
      <c r="BQ24" s="427">
        <v>0</v>
      </c>
      <c r="BR24" s="427">
        <v>0</v>
      </c>
      <c r="BS24" s="427">
        <v>0</v>
      </c>
      <c r="BT24" s="427">
        <v>0</v>
      </c>
      <c r="BU24" s="427">
        <v>0</v>
      </c>
      <c r="BV24" s="427">
        <v>0</v>
      </c>
      <c r="BW24" s="427">
        <v>0</v>
      </c>
      <c r="BX24" s="427">
        <v>0</v>
      </c>
      <c r="BY24" s="427">
        <v>0</v>
      </c>
      <c r="BZ24" s="427">
        <v>0</v>
      </c>
      <c r="CC24" s="21"/>
      <c r="CD24" s="424" t="s">
        <v>153</v>
      </c>
      <c r="CE24" s="433">
        <f t="shared" si="0"/>
        <v>0</v>
      </c>
      <c r="CF24" s="433">
        <f t="shared" si="1"/>
        <v>0</v>
      </c>
      <c r="CG24" s="433">
        <f t="shared" si="2"/>
        <v>0</v>
      </c>
      <c r="CH24" s="433">
        <f t="shared" si="3"/>
        <v>0</v>
      </c>
      <c r="CI24" s="433">
        <f t="shared" si="4"/>
        <v>0</v>
      </c>
      <c r="CJ24" s="433">
        <f t="shared" si="5"/>
        <v>0</v>
      </c>
      <c r="CK24" s="433">
        <f t="shared" si="6"/>
        <v>0</v>
      </c>
      <c r="CL24" s="433">
        <f t="shared" si="7"/>
        <v>0</v>
      </c>
      <c r="CM24" s="433">
        <f t="shared" si="8"/>
        <v>0</v>
      </c>
      <c r="CN24" s="433">
        <f t="shared" si="9"/>
        <v>0</v>
      </c>
      <c r="CO24" s="433">
        <f t="shared" si="10"/>
        <v>0</v>
      </c>
      <c r="CP24" s="433">
        <f t="shared" si="11"/>
        <v>0</v>
      </c>
      <c r="CQ24" s="433">
        <f t="shared" si="12"/>
        <v>0</v>
      </c>
      <c r="CR24" s="433">
        <f t="shared" si="13"/>
        <v>0</v>
      </c>
      <c r="CS24" s="433">
        <f t="shared" si="14"/>
        <v>0</v>
      </c>
      <c r="CT24" s="21"/>
    </row>
    <row r="25" spans="3:98" ht="24.75" customHeight="1" collapsed="1">
      <c r="C25" s="415" t="s">
        <v>146</v>
      </c>
      <c r="D25" s="427">
        <v>0</v>
      </c>
      <c r="E25" s="427">
        <v>0</v>
      </c>
      <c r="F25" s="427">
        <v>0</v>
      </c>
      <c r="G25" s="427">
        <v>0</v>
      </c>
      <c r="H25" s="434">
        <v>0</v>
      </c>
      <c r="I25" s="434">
        <v>0</v>
      </c>
      <c r="J25" s="434">
        <v>0</v>
      </c>
      <c r="K25" s="434">
        <v>0</v>
      </c>
      <c r="L25" s="434">
        <v>0</v>
      </c>
      <c r="M25" s="434">
        <v>0</v>
      </c>
      <c r="N25" s="434">
        <v>0</v>
      </c>
      <c r="O25" s="434">
        <v>0</v>
      </c>
      <c r="P25" s="434">
        <v>0</v>
      </c>
      <c r="Q25" s="434">
        <v>0</v>
      </c>
      <c r="R25" s="434">
        <v>0</v>
      </c>
      <c r="S25" s="434">
        <v>0</v>
      </c>
      <c r="T25" s="434">
        <v>0</v>
      </c>
      <c r="U25" s="434">
        <v>0</v>
      </c>
      <c r="V25" s="434">
        <v>0</v>
      </c>
      <c r="W25" s="434">
        <v>0</v>
      </c>
      <c r="X25" s="434">
        <v>0</v>
      </c>
      <c r="Y25" s="434">
        <v>0</v>
      </c>
      <c r="Z25" s="434">
        <v>0</v>
      </c>
      <c r="AA25" s="434">
        <v>0</v>
      </c>
      <c r="AB25" s="434">
        <v>0</v>
      </c>
      <c r="AC25" s="434">
        <v>0</v>
      </c>
      <c r="AD25" s="434">
        <v>0</v>
      </c>
      <c r="AE25" s="434">
        <v>0</v>
      </c>
      <c r="AF25" s="434">
        <v>0</v>
      </c>
      <c r="AG25" s="434">
        <v>0</v>
      </c>
      <c r="AH25" s="434">
        <v>0</v>
      </c>
      <c r="AI25" s="434">
        <v>0</v>
      </c>
      <c r="AJ25" s="434">
        <v>0</v>
      </c>
      <c r="AK25" s="434">
        <v>0</v>
      </c>
      <c r="AL25" s="434">
        <v>0</v>
      </c>
      <c r="AM25" s="434">
        <v>0</v>
      </c>
      <c r="AN25" s="434">
        <v>0</v>
      </c>
      <c r="AO25" s="434">
        <v>0</v>
      </c>
      <c r="AP25" s="434">
        <v>0</v>
      </c>
      <c r="AQ25" s="434">
        <v>0</v>
      </c>
      <c r="AR25" s="434">
        <v>0</v>
      </c>
      <c r="AS25" s="434">
        <v>0</v>
      </c>
      <c r="AT25" s="434">
        <v>0</v>
      </c>
      <c r="AU25" s="434">
        <v>0</v>
      </c>
      <c r="AV25" s="434">
        <v>0</v>
      </c>
      <c r="AW25" s="434">
        <v>0</v>
      </c>
      <c r="AX25" s="434">
        <v>0</v>
      </c>
      <c r="AY25" s="434">
        <v>0</v>
      </c>
      <c r="AZ25" s="434">
        <v>0</v>
      </c>
      <c r="BA25" s="434">
        <v>0</v>
      </c>
      <c r="BB25" s="434">
        <v>0</v>
      </c>
      <c r="BC25" s="434">
        <v>0</v>
      </c>
      <c r="BD25" s="434">
        <v>0</v>
      </c>
      <c r="BE25" s="434">
        <v>0</v>
      </c>
      <c r="BF25" s="434">
        <v>0</v>
      </c>
      <c r="BG25" s="434">
        <v>0</v>
      </c>
      <c r="BH25" s="434">
        <v>0</v>
      </c>
      <c r="BI25" s="434">
        <v>0</v>
      </c>
      <c r="BJ25" s="434">
        <v>0</v>
      </c>
      <c r="BK25" s="434">
        <v>0</v>
      </c>
      <c r="BL25" s="434">
        <v>0</v>
      </c>
      <c r="BM25" s="434">
        <v>0</v>
      </c>
      <c r="BN25" s="434">
        <v>0</v>
      </c>
      <c r="BO25" s="434">
        <v>0</v>
      </c>
      <c r="BP25" s="434">
        <v>0</v>
      </c>
      <c r="BQ25" s="434">
        <v>0</v>
      </c>
      <c r="BR25" s="434">
        <v>0</v>
      </c>
      <c r="BS25" s="434">
        <v>0</v>
      </c>
      <c r="BT25" s="434">
        <v>0</v>
      </c>
      <c r="BU25" s="434">
        <v>0</v>
      </c>
      <c r="BV25" s="434">
        <v>0</v>
      </c>
      <c r="BW25" s="434">
        <v>0</v>
      </c>
      <c r="BX25" s="434">
        <v>0</v>
      </c>
      <c r="BY25" s="434">
        <v>0</v>
      </c>
      <c r="BZ25" s="434">
        <v>0</v>
      </c>
      <c r="CC25" s="21"/>
      <c r="CD25" s="415" t="s">
        <v>146</v>
      </c>
      <c r="CE25" s="433">
        <f t="shared" si="0"/>
        <v>0</v>
      </c>
      <c r="CF25" s="433">
        <f t="shared" si="1"/>
        <v>0</v>
      </c>
      <c r="CG25" s="433">
        <f t="shared" si="2"/>
        <v>0</v>
      </c>
      <c r="CH25" s="433">
        <f t="shared" si="3"/>
        <v>0</v>
      </c>
      <c r="CI25" s="433">
        <f t="shared" si="4"/>
        <v>0</v>
      </c>
      <c r="CJ25" s="433">
        <f t="shared" si="5"/>
        <v>0</v>
      </c>
      <c r="CK25" s="433">
        <f t="shared" si="6"/>
        <v>0</v>
      </c>
      <c r="CL25" s="433">
        <f t="shared" si="7"/>
        <v>0</v>
      </c>
      <c r="CM25" s="433">
        <f t="shared" si="8"/>
        <v>0</v>
      </c>
      <c r="CN25" s="433">
        <f t="shared" si="9"/>
        <v>0</v>
      </c>
      <c r="CO25" s="433">
        <f t="shared" si="10"/>
        <v>0</v>
      </c>
      <c r="CP25" s="433">
        <f t="shared" si="11"/>
        <v>0</v>
      </c>
      <c r="CQ25" s="433">
        <f t="shared" si="12"/>
        <v>0</v>
      </c>
      <c r="CR25" s="433">
        <f t="shared" si="13"/>
        <v>0</v>
      </c>
      <c r="CS25" s="433">
        <f t="shared" si="14"/>
        <v>0</v>
      </c>
      <c r="CT25" s="21"/>
    </row>
    <row r="26" spans="3:98" ht="24.75" hidden="1" customHeight="1" outlineLevel="2">
      <c r="C26" s="426" t="s">
        <v>156</v>
      </c>
      <c r="D26" s="427">
        <v>0</v>
      </c>
      <c r="E26" s="427">
        <v>0</v>
      </c>
      <c r="F26" s="427">
        <v>0</v>
      </c>
      <c r="G26" s="427">
        <v>0</v>
      </c>
      <c r="H26" s="427">
        <v>0</v>
      </c>
      <c r="I26" s="427">
        <v>0</v>
      </c>
      <c r="J26" s="427">
        <v>0</v>
      </c>
      <c r="K26" s="427">
        <v>0</v>
      </c>
      <c r="L26" s="427">
        <v>0</v>
      </c>
      <c r="M26" s="427">
        <v>0</v>
      </c>
      <c r="N26" s="427">
        <v>0</v>
      </c>
      <c r="O26" s="427">
        <v>0</v>
      </c>
      <c r="P26" s="427">
        <v>0</v>
      </c>
      <c r="Q26" s="427">
        <v>0</v>
      </c>
      <c r="R26" s="427">
        <v>0</v>
      </c>
      <c r="S26" s="427">
        <v>0</v>
      </c>
      <c r="T26" s="427">
        <v>0</v>
      </c>
      <c r="U26" s="427">
        <v>0</v>
      </c>
      <c r="V26" s="427">
        <v>0</v>
      </c>
      <c r="W26" s="427">
        <v>0</v>
      </c>
      <c r="X26" s="427">
        <v>0</v>
      </c>
      <c r="Y26" s="427">
        <v>0</v>
      </c>
      <c r="Z26" s="427">
        <v>0</v>
      </c>
      <c r="AA26" s="427">
        <v>0</v>
      </c>
      <c r="AB26" s="427">
        <v>0</v>
      </c>
      <c r="AC26" s="427">
        <v>0</v>
      </c>
      <c r="AD26" s="427">
        <v>0</v>
      </c>
      <c r="AE26" s="427">
        <v>0</v>
      </c>
      <c r="AF26" s="427">
        <v>0</v>
      </c>
      <c r="AG26" s="427">
        <v>0</v>
      </c>
      <c r="AH26" s="427">
        <v>0</v>
      </c>
      <c r="AI26" s="427">
        <v>0</v>
      </c>
      <c r="AJ26" s="427">
        <v>0</v>
      </c>
      <c r="AK26" s="427">
        <v>0</v>
      </c>
      <c r="AL26" s="427">
        <v>0</v>
      </c>
      <c r="AM26" s="427">
        <v>0</v>
      </c>
      <c r="AN26" s="427">
        <v>0</v>
      </c>
      <c r="AO26" s="427">
        <v>0</v>
      </c>
      <c r="AP26" s="427">
        <v>0</v>
      </c>
      <c r="AQ26" s="427">
        <v>0</v>
      </c>
      <c r="AR26" s="427">
        <v>0</v>
      </c>
      <c r="AS26" s="427">
        <v>0</v>
      </c>
      <c r="AT26" s="427">
        <v>0</v>
      </c>
      <c r="AU26" s="427">
        <v>0</v>
      </c>
      <c r="AV26" s="427">
        <v>0</v>
      </c>
      <c r="AW26" s="427">
        <v>0</v>
      </c>
      <c r="AX26" s="427">
        <v>0</v>
      </c>
      <c r="AY26" s="427">
        <v>0</v>
      </c>
      <c r="AZ26" s="427">
        <v>0</v>
      </c>
      <c r="BA26" s="427">
        <v>0</v>
      </c>
      <c r="BB26" s="427">
        <v>0</v>
      </c>
      <c r="BC26" s="427">
        <v>0</v>
      </c>
      <c r="BD26" s="427">
        <v>0</v>
      </c>
      <c r="BE26" s="427">
        <v>0</v>
      </c>
      <c r="BF26" s="427">
        <v>0</v>
      </c>
      <c r="BG26" s="427">
        <v>0</v>
      </c>
      <c r="BH26" s="427">
        <v>0</v>
      </c>
      <c r="BI26" s="427">
        <v>0</v>
      </c>
      <c r="BJ26" s="427">
        <v>0</v>
      </c>
      <c r="BK26" s="427">
        <v>0</v>
      </c>
      <c r="BL26" s="427">
        <v>0</v>
      </c>
      <c r="BM26" s="427">
        <v>0</v>
      </c>
      <c r="BN26" s="427">
        <v>0</v>
      </c>
      <c r="BO26" s="427">
        <v>0</v>
      </c>
      <c r="BP26" s="427">
        <v>0</v>
      </c>
      <c r="BQ26" s="427">
        <v>0</v>
      </c>
      <c r="BR26" s="427">
        <v>0</v>
      </c>
      <c r="BS26" s="427">
        <v>0</v>
      </c>
      <c r="BT26" s="427">
        <v>0</v>
      </c>
      <c r="BU26" s="427">
        <v>0</v>
      </c>
      <c r="BV26" s="427">
        <v>0</v>
      </c>
      <c r="BW26" s="427">
        <v>0</v>
      </c>
      <c r="BX26" s="427">
        <v>0</v>
      </c>
      <c r="BY26" s="427">
        <v>0</v>
      </c>
      <c r="BZ26" s="427">
        <v>0</v>
      </c>
      <c r="CC26" s="21"/>
      <c r="CD26" s="426" t="s">
        <v>156</v>
      </c>
      <c r="CE26" s="433">
        <f t="shared" si="0"/>
        <v>0</v>
      </c>
      <c r="CF26" s="433">
        <f t="shared" si="1"/>
        <v>0</v>
      </c>
      <c r="CG26" s="433">
        <f t="shared" si="2"/>
        <v>0</v>
      </c>
      <c r="CH26" s="433">
        <f t="shared" si="3"/>
        <v>0</v>
      </c>
      <c r="CI26" s="433">
        <f t="shared" si="4"/>
        <v>0</v>
      </c>
      <c r="CJ26" s="433">
        <f t="shared" si="5"/>
        <v>0</v>
      </c>
      <c r="CK26" s="433">
        <f t="shared" si="6"/>
        <v>0</v>
      </c>
      <c r="CL26" s="433">
        <f t="shared" si="7"/>
        <v>0</v>
      </c>
      <c r="CM26" s="433">
        <f t="shared" si="8"/>
        <v>0</v>
      </c>
      <c r="CN26" s="433">
        <f t="shared" si="9"/>
        <v>0</v>
      </c>
      <c r="CO26" s="433">
        <f t="shared" si="10"/>
        <v>0</v>
      </c>
      <c r="CP26" s="433">
        <f t="shared" si="11"/>
        <v>0</v>
      </c>
      <c r="CQ26" s="433">
        <f t="shared" si="12"/>
        <v>0</v>
      </c>
      <c r="CR26" s="433">
        <f t="shared" si="13"/>
        <v>0</v>
      </c>
      <c r="CS26" s="433">
        <f t="shared" si="14"/>
        <v>0</v>
      </c>
      <c r="CT26" s="21"/>
    </row>
    <row r="27" spans="3:98" ht="24.75" hidden="1" customHeight="1" outlineLevel="2">
      <c r="C27" s="426" t="s">
        <v>157</v>
      </c>
      <c r="D27" s="427">
        <v>0</v>
      </c>
      <c r="E27" s="427">
        <v>0</v>
      </c>
      <c r="F27" s="427">
        <v>0</v>
      </c>
      <c r="G27" s="427">
        <v>0</v>
      </c>
      <c r="H27" s="427">
        <v>0</v>
      </c>
      <c r="I27" s="427">
        <v>0</v>
      </c>
      <c r="J27" s="427">
        <v>0</v>
      </c>
      <c r="K27" s="427">
        <v>0</v>
      </c>
      <c r="L27" s="427">
        <v>0</v>
      </c>
      <c r="M27" s="427">
        <v>0</v>
      </c>
      <c r="N27" s="427">
        <v>0</v>
      </c>
      <c r="O27" s="427">
        <v>0</v>
      </c>
      <c r="P27" s="427">
        <v>0</v>
      </c>
      <c r="Q27" s="427">
        <v>0</v>
      </c>
      <c r="R27" s="427">
        <v>0</v>
      </c>
      <c r="S27" s="427">
        <v>0</v>
      </c>
      <c r="T27" s="427">
        <v>0</v>
      </c>
      <c r="U27" s="427">
        <v>0</v>
      </c>
      <c r="V27" s="427">
        <v>0</v>
      </c>
      <c r="W27" s="427">
        <v>0</v>
      </c>
      <c r="X27" s="427">
        <v>0</v>
      </c>
      <c r="Y27" s="427">
        <v>0</v>
      </c>
      <c r="Z27" s="427">
        <v>0</v>
      </c>
      <c r="AA27" s="427">
        <v>0</v>
      </c>
      <c r="AB27" s="427">
        <v>0</v>
      </c>
      <c r="AC27" s="427">
        <v>0</v>
      </c>
      <c r="AD27" s="427">
        <v>0</v>
      </c>
      <c r="AE27" s="427">
        <v>0</v>
      </c>
      <c r="AF27" s="427">
        <v>0</v>
      </c>
      <c r="AG27" s="427">
        <v>0</v>
      </c>
      <c r="AH27" s="427">
        <v>0</v>
      </c>
      <c r="AI27" s="427">
        <v>0</v>
      </c>
      <c r="AJ27" s="427">
        <v>0</v>
      </c>
      <c r="AK27" s="427">
        <v>0</v>
      </c>
      <c r="AL27" s="427">
        <v>0</v>
      </c>
      <c r="AM27" s="427">
        <v>0</v>
      </c>
      <c r="AN27" s="427">
        <v>0</v>
      </c>
      <c r="AO27" s="427">
        <v>0</v>
      </c>
      <c r="AP27" s="427">
        <v>0</v>
      </c>
      <c r="AQ27" s="427">
        <v>0</v>
      </c>
      <c r="AR27" s="427">
        <v>0</v>
      </c>
      <c r="AS27" s="427">
        <v>0</v>
      </c>
      <c r="AT27" s="427">
        <v>0</v>
      </c>
      <c r="AU27" s="427">
        <v>0</v>
      </c>
      <c r="AV27" s="427">
        <v>0</v>
      </c>
      <c r="AW27" s="427">
        <v>0</v>
      </c>
      <c r="AX27" s="427">
        <v>0</v>
      </c>
      <c r="AY27" s="427">
        <v>0</v>
      </c>
      <c r="AZ27" s="427">
        <v>0</v>
      </c>
      <c r="BA27" s="427">
        <v>0</v>
      </c>
      <c r="BB27" s="427">
        <v>0</v>
      </c>
      <c r="BC27" s="427">
        <v>0</v>
      </c>
      <c r="BD27" s="427">
        <v>0</v>
      </c>
      <c r="BE27" s="427">
        <v>0</v>
      </c>
      <c r="BF27" s="427">
        <v>0</v>
      </c>
      <c r="BG27" s="427">
        <v>0</v>
      </c>
      <c r="BH27" s="427">
        <v>0</v>
      </c>
      <c r="BI27" s="427">
        <v>0</v>
      </c>
      <c r="BJ27" s="427">
        <v>0</v>
      </c>
      <c r="BK27" s="427">
        <v>0</v>
      </c>
      <c r="BL27" s="427">
        <v>0</v>
      </c>
      <c r="BM27" s="427">
        <v>0</v>
      </c>
      <c r="BN27" s="427">
        <v>0</v>
      </c>
      <c r="BO27" s="427">
        <v>0</v>
      </c>
      <c r="BP27" s="427">
        <v>0</v>
      </c>
      <c r="BQ27" s="427">
        <v>0</v>
      </c>
      <c r="BR27" s="427">
        <v>0</v>
      </c>
      <c r="BS27" s="427">
        <v>0</v>
      </c>
      <c r="BT27" s="427">
        <v>0</v>
      </c>
      <c r="BU27" s="427">
        <v>0</v>
      </c>
      <c r="BV27" s="427">
        <v>0</v>
      </c>
      <c r="BW27" s="427">
        <v>0</v>
      </c>
      <c r="BX27" s="427">
        <v>0</v>
      </c>
      <c r="BY27" s="427">
        <v>0</v>
      </c>
      <c r="BZ27" s="427">
        <v>0</v>
      </c>
      <c r="CC27" s="21"/>
      <c r="CD27" s="426" t="s">
        <v>157</v>
      </c>
      <c r="CE27" s="433">
        <f t="shared" si="0"/>
        <v>0</v>
      </c>
      <c r="CF27" s="433">
        <f t="shared" si="1"/>
        <v>0</v>
      </c>
      <c r="CG27" s="433">
        <f t="shared" si="2"/>
        <v>0</v>
      </c>
      <c r="CH27" s="433">
        <f t="shared" si="3"/>
        <v>0</v>
      </c>
      <c r="CI27" s="433">
        <f t="shared" si="4"/>
        <v>0</v>
      </c>
      <c r="CJ27" s="433">
        <f t="shared" si="5"/>
        <v>0</v>
      </c>
      <c r="CK27" s="433">
        <f t="shared" si="6"/>
        <v>0</v>
      </c>
      <c r="CL27" s="433">
        <f t="shared" si="7"/>
        <v>0</v>
      </c>
      <c r="CM27" s="433">
        <f t="shared" si="8"/>
        <v>0</v>
      </c>
      <c r="CN27" s="433">
        <f t="shared" si="9"/>
        <v>0</v>
      </c>
      <c r="CO27" s="433">
        <f t="shared" si="10"/>
        <v>0</v>
      </c>
      <c r="CP27" s="433">
        <f t="shared" si="11"/>
        <v>0</v>
      </c>
      <c r="CQ27" s="433">
        <f t="shared" si="12"/>
        <v>0</v>
      </c>
      <c r="CR27" s="433">
        <f t="shared" si="13"/>
        <v>0</v>
      </c>
      <c r="CS27" s="433">
        <f t="shared" si="14"/>
        <v>0</v>
      </c>
      <c r="CT27" s="21"/>
    </row>
    <row r="28" spans="3:98" ht="24.75" hidden="1" customHeight="1" outlineLevel="1">
      <c r="C28" s="424" t="s">
        <v>155</v>
      </c>
      <c r="D28" s="427">
        <v>0</v>
      </c>
      <c r="E28" s="427">
        <v>0</v>
      </c>
      <c r="F28" s="427">
        <v>0</v>
      </c>
      <c r="G28" s="427">
        <v>0</v>
      </c>
      <c r="H28" s="427">
        <v>0</v>
      </c>
      <c r="I28" s="427">
        <v>0</v>
      </c>
      <c r="J28" s="427">
        <v>0</v>
      </c>
      <c r="K28" s="427">
        <v>0</v>
      </c>
      <c r="L28" s="427">
        <v>0</v>
      </c>
      <c r="M28" s="427">
        <v>0</v>
      </c>
      <c r="N28" s="427">
        <v>0</v>
      </c>
      <c r="O28" s="427">
        <v>0</v>
      </c>
      <c r="P28" s="427">
        <v>0</v>
      </c>
      <c r="Q28" s="427">
        <v>0</v>
      </c>
      <c r="R28" s="427">
        <v>0</v>
      </c>
      <c r="S28" s="427">
        <v>0</v>
      </c>
      <c r="T28" s="427">
        <v>0</v>
      </c>
      <c r="U28" s="427">
        <v>0</v>
      </c>
      <c r="V28" s="427">
        <v>0</v>
      </c>
      <c r="W28" s="427">
        <v>0</v>
      </c>
      <c r="X28" s="427">
        <v>0</v>
      </c>
      <c r="Y28" s="427">
        <v>0</v>
      </c>
      <c r="Z28" s="427">
        <v>0</v>
      </c>
      <c r="AA28" s="427">
        <v>0</v>
      </c>
      <c r="AB28" s="427">
        <v>0</v>
      </c>
      <c r="AC28" s="427">
        <v>0</v>
      </c>
      <c r="AD28" s="427">
        <v>0</v>
      </c>
      <c r="AE28" s="427">
        <v>0</v>
      </c>
      <c r="AF28" s="427">
        <v>0</v>
      </c>
      <c r="AG28" s="427">
        <v>0</v>
      </c>
      <c r="AH28" s="427">
        <v>0</v>
      </c>
      <c r="AI28" s="427">
        <v>0</v>
      </c>
      <c r="AJ28" s="427">
        <v>0</v>
      </c>
      <c r="AK28" s="427">
        <v>0</v>
      </c>
      <c r="AL28" s="427">
        <v>0</v>
      </c>
      <c r="AM28" s="427">
        <v>0</v>
      </c>
      <c r="AN28" s="427">
        <v>0</v>
      </c>
      <c r="AO28" s="427">
        <v>0</v>
      </c>
      <c r="AP28" s="427">
        <v>0</v>
      </c>
      <c r="AQ28" s="427">
        <v>0</v>
      </c>
      <c r="AR28" s="427">
        <v>0</v>
      </c>
      <c r="AS28" s="427">
        <v>0</v>
      </c>
      <c r="AT28" s="427">
        <v>0</v>
      </c>
      <c r="AU28" s="427">
        <v>0</v>
      </c>
      <c r="AV28" s="427">
        <v>0</v>
      </c>
      <c r="AW28" s="427">
        <v>0</v>
      </c>
      <c r="AX28" s="427">
        <v>0</v>
      </c>
      <c r="AY28" s="427">
        <v>0</v>
      </c>
      <c r="AZ28" s="427">
        <v>0</v>
      </c>
      <c r="BA28" s="427">
        <v>0</v>
      </c>
      <c r="BB28" s="427">
        <v>0</v>
      </c>
      <c r="BC28" s="427">
        <v>0</v>
      </c>
      <c r="BD28" s="427">
        <v>0</v>
      </c>
      <c r="BE28" s="427">
        <v>0</v>
      </c>
      <c r="BF28" s="427">
        <v>17.603999999999999</v>
      </c>
      <c r="BG28" s="427">
        <v>0</v>
      </c>
      <c r="BH28" s="427">
        <v>0</v>
      </c>
      <c r="BI28" s="427">
        <v>0</v>
      </c>
      <c r="BJ28" s="427">
        <v>161.53299999999999</v>
      </c>
      <c r="BK28" s="427">
        <v>161.53299999999999</v>
      </c>
      <c r="BL28" s="427">
        <v>134.04499999999999</v>
      </c>
      <c r="BM28" s="427">
        <v>65.825999999999993</v>
      </c>
      <c r="BN28" s="427">
        <v>80.316999999999993</v>
      </c>
      <c r="BO28" s="427">
        <v>25.591999999999999</v>
      </c>
      <c r="BP28" s="427">
        <v>25.591999999999999</v>
      </c>
      <c r="BQ28" s="427">
        <v>87.543999999999997</v>
      </c>
      <c r="BR28" s="427">
        <v>73.623000000000005</v>
      </c>
      <c r="BS28" s="427">
        <v>61.540999999999997</v>
      </c>
      <c r="BT28" s="427">
        <v>8.4339999999999993</v>
      </c>
      <c r="BU28" s="427">
        <v>8.4339999999999993</v>
      </c>
      <c r="BV28" s="427">
        <v>216.38800000000001</v>
      </c>
      <c r="BW28" s="427">
        <v>231.04900000000001</v>
      </c>
      <c r="BX28" s="427">
        <v>92.665999999999997</v>
      </c>
      <c r="BY28" s="427">
        <v>0</v>
      </c>
      <c r="BZ28" s="427">
        <v>0</v>
      </c>
      <c r="CC28" s="21"/>
      <c r="CD28" s="424" t="s">
        <v>155</v>
      </c>
      <c r="CE28" s="433">
        <f t="shared" si="0"/>
        <v>0</v>
      </c>
      <c r="CF28" s="433">
        <f t="shared" si="1"/>
        <v>0</v>
      </c>
      <c r="CG28" s="433">
        <f t="shared" si="2"/>
        <v>0</v>
      </c>
      <c r="CH28" s="433">
        <f t="shared" si="3"/>
        <v>0</v>
      </c>
      <c r="CI28" s="433">
        <f t="shared" si="4"/>
        <v>0</v>
      </c>
      <c r="CJ28" s="433">
        <f t="shared" si="5"/>
        <v>0</v>
      </c>
      <c r="CK28" s="433">
        <f t="shared" si="6"/>
        <v>0</v>
      </c>
      <c r="CL28" s="433">
        <f t="shared" si="7"/>
        <v>0</v>
      </c>
      <c r="CM28" s="433">
        <f t="shared" si="8"/>
        <v>0</v>
      </c>
      <c r="CN28" s="433">
        <f t="shared" si="9"/>
        <v>0</v>
      </c>
      <c r="CO28" s="433">
        <f t="shared" si="10"/>
        <v>17.603999999999999</v>
      </c>
      <c r="CP28" s="433">
        <f t="shared" si="11"/>
        <v>161.53299999999999</v>
      </c>
      <c r="CQ28" s="433">
        <f t="shared" si="12"/>
        <v>25.591999999999999</v>
      </c>
      <c r="CR28" s="433">
        <f t="shared" si="13"/>
        <v>8.4339999999999993</v>
      </c>
      <c r="CS28" s="433">
        <f t="shared" si="14"/>
        <v>0</v>
      </c>
      <c r="CT28" s="21"/>
    </row>
    <row r="29" spans="3:98" ht="24.75" hidden="1" customHeight="1" outlineLevel="1">
      <c r="C29" s="424" t="s">
        <v>158</v>
      </c>
      <c r="D29" s="427">
        <v>0</v>
      </c>
      <c r="E29" s="427">
        <v>0</v>
      </c>
      <c r="F29" s="427">
        <v>0</v>
      </c>
      <c r="G29" s="427">
        <v>0</v>
      </c>
      <c r="H29" s="427">
        <v>0</v>
      </c>
      <c r="I29" s="427">
        <v>0</v>
      </c>
      <c r="J29" s="427">
        <v>0</v>
      </c>
      <c r="K29" s="427">
        <v>0</v>
      </c>
      <c r="L29" s="427">
        <v>0</v>
      </c>
      <c r="M29" s="427">
        <v>0</v>
      </c>
      <c r="N29" s="427">
        <v>0</v>
      </c>
      <c r="O29" s="427">
        <v>0</v>
      </c>
      <c r="P29" s="427">
        <v>0</v>
      </c>
      <c r="Q29" s="427">
        <v>0</v>
      </c>
      <c r="R29" s="427">
        <v>0</v>
      </c>
      <c r="S29" s="427">
        <v>0</v>
      </c>
      <c r="T29" s="427">
        <v>0</v>
      </c>
      <c r="U29" s="427">
        <v>0</v>
      </c>
      <c r="V29" s="427">
        <v>0</v>
      </c>
      <c r="W29" s="427">
        <v>0</v>
      </c>
      <c r="X29" s="427">
        <v>0</v>
      </c>
      <c r="Y29" s="427">
        <v>0</v>
      </c>
      <c r="Z29" s="427">
        <v>0</v>
      </c>
      <c r="AA29" s="427">
        <v>0</v>
      </c>
      <c r="AB29" s="427">
        <v>0</v>
      </c>
      <c r="AC29" s="427">
        <v>0</v>
      </c>
      <c r="AD29" s="427">
        <v>0</v>
      </c>
      <c r="AE29" s="427">
        <v>0</v>
      </c>
      <c r="AF29" s="427">
        <v>0</v>
      </c>
      <c r="AG29" s="427">
        <v>0</v>
      </c>
      <c r="AH29" s="427">
        <v>0</v>
      </c>
      <c r="AI29" s="427">
        <v>0</v>
      </c>
      <c r="AJ29" s="427">
        <v>0</v>
      </c>
      <c r="AK29" s="427">
        <v>0</v>
      </c>
      <c r="AL29" s="427">
        <v>0</v>
      </c>
      <c r="AM29" s="427">
        <v>0</v>
      </c>
      <c r="AN29" s="427">
        <v>0</v>
      </c>
      <c r="AO29" s="427">
        <v>0</v>
      </c>
      <c r="AP29" s="427">
        <v>0</v>
      </c>
      <c r="AQ29" s="427">
        <v>0</v>
      </c>
      <c r="AR29" s="427">
        <v>0</v>
      </c>
      <c r="AS29" s="427">
        <v>0</v>
      </c>
      <c r="AT29" s="427">
        <v>0</v>
      </c>
      <c r="AU29" s="427">
        <v>0</v>
      </c>
      <c r="AV29" s="427">
        <v>0</v>
      </c>
      <c r="AW29" s="427">
        <v>0</v>
      </c>
      <c r="AX29" s="427">
        <v>0</v>
      </c>
      <c r="AY29" s="427">
        <v>0</v>
      </c>
      <c r="AZ29" s="427">
        <v>0</v>
      </c>
      <c r="BA29" s="427">
        <v>0</v>
      </c>
      <c r="BB29" s="427">
        <v>0</v>
      </c>
      <c r="BC29" s="427">
        <v>0</v>
      </c>
      <c r="BD29" s="427">
        <v>0</v>
      </c>
      <c r="BE29" s="427">
        <v>0</v>
      </c>
      <c r="BF29" s="427">
        <v>2.0009999999999999</v>
      </c>
      <c r="BG29" s="427">
        <v>0</v>
      </c>
      <c r="BH29" s="427">
        <v>0</v>
      </c>
      <c r="BI29" s="427">
        <v>0</v>
      </c>
      <c r="BJ29" s="427">
        <v>6.79</v>
      </c>
      <c r="BK29" s="427">
        <v>6.79</v>
      </c>
      <c r="BL29" s="427">
        <v>53.045999999999999</v>
      </c>
      <c r="BM29" s="427">
        <v>95.537999999999997</v>
      </c>
      <c r="BN29" s="427">
        <v>109.31699999999999</v>
      </c>
      <c r="BO29" s="427">
        <v>218.46100000000001</v>
      </c>
      <c r="BP29" s="427">
        <v>218.46100000000001</v>
      </c>
      <c r="BQ29" s="427">
        <v>218.322</v>
      </c>
      <c r="BR29" s="427">
        <v>126.004</v>
      </c>
      <c r="BS29" s="427">
        <v>116.601</v>
      </c>
      <c r="BT29" s="427">
        <v>184.029</v>
      </c>
      <c r="BU29" s="427">
        <v>184.029</v>
      </c>
      <c r="BV29" s="427">
        <v>193.67</v>
      </c>
      <c r="BW29" s="427">
        <v>170.55</v>
      </c>
      <c r="BX29" s="427">
        <v>273.44499999999999</v>
      </c>
      <c r="BY29" s="427">
        <v>0</v>
      </c>
      <c r="BZ29" s="427">
        <v>0</v>
      </c>
      <c r="CC29" s="21"/>
      <c r="CD29" s="424" t="s">
        <v>158</v>
      </c>
      <c r="CE29" s="433">
        <f t="shared" si="0"/>
        <v>0</v>
      </c>
      <c r="CF29" s="433">
        <f t="shared" si="1"/>
        <v>0</v>
      </c>
      <c r="CG29" s="433">
        <f t="shared" si="2"/>
        <v>0</v>
      </c>
      <c r="CH29" s="433">
        <f t="shared" si="3"/>
        <v>0</v>
      </c>
      <c r="CI29" s="433">
        <f t="shared" si="4"/>
        <v>0</v>
      </c>
      <c r="CJ29" s="433">
        <f t="shared" si="5"/>
        <v>0</v>
      </c>
      <c r="CK29" s="433">
        <f t="shared" si="6"/>
        <v>0</v>
      </c>
      <c r="CL29" s="433">
        <f t="shared" si="7"/>
        <v>0</v>
      </c>
      <c r="CM29" s="433">
        <f t="shared" si="8"/>
        <v>0</v>
      </c>
      <c r="CN29" s="433">
        <f t="shared" si="9"/>
        <v>0</v>
      </c>
      <c r="CO29" s="433">
        <f t="shared" si="10"/>
        <v>2.0009999999999999</v>
      </c>
      <c r="CP29" s="433">
        <f t="shared" si="11"/>
        <v>6.79</v>
      </c>
      <c r="CQ29" s="433">
        <f t="shared" si="12"/>
        <v>218.46100000000001</v>
      </c>
      <c r="CR29" s="433">
        <f t="shared" si="13"/>
        <v>184.029</v>
      </c>
      <c r="CS29" s="433">
        <f t="shared" si="14"/>
        <v>0</v>
      </c>
      <c r="CT29" s="21"/>
    </row>
    <row r="30" spans="3:98" ht="24.75" hidden="1" customHeight="1" outlineLevel="2">
      <c r="C30" s="426" t="s">
        <v>160</v>
      </c>
      <c r="D30" s="427">
        <v>0</v>
      </c>
      <c r="E30" s="427">
        <v>0</v>
      </c>
      <c r="F30" s="427">
        <v>0</v>
      </c>
      <c r="G30" s="427">
        <v>0</v>
      </c>
      <c r="H30" s="427">
        <v>0</v>
      </c>
      <c r="I30" s="427">
        <v>0</v>
      </c>
      <c r="J30" s="427">
        <v>0</v>
      </c>
      <c r="K30" s="427">
        <v>0</v>
      </c>
      <c r="L30" s="427">
        <v>0</v>
      </c>
      <c r="M30" s="427">
        <v>0</v>
      </c>
      <c r="N30" s="427">
        <v>0</v>
      </c>
      <c r="O30" s="427">
        <v>0</v>
      </c>
      <c r="P30" s="427">
        <v>0</v>
      </c>
      <c r="Q30" s="427">
        <v>0</v>
      </c>
      <c r="R30" s="427">
        <v>0</v>
      </c>
      <c r="S30" s="427">
        <v>0</v>
      </c>
      <c r="T30" s="427">
        <v>0</v>
      </c>
      <c r="U30" s="427">
        <v>0</v>
      </c>
      <c r="V30" s="427">
        <v>0</v>
      </c>
      <c r="W30" s="427">
        <v>0</v>
      </c>
      <c r="X30" s="427">
        <v>0</v>
      </c>
      <c r="Y30" s="427">
        <v>0</v>
      </c>
      <c r="Z30" s="427">
        <v>0</v>
      </c>
      <c r="AA30" s="427">
        <v>0</v>
      </c>
      <c r="AB30" s="427">
        <v>0</v>
      </c>
      <c r="AC30" s="427">
        <v>0</v>
      </c>
      <c r="AD30" s="427">
        <v>0</v>
      </c>
      <c r="AE30" s="427">
        <v>0</v>
      </c>
      <c r="AF30" s="427">
        <v>0</v>
      </c>
      <c r="AG30" s="427">
        <v>0</v>
      </c>
      <c r="AH30" s="427">
        <v>0</v>
      </c>
      <c r="AI30" s="427">
        <v>0</v>
      </c>
      <c r="AJ30" s="427">
        <v>0</v>
      </c>
      <c r="AK30" s="427">
        <v>0</v>
      </c>
      <c r="AL30" s="427">
        <v>0</v>
      </c>
      <c r="AM30" s="427">
        <v>0</v>
      </c>
      <c r="AN30" s="427">
        <v>0</v>
      </c>
      <c r="AO30" s="427">
        <v>0</v>
      </c>
      <c r="AP30" s="427">
        <v>0</v>
      </c>
      <c r="AQ30" s="427">
        <v>0</v>
      </c>
      <c r="AR30" s="427">
        <v>0</v>
      </c>
      <c r="AS30" s="427">
        <v>0</v>
      </c>
      <c r="AT30" s="427">
        <v>0</v>
      </c>
      <c r="AU30" s="427">
        <v>0</v>
      </c>
      <c r="AV30" s="427">
        <v>0</v>
      </c>
      <c r="AW30" s="427">
        <v>0</v>
      </c>
      <c r="AX30" s="427">
        <v>0</v>
      </c>
      <c r="AY30" s="427">
        <v>0</v>
      </c>
      <c r="AZ30" s="427">
        <v>0</v>
      </c>
      <c r="BA30" s="427">
        <v>0</v>
      </c>
      <c r="BB30" s="427">
        <v>0</v>
      </c>
      <c r="BC30" s="427">
        <v>0</v>
      </c>
      <c r="BD30" s="427">
        <v>0</v>
      </c>
      <c r="BE30" s="427">
        <v>0</v>
      </c>
      <c r="BF30" s="427">
        <v>0</v>
      </c>
      <c r="BG30" s="427">
        <v>0</v>
      </c>
      <c r="BH30" s="427">
        <v>0</v>
      </c>
      <c r="BI30" s="427">
        <v>0</v>
      </c>
      <c r="BJ30" s="427">
        <v>0</v>
      </c>
      <c r="BK30" s="427">
        <v>0</v>
      </c>
      <c r="BL30" s="427">
        <v>0</v>
      </c>
      <c r="BM30" s="427">
        <v>0</v>
      </c>
      <c r="BN30" s="427">
        <v>0</v>
      </c>
      <c r="BO30" s="427">
        <v>0</v>
      </c>
      <c r="BP30" s="427">
        <v>0</v>
      </c>
      <c r="BQ30" s="427">
        <v>0</v>
      </c>
      <c r="BR30" s="427">
        <v>0</v>
      </c>
      <c r="BS30" s="427">
        <v>0</v>
      </c>
      <c r="BT30" s="427">
        <v>0</v>
      </c>
      <c r="BU30" s="427">
        <v>0</v>
      </c>
      <c r="BV30" s="427">
        <v>0</v>
      </c>
      <c r="BW30" s="427">
        <v>0</v>
      </c>
      <c r="BX30" s="427">
        <v>0</v>
      </c>
      <c r="BY30" s="427">
        <v>0</v>
      </c>
      <c r="BZ30" s="427">
        <v>0</v>
      </c>
      <c r="CC30" s="21"/>
      <c r="CD30" s="426" t="s">
        <v>160</v>
      </c>
      <c r="CE30" s="433">
        <f t="shared" si="0"/>
        <v>0</v>
      </c>
      <c r="CF30" s="433">
        <f t="shared" si="1"/>
        <v>0</v>
      </c>
      <c r="CG30" s="433">
        <f t="shared" si="2"/>
        <v>0</v>
      </c>
      <c r="CH30" s="433">
        <f t="shared" si="3"/>
        <v>0</v>
      </c>
      <c r="CI30" s="433">
        <f t="shared" si="4"/>
        <v>0</v>
      </c>
      <c r="CJ30" s="433">
        <f t="shared" si="5"/>
        <v>0</v>
      </c>
      <c r="CK30" s="433">
        <f t="shared" si="6"/>
        <v>0</v>
      </c>
      <c r="CL30" s="433">
        <f t="shared" si="7"/>
        <v>0</v>
      </c>
      <c r="CM30" s="433">
        <f t="shared" si="8"/>
        <v>0</v>
      </c>
      <c r="CN30" s="433">
        <f t="shared" si="9"/>
        <v>0</v>
      </c>
      <c r="CO30" s="433">
        <f t="shared" si="10"/>
        <v>0</v>
      </c>
      <c r="CP30" s="433">
        <f t="shared" si="11"/>
        <v>0</v>
      </c>
      <c r="CQ30" s="433">
        <f t="shared" si="12"/>
        <v>0</v>
      </c>
      <c r="CR30" s="433">
        <f t="shared" si="13"/>
        <v>0</v>
      </c>
      <c r="CS30" s="433">
        <f t="shared" si="14"/>
        <v>0</v>
      </c>
      <c r="CT30" s="21"/>
    </row>
    <row r="31" spans="3:98" ht="24.75" hidden="1" customHeight="1" outlineLevel="2">
      <c r="C31" s="426" t="s">
        <v>161</v>
      </c>
      <c r="D31" s="427">
        <v>0</v>
      </c>
      <c r="E31" s="427">
        <v>0</v>
      </c>
      <c r="F31" s="427">
        <v>0</v>
      </c>
      <c r="G31" s="427">
        <v>0</v>
      </c>
      <c r="H31" s="427">
        <v>0</v>
      </c>
      <c r="I31" s="427">
        <v>0</v>
      </c>
      <c r="J31" s="427">
        <v>0</v>
      </c>
      <c r="K31" s="427">
        <v>0</v>
      </c>
      <c r="L31" s="427">
        <v>0</v>
      </c>
      <c r="M31" s="427">
        <v>0</v>
      </c>
      <c r="N31" s="427">
        <v>0</v>
      </c>
      <c r="O31" s="427">
        <v>0</v>
      </c>
      <c r="P31" s="427">
        <v>0</v>
      </c>
      <c r="Q31" s="427">
        <v>0</v>
      </c>
      <c r="R31" s="427">
        <v>0</v>
      </c>
      <c r="S31" s="427">
        <v>0</v>
      </c>
      <c r="T31" s="427">
        <v>0</v>
      </c>
      <c r="U31" s="427">
        <v>0</v>
      </c>
      <c r="V31" s="427">
        <v>0</v>
      </c>
      <c r="W31" s="427">
        <v>0</v>
      </c>
      <c r="X31" s="427">
        <v>0</v>
      </c>
      <c r="Y31" s="427">
        <v>0</v>
      </c>
      <c r="Z31" s="427">
        <v>0</v>
      </c>
      <c r="AA31" s="427">
        <v>0</v>
      </c>
      <c r="AB31" s="427">
        <v>0</v>
      </c>
      <c r="AC31" s="427">
        <v>0</v>
      </c>
      <c r="AD31" s="427">
        <v>0</v>
      </c>
      <c r="AE31" s="427">
        <v>0</v>
      </c>
      <c r="AF31" s="427">
        <v>0</v>
      </c>
      <c r="AG31" s="427">
        <v>0</v>
      </c>
      <c r="AH31" s="427">
        <v>0</v>
      </c>
      <c r="AI31" s="427">
        <v>0</v>
      </c>
      <c r="AJ31" s="427">
        <v>0</v>
      </c>
      <c r="AK31" s="427">
        <v>0</v>
      </c>
      <c r="AL31" s="427">
        <v>0</v>
      </c>
      <c r="AM31" s="427">
        <v>0</v>
      </c>
      <c r="AN31" s="427">
        <v>0</v>
      </c>
      <c r="AO31" s="427">
        <v>0</v>
      </c>
      <c r="AP31" s="427">
        <v>0</v>
      </c>
      <c r="AQ31" s="427">
        <v>0</v>
      </c>
      <c r="AR31" s="427">
        <v>0</v>
      </c>
      <c r="AS31" s="427">
        <v>0</v>
      </c>
      <c r="AT31" s="427">
        <v>0</v>
      </c>
      <c r="AU31" s="427">
        <v>0</v>
      </c>
      <c r="AV31" s="427">
        <v>0</v>
      </c>
      <c r="AW31" s="427">
        <v>0</v>
      </c>
      <c r="AX31" s="427">
        <v>0</v>
      </c>
      <c r="AY31" s="427">
        <v>0</v>
      </c>
      <c r="AZ31" s="427">
        <v>0</v>
      </c>
      <c r="BA31" s="427">
        <v>0</v>
      </c>
      <c r="BB31" s="427">
        <v>0</v>
      </c>
      <c r="BC31" s="427">
        <v>0</v>
      </c>
      <c r="BD31" s="427">
        <v>0</v>
      </c>
      <c r="BE31" s="427">
        <v>0</v>
      </c>
      <c r="BF31" s="427">
        <v>0</v>
      </c>
      <c r="BG31" s="427">
        <v>0</v>
      </c>
      <c r="BH31" s="427">
        <v>0</v>
      </c>
      <c r="BI31" s="427">
        <v>0</v>
      </c>
      <c r="BJ31" s="427">
        <v>0</v>
      </c>
      <c r="BK31" s="427">
        <v>0</v>
      </c>
      <c r="BL31" s="427">
        <v>0</v>
      </c>
      <c r="BM31" s="427">
        <v>0</v>
      </c>
      <c r="BN31" s="427">
        <v>0</v>
      </c>
      <c r="BO31" s="427">
        <v>0</v>
      </c>
      <c r="BP31" s="427">
        <v>0</v>
      </c>
      <c r="BQ31" s="427">
        <v>0</v>
      </c>
      <c r="BR31" s="427">
        <v>0</v>
      </c>
      <c r="BS31" s="427">
        <v>0</v>
      </c>
      <c r="BT31" s="427">
        <v>0</v>
      </c>
      <c r="BU31" s="427">
        <v>0</v>
      </c>
      <c r="BV31" s="427">
        <v>0</v>
      </c>
      <c r="BW31" s="427">
        <v>0</v>
      </c>
      <c r="BX31" s="427">
        <v>0</v>
      </c>
      <c r="BY31" s="427">
        <v>0</v>
      </c>
      <c r="BZ31" s="427">
        <v>0</v>
      </c>
      <c r="CC31" s="21"/>
      <c r="CD31" s="426" t="s">
        <v>161</v>
      </c>
      <c r="CE31" s="433">
        <f t="shared" si="0"/>
        <v>0</v>
      </c>
      <c r="CF31" s="433">
        <f t="shared" si="1"/>
        <v>0</v>
      </c>
      <c r="CG31" s="433">
        <f t="shared" si="2"/>
        <v>0</v>
      </c>
      <c r="CH31" s="433">
        <f t="shared" si="3"/>
        <v>0</v>
      </c>
      <c r="CI31" s="433">
        <f t="shared" si="4"/>
        <v>0</v>
      </c>
      <c r="CJ31" s="433">
        <f t="shared" si="5"/>
        <v>0</v>
      </c>
      <c r="CK31" s="433">
        <f t="shared" si="6"/>
        <v>0</v>
      </c>
      <c r="CL31" s="433">
        <f t="shared" si="7"/>
        <v>0</v>
      </c>
      <c r="CM31" s="433">
        <f t="shared" si="8"/>
        <v>0</v>
      </c>
      <c r="CN31" s="433">
        <f t="shared" si="9"/>
        <v>0</v>
      </c>
      <c r="CO31" s="433">
        <f t="shared" si="10"/>
        <v>0</v>
      </c>
      <c r="CP31" s="433">
        <f t="shared" si="11"/>
        <v>0</v>
      </c>
      <c r="CQ31" s="433">
        <f t="shared" si="12"/>
        <v>0</v>
      </c>
      <c r="CR31" s="433">
        <f t="shared" si="13"/>
        <v>0</v>
      </c>
      <c r="CS31" s="433">
        <f t="shared" si="14"/>
        <v>0</v>
      </c>
      <c r="CT31" s="21"/>
    </row>
    <row r="32" spans="3:98" ht="24.75" hidden="1" customHeight="1" outlineLevel="1">
      <c r="C32" s="424" t="s">
        <v>159</v>
      </c>
      <c r="D32" s="427">
        <v>0</v>
      </c>
      <c r="E32" s="427">
        <v>0</v>
      </c>
      <c r="F32" s="427">
        <v>0</v>
      </c>
      <c r="G32" s="427">
        <v>0</v>
      </c>
      <c r="H32" s="427">
        <v>0</v>
      </c>
      <c r="I32" s="427">
        <v>0</v>
      </c>
      <c r="J32" s="427">
        <v>0</v>
      </c>
      <c r="K32" s="427">
        <v>0</v>
      </c>
      <c r="L32" s="427">
        <v>0</v>
      </c>
      <c r="M32" s="427">
        <v>0</v>
      </c>
      <c r="N32" s="427">
        <v>0</v>
      </c>
      <c r="O32" s="427">
        <v>0</v>
      </c>
      <c r="P32" s="427">
        <v>0</v>
      </c>
      <c r="Q32" s="427">
        <v>0</v>
      </c>
      <c r="R32" s="427">
        <v>0</v>
      </c>
      <c r="S32" s="427">
        <v>0</v>
      </c>
      <c r="T32" s="427">
        <v>0</v>
      </c>
      <c r="U32" s="427">
        <v>0</v>
      </c>
      <c r="V32" s="427">
        <v>0</v>
      </c>
      <c r="W32" s="427">
        <v>0</v>
      </c>
      <c r="X32" s="427">
        <v>0</v>
      </c>
      <c r="Y32" s="427">
        <v>0</v>
      </c>
      <c r="Z32" s="427">
        <v>0</v>
      </c>
      <c r="AA32" s="427">
        <v>0</v>
      </c>
      <c r="AB32" s="427">
        <v>0</v>
      </c>
      <c r="AC32" s="427">
        <v>0</v>
      </c>
      <c r="AD32" s="427">
        <v>0</v>
      </c>
      <c r="AE32" s="427">
        <v>0</v>
      </c>
      <c r="AF32" s="427">
        <v>0</v>
      </c>
      <c r="AG32" s="427">
        <v>0</v>
      </c>
      <c r="AH32" s="427">
        <v>0</v>
      </c>
      <c r="AI32" s="427">
        <v>0</v>
      </c>
      <c r="AJ32" s="427">
        <v>0</v>
      </c>
      <c r="AK32" s="427">
        <v>0</v>
      </c>
      <c r="AL32" s="427">
        <v>0</v>
      </c>
      <c r="AM32" s="427">
        <v>0</v>
      </c>
      <c r="AN32" s="427">
        <v>0</v>
      </c>
      <c r="AO32" s="427">
        <v>0</v>
      </c>
      <c r="AP32" s="427">
        <v>0</v>
      </c>
      <c r="AQ32" s="427">
        <v>0</v>
      </c>
      <c r="AR32" s="427">
        <v>0</v>
      </c>
      <c r="AS32" s="427">
        <v>0</v>
      </c>
      <c r="AT32" s="427">
        <v>0</v>
      </c>
      <c r="AU32" s="427">
        <v>0</v>
      </c>
      <c r="AV32" s="427">
        <v>0</v>
      </c>
      <c r="AW32" s="427">
        <v>0</v>
      </c>
      <c r="AX32" s="427">
        <v>0</v>
      </c>
      <c r="AY32" s="427">
        <v>0</v>
      </c>
      <c r="AZ32" s="427">
        <v>0</v>
      </c>
      <c r="BA32" s="427">
        <v>0</v>
      </c>
      <c r="BB32" s="427">
        <v>0</v>
      </c>
      <c r="BC32" s="427">
        <v>0</v>
      </c>
      <c r="BD32" s="427">
        <v>0</v>
      </c>
      <c r="BE32" s="427">
        <v>0</v>
      </c>
      <c r="BF32" s="427">
        <v>0</v>
      </c>
      <c r="BG32" s="427">
        <v>0</v>
      </c>
      <c r="BH32" s="427">
        <v>0</v>
      </c>
      <c r="BI32" s="427">
        <v>0</v>
      </c>
      <c r="BJ32" s="427">
        <v>0</v>
      </c>
      <c r="BK32" s="427">
        <v>0</v>
      </c>
      <c r="BL32" s="427">
        <v>0</v>
      </c>
      <c r="BM32" s="427">
        <v>0</v>
      </c>
      <c r="BN32" s="427">
        <v>0</v>
      </c>
      <c r="BO32" s="427">
        <v>0</v>
      </c>
      <c r="BP32" s="427">
        <v>0</v>
      </c>
      <c r="BQ32" s="427">
        <v>0</v>
      </c>
      <c r="BR32" s="427">
        <v>0</v>
      </c>
      <c r="BS32" s="427">
        <v>0</v>
      </c>
      <c r="BT32" s="427">
        <v>0</v>
      </c>
      <c r="BU32" s="427">
        <v>0</v>
      </c>
      <c r="BV32" s="427">
        <v>0</v>
      </c>
      <c r="BW32" s="427">
        <v>0</v>
      </c>
      <c r="BX32" s="427">
        <v>0</v>
      </c>
      <c r="BY32" s="427">
        <v>0</v>
      </c>
      <c r="BZ32" s="427">
        <v>0</v>
      </c>
      <c r="CC32" s="21"/>
      <c r="CD32" s="424" t="s">
        <v>159</v>
      </c>
      <c r="CE32" s="433">
        <f t="shared" si="0"/>
        <v>0</v>
      </c>
      <c r="CF32" s="433">
        <f t="shared" si="1"/>
        <v>0</v>
      </c>
      <c r="CG32" s="433">
        <f t="shared" si="2"/>
        <v>0</v>
      </c>
      <c r="CH32" s="433">
        <f t="shared" si="3"/>
        <v>0</v>
      </c>
      <c r="CI32" s="433">
        <f t="shared" si="4"/>
        <v>0</v>
      </c>
      <c r="CJ32" s="433">
        <f t="shared" si="5"/>
        <v>0</v>
      </c>
      <c r="CK32" s="433">
        <f t="shared" si="6"/>
        <v>0</v>
      </c>
      <c r="CL32" s="433">
        <f t="shared" si="7"/>
        <v>0</v>
      </c>
      <c r="CM32" s="433">
        <f t="shared" si="8"/>
        <v>0</v>
      </c>
      <c r="CN32" s="433">
        <f t="shared" si="9"/>
        <v>0</v>
      </c>
      <c r="CO32" s="433">
        <f t="shared" si="10"/>
        <v>0</v>
      </c>
      <c r="CP32" s="433">
        <f t="shared" si="11"/>
        <v>0</v>
      </c>
      <c r="CQ32" s="433">
        <f t="shared" si="12"/>
        <v>0</v>
      </c>
      <c r="CR32" s="433">
        <f t="shared" si="13"/>
        <v>0</v>
      </c>
      <c r="CS32" s="433">
        <f t="shared" si="14"/>
        <v>0</v>
      </c>
      <c r="CT32" s="21"/>
    </row>
    <row r="33" spans="3:98" ht="24.75" hidden="1" customHeight="1" outlineLevel="1">
      <c r="C33" s="424" t="s">
        <v>162</v>
      </c>
      <c r="D33" s="427">
        <v>0</v>
      </c>
      <c r="E33" s="427">
        <v>0</v>
      </c>
      <c r="F33" s="427">
        <v>0</v>
      </c>
      <c r="G33" s="427">
        <v>0</v>
      </c>
      <c r="H33" s="427">
        <v>0</v>
      </c>
      <c r="I33" s="427">
        <v>0</v>
      </c>
      <c r="J33" s="427">
        <v>0</v>
      </c>
      <c r="K33" s="427">
        <v>0</v>
      </c>
      <c r="L33" s="427">
        <v>0</v>
      </c>
      <c r="M33" s="427">
        <v>0</v>
      </c>
      <c r="N33" s="427">
        <v>0</v>
      </c>
      <c r="O33" s="427">
        <v>0</v>
      </c>
      <c r="P33" s="427">
        <v>0</v>
      </c>
      <c r="Q33" s="427">
        <v>0</v>
      </c>
      <c r="R33" s="427">
        <v>0</v>
      </c>
      <c r="S33" s="427">
        <v>0</v>
      </c>
      <c r="T33" s="427">
        <v>0</v>
      </c>
      <c r="U33" s="427">
        <v>0</v>
      </c>
      <c r="V33" s="427">
        <v>0</v>
      </c>
      <c r="W33" s="427">
        <v>0</v>
      </c>
      <c r="X33" s="427">
        <v>0</v>
      </c>
      <c r="Y33" s="427">
        <v>0</v>
      </c>
      <c r="Z33" s="427">
        <v>0</v>
      </c>
      <c r="AA33" s="427">
        <v>0</v>
      </c>
      <c r="AB33" s="427">
        <v>0</v>
      </c>
      <c r="AC33" s="427">
        <v>0</v>
      </c>
      <c r="AD33" s="427">
        <v>0</v>
      </c>
      <c r="AE33" s="427">
        <v>0</v>
      </c>
      <c r="AF33" s="427">
        <v>0</v>
      </c>
      <c r="AG33" s="427">
        <v>0</v>
      </c>
      <c r="AH33" s="427">
        <v>0</v>
      </c>
      <c r="AI33" s="427">
        <v>0</v>
      </c>
      <c r="AJ33" s="427">
        <v>0</v>
      </c>
      <c r="AK33" s="427">
        <v>0</v>
      </c>
      <c r="AL33" s="427">
        <v>0</v>
      </c>
      <c r="AM33" s="427">
        <v>0</v>
      </c>
      <c r="AN33" s="427">
        <v>0</v>
      </c>
      <c r="AO33" s="427">
        <v>0</v>
      </c>
      <c r="AP33" s="427">
        <v>0</v>
      </c>
      <c r="AQ33" s="427">
        <v>0</v>
      </c>
      <c r="AR33" s="427">
        <v>0</v>
      </c>
      <c r="AS33" s="427">
        <v>0</v>
      </c>
      <c r="AT33" s="427">
        <v>0</v>
      </c>
      <c r="AU33" s="427">
        <v>0</v>
      </c>
      <c r="AV33" s="427">
        <v>0</v>
      </c>
      <c r="AW33" s="427">
        <v>0</v>
      </c>
      <c r="AX33" s="427">
        <v>0</v>
      </c>
      <c r="AY33" s="427">
        <v>0</v>
      </c>
      <c r="AZ33" s="427">
        <v>0</v>
      </c>
      <c r="BA33" s="427">
        <v>0</v>
      </c>
      <c r="BB33" s="427">
        <v>0</v>
      </c>
      <c r="BC33" s="427">
        <v>0</v>
      </c>
      <c r="BD33" s="427">
        <v>0</v>
      </c>
      <c r="BE33" s="427">
        <v>0</v>
      </c>
      <c r="BF33" s="427">
        <v>0</v>
      </c>
      <c r="BG33" s="427">
        <v>0</v>
      </c>
      <c r="BH33" s="427">
        <v>0</v>
      </c>
      <c r="BI33" s="427">
        <v>0</v>
      </c>
      <c r="BJ33" s="427">
        <v>0</v>
      </c>
      <c r="BK33" s="427">
        <v>0</v>
      </c>
      <c r="BL33" s="427">
        <v>0</v>
      </c>
      <c r="BM33" s="427">
        <v>0</v>
      </c>
      <c r="BN33" s="427">
        <v>0</v>
      </c>
      <c r="BO33" s="427">
        <v>0</v>
      </c>
      <c r="BP33" s="427">
        <v>0</v>
      </c>
      <c r="BQ33" s="427">
        <v>0</v>
      </c>
      <c r="BR33" s="427">
        <v>0</v>
      </c>
      <c r="BS33" s="427">
        <v>0</v>
      </c>
      <c r="BT33" s="427">
        <v>0</v>
      </c>
      <c r="BU33" s="427">
        <v>0</v>
      </c>
      <c r="BV33" s="427">
        <v>0</v>
      </c>
      <c r="BW33" s="427">
        <v>0</v>
      </c>
      <c r="BX33" s="427">
        <v>0</v>
      </c>
      <c r="BY33" s="427">
        <v>0</v>
      </c>
      <c r="BZ33" s="427">
        <v>0</v>
      </c>
      <c r="CC33" s="21"/>
      <c r="CD33" s="424" t="s">
        <v>162</v>
      </c>
      <c r="CE33" s="433">
        <f t="shared" si="0"/>
        <v>0</v>
      </c>
      <c r="CF33" s="433">
        <f t="shared" si="1"/>
        <v>0</v>
      </c>
      <c r="CG33" s="433">
        <f t="shared" si="2"/>
        <v>0</v>
      </c>
      <c r="CH33" s="433">
        <f t="shared" si="3"/>
        <v>0</v>
      </c>
      <c r="CI33" s="433">
        <f t="shared" si="4"/>
        <v>0</v>
      </c>
      <c r="CJ33" s="433">
        <f t="shared" si="5"/>
        <v>0</v>
      </c>
      <c r="CK33" s="433">
        <f t="shared" si="6"/>
        <v>0</v>
      </c>
      <c r="CL33" s="433">
        <f t="shared" si="7"/>
        <v>0</v>
      </c>
      <c r="CM33" s="433">
        <f t="shared" si="8"/>
        <v>0</v>
      </c>
      <c r="CN33" s="433">
        <f t="shared" si="9"/>
        <v>0</v>
      </c>
      <c r="CO33" s="433">
        <f t="shared" si="10"/>
        <v>0</v>
      </c>
      <c r="CP33" s="433">
        <f t="shared" si="11"/>
        <v>0</v>
      </c>
      <c r="CQ33" s="433">
        <f t="shared" si="12"/>
        <v>0</v>
      </c>
      <c r="CR33" s="433">
        <f t="shared" si="13"/>
        <v>0</v>
      </c>
      <c r="CS33" s="433">
        <f t="shared" si="14"/>
        <v>0</v>
      </c>
      <c r="CT33" s="21"/>
    </row>
    <row r="34" spans="3:98" ht="24.75" hidden="1" customHeight="1" outlineLevel="1">
      <c r="C34" s="424" t="s">
        <v>163</v>
      </c>
      <c r="D34" s="427">
        <v>0</v>
      </c>
      <c r="E34" s="427">
        <v>0</v>
      </c>
      <c r="F34" s="427">
        <v>0</v>
      </c>
      <c r="G34" s="427">
        <v>0</v>
      </c>
      <c r="H34" s="427">
        <v>0</v>
      </c>
      <c r="I34" s="427">
        <v>0</v>
      </c>
      <c r="J34" s="427">
        <v>0</v>
      </c>
      <c r="K34" s="427">
        <v>0</v>
      </c>
      <c r="L34" s="427">
        <v>0</v>
      </c>
      <c r="M34" s="427">
        <v>0</v>
      </c>
      <c r="N34" s="427">
        <v>0</v>
      </c>
      <c r="O34" s="427">
        <v>0</v>
      </c>
      <c r="P34" s="427">
        <v>0</v>
      </c>
      <c r="Q34" s="427">
        <v>0</v>
      </c>
      <c r="R34" s="427">
        <v>0</v>
      </c>
      <c r="S34" s="427">
        <v>0</v>
      </c>
      <c r="T34" s="427">
        <v>0</v>
      </c>
      <c r="U34" s="427">
        <v>0</v>
      </c>
      <c r="V34" s="427">
        <v>0</v>
      </c>
      <c r="W34" s="427">
        <v>0</v>
      </c>
      <c r="X34" s="427">
        <v>0</v>
      </c>
      <c r="Y34" s="427">
        <v>0</v>
      </c>
      <c r="Z34" s="427">
        <v>0</v>
      </c>
      <c r="AA34" s="427">
        <v>0</v>
      </c>
      <c r="AB34" s="427">
        <v>0</v>
      </c>
      <c r="AC34" s="427">
        <v>0</v>
      </c>
      <c r="AD34" s="427">
        <v>0</v>
      </c>
      <c r="AE34" s="427">
        <v>0</v>
      </c>
      <c r="AF34" s="427">
        <v>0</v>
      </c>
      <c r="AG34" s="427">
        <v>0</v>
      </c>
      <c r="AH34" s="427">
        <v>0</v>
      </c>
      <c r="AI34" s="427">
        <v>0</v>
      </c>
      <c r="AJ34" s="427">
        <v>0</v>
      </c>
      <c r="AK34" s="427">
        <v>0</v>
      </c>
      <c r="AL34" s="427">
        <v>0</v>
      </c>
      <c r="AM34" s="427">
        <v>0</v>
      </c>
      <c r="AN34" s="427">
        <v>0</v>
      </c>
      <c r="AO34" s="427">
        <v>0</v>
      </c>
      <c r="AP34" s="427">
        <v>0</v>
      </c>
      <c r="AQ34" s="427">
        <v>0</v>
      </c>
      <c r="AR34" s="427">
        <v>0</v>
      </c>
      <c r="AS34" s="427">
        <v>0</v>
      </c>
      <c r="AT34" s="427">
        <v>0</v>
      </c>
      <c r="AU34" s="427">
        <v>0</v>
      </c>
      <c r="AV34" s="427">
        <v>0</v>
      </c>
      <c r="AW34" s="427">
        <v>0</v>
      </c>
      <c r="AX34" s="427">
        <v>0</v>
      </c>
      <c r="AY34" s="427">
        <v>0</v>
      </c>
      <c r="AZ34" s="427">
        <v>0</v>
      </c>
      <c r="BA34" s="427">
        <v>0</v>
      </c>
      <c r="BB34" s="427">
        <v>0</v>
      </c>
      <c r="BC34" s="427">
        <v>0</v>
      </c>
      <c r="BD34" s="427">
        <v>0</v>
      </c>
      <c r="BE34" s="427">
        <v>0</v>
      </c>
      <c r="BF34" s="427">
        <v>0</v>
      </c>
      <c r="BG34" s="427">
        <v>0</v>
      </c>
      <c r="BH34" s="427">
        <v>0</v>
      </c>
      <c r="BI34" s="427">
        <v>0</v>
      </c>
      <c r="BJ34" s="427">
        <v>0</v>
      </c>
      <c r="BK34" s="427">
        <v>0</v>
      </c>
      <c r="BL34" s="427">
        <v>0</v>
      </c>
      <c r="BM34" s="427">
        <v>0</v>
      </c>
      <c r="BN34" s="427">
        <v>0</v>
      </c>
      <c r="BO34" s="427">
        <v>0</v>
      </c>
      <c r="BP34" s="427">
        <v>0</v>
      </c>
      <c r="BQ34" s="427">
        <v>0</v>
      </c>
      <c r="BR34" s="427">
        <v>0</v>
      </c>
      <c r="BS34" s="427">
        <v>0</v>
      </c>
      <c r="BT34" s="427">
        <v>0</v>
      </c>
      <c r="BU34" s="427">
        <v>0</v>
      </c>
      <c r="BV34" s="427">
        <v>0</v>
      </c>
      <c r="BW34" s="427">
        <v>0</v>
      </c>
      <c r="BX34" s="427">
        <v>0</v>
      </c>
      <c r="BY34" s="427">
        <v>0</v>
      </c>
      <c r="BZ34" s="427">
        <v>0</v>
      </c>
      <c r="CC34" s="21"/>
      <c r="CD34" s="424" t="s">
        <v>163</v>
      </c>
      <c r="CE34" s="433">
        <f t="shared" si="0"/>
        <v>0</v>
      </c>
      <c r="CF34" s="433">
        <f t="shared" si="1"/>
        <v>0</v>
      </c>
      <c r="CG34" s="433">
        <f t="shared" si="2"/>
        <v>0</v>
      </c>
      <c r="CH34" s="433">
        <f t="shared" si="3"/>
        <v>0</v>
      </c>
      <c r="CI34" s="433">
        <f t="shared" si="4"/>
        <v>0</v>
      </c>
      <c r="CJ34" s="433">
        <f t="shared" si="5"/>
        <v>0</v>
      </c>
      <c r="CK34" s="433">
        <f t="shared" si="6"/>
        <v>0</v>
      </c>
      <c r="CL34" s="433">
        <f t="shared" si="7"/>
        <v>0</v>
      </c>
      <c r="CM34" s="433">
        <f t="shared" si="8"/>
        <v>0</v>
      </c>
      <c r="CN34" s="433">
        <f t="shared" si="9"/>
        <v>0</v>
      </c>
      <c r="CO34" s="433">
        <f t="shared" si="10"/>
        <v>0</v>
      </c>
      <c r="CP34" s="433">
        <f t="shared" si="11"/>
        <v>0</v>
      </c>
      <c r="CQ34" s="433">
        <f t="shared" si="12"/>
        <v>0</v>
      </c>
      <c r="CR34" s="433">
        <f t="shared" si="13"/>
        <v>0</v>
      </c>
      <c r="CS34" s="433">
        <f t="shared" si="14"/>
        <v>0</v>
      </c>
      <c r="CT34" s="21"/>
    </row>
    <row r="35" spans="3:98" ht="24.75" hidden="1" customHeight="1" outlineLevel="1">
      <c r="C35" s="424" t="s">
        <v>164</v>
      </c>
      <c r="D35" s="427">
        <v>0</v>
      </c>
      <c r="E35" s="427">
        <v>0</v>
      </c>
      <c r="F35" s="427">
        <v>0</v>
      </c>
      <c r="G35" s="427">
        <v>0</v>
      </c>
      <c r="H35" s="427">
        <v>0</v>
      </c>
      <c r="I35" s="427">
        <v>0</v>
      </c>
      <c r="J35" s="427">
        <v>0</v>
      </c>
      <c r="K35" s="427">
        <v>0</v>
      </c>
      <c r="L35" s="427">
        <v>0</v>
      </c>
      <c r="M35" s="427">
        <v>0</v>
      </c>
      <c r="N35" s="427">
        <v>0</v>
      </c>
      <c r="O35" s="427">
        <v>0</v>
      </c>
      <c r="P35" s="427">
        <v>0</v>
      </c>
      <c r="Q35" s="427">
        <v>0</v>
      </c>
      <c r="R35" s="427">
        <v>0</v>
      </c>
      <c r="S35" s="427">
        <v>0</v>
      </c>
      <c r="T35" s="427">
        <v>0</v>
      </c>
      <c r="U35" s="427">
        <v>0</v>
      </c>
      <c r="V35" s="427">
        <v>0</v>
      </c>
      <c r="W35" s="427">
        <v>0</v>
      </c>
      <c r="X35" s="427">
        <v>0</v>
      </c>
      <c r="Y35" s="427">
        <v>0</v>
      </c>
      <c r="Z35" s="427">
        <v>0</v>
      </c>
      <c r="AA35" s="427">
        <v>0</v>
      </c>
      <c r="AB35" s="427">
        <v>0</v>
      </c>
      <c r="AC35" s="427">
        <v>0</v>
      </c>
      <c r="AD35" s="427">
        <v>0</v>
      </c>
      <c r="AE35" s="427">
        <v>0</v>
      </c>
      <c r="AF35" s="427">
        <v>0</v>
      </c>
      <c r="AG35" s="427">
        <v>0</v>
      </c>
      <c r="AH35" s="427">
        <v>0</v>
      </c>
      <c r="AI35" s="427">
        <v>0</v>
      </c>
      <c r="AJ35" s="427">
        <v>0</v>
      </c>
      <c r="AK35" s="427">
        <v>0</v>
      </c>
      <c r="AL35" s="427">
        <v>0</v>
      </c>
      <c r="AM35" s="427">
        <v>0</v>
      </c>
      <c r="AN35" s="427">
        <v>0</v>
      </c>
      <c r="AO35" s="427">
        <v>0</v>
      </c>
      <c r="AP35" s="427">
        <v>0</v>
      </c>
      <c r="AQ35" s="427">
        <v>0</v>
      </c>
      <c r="AR35" s="427">
        <v>0</v>
      </c>
      <c r="AS35" s="427">
        <v>0</v>
      </c>
      <c r="AT35" s="427">
        <v>0</v>
      </c>
      <c r="AU35" s="427">
        <v>0</v>
      </c>
      <c r="AV35" s="427">
        <v>0</v>
      </c>
      <c r="AW35" s="427">
        <v>0</v>
      </c>
      <c r="AX35" s="427">
        <v>0</v>
      </c>
      <c r="AY35" s="427">
        <v>0</v>
      </c>
      <c r="AZ35" s="427">
        <v>0</v>
      </c>
      <c r="BA35" s="427">
        <v>0</v>
      </c>
      <c r="BB35" s="427">
        <v>0</v>
      </c>
      <c r="BC35" s="427">
        <v>0</v>
      </c>
      <c r="BD35" s="427">
        <v>0</v>
      </c>
      <c r="BE35" s="427">
        <v>0</v>
      </c>
      <c r="BF35" s="427">
        <v>74.171000000000006</v>
      </c>
      <c r="BG35" s="427">
        <v>0</v>
      </c>
      <c r="BH35" s="427">
        <v>0</v>
      </c>
      <c r="BI35" s="427">
        <v>0</v>
      </c>
      <c r="BJ35" s="427">
        <v>0</v>
      </c>
      <c r="BK35" s="427">
        <v>0</v>
      </c>
      <c r="BL35" s="427">
        <v>0</v>
      </c>
      <c r="BM35" s="427">
        <v>435.096</v>
      </c>
      <c r="BN35" s="427">
        <v>94.688999999999993</v>
      </c>
      <c r="BO35" s="427">
        <v>61.231000000000002</v>
      </c>
      <c r="BP35" s="427">
        <v>61.231000000000002</v>
      </c>
      <c r="BQ35" s="427">
        <v>56.767000000000003</v>
      </c>
      <c r="BR35" s="427">
        <v>62.405999999999999</v>
      </c>
      <c r="BS35" s="427">
        <v>60.521999999999998</v>
      </c>
      <c r="BT35" s="427">
        <v>60.441000000000003</v>
      </c>
      <c r="BU35" s="427">
        <v>60.441000000000003</v>
      </c>
      <c r="BV35" s="427">
        <v>67.947000000000003</v>
      </c>
      <c r="BW35" s="427">
        <v>64.759</v>
      </c>
      <c r="BX35" s="427">
        <v>69.727000000000004</v>
      </c>
      <c r="BY35" s="427">
        <v>0</v>
      </c>
      <c r="BZ35" s="427">
        <v>0</v>
      </c>
      <c r="CC35" s="21"/>
      <c r="CD35" s="424" t="s">
        <v>164</v>
      </c>
      <c r="CE35" s="433">
        <f t="shared" si="0"/>
        <v>0</v>
      </c>
      <c r="CF35" s="433">
        <f t="shared" si="1"/>
        <v>0</v>
      </c>
      <c r="CG35" s="433">
        <f t="shared" si="2"/>
        <v>0</v>
      </c>
      <c r="CH35" s="433">
        <f t="shared" si="3"/>
        <v>0</v>
      </c>
      <c r="CI35" s="433">
        <f t="shared" si="4"/>
        <v>0</v>
      </c>
      <c r="CJ35" s="433">
        <f t="shared" si="5"/>
        <v>0</v>
      </c>
      <c r="CK35" s="433">
        <f t="shared" si="6"/>
        <v>0</v>
      </c>
      <c r="CL35" s="433">
        <f t="shared" si="7"/>
        <v>0</v>
      </c>
      <c r="CM35" s="433">
        <f t="shared" si="8"/>
        <v>0</v>
      </c>
      <c r="CN35" s="433">
        <f t="shared" si="9"/>
        <v>0</v>
      </c>
      <c r="CO35" s="433">
        <f t="shared" si="10"/>
        <v>74.171000000000006</v>
      </c>
      <c r="CP35" s="433">
        <f t="shared" si="11"/>
        <v>0</v>
      </c>
      <c r="CQ35" s="433">
        <f t="shared" si="12"/>
        <v>61.231000000000002</v>
      </c>
      <c r="CR35" s="433">
        <f t="shared" si="13"/>
        <v>60.441000000000003</v>
      </c>
      <c r="CS35" s="433">
        <f t="shared" si="14"/>
        <v>0</v>
      </c>
      <c r="CT35" s="21"/>
    </row>
    <row r="36" spans="3:98" ht="24.75" hidden="1" customHeight="1" outlineLevel="1">
      <c r="C36" s="424" t="s">
        <v>165</v>
      </c>
      <c r="D36" s="427">
        <v>0</v>
      </c>
      <c r="E36" s="427">
        <v>0</v>
      </c>
      <c r="F36" s="427">
        <v>0</v>
      </c>
      <c r="G36" s="427">
        <v>0</v>
      </c>
      <c r="H36" s="427">
        <v>0</v>
      </c>
      <c r="I36" s="427">
        <v>0</v>
      </c>
      <c r="J36" s="427">
        <v>0</v>
      </c>
      <c r="K36" s="427">
        <v>0</v>
      </c>
      <c r="L36" s="427">
        <v>0</v>
      </c>
      <c r="M36" s="427">
        <v>0</v>
      </c>
      <c r="N36" s="427">
        <v>0</v>
      </c>
      <c r="O36" s="427">
        <v>0</v>
      </c>
      <c r="P36" s="427">
        <v>0</v>
      </c>
      <c r="Q36" s="427">
        <v>0</v>
      </c>
      <c r="R36" s="427">
        <v>0</v>
      </c>
      <c r="S36" s="427">
        <v>0</v>
      </c>
      <c r="T36" s="427">
        <v>0</v>
      </c>
      <c r="U36" s="427">
        <v>0</v>
      </c>
      <c r="V36" s="427">
        <v>0</v>
      </c>
      <c r="W36" s="427">
        <v>0</v>
      </c>
      <c r="X36" s="427">
        <v>0</v>
      </c>
      <c r="Y36" s="427">
        <v>0</v>
      </c>
      <c r="Z36" s="427">
        <v>0</v>
      </c>
      <c r="AA36" s="427">
        <v>0</v>
      </c>
      <c r="AB36" s="427">
        <v>0</v>
      </c>
      <c r="AC36" s="427">
        <v>0</v>
      </c>
      <c r="AD36" s="427">
        <v>0</v>
      </c>
      <c r="AE36" s="427">
        <v>0</v>
      </c>
      <c r="AF36" s="427">
        <v>0</v>
      </c>
      <c r="AG36" s="427">
        <v>0</v>
      </c>
      <c r="AH36" s="427">
        <v>0</v>
      </c>
      <c r="AI36" s="427">
        <v>0</v>
      </c>
      <c r="AJ36" s="427">
        <v>0</v>
      </c>
      <c r="AK36" s="427">
        <v>0</v>
      </c>
      <c r="AL36" s="427">
        <v>0</v>
      </c>
      <c r="AM36" s="427">
        <v>0</v>
      </c>
      <c r="AN36" s="427">
        <v>0</v>
      </c>
      <c r="AO36" s="427">
        <v>0</v>
      </c>
      <c r="AP36" s="427">
        <v>0</v>
      </c>
      <c r="AQ36" s="427">
        <v>0</v>
      </c>
      <c r="AR36" s="427">
        <v>0</v>
      </c>
      <c r="AS36" s="427">
        <v>0</v>
      </c>
      <c r="AT36" s="427">
        <v>0</v>
      </c>
      <c r="AU36" s="427">
        <v>0</v>
      </c>
      <c r="AV36" s="427">
        <v>0</v>
      </c>
      <c r="AW36" s="427">
        <v>0</v>
      </c>
      <c r="AX36" s="427">
        <v>0</v>
      </c>
      <c r="AY36" s="427">
        <v>0</v>
      </c>
      <c r="AZ36" s="427">
        <v>0</v>
      </c>
      <c r="BA36" s="427">
        <v>0</v>
      </c>
      <c r="BB36" s="427">
        <v>0</v>
      </c>
      <c r="BC36" s="427">
        <v>0</v>
      </c>
      <c r="BD36" s="427">
        <v>0</v>
      </c>
      <c r="BE36" s="427">
        <v>0</v>
      </c>
      <c r="BF36" s="427">
        <v>0</v>
      </c>
      <c r="BG36" s="427">
        <v>0</v>
      </c>
      <c r="BH36" s="427">
        <v>0</v>
      </c>
      <c r="BI36" s="427">
        <v>0</v>
      </c>
      <c r="BJ36" s="427">
        <v>0</v>
      </c>
      <c r="BK36" s="427">
        <v>0</v>
      </c>
      <c r="BL36" s="427">
        <v>0</v>
      </c>
      <c r="BM36" s="427">
        <v>0</v>
      </c>
      <c r="BN36" s="427">
        <v>0</v>
      </c>
      <c r="BO36" s="427">
        <v>0</v>
      </c>
      <c r="BP36" s="427">
        <v>0</v>
      </c>
      <c r="BQ36" s="427">
        <v>0</v>
      </c>
      <c r="BR36" s="427">
        <v>0</v>
      </c>
      <c r="BS36" s="427">
        <v>0</v>
      </c>
      <c r="BT36" s="427">
        <v>0</v>
      </c>
      <c r="BU36" s="427">
        <v>0</v>
      </c>
      <c r="BV36" s="427">
        <v>0</v>
      </c>
      <c r="BW36" s="427">
        <v>0</v>
      </c>
      <c r="BX36" s="427">
        <v>0</v>
      </c>
      <c r="BY36" s="427">
        <v>0</v>
      </c>
      <c r="BZ36" s="427">
        <v>0</v>
      </c>
      <c r="CC36" s="21"/>
      <c r="CD36" s="424" t="s">
        <v>165</v>
      </c>
      <c r="CE36" s="433">
        <f t="shared" si="0"/>
        <v>0</v>
      </c>
      <c r="CF36" s="433">
        <f t="shared" si="1"/>
        <v>0</v>
      </c>
      <c r="CG36" s="433">
        <f t="shared" si="2"/>
        <v>0</v>
      </c>
      <c r="CH36" s="433">
        <f t="shared" si="3"/>
        <v>0</v>
      </c>
      <c r="CI36" s="433">
        <f t="shared" si="4"/>
        <v>0</v>
      </c>
      <c r="CJ36" s="433">
        <f t="shared" si="5"/>
        <v>0</v>
      </c>
      <c r="CK36" s="433">
        <f t="shared" si="6"/>
        <v>0</v>
      </c>
      <c r="CL36" s="433">
        <f t="shared" si="7"/>
        <v>0</v>
      </c>
      <c r="CM36" s="433">
        <f t="shared" si="8"/>
        <v>0</v>
      </c>
      <c r="CN36" s="433">
        <f t="shared" si="9"/>
        <v>0</v>
      </c>
      <c r="CO36" s="433">
        <f t="shared" si="10"/>
        <v>0</v>
      </c>
      <c r="CP36" s="433">
        <f t="shared" si="11"/>
        <v>0</v>
      </c>
      <c r="CQ36" s="433">
        <f t="shared" si="12"/>
        <v>0</v>
      </c>
      <c r="CR36" s="433">
        <f t="shared" si="13"/>
        <v>0</v>
      </c>
      <c r="CS36" s="433">
        <f t="shared" si="14"/>
        <v>0</v>
      </c>
      <c r="CT36" s="21"/>
    </row>
    <row r="37" spans="3:98" ht="24.75" hidden="1" customHeight="1" outlineLevel="1">
      <c r="C37" s="424" t="s">
        <v>166</v>
      </c>
      <c r="D37" s="427">
        <v>0</v>
      </c>
      <c r="E37" s="427">
        <v>0</v>
      </c>
      <c r="F37" s="427">
        <v>0</v>
      </c>
      <c r="G37" s="427">
        <v>0</v>
      </c>
      <c r="H37" s="427">
        <v>0</v>
      </c>
      <c r="I37" s="427">
        <v>0</v>
      </c>
      <c r="J37" s="427">
        <v>0</v>
      </c>
      <c r="K37" s="427">
        <v>0</v>
      </c>
      <c r="L37" s="427">
        <v>0</v>
      </c>
      <c r="M37" s="427">
        <v>0</v>
      </c>
      <c r="N37" s="427">
        <v>0</v>
      </c>
      <c r="O37" s="427">
        <v>0</v>
      </c>
      <c r="P37" s="427">
        <v>0</v>
      </c>
      <c r="Q37" s="427">
        <v>0</v>
      </c>
      <c r="R37" s="427">
        <v>0</v>
      </c>
      <c r="S37" s="427">
        <v>0</v>
      </c>
      <c r="T37" s="427">
        <v>0</v>
      </c>
      <c r="U37" s="427">
        <v>0</v>
      </c>
      <c r="V37" s="427">
        <v>0</v>
      </c>
      <c r="W37" s="427">
        <v>0</v>
      </c>
      <c r="X37" s="427">
        <v>0</v>
      </c>
      <c r="Y37" s="427">
        <v>0</v>
      </c>
      <c r="Z37" s="427">
        <v>0</v>
      </c>
      <c r="AA37" s="427">
        <v>0</v>
      </c>
      <c r="AB37" s="427">
        <v>0</v>
      </c>
      <c r="AC37" s="427">
        <v>0</v>
      </c>
      <c r="AD37" s="427">
        <v>0</v>
      </c>
      <c r="AE37" s="427">
        <v>0</v>
      </c>
      <c r="AF37" s="427">
        <v>0</v>
      </c>
      <c r="AG37" s="427">
        <v>0</v>
      </c>
      <c r="AH37" s="427">
        <v>0</v>
      </c>
      <c r="AI37" s="427">
        <v>0</v>
      </c>
      <c r="AJ37" s="427">
        <v>0</v>
      </c>
      <c r="AK37" s="427">
        <v>0</v>
      </c>
      <c r="AL37" s="427">
        <v>0</v>
      </c>
      <c r="AM37" s="427">
        <v>0</v>
      </c>
      <c r="AN37" s="427">
        <v>0</v>
      </c>
      <c r="AO37" s="427">
        <v>0</v>
      </c>
      <c r="AP37" s="427">
        <v>0</v>
      </c>
      <c r="AQ37" s="427">
        <v>0</v>
      </c>
      <c r="AR37" s="427">
        <v>0</v>
      </c>
      <c r="AS37" s="427">
        <v>0</v>
      </c>
      <c r="AT37" s="427">
        <v>0</v>
      </c>
      <c r="AU37" s="427">
        <v>0</v>
      </c>
      <c r="AV37" s="427">
        <v>0</v>
      </c>
      <c r="AW37" s="427">
        <v>0</v>
      </c>
      <c r="AX37" s="427">
        <v>0</v>
      </c>
      <c r="AY37" s="427">
        <v>0</v>
      </c>
      <c r="AZ37" s="427">
        <v>0</v>
      </c>
      <c r="BA37" s="427">
        <v>0</v>
      </c>
      <c r="BB37" s="427">
        <v>0</v>
      </c>
      <c r="BC37" s="427">
        <v>0</v>
      </c>
      <c r="BD37" s="427">
        <v>0</v>
      </c>
      <c r="BE37" s="427">
        <v>0</v>
      </c>
      <c r="BF37" s="427">
        <v>0</v>
      </c>
      <c r="BG37" s="427">
        <v>0</v>
      </c>
      <c r="BH37" s="427">
        <v>0</v>
      </c>
      <c r="BI37" s="427">
        <v>0</v>
      </c>
      <c r="BJ37" s="427">
        <v>0</v>
      </c>
      <c r="BK37" s="427">
        <v>0</v>
      </c>
      <c r="BL37" s="427">
        <v>0</v>
      </c>
      <c r="BM37" s="427">
        <v>0</v>
      </c>
      <c r="BN37" s="427">
        <v>0</v>
      </c>
      <c r="BO37" s="427">
        <v>0</v>
      </c>
      <c r="BP37" s="427">
        <v>0</v>
      </c>
      <c r="BQ37" s="427">
        <v>0</v>
      </c>
      <c r="BR37" s="427">
        <v>0</v>
      </c>
      <c r="BS37" s="427">
        <v>0</v>
      </c>
      <c r="BT37" s="427">
        <v>0</v>
      </c>
      <c r="BU37" s="427">
        <v>0</v>
      </c>
      <c r="BV37" s="427">
        <v>0</v>
      </c>
      <c r="BW37" s="427">
        <v>0</v>
      </c>
      <c r="BX37" s="427">
        <v>0</v>
      </c>
      <c r="BY37" s="427">
        <v>0</v>
      </c>
      <c r="BZ37" s="427">
        <v>0</v>
      </c>
      <c r="CC37" s="21"/>
      <c r="CD37" s="424" t="s">
        <v>166</v>
      </c>
      <c r="CE37" s="433">
        <f t="shared" si="0"/>
        <v>0</v>
      </c>
      <c r="CF37" s="433">
        <f t="shared" si="1"/>
        <v>0</v>
      </c>
      <c r="CG37" s="433">
        <f t="shared" si="2"/>
        <v>0</v>
      </c>
      <c r="CH37" s="433">
        <f t="shared" si="3"/>
        <v>0</v>
      </c>
      <c r="CI37" s="433">
        <f t="shared" si="4"/>
        <v>0</v>
      </c>
      <c r="CJ37" s="433">
        <f t="shared" si="5"/>
        <v>0</v>
      </c>
      <c r="CK37" s="433">
        <f t="shared" si="6"/>
        <v>0</v>
      </c>
      <c r="CL37" s="433">
        <f t="shared" si="7"/>
        <v>0</v>
      </c>
      <c r="CM37" s="433">
        <f t="shared" si="8"/>
        <v>0</v>
      </c>
      <c r="CN37" s="433">
        <f t="shared" si="9"/>
        <v>0</v>
      </c>
      <c r="CO37" s="433">
        <f t="shared" si="10"/>
        <v>0</v>
      </c>
      <c r="CP37" s="433">
        <f t="shared" si="11"/>
        <v>0</v>
      </c>
      <c r="CQ37" s="433">
        <f t="shared" si="12"/>
        <v>0</v>
      </c>
      <c r="CR37" s="433">
        <f t="shared" si="13"/>
        <v>0</v>
      </c>
      <c r="CS37" s="433">
        <f t="shared" si="14"/>
        <v>0</v>
      </c>
      <c r="CT37" s="21"/>
    </row>
    <row r="38" spans="3:98" ht="24.75" hidden="1" customHeight="1" outlineLevel="1">
      <c r="C38" s="424" t="s">
        <v>167</v>
      </c>
      <c r="D38" s="427">
        <v>0</v>
      </c>
      <c r="E38" s="427">
        <v>0</v>
      </c>
      <c r="F38" s="427">
        <v>0</v>
      </c>
      <c r="G38" s="427">
        <v>0</v>
      </c>
      <c r="H38" s="427">
        <v>0</v>
      </c>
      <c r="I38" s="427">
        <v>0</v>
      </c>
      <c r="J38" s="427">
        <v>0</v>
      </c>
      <c r="K38" s="427">
        <v>0</v>
      </c>
      <c r="L38" s="427">
        <v>0</v>
      </c>
      <c r="M38" s="427">
        <v>0</v>
      </c>
      <c r="N38" s="427">
        <v>0</v>
      </c>
      <c r="O38" s="427">
        <v>0</v>
      </c>
      <c r="P38" s="427">
        <v>0</v>
      </c>
      <c r="Q38" s="427">
        <v>0</v>
      </c>
      <c r="R38" s="427">
        <v>0</v>
      </c>
      <c r="S38" s="427">
        <v>0</v>
      </c>
      <c r="T38" s="427">
        <v>0</v>
      </c>
      <c r="U38" s="427">
        <v>0</v>
      </c>
      <c r="V38" s="427">
        <v>0</v>
      </c>
      <c r="W38" s="427">
        <v>0</v>
      </c>
      <c r="X38" s="427">
        <v>0</v>
      </c>
      <c r="Y38" s="427">
        <v>0</v>
      </c>
      <c r="Z38" s="427">
        <v>0</v>
      </c>
      <c r="AA38" s="427">
        <v>0</v>
      </c>
      <c r="AB38" s="427">
        <v>0</v>
      </c>
      <c r="AC38" s="427">
        <v>0</v>
      </c>
      <c r="AD38" s="427">
        <v>0</v>
      </c>
      <c r="AE38" s="427">
        <v>0</v>
      </c>
      <c r="AF38" s="427">
        <v>0</v>
      </c>
      <c r="AG38" s="427">
        <v>0</v>
      </c>
      <c r="AH38" s="427">
        <v>0</v>
      </c>
      <c r="AI38" s="427">
        <v>0</v>
      </c>
      <c r="AJ38" s="427">
        <v>0</v>
      </c>
      <c r="AK38" s="427">
        <v>0</v>
      </c>
      <c r="AL38" s="427">
        <v>0</v>
      </c>
      <c r="AM38" s="427">
        <v>0</v>
      </c>
      <c r="AN38" s="427">
        <v>0</v>
      </c>
      <c r="AO38" s="427">
        <v>0</v>
      </c>
      <c r="AP38" s="427">
        <v>0</v>
      </c>
      <c r="AQ38" s="427">
        <v>0</v>
      </c>
      <c r="AR38" s="427">
        <v>0</v>
      </c>
      <c r="AS38" s="427">
        <v>0</v>
      </c>
      <c r="AT38" s="427">
        <v>0</v>
      </c>
      <c r="AU38" s="427">
        <v>0</v>
      </c>
      <c r="AV38" s="427">
        <v>0</v>
      </c>
      <c r="AW38" s="427">
        <v>0</v>
      </c>
      <c r="AX38" s="427">
        <v>0</v>
      </c>
      <c r="AY38" s="427">
        <v>0</v>
      </c>
      <c r="AZ38" s="427">
        <v>0</v>
      </c>
      <c r="BA38" s="427">
        <v>0</v>
      </c>
      <c r="BB38" s="427">
        <v>0</v>
      </c>
      <c r="BC38" s="427">
        <v>0</v>
      </c>
      <c r="BD38" s="427">
        <v>0</v>
      </c>
      <c r="BE38" s="427">
        <v>0</v>
      </c>
      <c r="BF38" s="427">
        <v>2.1749999999999998</v>
      </c>
      <c r="BG38" s="427">
        <v>0</v>
      </c>
      <c r="BH38" s="427">
        <v>0</v>
      </c>
      <c r="BI38" s="427">
        <v>0</v>
      </c>
      <c r="BJ38" s="427">
        <v>23.309000000000001</v>
      </c>
      <c r="BK38" s="427">
        <v>23.309000000000001</v>
      </c>
      <c r="BL38" s="427">
        <v>26.4</v>
      </c>
      <c r="BM38" s="427">
        <v>35.173000000000002</v>
      </c>
      <c r="BN38" s="427">
        <v>64.474000000000004</v>
      </c>
      <c r="BO38" s="427">
        <v>85.203999999999994</v>
      </c>
      <c r="BP38" s="427">
        <v>85.203999999999994</v>
      </c>
      <c r="BQ38" s="427">
        <v>60.598999999999997</v>
      </c>
      <c r="BR38" s="427">
        <v>61.524000000000001</v>
      </c>
      <c r="BS38" s="427">
        <v>79.164000000000001</v>
      </c>
      <c r="BT38" s="427">
        <v>223.41300000000001</v>
      </c>
      <c r="BU38" s="427">
        <v>223.41300000000001</v>
      </c>
      <c r="BV38" s="427">
        <v>0</v>
      </c>
      <c r="BW38" s="427">
        <v>0</v>
      </c>
      <c r="BX38" s="427">
        <v>0</v>
      </c>
      <c r="BY38" s="427">
        <v>0</v>
      </c>
      <c r="BZ38" s="427">
        <v>0</v>
      </c>
      <c r="CC38" s="21"/>
      <c r="CD38" s="424" t="s">
        <v>167</v>
      </c>
      <c r="CE38" s="433">
        <f t="shared" si="0"/>
        <v>0</v>
      </c>
      <c r="CF38" s="433">
        <f t="shared" si="1"/>
        <v>0</v>
      </c>
      <c r="CG38" s="433">
        <f t="shared" si="2"/>
        <v>0</v>
      </c>
      <c r="CH38" s="433">
        <f t="shared" si="3"/>
        <v>0</v>
      </c>
      <c r="CI38" s="433">
        <f t="shared" si="4"/>
        <v>0</v>
      </c>
      <c r="CJ38" s="433">
        <f t="shared" si="5"/>
        <v>0</v>
      </c>
      <c r="CK38" s="433">
        <f t="shared" si="6"/>
        <v>0</v>
      </c>
      <c r="CL38" s="433">
        <f t="shared" si="7"/>
        <v>0</v>
      </c>
      <c r="CM38" s="433">
        <f t="shared" si="8"/>
        <v>0</v>
      </c>
      <c r="CN38" s="433">
        <f t="shared" si="9"/>
        <v>0</v>
      </c>
      <c r="CO38" s="433">
        <f t="shared" si="10"/>
        <v>2.1749999999999998</v>
      </c>
      <c r="CP38" s="433">
        <f t="shared" si="11"/>
        <v>23.309000000000001</v>
      </c>
      <c r="CQ38" s="433">
        <f t="shared" si="12"/>
        <v>85.203999999999994</v>
      </c>
      <c r="CR38" s="433">
        <f t="shared" si="13"/>
        <v>223.41300000000001</v>
      </c>
      <c r="CS38" s="433">
        <f t="shared" si="14"/>
        <v>0</v>
      </c>
      <c r="CT38" s="21"/>
    </row>
    <row r="39" spans="3:98" ht="24.75" hidden="1" customHeight="1" outlineLevel="1">
      <c r="C39" s="424" t="s">
        <v>168</v>
      </c>
      <c r="D39" s="427">
        <v>0</v>
      </c>
      <c r="E39" s="427">
        <v>0</v>
      </c>
      <c r="F39" s="427">
        <v>0</v>
      </c>
      <c r="G39" s="427">
        <v>0</v>
      </c>
      <c r="H39" s="427">
        <v>0</v>
      </c>
      <c r="I39" s="427">
        <v>0</v>
      </c>
      <c r="J39" s="427">
        <v>0</v>
      </c>
      <c r="K39" s="427">
        <v>0</v>
      </c>
      <c r="L39" s="427">
        <v>0</v>
      </c>
      <c r="M39" s="427">
        <v>0</v>
      </c>
      <c r="N39" s="427">
        <v>0</v>
      </c>
      <c r="O39" s="427">
        <v>0</v>
      </c>
      <c r="P39" s="427">
        <v>0</v>
      </c>
      <c r="Q39" s="427">
        <v>0</v>
      </c>
      <c r="R39" s="427">
        <v>0</v>
      </c>
      <c r="S39" s="427">
        <v>0</v>
      </c>
      <c r="T39" s="427">
        <v>0</v>
      </c>
      <c r="U39" s="427">
        <v>0</v>
      </c>
      <c r="V39" s="427">
        <v>0</v>
      </c>
      <c r="W39" s="427">
        <v>0</v>
      </c>
      <c r="X39" s="427">
        <v>0</v>
      </c>
      <c r="Y39" s="427">
        <v>0</v>
      </c>
      <c r="Z39" s="427">
        <v>0</v>
      </c>
      <c r="AA39" s="427">
        <v>0</v>
      </c>
      <c r="AB39" s="427">
        <v>0</v>
      </c>
      <c r="AC39" s="427">
        <v>0</v>
      </c>
      <c r="AD39" s="427">
        <v>0</v>
      </c>
      <c r="AE39" s="427">
        <v>0</v>
      </c>
      <c r="AF39" s="427">
        <v>0</v>
      </c>
      <c r="AG39" s="427">
        <v>0</v>
      </c>
      <c r="AH39" s="427">
        <v>0</v>
      </c>
      <c r="AI39" s="427">
        <v>0</v>
      </c>
      <c r="AJ39" s="427">
        <v>0</v>
      </c>
      <c r="AK39" s="427">
        <v>0</v>
      </c>
      <c r="AL39" s="427">
        <v>0</v>
      </c>
      <c r="AM39" s="427">
        <v>0</v>
      </c>
      <c r="AN39" s="427">
        <v>0</v>
      </c>
      <c r="AO39" s="427">
        <v>0</v>
      </c>
      <c r="AP39" s="427">
        <v>0</v>
      </c>
      <c r="AQ39" s="427">
        <v>0</v>
      </c>
      <c r="AR39" s="427">
        <v>0</v>
      </c>
      <c r="AS39" s="427">
        <v>0</v>
      </c>
      <c r="AT39" s="427">
        <v>0</v>
      </c>
      <c r="AU39" s="427">
        <v>0</v>
      </c>
      <c r="AV39" s="427">
        <v>0</v>
      </c>
      <c r="AW39" s="427">
        <v>0</v>
      </c>
      <c r="AX39" s="427">
        <v>0</v>
      </c>
      <c r="AY39" s="427">
        <v>0</v>
      </c>
      <c r="AZ39" s="427">
        <v>0</v>
      </c>
      <c r="BA39" s="427">
        <v>0</v>
      </c>
      <c r="BB39" s="427">
        <v>0</v>
      </c>
      <c r="BC39" s="427">
        <v>0</v>
      </c>
      <c r="BD39" s="427">
        <v>0</v>
      </c>
      <c r="BE39" s="427">
        <v>0</v>
      </c>
      <c r="BF39" s="427">
        <v>0</v>
      </c>
      <c r="BG39" s="427">
        <v>0</v>
      </c>
      <c r="BH39" s="427">
        <v>0</v>
      </c>
      <c r="BI39" s="427">
        <v>0</v>
      </c>
      <c r="BJ39" s="427">
        <v>0</v>
      </c>
      <c r="BK39" s="427">
        <v>0</v>
      </c>
      <c r="BL39" s="427">
        <v>0</v>
      </c>
      <c r="BM39" s="427">
        <v>0</v>
      </c>
      <c r="BN39" s="427">
        <v>0</v>
      </c>
      <c r="BO39" s="427">
        <v>0</v>
      </c>
      <c r="BP39" s="427">
        <v>0</v>
      </c>
      <c r="BQ39" s="427">
        <v>0</v>
      </c>
      <c r="BR39" s="427">
        <v>0</v>
      </c>
      <c r="BS39" s="427">
        <v>0</v>
      </c>
      <c r="BT39" s="427">
        <v>0</v>
      </c>
      <c r="BU39" s="427">
        <v>0</v>
      </c>
      <c r="BV39" s="427">
        <v>84.739000000000004</v>
      </c>
      <c r="BW39" s="427">
        <v>38.92</v>
      </c>
      <c r="BX39" s="427">
        <v>53.210999999999999</v>
      </c>
      <c r="BY39" s="427">
        <v>0</v>
      </c>
      <c r="BZ39" s="427">
        <v>0</v>
      </c>
      <c r="CC39" s="21"/>
      <c r="CD39" s="424" t="s">
        <v>168</v>
      </c>
      <c r="CE39" s="433">
        <f t="shared" si="0"/>
        <v>0</v>
      </c>
      <c r="CF39" s="433">
        <f t="shared" si="1"/>
        <v>0</v>
      </c>
      <c r="CG39" s="433">
        <f t="shared" si="2"/>
        <v>0</v>
      </c>
      <c r="CH39" s="433">
        <f t="shared" si="3"/>
        <v>0</v>
      </c>
      <c r="CI39" s="433">
        <f t="shared" si="4"/>
        <v>0</v>
      </c>
      <c r="CJ39" s="433">
        <f t="shared" si="5"/>
        <v>0</v>
      </c>
      <c r="CK39" s="433">
        <f t="shared" si="6"/>
        <v>0</v>
      </c>
      <c r="CL39" s="433">
        <f t="shared" si="7"/>
        <v>0</v>
      </c>
      <c r="CM39" s="433">
        <f t="shared" si="8"/>
        <v>0</v>
      </c>
      <c r="CN39" s="433">
        <f t="shared" si="9"/>
        <v>0</v>
      </c>
      <c r="CO39" s="433">
        <f t="shared" si="10"/>
        <v>0</v>
      </c>
      <c r="CP39" s="433">
        <f t="shared" si="11"/>
        <v>0</v>
      </c>
      <c r="CQ39" s="433">
        <f t="shared" si="12"/>
        <v>0</v>
      </c>
      <c r="CR39" s="433">
        <f t="shared" si="13"/>
        <v>0</v>
      </c>
      <c r="CS39" s="433">
        <f t="shared" si="14"/>
        <v>0</v>
      </c>
      <c r="CT39" s="21"/>
    </row>
    <row r="40" spans="3:98" ht="24.75" hidden="1" customHeight="1" outlineLevel="1">
      <c r="C40" s="424" t="s">
        <v>169</v>
      </c>
      <c r="D40" s="427">
        <v>0</v>
      </c>
      <c r="E40" s="427">
        <v>0</v>
      </c>
      <c r="F40" s="427">
        <v>0</v>
      </c>
      <c r="G40" s="427">
        <v>0</v>
      </c>
      <c r="H40" s="427">
        <v>0</v>
      </c>
      <c r="I40" s="427">
        <v>0</v>
      </c>
      <c r="J40" s="427">
        <v>0</v>
      </c>
      <c r="K40" s="427">
        <v>0</v>
      </c>
      <c r="L40" s="427">
        <v>0</v>
      </c>
      <c r="M40" s="427">
        <v>0</v>
      </c>
      <c r="N40" s="427">
        <v>0</v>
      </c>
      <c r="O40" s="427">
        <v>0</v>
      </c>
      <c r="P40" s="427">
        <v>0</v>
      </c>
      <c r="Q40" s="427">
        <v>0</v>
      </c>
      <c r="R40" s="427">
        <v>0</v>
      </c>
      <c r="S40" s="427">
        <v>0</v>
      </c>
      <c r="T40" s="427">
        <v>0</v>
      </c>
      <c r="U40" s="427">
        <v>0</v>
      </c>
      <c r="V40" s="427">
        <v>0</v>
      </c>
      <c r="W40" s="427">
        <v>0</v>
      </c>
      <c r="X40" s="427">
        <v>0</v>
      </c>
      <c r="Y40" s="427">
        <v>0</v>
      </c>
      <c r="Z40" s="427">
        <v>0</v>
      </c>
      <c r="AA40" s="427">
        <v>0</v>
      </c>
      <c r="AB40" s="427">
        <v>0</v>
      </c>
      <c r="AC40" s="427">
        <v>0</v>
      </c>
      <c r="AD40" s="427">
        <v>0</v>
      </c>
      <c r="AE40" s="427">
        <v>0</v>
      </c>
      <c r="AF40" s="427">
        <v>0</v>
      </c>
      <c r="AG40" s="427">
        <v>0</v>
      </c>
      <c r="AH40" s="427">
        <v>0</v>
      </c>
      <c r="AI40" s="427">
        <v>0</v>
      </c>
      <c r="AJ40" s="427">
        <v>0</v>
      </c>
      <c r="AK40" s="427">
        <v>0</v>
      </c>
      <c r="AL40" s="427">
        <v>0</v>
      </c>
      <c r="AM40" s="427">
        <v>0</v>
      </c>
      <c r="AN40" s="427">
        <v>0</v>
      </c>
      <c r="AO40" s="427">
        <v>0</v>
      </c>
      <c r="AP40" s="427">
        <v>0</v>
      </c>
      <c r="AQ40" s="427">
        <v>0</v>
      </c>
      <c r="AR40" s="427">
        <v>0</v>
      </c>
      <c r="AS40" s="427">
        <v>0</v>
      </c>
      <c r="AT40" s="427">
        <v>0</v>
      </c>
      <c r="AU40" s="427">
        <v>0</v>
      </c>
      <c r="AV40" s="427">
        <v>0</v>
      </c>
      <c r="AW40" s="427">
        <v>0</v>
      </c>
      <c r="AX40" s="427">
        <v>0</v>
      </c>
      <c r="AY40" s="427">
        <v>0</v>
      </c>
      <c r="AZ40" s="427">
        <v>0</v>
      </c>
      <c r="BA40" s="427">
        <v>0</v>
      </c>
      <c r="BB40" s="427">
        <v>0</v>
      </c>
      <c r="BC40" s="427">
        <v>0</v>
      </c>
      <c r="BD40" s="427">
        <v>0</v>
      </c>
      <c r="BE40" s="427">
        <v>0</v>
      </c>
      <c r="BF40" s="427">
        <v>-4.2839999999999998</v>
      </c>
      <c r="BG40" s="427">
        <v>0</v>
      </c>
      <c r="BH40" s="427">
        <v>0</v>
      </c>
      <c r="BI40" s="427">
        <v>0</v>
      </c>
      <c r="BJ40" s="427">
        <v>-2.161</v>
      </c>
      <c r="BK40" s="427">
        <v>-2.161</v>
      </c>
      <c r="BL40" s="427">
        <v>-4.6630000000000003</v>
      </c>
      <c r="BM40" s="427">
        <v>-11.958</v>
      </c>
      <c r="BN40" s="427">
        <v>-16.977</v>
      </c>
      <c r="BO40" s="427">
        <v>-24.550999999999998</v>
      </c>
      <c r="BP40" s="427">
        <v>-24.550999999999998</v>
      </c>
      <c r="BQ40" s="427">
        <v>-20.417000000000002</v>
      </c>
      <c r="BR40" s="427">
        <v>-15.535</v>
      </c>
      <c r="BS40" s="427">
        <v>-16.952000000000002</v>
      </c>
      <c r="BT40" s="427">
        <v>-11.5</v>
      </c>
      <c r="BU40" s="427">
        <v>-11.5</v>
      </c>
      <c r="BV40" s="427">
        <v>-14.393000000000001</v>
      </c>
      <c r="BW40" s="427">
        <v>-13.308999999999999</v>
      </c>
      <c r="BX40" s="427">
        <v>-21.856000000000002</v>
      </c>
      <c r="BY40" s="427">
        <v>0</v>
      </c>
      <c r="BZ40" s="427">
        <v>0</v>
      </c>
      <c r="CC40" s="21"/>
      <c r="CD40" s="424" t="s">
        <v>169</v>
      </c>
      <c r="CE40" s="433">
        <f t="shared" si="0"/>
        <v>0</v>
      </c>
      <c r="CF40" s="433">
        <f t="shared" si="1"/>
        <v>0</v>
      </c>
      <c r="CG40" s="433">
        <f t="shared" si="2"/>
        <v>0</v>
      </c>
      <c r="CH40" s="433">
        <f t="shared" si="3"/>
        <v>0</v>
      </c>
      <c r="CI40" s="433">
        <f t="shared" si="4"/>
        <v>0</v>
      </c>
      <c r="CJ40" s="433">
        <f t="shared" si="5"/>
        <v>0</v>
      </c>
      <c r="CK40" s="433">
        <f t="shared" si="6"/>
        <v>0</v>
      </c>
      <c r="CL40" s="433">
        <f t="shared" si="7"/>
        <v>0</v>
      </c>
      <c r="CM40" s="433">
        <f t="shared" si="8"/>
        <v>0</v>
      </c>
      <c r="CN40" s="433">
        <f t="shared" si="9"/>
        <v>0</v>
      </c>
      <c r="CO40" s="433">
        <f t="shared" si="10"/>
        <v>-4.2839999999999998</v>
      </c>
      <c r="CP40" s="433">
        <f t="shared" si="11"/>
        <v>-2.161</v>
      </c>
      <c r="CQ40" s="433">
        <f t="shared" si="12"/>
        <v>-24.550999999999998</v>
      </c>
      <c r="CR40" s="433">
        <f t="shared" si="13"/>
        <v>-11.5</v>
      </c>
      <c r="CS40" s="433">
        <f t="shared" si="14"/>
        <v>0</v>
      </c>
      <c r="CT40" s="21"/>
    </row>
    <row r="41" spans="3:98" ht="24.75" customHeight="1" collapsed="1">
      <c r="C41" s="415" t="s">
        <v>154</v>
      </c>
      <c r="D41" s="427">
        <v>0</v>
      </c>
      <c r="E41" s="427">
        <v>0</v>
      </c>
      <c r="F41" s="427">
        <v>0</v>
      </c>
      <c r="G41" s="427">
        <v>0</v>
      </c>
      <c r="H41" s="427">
        <v>0</v>
      </c>
      <c r="I41" s="427">
        <v>0</v>
      </c>
      <c r="J41" s="427">
        <v>0</v>
      </c>
      <c r="K41" s="427">
        <v>0</v>
      </c>
      <c r="L41" s="427">
        <v>0</v>
      </c>
      <c r="M41" s="427">
        <v>0</v>
      </c>
      <c r="N41" s="427">
        <v>0</v>
      </c>
      <c r="O41" s="427">
        <v>0</v>
      </c>
      <c r="P41" s="427">
        <v>0</v>
      </c>
      <c r="Q41" s="427">
        <v>0</v>
      </c>
      <c r="R41" s="427">
        <v>0</v>
      </c>
      <c r="S41" s="427">
        <v>0</v>
      </c>
      <c r="T41" s="427">
        <v>0</v>
      </c>
      <c r="U41" s="427">
        <v>0</v>
      </c>
      <c r="V41" s="427">
        <v>0</v>
      </c>
      <c r="W41" s="427">
        <v>0</v>
      </c>
      <c r="X41" s="427">
        <v>0</v>
      </c>
      <c r="Y41" s="427">
        <v>0</v>
      </c>
      <c r="Z41" s="427">
        <v>0</v>
      </c>
      <c r="AA41" s="427">
        <v>0</v>
      </c>
      <c r="AB41" s="427">
        <v>0</v>
      </c>
      <c r="AC41" s="427">
        <v>0</v>
      </c>
      <c r="AD41" s="427">
        <v>0</v>
      </c>
      <c r="AE41" s="427">
        <v>0</v>
      </c>
      <c r="AF41" s="427">
        <v>0</v>
      </c>
      <c r="AG41" s="427">
        <v>0</v>
      </c>
      <c r="AH41" s="427">
        <v>0</v>
      </c>
      <c r="AI41" s="427">
        <v>0</v>
      </c>
      <c r="AJ41" s="427">
        <v>0</v>
      </c>
      <c r="AK41" s="427">
        <v>0</v>
      </c>
      <c r="AL41" s="427">
        <v>0</v>
      </c>
      <c r="AM41" s="427">
        <v>0</v>
      </c>
      <c r="AN41" s="427">
        <v>0</v>
      </c>
      <c r="AO41" s="427">
        <v>0</v>
      </c>
      <c r="AP41" s="427">
        <v>0</v>
      </c>
      <c r="AQ41" s="427">
        <v>0</v>
      </c>
      <c r="AR41" s="427">
        <v>0</v>
      </c>
      <c r="AS41" s="427">
        <v>0</v>
      </c>
      <c r="AT41" s="427">
        <v>0</v>
      </c>
      <c r="AU41" s="427">
        <v>0</v>
      </c>
      <c r="AV41" s="427">
        <v>0</v>
      </c>
      <c r="AW41" s="427">
        <v>0</v>
      </c>
      <c r="AX41" s="427">
        <v>0</v>
      </c>
      <c r="AY41" s="427">
        <v>0</v>
      </c>
      <c r="AZ41" s="427">
        <v>0</v>
      </c>
      <c r="BA41" s="427">
        <v>0</v>
      </c>
      <c r="BB41" s="427">
        <v>0</v>
      </c>
      <c r="BC41" s="427">
        <v>0</v>
      </c>
      <c r="BD41" s="427">
        <v>0</v>
      </c>
      <c r="BE41" s="427">
        <v>0</v>
      </c>
      <c r="BF41" s="427">
        <v>91.667000000000002</v>
      </c>
      <c r="BG41" s="427">
        <v>0</v>
      </c>
      <c r="BH41" s="427">
        <v>0</v>
      </c>
      <c r="BI41" s="427">
        <v>0</v>
      </c>
      <c r="BJ41" s="427">
        <v>189.471</v>
      </c>
      <c r="BK41" s="427">
        <v>189.471</v>
      </c>
      <c r="BL41" s="427">
        <v>208.828</v>
      </c>
      <c r="BM41" s="427">
        <v>619.67499999999995</v>
      </c>
      <c r="BN41" s="427">
        <v>331.82</v>
      </c>
      <c r="BO41" s="427">
        <v>365.93700000000001</v>
      </c>
      <c r="BP41" s="427">
        <v>365.93700000000001</v>
      </c>
      <c r="BQ41" s="427">
        <v>402.815</v>
      </c>
      <c r="BR41" s="427">
        <v>308.02199999999999</v>
      </c>
      <c r="BS41" s="427">
        <v>300.87599999999998</v>
      </c>
      <c r="BT41" s="427">
        <v>464.81700000000001</v>
      </c>
      <c r="BU41" s="427">
        <v>464.81700000000001</v>
      </c>
      <c r="BV41" s="427">
        <v>548.351</v>
      </c>
      <c r="BW41" s="427">
        <v>491.96899999999999</v>
      </c>
      <c r="BX41" s="427">
        <v>467.19299999999998</v>
      </c>
      <c r="BY41" s="427">
        <v>0</v>
      </c>
      <c r="BZ41" s="427">
        <v>0</v>
      </c>
      <c r="CC41" s="21"/>
      <c r="CD41" s="415" t="s">
        <v>154</v>
      </c>
      <c r="CE41" s="433">
        <f t="shared" si="0"/>
        <v>0</v>
      </c>
      <c r="CF41" s="433">
        <f t="shared" si="1"/>
        <v>0</v>
      </c>
      <c r="CG41" s="433">
        <f t="shared" si="2"/>
        <v>0</v>
      </c>
      <c r="CH41" s="433">
        <f t="shared" si="3"/>
        <v>0</v>
      </c>
      <c r="CI41" s="433">
        <f t="shared" si="4"/>
        <v>0</v>
      </c>
      <c r="CJ41" s="433">
        <f t="shared" si="5"/>
        <v>0</v>
      </c>
      <c r="CK41" s="433">
        <f t="shared" si="6"/>
        <v>0</v>
      </c>
      <c r="CL41" s="433">
        <f t="shared" si="7"/>
        <v>0</v>
      </c>
      <c r="CM41" s="433">
        <f t="shared" si="8"/>
        <v>0</v>
      </c>
      <c r="CN41" s="433">
        <f t="shared" si="9"/>
        <v>0</v>
      </c>
      <c r="CO41" s="433">
        <f t="shared" si="10"/>
        <v>91.667000000000002</v>
      </c>
      <c r="CP41" s="433">
        <f t="shared" si="11"/>
        <v>189.471</v>
      </c>
      <c r="CQ41" s="433">
        <f t="shared" si="12"/>
        <v>365.93700000000001</v>
      </c>
      <c r="CR41" s="433">
        <f t="shared" si="13"/>
        <v>464.81700000000001</v>
      </c>
      <c r="CS41" s="433">
        <f t="shared" si="14"/>
        <v>0</v>
      </c>
      <c r="CT41" s="21"/>
    </row>
    <row r="42" spans="3:98" ht="24.75" customHeight="1">
      <c r="C42" s="415" t="s">
        <v>170</v>
      </c>
      <c r="D42" s="427">
        <v>0</v>
      </c>
      <c r="E42" s="427">
        <v>0</v>
      </c>
      <c r="F42" s="427">
        <v>0</v>
      </c>
      <c r="G42" s="427">
        <v>0</v>
      </c>
      <c r="H42" s="427">
        <v>0</v>
      </c>
      <c r="I42" s="427">
        <v>0</v>
      </c>
      <c r="J42" s="427">
        <v>0</v>
      </c>
      <c r="K42" s="427">
        <v>0</v>
      </c>
      <c r="L42" s="427">
        <v>0</v>
      </c>
      <c r="M42" s="427">
        <v>0</v>
      </c>
      <c r="N42" s="427">
        <v>0</v>
      </c>
      <c r="O42" s="427">
        <v>0</v>
      </c>
      <c r="P42" s="427">
        <v>0</v>
      </c>
      <c r="Q42" s="427">
        <v>0</v>
      </c>
      <c r="R42" s="427">
        <v>0</v>
      </c>
      <c r="S42" s="427">
        <v>0</v>
      </c>
      <c r="T42" s="427">
        <v>0</v>
      </c>
      <c r="U42" s="427">
        <v>0</v>
      </c>
      <c r="V42" s="427">
        <v>0</v>
      </c>
      <c r="W42" s="427">
        <v>0</v>
      </c>
      <c r="X42" s="427">
        <v>0</v>
      </c>
      <c r="Y42" s="427">
        <v>0</v>
      </c>
      <c r="Z42" s="427">
        <v>0</v>
      </c>
      <c r="AA42" s="427">
        <v>0</v>
      </c>
      <c r="AB42" s="427">
        <v>0</v>
      </c>
      <c r="AC42" s="427">
        <v>0</v>
      </c>
      <c r="AD42" s="427">
        <v>0</v>
      </c>
      <c r="AE42" s="427">
        <v>0</v>
      </c>
      <c r="AF42" s="427">
        <v>0</v>
      </c>
      <c r="AG42" s="427">
        <v>0</v>
      </c>
      <c r="AH42" s="427">
        <v>0</v>
      </c>
      <c r="AI42" s="427">
        <v>0</v>
      </c>
      <c r="AJ42" s="427">
        <v>0</v>
      </c>
      <c r="AK42" s="427">
        <v>0</v>
      </c>
      <c r="AL42" s="427">
        <v>0</v>
      </c>
      <c r="AM42" s="427">
        <v>0</v>
      </c>
      <c r="AN42" s="427">
        <v>0</v>
      </c>
      <c r="AO42" s="427">
        <v>0</v>
      </c>
      <c r="AP42" s="427">
        <v>0</v>
      </c>
      <c r="AQ42" s="427">
        <v>0</v>
      </c>
      <c r="AR42" s="427">
        <v>0</v>
      </c>
      <c r="AS42" s="427">
        <v>0</v>
      </c>
      <c r="AT42" s="427">
        <v>0</v>
      </c>
      <c r="AU42" s="427">
        <v>0</v>
      </c>
      <c r="AV42" s="427">
        <v>0</v>
      </c>
      <c r="AW42" s="427">
        <v>0</v>
      </c>
      <c r="AX42" s="427">
        <v>0</v>
      </c>
      <c r="AY42" s="427">
        <v>0</v>
      </c>
      <c r="AZ42" s="427">
        <v>0</v>
      </c>
      <c r="BA42" s="427">
        <v>0</v>
      </c>
      <c r="BB42" s="427">
        <v>0</v>
      </c>
      <c r="BC42" s="427">
        <v>0</v>
      </c>
      <c r="BD42" s="427">
        <v>0</v>
      </c>
      <c r="BE42" s="427">
        <v>0</v>
      </c>
      <c r="BF42" s="427">
        <v>21.437999999999999</v>
      </c>
      <c r="BG42" s="427">
        <v>0</v>
      </c>
      <c r="BH42" s="427">
        <v>0</v>
      </c>
      <c r="BI42" s="427">
        <v>0</v>
      </c>
      <c r="BJ42" s="427">
        <v>36.218000000000004</v>
      </c>
      <c r="BK42" s="427">
        <v>36.218000000000004</v>
      </c>
      <c r="BL42" s="427">
        <v>33.091999999999999</v>
      </c>
      <c r="BM42" s="427">
        <v>109.542</v>
      </c>
      <c r="BN42" s="427">
        <v>101.705</v>
      </c>
      <c r="BO42" s="427">
        <v>132.904</v>
      </c>
      <c r="BP42" s="427">
        <v>132.904</v>
      </c>
      <c r="BQ42" s="427">
        <v>188.50299999999999</v>
      </c>
      <c r="BR42" s="427">
        <v>135.33500000000001</v>
      </c>
      <c r="BS42" s="427">
        <v>93.89</v>
      </c>
      <c r="BT42" s="427">
        <v>98.203999999999994</v>
      </c>
      <c r="BU42" s="427">
        <v>98.203999999999994</v>
      </c>
      <c r="BV42" s="427">
        <v>108.18300000000001</v>
      </c>
      <c r="BW42" s="427">
        <v>80.724999999999994</v>
      </c>
      <c r="BX42" s="427">
        <v>88.100999999999999</v>
      </c>
      <c r="BY42" s="427">
        <v>0</v>
      </c>
      <c r="BZ42" s="427">
        <v>0</v>
      </c>
      <c r="CC42" s="21"/>
      <c r="CD42" s="415" t="s">
        <v>170</v>
      </c>
      <c r="CE42" s="433">
        <f t="shared" si="0"/>
        <v>0</v>
      </c>
      <c r="CF42" s="433">
        <f t="shared" si="1"/>
        <v>0</v>
      </c>
      <c r="CG42" s="433">
        <f t="shared" si="2"/>
        <v>0</v>
      </c>
      <c r="CH42" s="433">
        <f t="shared" si="3"/>
        <v>0</v>
      </c>
      <c r="CI42" s="433">
        <f t="shared" si="4"/>
        <v>0</v>
      </c>
      <c r="CJ42" s="433">
        <f t="shared" si="5"/>
        <v>0</v>
      </c>
      <c r="CK42" s="433">
        <f t="shared" si="6"/>
        <v>0</v>
      </c>
      <c r="CL42" s="433">
        <f t="shared" si="7"/>
        <v>0</v>
      </c>
      <c r="CM42" s="433">
        <f t="shared" si="8"/>
        <v>0</v>
      </c>
      <c r="CN42" s="433">
        <f t="shared" si="9"/>
        <v>0</v>
      </c>
      <c r="CO42" s="433">
        <f t="shared" si="10"/>
        <v>21.437999999999999</v>
      </c>
      <c r="CP42" s="433">
        <f t="shared" si="11"/>
        <v>36.218000000000004</v>
      </c>
      <c r="CQ42" s="433">
        <f t="shared" si="12"/>
        <v>132.904</v>
      </c>
      <c r="CR42" s="433">
        <f t="shared" si="13"/>
        <v>98.203999999999994</v>
      </c>
      <c r="CS42" s="433">
        <f t="shared" si="14"/>
        <v>0</v>
      </c>
      <c r="CT42" s="21"/>
    </row>
    <row r="43" spans="3:98" ht="24.75" customHeight="1">
      <c r="C43" s="415" t="s">
        <v>171</v>
      </c>
      <c r="D43" s="427">
        <v>0</v>
      </c>
      <c r="E43" s="427">
        <v>0</v>
      </c>
      <c r="F43" s="427">
        <v>0</v>
      </c>
      <c r="G43" s="427">
        <v>0</v>
      </c>
      <c r="H43" s="427">
        <v>0</v>
      </c>
      <c r="I43" s="427">
        <v>0</v>
      </c>
      <c r="J43" s="427">
        <v>0</v>
      </c>
      <c r="K43" s="427">
        <v>0</v>
      </c>
      <c r="L43" s="427">
        <v>0</v>
      </c>
      <c r="M43" s="427">
        <v>0</v>
      </c>
      <c r="N43" s="427">
        <v>0</v>
      </c>
      <c r="O43" s="427">
        <v>0</v>
      </c>
      <c r="P43" s="427">
        <v>0</v>
      </c>
      <c r="Q43" s="427">
        <v>0</v>
      </c>
      <c r="R43" s="427">
        <v>0</v>
      </c>
      <c r="S43" s="427">
        <v>0</v>
      </c>
      <c r="T43" s="427">
        <v>0</v>
      </c>
      <c r="U43" s="427">
        <v>0</v>
      </c>
      <c r="V43" s="427">
        <v>0</v>
      </c>
      <c r="W43" s="427">
        <v>0</v>
      </c>
      <c r="X43" s="427">
        <v>0</v>
      </c>
      <c r="Y43" s="427">
        <v>0</v>
      </c>
      <c r="Z43" s="427">
        <v>0</v>
      </c>
      <c r="AA43" s="427">
        <v>0</v>
      </c>
      <c r="AB43" s="427">
        <v>0</v>
      </c>
      <c r="AC43" s="427">
        <v>0</v>
      </c>
      <c r="AD43" s="427">
        <v>0</v>
      </c>
      <c r="AE43" s="427">
        <v>0</v>
      </c>
      <c r="AF43" s="427">
        <v>0</v>
      </c>
      <c r="AG43" s="427">
        <v>0</v>
      </c>
      <c r="AH43" s="427">
        <v>0</v>
      </c>
      <c r="AI43" s="427">
        <v>0</v>
      </c>
      <c r="AJ43" s="427">
        <v>0</v>
      </c>
      <c r="AK43" s="427">
        <v>0</v>
      </c>
      <c r="AL43" s="427">
        <v>0</v>
      </c>
      <c r="AM43" s="427">
        <v>0</v>
      </c>
      <c r="AN43" s="427">
        <v>0</v>
      </c>
      <c r="AO43" s="427">
        <v>0</v>
      </c>
      <c r="AP43" s="427">
        <v>0</v>
      </c>
      <c r="AQ43" s="427">
        <v>0</v>
      </c>
      <c r="AR43" s="427">
        <v>0</v>
      </c>
      <c r="AS43" s="427">
        <v>0</v>
      </c>
      <c r="AT43" s="427">
        <v>0</v>
      </c>
      <c r="AU43" s="427">
        <v>0</v>
      </c>
      <c r="AV43" s="427">
        <v>0</v>
      </c>
      <c r="AW43" s="427">
        <v>0</v>
      </c>
      <c r="AX43" s="427">
        <v>0</v>
      </c>
      <c r="AY43" s="427">
        <v>0</v>
      </c>
      <c r="AZ43" s="427">
        <v>0</v>
      </c>
      <c r="BA43" s="427">
        <v>0</v>
      </c>
      <c r="BB43" s="427">
        <v>0</v>
      </c>
      <c r="BC43" s="427">
        <v>0</v>
      </c>
      <c r="BD43" s="427">
        <v>0</v>
      </c>
      <c r="BE43" s="427">
        <v>0</v>
      </c>
      <c r="BF43" s="427">
        <v>0</v>
      </c>
      <c r="BG43" s="427">
        <v>0</v>
      </c>
      <c r="BH43" s="427">
        <v>0</v>
      </c>
      <c r="BI43" s="427">
        <v>0</v>
      </c>
      <c r="BJ43" s="427">
        <v>0</v>
      </c>
      <c r="BK43" s="427">
        <v>0</v>
      </c>
      <c r="BL43" s="427">
        <v>0</v>
      </c>
      <c r="BM43" s="427">
        <v>0</v>
      </c>
      <c r="BN43" s="427">
        <v>0</v>
      </c>
      <c r="BO43" s="427">
        <v>0</v>
      </c>
      <c r="BP43" s="427">
        <v>0</v>
      </c>
      <c r="BQ43" s="427">
        <v>0</v>
      </c>
      <c r="BR43" s="427">
        <v>0</v>
      </c>
      <c r="BS43" s="427">
        <v>0</v>
      </c>
      <c r="BT43" s="427">
        <v>0</v>
      </c>
      <c r="BU43" s="427">
        <v>0</v>
      </c>
      <c r="BV43" s="427">
        <v>0</v>
      </c>
      <c r="BW43" s="427">
        <v>0</v>
      </c>
      <c r="BX43" s="427">
        <v>0</v>
      </c>
      <c r="BY43" s="427">
        <v>0</v>
      </c>
      <c r="BZ43" s="427">
        <v>0</v>
      </c>
      <c r="CC43" s="21"/>
      <c r="CD43" s="415" t="s">
        <v>171</v>
      </c>
      <c r="CE43" s="433">
        <f t="shared" si="0"/>
        <v>0</v>
      </c>
      <c r="CF43" s="433">
        <f t="shared" si="1"/>
        <v>0</v>
      </c>
      <c r="CG43" s="433">
        <f t="shared" si="2"/>
        <v>0</v>
      </c>
      <c r="CH43" s="433">
        <f t="shared" si="3"/>
        <v>0</v>
      </c>
      <c r="CI43" s="433">
        <f t="shared" si="4"/>
        <v>0</v>
      </c>
      <c r="CJ43" s="433">
        <f t="shared" si="5"/>
        <v>0</v>
      </c>
      <c r="CK43" s="433">
        <f t="shared" si="6"/>
        <v>0</v>
      </c>
      <c r="CL43" s="433">
        <f t="shared" si="7"/>
        <v>0</v>
      </c>
      <c r="CM43" s="433">
        <f t="shared" si="8"/>
        <v>0</v>
      </c>
      <c r="CN43" s="433">
        <f t="shared" si="9"/>
        <v>0</v>
      </c>
      <c r="CO43" s="433">
        <f t="shared" si="10"/>
        <v>0</v>
      </c>
      <c r="CP43" s="433">
        <f t="shared" si="11"/>
        <v>0</v>
      </c>
      <c r="CQ43" s="433">
        <f t="shared" si="12"/>
        <v>0</v>
      </c>
      <c r="CR43" s="433">
        <f t="shared" si="13"/>
        <v>0</v>
      </c>
      <c r="CS43" s="433">
        <f t="shared" si="14"/>
        <v>0</v>
      </c>
      <c r="CT43" s="21"/>
    </row>
    <row r="44" spans="3:98" ht="24.75" customHeight="1">
      <c r="C44" s="415" t="s">
        <v>172</v>
      </c>
      <c r="D44" s="427">
        <v>0</v>
      </c>
      <c r="E44" s="427">
        <v>0</v>
      </c>
      <c r="F44" s="427">
        <v>0</v>
      </c>
      <c r="G44" s="427">
        <v>0</v>
      </c>
      <c r="H44" s="427">
        <v>0</v>
      </c>
      <c r="I44" s="427">
        <v>0</v>
      </c>
      <c r="J44" s="427">
        <v>0</v>
      </c>
      <c r="K44" s="427">
        <v>0</v>
      </c>
      <c r="L44" s="427">
        <v>0</v>
      </c>
      <c r="M44" s="427">
        <v>0</v>
      </c>
      <c r="N44" s="427">
        <v>0</v>
      </c>
      <c r="O44" s="427">
        <v>0</v>
      </c>
      <c r="P44" s="427">
        <v>0</v>
      </c>
      <c r="Q44" s="427">
        <v>0</v>
      </c>
      <c r="R44" s="427">
        <v>0</v>
      </c>
      <c r="S44" s="427">
        <v>0</v>
      </c>
      <c r="T44" s="427">
        <v>0</v>
      </c>
      <c r="U44" s="427">
        <v>0</v>
      </c>
      <c r="V44" s="427">
        <v>0</v>
      </c>
      <c r="W44" s="427">
        <v>0</v>
      </c>
      <c r="X44" s="427">
        <v>0</v>
      </c>
      <c r="Y44" s="427">
        <v>0</v>
      </c>
      <c r="Z44" s="427">
        <v>0</v>
      </c>
      <c r="AA44" s="427">
        <v>0</v>
      </c>
      <c r="AB44" s="427">
        <v>0</v>
      </c>
      <c r="AC44" s="427">
        <v>0</v>
      </c>
      <c r="AD44" s="427">
        <v>0</v>
      </c>
      <c r="AE44" s="427">
        <v>0</v>
      </c>
      <c r="AF44" s="427">
        <v>0</v>
      </c>
      <c r="AG44" s="427">
        <v>0</v>
      </c>
      <c r="AH44" s="427">
        <v>0</v>
      </c>
      <c r="AI44" s="427">
        <v>0</v>
      </c>
      <c r="AJ44" s="427">
        <v>0</v>
      </c>
      <c r="AK44" s="427">
        <v>0</v>
      </c>
      <c r="AL44" s="427">
        <v>0</v>
      </c>
      <c r="AM44" s="427">
        <v>0</v>
      </c>
      <c r="AN44" s="427">
        <v>0</v>
      </c>
      <c r="AO44" s="427">
        <v>0</v>
      </c>
      <c r="AP44" s="427">
        <v>0</v>
      </c>
      <c r="AQ44" s="427">
        <v>0</v>
      </c>
      <c r="AR44" s="427">
        <v>0</v>
      </c>
      <c r="AS44" s="427">
        <v>0</v>
      </c>
      <c r="AT44" s="427">
        <v>0</v>
      </c>
      <c r="AU44" s="427">
        <v>0</v>
      </c>
      <c r="AV44" s="427">
        <v>0</v>
      </c>
      <c r="AW44" s="427">
        <v>0</v>
      </c>
      <c r="AX44" s="427">
        <v>0</v>
      </c>
      <c r="AY44" s="427">
        <v>0</v>
      </c>
      <c r="AZ44" s="427">
        <v>0</v>
      </c>
      <c r="BA44" s="427">
        <v>0</v>
      </c>
      <c r="BB44" s="427">
        <v>0</v>
      </c>
      <c r="BC44" s="427">
        <v>0</v>
      </c>
      <c r="BD44" s="427">
        <v>0</v>
      </c>
      <c r="BE44" s="427">
        <v>0</v>
      </c>
      <c r="BF44" s="427">
        <v>0</v>
      </c>
      <c r="BG44" s="427">
        <v>0</v>
      </c>
      <c r="BH44" s="427">
        <v>0</v>
      </c>
      <c r="BI44" s="427">
        <v>0</v>
      </c>
      <c r="BJ44" s="427">
        <v>0</v>
      </c>
      <c r="BK44" s="427">
        <v>0</v>
      </c>
      <c r="BL44" s="427">
        <v>0</v>
      </c>
      <c r="BM44" s="427">
        <v>0</v>
      </c>
      <c r="BN44" s="427">
        <v>0</v>
      </c>
      <c r="BO44" s="427">
        <v>0</v>
      </c>
      <c r="BP44" s="427">
        <v>0</v>
      </c>
      <c r="BQ44" s="427">
        <v>0</v>
      </c>
      <c r="BR44" s="427">
        <v>0</v>
      </c>
      <c r="BS44" s="427">
        <v>0</v>
      </c>
      <c r="BT44" s="427">
        <v>0</v>
      </c>
      <c r="BU44" s="427">
        <v>0</v>
      </c>
      <c r="BV44" s="427">
        <v>0</v>
      </c>
      <c r="BW44" s="427">
        <v>0</v>
      </c>
      <c r="BX44" s="427">
        <v>0</v>
      </c>
      <c r="BY44" s="427">
        <v>0</v>
      </c>
      <c r="BZ44" s="427">
        <v>0</v>
      </c>
      <c r="CC44" s="21"/>
      <c r="CD44" s="415" t="s">
        <v>172</v>
      </c>
      <c r="CE44" s="433">
        <f t="shared" si="0"/>
        <v>0</v>
      </c>
      <c r="CF44" s="433">
        <f t="shared" si="1"/>
        <v>0</v>
      </c>
      <c r="CG44" s="433">
        <f t="shared" si="2"/>
        <v>0</v>
      </c>
      <c r="CH44" s="433">
        <f t="shared" si="3"/>
        <v>0</v>
      </c>
      <c r="CI44" s="433">
        <f t="shared" si="4"/>
        <v>0</v>
      </c>
      <c r="CJ44" s="433">
        <f t="shared" si="5"/>
        <v>0</v>
      </c>
      <c r="CK44" s="433">
        <f t="shared" si="6"/>
        <v>0</v>
      </c>
      <c r="CL44" s="433">
        <f t="shared" si="7"/>
        <v>0</v>
      </c>
      <c r="CM44" s="433">
        <f t="shared" si="8"/>
        <v>0</v>
      </c>
      <c r="CN44" s="433">
        <f t="shared" si="9"/>
        <v>0</v>
      </c>
      <c r="CO44" s="433">
        <f t="shared" si="10"/>
        <v>0</v>
      </c>
      <c r="CP44" s="433">
        <f t="shared" si="11"/>
        <v>0</v>
      </c>
      <c r="CQ44" s="433">
        <f t="shared" si="12"/>
        <v>0</v>
      </c>
      <c r="CR44" s="433">
        <f t="shared" si="13"/>
        <v>0</v>
      </c>
      <c r="CS44" s="433">
        <f t="shared" si="14"/>
        <v>0</v>
      </c>
      <c r="CT44" s="21"/>
    </row>
    <row r="45" spans="3:98" ht="24.75" customHeight="1" collapsed="1">
      <c r="C45" s="415" t="s">
        <v>173</v>
      </c>
      <c r="D45" s="427">
        <v>0</v>
      </c>
      <c r="E45" s="427">
        <v>0</v>
      </c>
      <c r="F45" s="427">
        <v>0</v>
      </c>
      <c r="G45" s="427">
        <v>0</v>
      </c>
      <c r="H45" s="427">
        <v>0</v>
      </c>
      <c r="I45" s="427">
        <v>0</v>
      </c>
      <c r="J45" s="427">
        <v>0</v>
      </c>
      <c r="K45" s="427">
        <v>0</v>
      </c>
      <c r="L45" s="427">
        <v>0</v>
      </c>
      <c r="M45" s="427">
        <v>0</v>
      </c>
      <c r="N45" s="427">
        <v>0</v>
      </c>
      <c r="O45" s="427">
        <v>0</v>
      </c>
      <c r="P45" s="427">
        <v>0</v>
      </c>
      <c r="Q45" s="427">
        <v>0</v>
      </c>
      <c r="R45" s="427">
        <v>0</v>
      </c>
      <c r="S45" s="427">
        <v>0</v>
      </c>
      <c r="T45" s="427">
        <v>0</v>
      </c>
      <c r="U45" s="427">
        <v>0</v>
      </c>
      <c r="V45" s="427">
        <v>0</v>
      </c>
      <c r="W45" s="427">
        <v>0</v>
      </c>
      <c r="X45" s="427">
        <v>0</v>
      </c>
      <c r="Y45" s="427">
        <v>0</v>
      </c>
      <c r="Z45" s="427">
        <v>0</v>
      </c>
      <c r="AA45" s="427">
        <v>0</v>
      </c>
      <c r="AB45" s="427">
        <v>0</v>
      </c>
      <c r="AC45" s="427">
        <v>0</v>
      </c>
      <c r="AD45" s="427">
        <v>0</v>
      </c>
      <c r="AE45" s="427">
        <v>0</v>
      </c>
      <c r="AF45" s="427">
        <v>0</v>
      </c>
      <c r="AG45" s="427">
        <v>0</v>
      </c>
      <c r="AH45" s="427">
        <v>0</v>
      </c>
      <c r="AI45" s="427">
        <v>0</v>
      </c>
      <c r="AJ45" s="427">
        <v>0</v>
      </c>
      <c r="AK45" s="427">
        <v>0</v>
      </c>
      <c r="AL45" s="427">
        <v>0</v>
      </c>
      <c r="AM45" s="427">
        <v>0</v>
      </c>
      <c r="AN45" s="427">
        <v>0</v>
      </c>
      <c r="AO45" s="427">
        <v>0</v>
      </c>
      <c r="AP45" s="427">
        <v>0</v>
      </c>
      <c r="AQ45" s="427">
        <v>0</v>
      </c>
      <c r="AR45" s="427">
        <v>0</v>
      </c>
      <c r="AS45" s="427">
        <v>0</v>
      </c>
      <c r="AT45" s="427">
        <v>0</v>
      </c>
      <c r="AU45" s="427">
        <v>0</v>
      </c>
      <c r="AV45" s="427">
        <v>0</v>
      </c>
      <c r="AW45" s="427">
        <v>0</v>
      </c>
      <c r="AX45" s="427">
        <v>0</v>
      </c>
      <c r="AY45" s="427">
        <v>0</v>
      </c>
      <c r="AZ45" s="427">
        <v>0</v>
      </c>
      <c r="BA45" s="427">
        <v>0</v>
      </c>
      <c r="BB45" s="427">
        <v>0</v>
      </c>
      <c r="BC45" s="427">
        <v>0</v>
      </c>
      <c r="BD45" s="427">
        <v>0</v>
      </c>
      <c r="BE45" s="427">
        <v>0</v>
      </c>
      <c r="BF45" s="427">
        <v>0</v>
      </c>
      <c r="BG45" s="427">
        <v>0</v>
      </c>
      <c r="BH45" s="427">
        <v>0</v>
      </c>
      <c r="BI45" s="427">
        <v>0</v>
      </c>
      <c r="BJ45" s="427">
        <v>0</v>
      </c>
      <c r="BK45" s="427">
        <v>0</v>
      </c>
      <c r="BL45" s="427">
        <v>0</v>
      </c>
      <c r="BM45" s="427">
        <v>0</v>
      </c>
      <c r="BN45" s="427">
        <v>0</v>
      </c>
      <c r="BO45" s="427">
        <v>0</v>
      </c>
      <c r="BP45" s="427">
        <v>0</v>
      </c>
      <c r="BQ45" s="427">
        <v>0</v>
      </c>
      <c r="BR45" s="427">
        <v>0</v>
      </c>
      <c r="BS45" s="427">
        <v>0</v>
      </c>
      <c r="BT45" s="427">
        <v>0</v>
      </c>
      <c r="BU45" s="427">
        <v>0</v>
      </c>
      <c r="BV45" s="427">
        <v>0</v>
      </c>
      <c r="BW45" s="427">
        <v>0</v>
      </c>
      <c r="BX45" s="427">
        <v>0</v>
      </c>
      <c r="BY45" s="427">
        <v>0</v>
      </c>
      <c r="BZ45" s="427">
        <v>0</v>
      </c>
      <c r="CC45" s="21"/>
      <c r="CD45" s="415" t="s">
        <v>173</v>
      </c>
      <c r="CE45" s="433">
        <f t="shared" si="0"/>
        <v>0</v>
      </c>
      <c r="CF45" s="433">
        <f t="shared" si="1"/>
        <v>0</v>
      </c>
      <c r="CG45" s="433">
        <f t="shared" si="2"/>
        <v>0</v>
      </c>
      <c r="CH45" s="433">
        <f t="shared" si="3"/>
        <v>0</v>
      </c>
      <c r="CI45" s="433">
        <f t="shared" si="4"/>
        <v>0</v>
      </c>
      <c r="CJ45" s="433">
        <f t="shared" si="5"/>
        <v>0</v>
      </c>
      <c r="CK45" s="433">
        <f t="shared" si="6"/>
        <v>0</v>
      </c>
      <c r="CL45" s="433">
        <f t="shared" si="7"/>
        <v>0</v>
      </c>
      <c r="CM45" s="433">
        <f t="shared" si="8"/>
        <v>0</v>
      </c>
      <c r="CN45" s="433">
        <f t="shared" si="9"/>
        <v>0</v>
      </c>
      <c r="CO45" s="433">
        <f t="shared" si="10"/>
        <v>0</v>
      </c>
      <c r="CP45" s="433">
        <f t="shared" si="11"/>
        <v>0</v>
      </c>
      <c r="CQ45" s="433">
        <f t="shared" si="12"/>
        <v>0</v>
      </c>
      <c r="CR45" s="433">
        <f t="shared" si="13"/>
        <v>0</v>
      </c>
      <c r="CS45" s="433">
        <f t="shared" si="14"/>
        <v>0</v>
      </c>
      <c r="CT45" s="21"/>
    </row>
    <row r="46" spans="3:98" ht="24.75" customHeight="1">
      <c r="C46" s="415" t="s">
        <v>174</v>
      </c>
      <c r="D46" s="427">
        <v>0</v>
      </c>
      <c r="E46" s="427">
        <v>0</v>
      </c>
      <c r="F46" s="427">
        <v>0</v>
      </c>
      <c r="G46" s="427">
        <v>0</v>
      </c>
      <c r="H46" s="427">
        <v>0</v>
      </c>
      <c r="I46" s="427">
        <v>0</v>
      </c>
      <c r="J46" s="427">
        <v>0</v>
      </c>
      <c r="K46" s="427">
        <v>0</v>
      </c>
      <c r="L46" s="427">
        <v>0</v>
      </c>
      <c r="M46" s="427">
        <v>0</v>
      </c>
      <c r="N46" s="427">
        <v>0</v>
      </c>
      <c r="O46" s="427">
        <v>0</v>
      </c>
      <c r="P46" s="427">
        <v>0</v>
      </c>
      <c r="Q46" s="427">
        <v>0</v>
      </c>
      <c r="R46" s="427">
        <v>0</v>
      </c>
      <c r="S46" s="427">
        <v>0</v>
      </c>
      <c r="T46" s="427">
        <v>0</v>
      </c>
      <c r="U46" s="427">
        <v>0</v>
      </c>
      <c r="V46" s="427">
        <v>0</v>
      </c>
      <c r="W46" s="427">
        <v>0</v>
      </c>
      <c r="X46" s="427">
        <v>0</v>
      </c>
      <c r="Y46" s="427">
        <v>0</v>
      </c>
      <c r="Z46" s="427">
        <v>0</v>
      </c>
      <c r="AA46" s="427">
        <v>0</v>
      </c>
      <c r="AB46" s="427">
        <v>0</v>
      </c>
      <c r="AC46" s="427">
        <v>0</v>
      </c>
      <c r="AD46" s="427">
        <v>0</v>
      </c>
      <c r="AE46" s="427">
        <v>0</v>
      </c>
      <c r="AF46" s="427">
        <v>0</v>
      </c>
      <c r="AG46" s="427">
        <v>0</v>
      </c>
      <c r="AH46" s="427">
        <v>0</v>
      </c>
      <c r="AI46" s="427">
        <v>0</v>
      </c>
      <c r="AJ46" s="427">
        <v>0</v>
      </c>
      <c r="AK46" s="427">
        <v>0</v>
      </c>
      <c r="AL46" s="427">
        <v>0</v>
      </c>
      <c r="AM46" s="427">
        <v>0</v>
      </c>
      <c r="AN46" s="427">
        <v>0</v>
      </c>
      <c r="AO46" s="427">
        <v>0</v>
      </c>
      <c r="AP46" s="427">
        <v>0</v>
      </c>
      <c r="AQ46" s="427">
        <v>0</v>
      </c>
      <c r="AR46" s="427">
        <v>0</v>
      </c>
      <c r="AS46" s="427">
        <v>0</v>
      </c>
      <c r="AT46" s="427">
        <v>0</v>
      </c>
      <c r="AU46" s="427">
        <v>0</v>
      </c>
      <c r="AV46" s="427">
        <v>0</v>
      </c>
      <c r="AW46" s="427">
        <v>0</v>
      </c>
      <c r="AX46" s="427">
        <v>0</v>
      </c>
      <c r="AY46" s="427">
        <v>0</v>
      </c>
      <c r="AZ46" s="427">
        <v>0</v>
      </c>
      <c r="BA46" s="427">
        <v>0</v>
      </c>
      <c r="BB46" s="427">
        <v>0</v>
      </c>
      <c r="BC46" s="427">
        <v>0</v>
      </c>
      <c r="BD46" s="427">
        <v>0</v>
      </c>
      <c r="BE46" s="427">
        <v>0</v>
      </c>
      <c r="BF46" s="427">
        <v>0</v>
      </c>
      <c r="BG46" s="427">
        <v>0</v>
      </c>
      <c r="BH46" s="427">
        <v>0</v>
      </c>
      <c r="BI46" s="427">
        <v>0</v>
      </c>
      <c r="BJ46" s="427">
        <v>0</v>
      </c>
      <c r="BK46" s="427">
        <v>0</v>
      </c>
      <c r="BL46" s="427">
        <v>0</v>
      </c>
      <c r="BM46" s="427">
        <v>0</v>
      </c>
      <c r="BN46" s="427">
        <v>0</v>
      </c>
      <c r="BO46" s="427">
        <v>0</v>
      </c>
      <c r="BP46" s="427">
        <v>0</v>
      </c>
      <c r="BQ46" s="427">
        <v>0</v>
      </c>
      <c r="BR46" s="427">
        <v>0</v>
      </c>
      <c r="BS46" s="427">
        <v>0</v>
      </c>
      <c r="BT46" s="427">
        <v>0</v>
      </c>
      <c r="BU46" s="427">
        <v>0</v>
      </c>
      <c r="BV46" s="427">
        <v>0</v>
      </c>
      <c r="BW46" s="427">
        <v>0</v>
      </c>
      <c r="BX46" s="427">
        <v>0</v>
      </c>
      <c r="BY46" s="427">
        <v>0</v>
      </c>
      <c r="BZ46" s="427">
        <v>0</v>
      </c>
      <c r="CC46" s="21"/>
      <c r="CD46" s="415" t="s">
        <v>174</v>
      </c>
      <c r="CE46" s="433">
        <f t="shared" si="0"/>
        <v>0</v>
      </c>
      <c r="CF46" s="433">
        <f t="shared" si="1"/>
        <v>0</v>
      </c>
      <c r="CG46" s="433">
        <f t="shared" si="2"/>
        <v>0</v>
      </c>
      <c r="CH46" s="433">
        <f t="shared" si="3"/>
        <v>0</v>
      </c>
      <c r="CI46" s="433">
        <f t="shared" si="4"/>
        <v>0</v>
      </c>
      <c r="CJ46" s="433">
        <f t="shared" si="5"/>
        <v>0</v>
      </c>
      <c r="CK46" s="433">
        <f t="shared" si="6"/>
        <v>0</v>
      </c>
      <c r="CL46" s="433">
        <f t="shared" si="7"/>
        <v>0</v>
      </c>
      <c r="CM46" s="433">
        <f t="shared" si="8"/>
        <v>0</v>
      </c>
      <c r="CN46" s="433">
        <f t="shared" si="9"/>
        <v>0</v>
      </c>
      <c r="CO46" s="433">
        <f t="shared" si="10"/>
        <v>0</v>
      </c>
      <c r="CP46" s="433">
        <f t="shared" si="11"/>
        <v>0</v>
      </c>
      <c r="CQ46" s="433">
        <f t="shared" si="12"/>
        <v>0</v>
      </c>
      <c r="CR46" s="433">
        <f t="shared" si="13"/>
        <v>0</v>
      </c>
      <c r="CS46" s="433">
        <f t="shared" si="14"/>
        <v>0</v>
      </c>
      <c r="CT46" s="21"/>
    </row>
    <row r="47" spans="3:98" ht="24.75" customHeight="1">
      <c r="C47" s="415" t="s">
        <v>175</v>
      </c>
      <c r="D47" s="427">
        <v>0</v>
      </c>
      <c r="E47" s="427">
        <v>0</v>
      </c>
      <c r="F47" s="427">
        <v>0</v>
      </c>
      <c r="G47" s="427">
        <v>0</v>
      </c>
      <c r="H47" s="427">
        <v>0</v>
      </c>
      <c r="I47" s="427">
        <v>0</v>
      </c>
      <c r="J47" s="427">
        <v>0</v>
      </c>
      <c r="K47" s="427">
        <v>0</v>
      </c>
      <c r="L47" s="427">
        <v>0</v>
      </c>
      <c r="M47" s="427">
        <v>0</v>
      </c>
      <c r="N47" s="427">
        <v>0</v>
      </c>
      <c r="O47" s="427">
        <v>0</v>
      </c>
      <c r="P47" s="427">
        <v>0</v>
      </c>
      <c r="Q47" s="427">
        <v>0</v>
      </c>
      <c r="R47" s="427">
        <v>0</v>
      </c>
      <c r="S47" s="427">
        <v>0</v>
      </c>
      <c r="T47" s="427">
        <v>0</v>
      </c>
      <c r="U47" s="427">
        <v>0</v>
      </c>
      <c r="V47" s="427">
        <v>0</v>
      </c>
      <c r="W47" s="427">
        <v>0</v>
      </c>
      <c r="X47" s="427">
        <v>0</v>
      </c>
      <c r="Y47" s="427">
        <v>0</v>
      </c>
      <c r="Z47" s="427">
        <v>0</v>
      </c>
      <c r="AA47" s="427">
        <v>0</v>
      </c>
      <c r="AB47" s="427">
        <v>0</v>
      </c>
      <c r="AC47" s="427">
        <v>0</v>
      </c>
      <c r="AD47" s="427">
        <v>0</v>
      </c>
      <c r="AE47" s="427">
        <v>0</v>
      </c>
      <c r="AF47" s="427">
        <v>0</v>
      </c>
      <c r="AG47" s="427">
        <v>0</v>
      </c>
      <c r="AH47" s="427">
        <v>0</v>
      </c>
      <c r="AI47" s="427">
        <v>0</v>
      </c>
      <c r="AJ47" s="427">
        <v>0</v>
      </c>
      <c r="AK47" s="427">
        <v>0</v>
      </c>
      <c r="AL47" s="427">
        <v>0</v>
      </c>
      <c r="AM47" s="427">
        <v>0</v>
      </c>
      <c r="AN47" s="427">
        <v>0</v>
      </c>
      <c r="AO47" s="427">
        <v>0</v>
      </c>
      <c r="AP47" s="427">
        <v>0</v>
      </c>
      <c r="AQ47" s="427">
        <v>0</v>
      </c>
      <c r="AR47" s="427">
        <v>0</v>
      </c>
      <c r="AS47" s="427">
        <v>0</v>
      </c>
      <c r="AT47" s="427">
        <v>0</v>
      </c>
      <c r="AU47" s="427">
        <v>0</v>
      </c>
      <c r="AV47" s="427">
        <v>0</v>
      </c>
      <c r="AW47" s="427">
        <v>0</v>
      </c>
      <c r="AX47" s="427">
        <v>0</v>
      </c>
      <c r="AY47" s="427">
        <v>0</v>
      </c>
      <c r="AZ47" s="427">
        <v>0</v>
      </c>
      <c r="BA47" s="427">
        <v>0</v>
      </c>
      <c r="BB47" s="427">
        <v>0</v>
      </c>
      <c r="BC47" s="427">
        <v>0</v>
      </c>
      <c r="BD47" s="427">
        <v>0</v>
      </c>
      <c r="BE47" s="427">
        <v>0</v>
      </c>
      <c r="BF47" s="427">
        <v>0.995</v>
      </c>
      <c r="BG47" s="427">
        <v>0</v>
      </c>
      <c r="BH47" s="427">
        <v>0</v>
      </c>
      <c r="BI47" s="427">
        <v>0</v>
      </c>
      <c r="BJ47" s="427">
        <v>0.71699999999999997</v>
      </c>
      <c r="BK47" s="427">
        <v>0.71699999999999997</v>
      </c>
      <c r="BL47" s="427">
        <v>3.7610000000000001</v>
      </c>
      <c r="BM47" s="427">
        <v>5.2089999999999996</v>
      </c>
      <c r="BN47" s="427">
        <v>3.46</v>
      </c>
      <c r="BO47" s="427">
        <v>2.9449999999999998</v>
      </c>
      <c r="BP47" s="427">
        <v>2.9449999999999998</v>
      </c>
      <c r="BQ47" s="427">
        <v>2.5649999999999999</v>
      </c>
      <c r="BR47" s="427">
        <v>11.128</v>
      </c>
      <c r="BS47" s="427">
        <v>183.154</v>
      </c>
      <c r="BT47" s="427">
        <v>18.837</v>
      </c>
      <c r="BU47" s="427">
        <v>18.837</v>
      </c>
      <c r="BV47" s="427">
        <v>31.881</v>
      </c>
      <c r="BW47" s="427">
        <v>15.265000000000001</v>
      </c>
      <c r="BX47" s="427">
        <v>19.532</v>
      </c>
      <c r="BY47" s="427">
        <v>0</v>
      </c>
      <c r="BZ47" s="427">
        <v>0</v>
      </c>
      <c r="CC47" s="21"/>
      <c r="CD47" s="415" t="s">
        <v>175</v>
      </c>
      <c r="CE47" s="433">
        <f t="shared" si="0"/>
        <v>0</v>
      </c>
      <c r="CF47" s="433">
        <f t="shared" si="1"/>
        <v>0</v>
      </c>
      <c r="CG47" s="433">
        <f t="shared" si="2"/>
        <v>0</v>
      </c>
      <c r="CH47" s="433">
        <f t="shared" si="3"/>
        <v>0</v>
      </c>
      <c r="CI47" s="433">
        <f t="shared" si="4"/>
        <v>0</v>
      </c>
      <c r="CJ47" s="433">
        <f t="shared" si="5"/>
        <v>0</v>
      </c>
      <c r="CK47" s="433">
        <f t="shared" si="6"/>
        <v>0</v>
      </c>
      <c r="CL47" s="433">
        <f t="shared" si="7"/>
        <v>0</v>
      </c>
      <c r="CM47" s="433">
        <f t="shared" si="8"/>
        <v>0</v>
      </c>
      <c r="CN47" s="433">
        <f t="shared" si="9"/>
        <v>0</v>
      </c>
      <c r="CO47" s="433">
        <f t="shared" si="10"/>
        <v>0.995</v>
      </c>
      <c r="CP47" s="433">
        <f t="shared" si="11"/>
        <v>0.71699999999999997</v>
      </c>
      <c r="CQ47" s="433">
        <f t="shared" si="12"/>
        <v>2.9449999999999998</v>
      </c>
      <c r="CR47" s="433">
        <f t="shared" si="13"/>
        <v>18.837</v>
      </c>
      <c r="CS47" s="433">
        <f t="shared" si="14"/>
        <v>0</v>
      </c>
      <c r="CT47" s="21"/>
    </row>
    <row r="48" spans="3:98" ht="24.75" customHeight="1">
      <c r="C48" s="435" t="s">
        <v>137</v>
      </c>
      <c r="D48" s="422">
        <v>0</v>
      </c>
      <c r="E48" s="422">
        <v>0</v>
      </c>
      <c r="F48" s="422">
        <v>0</v>
      </c>
      <c r="G48" s="422">
        <v>0</v>
      </c>
      <c r="H48" s="422">
        <v>0</v>
      </c>
      <c r="I48" s="422">
        <v>0</v>
      </c>
      <c r="J48" s="422">
        <v>0</v>
      </c>
      <c r="K48" s="422">
        <v>0</v>
      </c>
      <c r="L48" s="422">
        <v>0</v>
      </c>
      <c r="M48" s="422">
        <v>0</v>
      </c>
      <c r="N48" s="422">
        <v>0</v>
      </c>
      <c r="O48" s="422">
        <v>0</v>
      </c>
      <c r="P48" s="422">
        <v>0</v>
      </c>
      <c r="Q48" s="422">
        <v>0</v>
      </c>
      <c r="R48" s="422">
        <v>0</v>
      </c>
      <c r="S48" s="422">
        <v>0</v>
      </c>
      <c r="T48" s="422">
        <v>0</v>
      </c>
      <c r="U48" s="422">
        <v>0</v>
      </c>
      <c r="V48" s="422">
        <v>0</v>
      </c>
      <c r="W48" s="422">
        <v>0</v>
      </c>
      <c r="X48" s="422">
        <v>0</v>
      </c>
      <c r="Y48" s="422">
        <v>0</v>
      </c>
      <c r="Z48" s="422">
        <v>0</v>
      </c>
      <c r="AA48" s="422">
        <v>0</v>
      </c>
      <c r="AB48" s="422">
        <v>0</v>
      </c>
      <c r="AC48" s="422">
        <v>0</v>
      </c>
      <c r="AD48" s="422">
        <v>0</v>
      </c>
      <c r="AE48" s="422">
        <v>0</v>
      </c>
      <c r="AF48" s="422">
        <v>0</v>
      </c>
      <c r="AG48" s="422">
        <v>0</v>
      </c>
      <c r="AH48" s="422">
        <v>0</v>
      </c>
      <c r="AI48" s="422">
        <v>0</v>
      </c>
      <c r="AJ48" s="422">
        <v>0</v>
      </c>
      <c r="AK48" s="422">
        <v>0</v>
      </c>
      <c r="AL48" s="422">
        <v>0</v>
      </c>
      <c r="AM48" s="422">
        <v>0</v>
      </c>
      <c r="AN48" s="422">
        <v>0</v>
      </c>
      <c r="AO48" s="422">
        <v>0</v>
      </c>
      <c r="AP48" s="422">
        <v>0</v>
      </c>
      <c r="AQ48" s="422">
        <v>0</v>
      </c>
      <c r="AR48" s="422">
        <v>0</v>
      </c>
      <c r="AS48" s="422">
        <v>0</v>
      </c>
      <c r="AT48" s="422">
        <v>0</v>
      </c>
      <c r="AU48" s="422">
        <v>0</v>
      </c>
      <c r="AV48" s="422">
        <v>0</v>
      </c>
      <c r="AW48" s="422">
        <v>0</v>
      </c>
      <c r="AX48" s="422">
        <v>0</v>
      </c>
      <c r="AY48" s="422">
        <v>0</v>
      </c>
      <c r="AZ48" s="422">
        <v>0</v>
      </c>
      <c r="BA48" s="422">
        <v>0</v>
      </c>
      <c r="BB48" s="422">
        <v>0</v>
      </c>
      <c r="BC48" s="422">
        <v>0</v>
      </c>
      <c r="BD48" s="422">
        <v>0</v>
      </c>
      <c r="BE48" s="422">
        <v>0</v>
      </c>
      <c r="BF48" s="422">
        <v>1986.9459999999999</v>
      </c>
      <c r="BG48" s="422">
        <v>0</v>
      </c>
      <c r="BH48" s="422">
        <v>0</v>
      </c>
      <c r="BI48" s="422">
        <v>0</v>
      </c>
      <c r="BJ48" s="422">
        <v>5133.9480000000003</v>
      </c>
      <c r="BK48" s="422">
        <v>5133.9480000000003</v>
      </c>
      <c r="BL48" s="422">
        <v>8672.5429999999997</v>
      </c>
      <c r="BM48" s="422">
        <v>14238.055</v>
      </c>
      <c r="BN48" s="422">
        <v>15869.717000000001</v>
      </c>
      <c r="BO48" s="422">
        <v>18373.863000000001</v>
      </c>
      <c r="BP48" s="422">
        <v>18373.863000000001</v>
      </c>
      <c r="BQ48" s="422">
        <v>16940.651999999998</v>
      </c>
      <c r="BR48" s="422">
        <v>102162.25</v>
      </c>
      <c r="BS48" s="422">
        <v>107679.967</v>
      </c>
      <c r="BT48" s="422">
        <v>86448.214999999997</v>
      </c>
      <c r="BU48" s="422">
        <v>86448.214999999997</v>
      </c>
      <c r="BV48" s="422">
        <v>135843.94500000001</v>
      </c>
      <c r="BW48" s="422">
        <v>134261.97099999999</v>
      </c>
      <c r="BX48" s="422">
        <v>123919.22199999999</v>
      </c>
      <c r="BY48" s="422">
        <v>0</v>
      </c>
      <c r="BZ48" s="422">
        <v>0</v>
      </c>
      <c r="CC48" s="21"/>
      <c r="CD48" s="435" t="s">
        <v>137</v>
      </c>
      <c r="CE48" s="436">
        <f t="shared" si="0"/>
        <v>0</v>
      </c>
      <c r="CF48" s="436">
        <f t="shared" si="1"/>
        <v>0</v>
      </c>
      <c r="CG48" s="436">
        <f t="shared" si="2"/>
        <v>0</v>
      </c>
      <c r="CH48" s="436">
        <f t="shared" si="3"/>
        <v>0</v>
      </c>
      <c r="CI48" s="436">
        <f t="shared" si="4"/>
        <v>0</v>
      </c>
      <c r="CJ48" s="436">
        <f t="shared" si="5"/>
        <v>0</v>
      </c>
      <c r="CK48" s="436">
        <f t="shared" si="6"/>
        <v>0</v>
      </c>
      <c r="CL48" s="436">
        <f t="shared" si="7"/>
        <v>0</v>
      </c>
      <c r="CM48" s="436">
        <f t="shared" si="8"/>
        <v>0</v>
      </c>
      <c r="CN48" s="436">
        <f t="shared" si="9"/>
        <v>0</v>
      </c>
      <c r="CO48" s="436">
        <f t="shared" si="10"/>
        <v>1986.9459999999999</v>
      </c>
      <c r="CP48" s="436">
        <f t="shared" si="11"/>
        <v>5133.9480000000003</v>
      </c>
      <c r="CQ48" s="436">
        <f t="shared" si="12"/>
        <v>18373.863000000001</v>
      </c>
      <c r="CR48" s="436">
        <f t="shared" si="13"/>
        <v>86448.214999999997</v>
      </c>
      <c r="CS48" s="436">
        <f t="shared" si="14"/>
        <v>0</v>
      </c>
      <c r="CT48" s="21"/>
    </row>
    <row r="49" spans="3:98" ht="4.5" customHeight="1">
      <c r="D49" s="427">
        <v>0</v>
      </c>
      <c r="E49" s="427">
        <v>0</v>
      </c>
      <c r="F49" s="427">
        <v>0</v>
      </c>
      <c r="G49" s="427">
        <v>0</v>
      </c>
      <c r="H49" s="427">
        <v>0</v>
      </c>
      <c r="I49" s="427">
        <v>0</v>
      </c>
      <c r="J49" s="427">
        <v>0</v>
      </c>
      <c r="K49" s="427">
        <v>0</v>
      </c>
      <c r="L49" s="427">
        <v>0</v>
      </c>
      <c r="M49" s="427">
        <v>0</v>
      </c>
      <c r="N49" s="427">
        <v>0</v>
      </c>
      <c r="O49" s="427">
        <v>0</v>
      </c>
      <c r="P49" s="427">
        <v>0</v>
      </c>
      <c r="Q49" s="427">
        <v>0</v>
      </c>
      <c r="R49" s="427">
        <v>0</v>
      </c>
      <c r="S49" s="427">
        <v>0</v>
      </c>
      <c r="T49" s="427">
        <v>0</v>
      </c>
      <c r="U49" s="427">
        <v>0</v>
      </c>
      <c r="V49" s="427">
        <v>0</v>
      </c>
      <c r="W49" s="427">
        <v>0</v>
      </c>
      <c r="X49" s="427">
        <v>0</v>
      </c>
      <c r="Y49" s="427">
        <v>0</v>
      </c>
      <c r="Z49" s="427">
        <v>0</v>
      </c>
      <c r="AA49" s="427">
        <v>0</v>
      </c>
      <c r="AB49" s="427">
        <v>0</v>
      </c>
      <c r="AC49" s="427">
        <v>0</v>
      </c>
      <c r="AD49" s="427">
        <v>0</v>
      </c>
      <c r="AE49" s="427">
        <v>0</v>
      </c>
      <c r="AF49" s="427">
        <v>0</v>
      </c>
      <c r="AG49" s="427">
        <v>0</v>
      </c>
      <c r="AH49" s="427">
        <v>0</v>
      </c>
      <c r="AI49" s="427">
        <v>0</v>
      </c>
      <c r="AJ49" s="427">
        <v>0</v>
      </c>
      <c r="AK49" s="427">
        <v>0</v>
      </c>
      <c r="AL49" s="427">
        <v>0</v>
      </c>
      <c r="AM49" s="427">
        <v>0</v>
      </c>
      <c r="AN49" s="427">
        <v>0</v>
      </c>
      <c r="AO49" s="427">
        <v>0</v>
      </c>
      <c r="AP49" s="427">
        <v>0</v>
      </c>
      <c r="AQ49" s="427">
        <v>0</v>
      </c>
      <c r="AR49" s="427">
        <v>0</v>
      </c>
      <c r="AS49" s="427">
        <v>0</v>
      </c>
      <c r="AT49" s="427">
        <v>0</v>
      </c>
      <c r="AU49" s="427">
        <v>0</v>
      </c>
      <c r="AV49" s="427">
        <v>0</v>
      </c>
      <c r="AW49" s="427">
        <v>0</v>
      </c>
      <c r="AX49" s="427">
        <v>0</v>
      </c>
      <c r="AY49" s="427">
        <v>0</v>
      </c>
      <c r="AZ49" s="427">
        <v>0</v>
      </c>
      <c r="BA49" s="427">
        <v>0</v>
      </c>
      <c r="BB49" s="427">
        <v>0</v>
      </c>
      <c r="BC49" s="427">
        <v>0</v>
      </c>
      <c r="BD49" s="427">
        <v>0</v>
      </c>
      <c r="BE49" s="427">
        <v>0</v>
      </c>
      <c r="BF49" s="427">
        <v>0</v>
      </c>
      <c r="BG49" s="427">
        <v>0</v>
      </c>
      <c r="BH49" s="427">
        <v>0</v>
      </c>
      <c r="BI49" s="427">
        <v>0</v>
      </c>
      <c r="BJ49" s="427">
        <v>0</v>
      </c>
      <c r="BK49" s="427">
        <v>0</v>
      </c>
      <c r="BL49" s="427">
        <v>0</v>
      </c>
      <c r="BM49" s="427">
        <v>0</v>
      </c>
      <c r="BN49" s="427">
        <v>0</v>
      </c>
      <c r="BO49" s="427">
        <v>0</v>
      </c>
      <c r="BP49" s="427">
        <v>0</v>
      </c>
      <c r="BQ49" s="427">
        <v>0</v>
      </c>
      <c r="BR49" s="427">
        <v>0</v>
      </c>
      <c r="BS49" s="427">
        <v>0</v>
      </c>
      <c r="BT49" s="427">
        <v>0</v>
      </c>
      <c r="BU49" s="427">
        <v>0</v>
      </c>
      <c r="BV49" s="427">
        <v>0</v>
      </c>
      <c r="BW49" s="427">
        <v>0</v>
      </c>
      <c r="BX49" s="427">
        <v>0</v>
      </c>
      <c r="BY49" s="427">
        <v>0</v>
      </c>
      <c r="BZ49" s="427">
        <v>0</v>
      </c>
      <c r="CC49" s="21"/>
      <c r="CD49" s="58"/>
      <c r="CE49" s="433"/>
      <c r="CF49" s="433"/>
      <c r="CG49" s="433"/>
      <c r="CH49" s="433"/>
      <c r="CI49" s="433"/>
      <c r="CJ49" s="433"/>
      <c r="CK49" s="433"/>
      <c r="CL49" s="433"/>
      <c r="CM49" s="433"/>
      <c r="CN49" s="433"/>
      <c r="CO49" s="433"/>
      <c r="CP49" s="433"/>
      <c r="CQ49" s="433"/>
      <c r="CR49" s="433"/>
      <c r="CS49" s="433"/>
      <c r="CT49" s="21"/>
    </row>
    <row r="50" spans="3:98" ht="24.75" hidden="1" customHeight="1" outlineLevel="2">
      <c r="C50" s="437" t="s">
        <v>179</v>
      </c>
      <c r="D50" s="427">
        <v>0</v>
      </c>
      <c r="E50" s="427">
        <v>0</v>
      </c>
      <c r="F50" s="427">
        <v>0</v>
      </c>
      <c r="G50" s="427">
        <v>0</v>
      </c>
      <c r="H50" s="427">
        <v>0</v>
      </c>
      <c r="I50" s="427">
        <v>0</v>
      </c>
      <c r="J50" s="427">
        <v>0</v>
      </c>
      <c r="K50" s="427">
        <v>0</v>
      </c>
      <c r="L50" s="427">
        <v>0</v>
      </c>
      <c r="M50" s="427">
        <v>0</v>
      </c>
      <c r="N50" s="427">
        <v>0</v>
      </c>
      <c r="O50" s="427">
        <v>0</v>
      </c>
      <c r="P50" s="427">
        <v>0</v>
      </c>
      <c r="Q50" s="427">
        <v>0</v>
      </c>
      <c r="R50" s="427">
        <v>0</v>
      </c>
      <c r="S50" s="427">
        <v>0</v>
      </c>
      <c r="T50" s="427">
        <v>0</v>
      </c>
      <c r="U50" s="427">
        <v>0</v>
      </c>
      <c r="V50" s="427">
        <v>0</v>
      </c>
      <c r="W50" s="427">
        <v>0</v>
      </c>
      <c r="X50" s="427">
        <v>0</v>
      </c>
      <c r="Y50" s="427">
        <v>0</v>
      </c>
      <c r="Z50" s="427">
        <v>0</v>
      </c>
      <c r="AA50" s="427">
        <v>0</v>
      </c>
      <c r="AB50" s="427">
        <v>0</v>
      </c>
      <c r="AC50" s="427">
        <v>0</v>
      </c>
      <c r="AD50" s="427">
        <v>0</v>
      </c>
      <c r="AE50" s="427">
        <v>0</v>
      </c>
      <c r="AF50" s="427">
        <v>0</v>
      </c>
      <c r="AG50" s="427">
        <v>0</v>
      </c>
      <c r="AH50" s="427">
        <v>0</v>
      </c>
      <c r="AI50" s="427">
        <v>0</v>
      </c>
      <c r="AJ50" s="427">
        <v>0</v>
      </c>
      <c r="AK50" s="427">
        <v>0</v>
      </c>
      <c r="AL50" s="427">
        <v>0</v>
      </c>
      <c r="AM50" s="427">
        <v>0</v>
      </c>
      <c r="AN50" s="427">
        <v>0</v>
      </c>
      <c r="AO50" s="427">
        <v>0</v>
      </c>
      <c r="AP50" s="427">
        <v>0</v>
      </c>
      <c r="AQ50" s="427">
        <v>0</v>
      </c>
      <c r="AR50" s="427">
        <v>0</v>
      </c>
      <c r="AS50" s="427">
        <v>0</v>
      </c>
      <c r="AT50" s="427">
        <v>0</v>
      </c>
      <c r="AU50" s="427">
        <v>0</v>
      </c>
      <c r="AV50" s="427">
        <v>0</v>
      </c>
      <c r="AW50" s="427">
        <v>0</v>
      </c>
      <c r="AX50" s="427">
        <v>0</v>
      </c>
      <c r="AY50" s="427">
        <v>0</v>
      </c>
      <c r="AZ50" s="427">
        <v>0</v>
      </c>
      <c r="BA50" s="427">
        <v>0</v>
      </c>
      <c r="BB50" s="427">
        <v>0</v>
      </c>
      <c r="BC50" s="427">
        <v>0</v>
      </c>
      <c r="BD50" s="427">
        <v>0</v>
      </c>
      <c r="BE50" s="427">
        <v>0</v>
      </c>
      <c r="BF50" s="427">
        <v>0</v>
      </c>
      <c r="BG50" s="427">
        <v>0</v>
      </c>
      <c r="BH50" s="427">
        <v>0</v>
      </c>
      <c r="BI50" s="427">
        <v>0</v>
      </c>
      <c r="BJ50" s="427">
        <v>0</v>
      </c>
      <c r="BK50" s="427">
        <v>0</v>
      </c>
      <c r="BL50" s="427">
        <v>0</v>
      </c>
      <c r="BM50" s="427">
        <v>0</v>
      </c>
      <c r="BN50" s="427">
        <v>0</v>
      </c>
      <c r="BO50" s="427">
        <v>0</v>
      </c>
      <c r="BP50" s="427">
        <v>0</v>
      </c>
      <c r="BQ50" s="427">
        <v>0</v>
      </c>
      <c r="BR50" s="427">
        <v>0</v>
      </c>
      <c r="BS50" s="427">
        <v>0</v>
      </c>
      <c r="BT50" s="427">
        <v>0</v>
      </c>
      <c r="BU50" s="427">
        <v>0</v>
      </c>
      <c r="BV50" s="427">
        <v>0</v>
      </c>
      <c r="BW50" s="427">
        <v>0</v>
      </c>
      <c r="BX50" s="427">
        <v>0</v>
      </c>
      <c r="BY50" s="427">
        <v>0</v>
      </c>
      <c r="BZ50" s="427">
        <v>0</v>
      </c>
      <c r="CC50" s="21"/>
      <c r="CD50" s="437" t="s">
        <v>179</v>
      </c>
      <c r="CE50" s="433">
        <f t="shared" si="0"/>
        <v>0</v>
      </c>
      <c r="CF50" s="433">
        <f t="shared" si="1"/>
        <v>0</v>
      </c>
      <c r="CG50" s="433">
        <f t="shared" si="2"/>
        <v>0</v>
      </c>
      <c r="CH50" s="433">
        <f t="shared" si="3"/>
        <v>0</v>
      </c>
      <c r="CI50" s="433">
        <f t="shared" si="4"/>
        <v>0</v>
      </c>
      <c r="CJ50" s="433">
        <f t="shared" si="5"/>
        <v>0</v>
      </c>
      <c r="CK50" s="433">
        <f t="shared" si="6"/>
        <v>0</v>
      </c>
      <c r="CL50" s="433">
        <f t="shared" si="7"/>
        <v>0</v>
      </c>
      <c r="CM50" s="433">
        <f t="shared" si="8"/>
        <v>0</v>
      </c>
      <c r="CN50" s="433">
        <f t="shared" si="9"/>
        <v>0</v>
      </c>
      <c r="CO50" s="433">
        <f t="shared" si="10"/>
        <v>0</v>
      </c>
      <c r="CP50" s="433">
        <f t="shared" si="11"/>
        <v>0</v>
      </c>
      <c r="CQ50" s="433">
        <f t="shared" si="12"/>
        <v>0</v>
      </c>
      <c r="CR50" s="433">
        <f t="shared" si="13"/>
        <v>0</v>
      </c>
      <c r="CS50" s="433">
        <f t="shared" si="14"/>
        <v>0</v>
      </c>
      <c r="CT50" s="21"/>
    </row>
    <row r="51" spans="3:98" ht="24.75" hidden="1" customHeight="1" outlineLevel="2">
      <c r="C51" s="437" t="s">
        <v>180</v>
      </c>
      <c r="D51" s="427">
        <v>0</v>
      </c>
      <c r="E51" s="427">
        <v>0</v>
      </c>
      <c r="F51" s="427">
        <v>0</v>
      </c>
      <c r="G51" s="427">
        <v>0</v>
      </c>
      <c r="H51" s="427">
        <v>0</v>
      </c>
      <c r="I51" s="427">
        <v>0</v>
      </c>
      <c r="J51" s="427">
        <v>0</v>
      </c>
      <c r="K51" s="427">
        <v>0</v>
      </c>
      <c r="L51" s="427">
        <v>0</v>
      </c>
      <c r="M51" s="427">
        <v>0</v>
      </c>
      <c r="N51" s="427">
        <v>0</v>
      </c>
      <c r="O51" s="427">
        <v>0</v>
      </c>
      <c r="P51" s="427">
        <v>0</v>
      </c>
      <c r="Q51" s="427">
        <v>0</v>
      </c>
      <c r="R51" s="427">
        <v>0</v>
      </c>
      <c r="S51" s="427">
        <v>0</v>
      </c>
      <c r="T51" s="427">
        <v>0</v>
      </c>
      <c r="U51" s="427">
        <v>0</v>
      </c>
      <c r="V51" s="427">
        <v>0</v>
      </c>
      <c r="W51" s="427">
        <v>0</v>
      </c>
      <c r="X51" s="427">
        <v>0</v>
      </c>
      <c r="Y51" s="427">
        <v>0</v>
      </c>
      <c r="Z51" s="427">
        <v>0</v>
      </c>
      <c r="AA51" s="427">
        <v>0</v>
      </c>
      <c r="AB51" s="427">
        <v>0</v>
      </c>
      <c r="AC51" s="427">
        <v>0</v>
      </c>
      <c r="AD51" s="427">
        <v>0</v>
      </c>
      <c r="AE51" s="427">
        <v>0</v>
      </c>
      <c r="AF51" s="427">
        <v>0</v>
      </c>
      <c r="AG51" s="427">
        <v>0</v>
      </c>
      <c r="AH51" s="427">
        <v>0</v>
      </c>
      <c r="AI51" s="427">
        <v>0</v>
      </c>
      <c r="AJ51" s="427">
        <v>0</v>
      </c>
      <c r="AK51" s="427">
        <v>0</v>
      </c>
      <c r="AL51" s="427">
        <v>0</v>
      </c>
      <c r="AM51" s="427">
        <v>0</v>
      </c>
      <c r="AN51" s="427">
        <v>0</v>
      </c>
      <c r="AO51" s="427">
        <v>0</v>
      </c>
      <c r="AP51" s="427">
        <v>0</v>
      </c>
      <c r="AQ51" s="427">
        <v>0</v>
      </c>
      <c r="AR51" s="427">
        <v>0</v>
      </c>
      <c r="AS51" s="427">
        <v>0</v>
      </c>
      <c r="AT51" s="427">
        <v>0</v>
      </c>
      <c r="AU51" s="427">
        <v>0</v>
      </c>
      <c r="AV51" s="427">
        <v>0</v>
      </c>
      <c r="AW51" s="427">
        <v>0</v>
      </c>
      <c r="AX51" s="427">
        <v>0</v>
      </c>
      <c r="AY51" s="427">
        <v>0</v>
      </c>
      <c r="AZ51" s="427">
        <v>0</v>
      </c>
      <c r="BA51" s="427">
        <v>0</v>
      </c>
      <c r="BB51" s="427">
        <v>0</v>
      </c>
      <c r="BC51" s="427">
        <v>0</v>
      </c>
      <c r="BD51" s="427">
        <v>0</v>
      </c>
      <c r="BE51" s="427">
        <v>0</v>
      </c>
      <c r="BF51" s="427">
        <v>0</v>
      </c>
      <c r="BG51" s="427">
        <v>0</v>
      </c>
      <c r="BH51" s="427">
        <v>0</v>
      </c>
      <c r="BI51" s="427">
        <v>0</v>
      </c>
      <c r="BJ51" s="427">
        <v>0</v>
      </c>
      <c r="BK51" s="427">
        <v>0</v>
      </c>
      <c r="BL51" s="427">
        <v>0</v>
      </c>
      <c r="BM51" s="427">
        <v>0</v>
      </c>
      <c r="BN51" s="427">
        <v>0</v>
      </c>
      <c r="BO51" s="427">
        <v>0</v>
      </c>
      <c r="BP51" s="427">
        <v>0</v>
      </c>
      <c r="BQ51" s="427">
        <v>0</v>
      </c>
      <c r="BR51" s="427">
        <v>0</v>
      </c>
      <c r="BS51" s="427">
        <v>0</v>
      </c>
      <c r="BT51" s="427">
        <v>0</v>
      </c>
      <c r="BU51" s="427">
        <v>0</v>
      </c>
      <c r="BV51" s="427">
        <v>0</v>
      </c>
      <c r="BW51" s="427">
        <v>0</v>
      </c>
      <c r="BX51" s="427">
        <v>0</v>
      </c>
      <c r="BY51" s="427">
        <v>0</v>
      </c>
      <c r="BZ51" s="427">
        <v>0</v>
      </c>
      <c r="CC51" s="21"/>
      <c r="CD51" s="437" t="s">
        <v>180</v>
      </c>
      <c r="CE51" s="433">
        <f t="shared" si="0"/>
        <v>0</v>
      </c>
      <c r="CF51" s="433">
        <f t="shared" si="1"/>
        <v>0</v>
      </c>
      <c r="CG51" s="433">
        <f t="shared" si="2"/>
        <v>0</v>
      </c>
      <c r="CH51" s="433">
        <f t="shared" si="3"/>
        <v>0</v>
      </c>
      <c r="CI51" s="433">
        <f t="shared" si="4"/>
        <v>0</v>
      </c>
      <c r="CJ51" s="433">
        <f t="shared" si="5"/>
        <v>0</v>
      </c>
      <c r="CK51" s="433">
        <f t="shared" si="6"/>
        <v>0</v>
      </c>
      <c r="CL51" s="433">
        <f t="shared" si="7"/>
        <v>0</v>
      </c>
      <c r="CM51" s="433">
        <f t="shared" si="8"/>
        <v>0</v>
      </c>
      <c r="CN51" s="433">
        <f t="shared" si="9"/>
        <v>0</v>
      </c>
      <c r="CO51" s="433">
        <f t="shared" si="10"/>
        <v>0</v>
      </c>
      <c r="CP51" s="433">
        <f t="shared" si="11"/>
        <v>0</v>
      </c>
      <c r="CQ51" s="433">
        <f t="shared" si="12"/>
        <v>0</v>
      </c>
      <c r="CR51" s="433">
        <f t="shared" si="13"/>
        <v>0</v>
      </c>
      <c r="CS51" s="433">
        <f t="shared" si="14"/>
        <v>0</v>
      </c>
      <c r="CT51" s="21"/>
    </row>
    <row r="52" spans="3:98" ht="24.75" hidden="1" customHeight="1" outlineLevel="2">
      <c r="C52" s="437" t="s">
        <v>181</v>
      </c>
      <c r="D52" s="427">
        <v>0</v>
      </c>
      <c r="E52" s="427">
        <v>0</v>
      </c>
      <c r="F52" s="427">
        <v>0</v>
      </c>
      <c r="G52" s="427">
        <v>0</v>
      </c>
      <c r="H52" s="427">
        <v>0</v>
      </c>
      <c r="I52" s="427">
        <v>0</v>
      </c>
      <c r="J52" s="427">
        <v>0</v>
      </c>
      <c r="K52" s="427">
        <v>0</v>
      </c>
      <c r="L52" s="427">
        <v>0</v>
      </c>
      <c r="M52" s="427">
        <v>0</v>
      </c>
      <c r="N52" s="427">
        <v>0</v>
      </c>
      <c r="O52" s="427">
        <v>0</v>
      </c>
      <c r="P52" s="427">
        <v>0</v>
      </c>
      <c r="Q52" s="427">
        <v>0</v>
      </c>
      <c r="R52" s="427">
        <v>0</v>
      </c>
      <c r="S52" s="427">
        <v>0</v>
      </c>
      <c r="T52" s="427">
        <v>0</v>
      </c>
      <c r="U52" s="427">
        <v>0</v>
      </c>
      <c r="V52" s="427">
        <v>0</v>
      </c>
      <c r="W52" s="427">
        <v>0</v>
      </c>
      <c r="X52" s="427">
        <v>0</v>
      </c>
      <c r="Y52" s="427">
        <v>0</v>
      </c>
      <c r="Z52" s="427">
        <v>0</v>
      </c>
      <c r="AA52" s="427">
        <v>0</v>
      </c>
      <c r="AB52" s="427">
        <v>0</v>
      </c>
      <c r="AC52" s="427">
        <v>0</v>
      </c>
      <c r="AD52" s="427">
        <v>0</v>
      </c>
      <c r="AE52" s="427">
        <v>0</v>
      </c>
      <c r="AF52" s="427">
        <v>0</v>
      </c>
      <c r="AG52" s="427">
        <v>0</v>
      </c>
      <c r="AH52" s="427">
        <v>0</v>
      </c>
      <c r="AI52" s="427">
        <v>0</v>
      </c>
      <c r="AJ52" s="427">
        <v>0</v>
      </c>
      <c r="AK52" s="427">
        <v>0</v>
      </c>
      <c r="AL52" s="427">
        <v>0</v>
      </c>
      <c r="AM52" s="427">
        <v>0</v>
      </c>
      <c r="AN52" s="427">
        <v>0</v>
      </c>
      <c r="AO52" s="427">
        <v>0</v>
      </c>
      <c r="AP52" s="427">
        <v>0</v>
      </c>
      <c r="AQ52" s="427">
        <v>0</v>
      </c>
      <c r="AR52" s="427">
        <v>0</v>
      </c>
      <c r="AS52" s="427">
        <v>0</v>
      </c>
      <c r="AT52" s="427">
        <v>0</v>
      </c>
      <c r="AU52" s="427">
        <v>0</v>
      </c>
      <c r="AV52" s="427">
        <v>0</v>
      </c>
      <c r="AW52" s="427">
        <v>0</v>
      </c>
      <c r="AX52" s="427">
        <v>0</v>
      </c>
      <c r="AY52" s="427">
        <v>0</v>
      </c>
      <c r="AZ52" s="427">
        <v>0</v>
      </c>
      <c r="BA52" s="427">
        <v>0</v>
      </c>
      <c r="BB52" s="427">
        <v>0</v>
      </c>
      <c r="BC52" s="427">
        <v>0</v>
      </c>
      <c r="BD52" s="427">
        <v>0</v>
      </c>
      <c r="BE52" s="427">
        <v>0</v>
      </c>
      <c r="BF52" s="427">
        <v>32.402999999999999</v>
      </c>
      <c r="BG52" s="427">
        <v>0</v>
      </c>
      <c r="BH52" s="427">
        <v>0</v>
      </c>
      <c r="BI52" s="427">
        <v>0</v>
      </c>
      <c r="BJ52" s="427">
        <v>40.588999999999999</v>
      </c>
      <c r="BK52" s="427">
        <v>40.588999999999999</v>
      </c>
      <c r="BL52" s="427">
        <v>0</v>
      </c>
      <c r="BM52" s="427">
        <v>0</v>
      </c>
      <c r="BN52" s="427">
        <v>0</v>
      </c>
      <c r="BO52" s="427">
        <v>43.048000000000002</v>
      </c>
      <c r="BP52" s="427">
        <v>43.048000000000002</v>
      </c>
      <c r="BQ52" s="427">
        <v>0</v>
      </c>
      <c r="BR52" s="427">
        <v>0</v>
      </c>
      <c r="BS52" s="427">
        <v>0</v>
      </c>
      <c r="BT52" s="427">
        <v>45.098999999999997</v>
      </c>
      <c r="BU52" s="427">
        <v>45.098999999999997</v>
      </c>
      <c r="BV52" s="427">
        <v>0</v>
      </c>
      <c r="BW52" s="427">
        <v>0</v>
      </c>
      <c r="BX52" s="427">
        <v>0</v>
      </c>
      <c r="BY52" s="427">
        <v>0</v>
      </c>
      <c r="BZ52" s="427">
        <v>0</v>
      </c>
      <c r="CC52" s="21"/>
      <c r="CD52" s="437" t="s">
        <v>181</v>
      </c>
      <c r="CE52" s="433">
        <f t="shared" si="0"/>
        <v>0</v>
      </c>
      <c r="CF52" s="433">
        <f t="shared" si="1"/>
        <v>0</v>
      </c>
      <c r="CG52" s="433">
        <f t="shared" si="2"/>
        <v>0</v>
      </c>
      <c r="CH52" s="433">
        <f t="shared" si="3"/>
        <v>0</v>
      </c>
      <c r="CI52" s="433">
        <f t="shared" si="4"/>
        <v>0</v>
      </c>
      <c r="CJ52" s="433">
        <f t="shared" si="5"/>
        <v>0</v>
      </c>
      <c r="CK52" s="433">
        <f t="shared" si="6"/>
        <v>0</v>
      </c>
      <c r="CL52" s="433">
        <f t="shared" si="7"/>
        <v>0</v>
      </c>
      <c r="CM52" s="433">
        <f t="shared" si="8"/>
        <v>0</v>
      </c>
      <c r="CN52" s="433">
        <f t="shared" si="9"/>
        <v>0</v>
      </c>
      <c r="CO52" s="433">
        <f t="shared" si="10"/>
        <v>32.402999999999999</v>
      </c>
      <c r="CP52" s="433">
        <f t="shared" si="11"/>
        <v>40.588999999999999</v>
      </c>
      <c r="CQ52" s="433">
        <f t="shared" si="12"/>
        <v>43.048000000000002</v>
      </c>
      <c r="CR52" s="433">
        <f t="shared" si="13"/>
        <v>45.098999999999997</v>
      </c>
      <c r="CS52" s="433">
        <f t="shared" si="14"/>
        <v>0</v>
      </c>
      <c r="CT52" s="21"/>
    </row>
    <row r="53" spans="3:98" ht="24.75" hidden="1" customHeight="1" outlineLevel="2" collapsed="1">
      <c r="C53" s="437" t="s">
        <v>182</v>
      </c>
      <c r="D53" s="427">
        <v>0</v>
      </c>
      <c r="E53" s="427">
        <v>0</v>
      </c>
      <c r="F53" s="427">
        <v>0</v>
      </c>
      <c r="G53" s="427">
        <v>0</v>
      </c>
      <c r="H53" s="427">
        <v>0</v>
      </c>
      <c r="I53" s="427">
        <v>0</v>
      </c>
      <c r="J53" s="427">
        <v>0</v>
      </c>
      <c r="K53" s="427">
        <v>0</v>
      </c>
      <c r="L53" s="427">
        <v>0</v>
      </c>
      <c r="M53" s="427">
        <v>0</v>
      </c>
      <c r="N53" s="427">
        <v>0</v>
      </c>
      <c r="O53" s="427">
        <v>0</v>
      </c>
      <c r="P53" s="427">
        <v>0</v>
      </c>
      <c r="Q53" s="427">
        <v>0</v>
      </c>
      <c r="R53" s="427">
        <v>0</v>
      </c>
      <c r="S53" s="427">
        <v>0</v>
      </c>
      <c r="T53" s="427">
        <v>0</v>
      </c>
      <c r="U53" s="427">
        <v>0</v>
      </c>
      <c r="V53" s="427">
        <v>0</v>
      </c>
      <c r="W53" s="427">
        <v>0</v>
      </c>
      <c r="X53" s="427">
        <v>0</v>
      </c>
      <c r="Y53" s="427">
        <v>0</v>
      </c>
      <c r="Z53" s="427">
        <v>0</v>
      </c>
      <c r="AA53" s="427">
        <v>0</v>
      </c>
      <c r="AB53" s="427">
        <v>0</v>
      </c>
      <c r="AC53" s="427">
        <v>0</v>
      </c>
      <c r="AD53" s="427">
        <v>0</v>
      </c>
      <c r="AE53" s="427">
        <v>0</v>
      </c>
      <c r="AF53" s="427">
        <v>0</v>
      </c>
      <c r="AG53" s="427">
        <v>0</v>
      </c>
      <c r="AH53" s="427">
        <v>0</v>
      </c>
      <c r="AI53" s="427">
        <v>0</v>
      </c>
      <c r="AJ53" s="427">
        <v>0</v>
      </c>
      <c r="AK53" s="427">
        <v>0</v>
      </c>
      <c r="AL53" s="427">
        <v>0</v>
      </c>
      <c r="AM53" s="427">
        <v>0</v>
      </c>
      <c r="AN53" s="427">
        <v>0</v>
      </c>
      <c r="AO53" s="427">
        <v>0</v>
      </c>
      <c r="AP53" s="427">
        <v>0</v>
      </c>
      <c r="AQ53" s="427">
        <v>0</v>
      </c>
      <c r="AR53" s="427">
        <v>0</v>
      </c>
      <c r="AS53" s="427">
        <v>0</v>
      </c>
      <c r="AT53" s="427">
        <v>0</v>
      </c>
      <c r="AU53" s="427">
        <v>0</v>
      </c>
      <c r="AV53" s="427">
        <v>0</v>
      </c>
      <c r="AW53" s="427">
        <v>0</v>
      </c>
      <c r="AX53" s="427">
        <v>0</v>
      </c>
      <c r="AY53" s="427">
        <v>0</v>
      </c>
      <c r="AZ53" s="427">
        <v>0</v>
      </c>
      <c r="BA53" s="427">
        <v>0</v>
      </c>
      <c r="BB53" s="427">
        <v>0</v>
      </c>
      <c r="BC53" s="427">
        <v>0</v>
      </c>
      <c r="BD53" s="427">
        <v>0</v>
      </c>
      <c r="BE53" s="427">
        <v>0</v>
      </c>
      <c r="BF53" s="427">
        <v>0</v>
      </c>
      <c r="BG53" s="427">
        <v>0</v>
      </c>
      <c r="BH53" s="427">
        <v>0</v>
      </c>
      <c r="BI53" s="427">
        <v>0</v>
      </c>
      <c r="BJ53" s="427">
        <v>0</v>
      </c>
      <c r="BK53" s="427">
        <v>0</v>
      </c>
      <c r="BL53" s="427">
        <v>0</v>
      </c>
      <c r="BM53" s="427">
        <v>0</v>
      </c>
      <c r="BN53" s="427">
        <v>0</v>
      </c>
      <c r="BO53" s="427">
        <v>0</v>
      </c>
      <c r="BP53" s="427">
        <v>0</v>
      </c>
      <c r="BQ53" s="427">
        <v>0</v>
      </c>
      <c r="BR53" s="427">
        <v>0</v>
      </c>
      <c r="BS53" s="427">
        <v>0</v>
      </c>
      <c r="BT53" s="427">
        <v>0</v>
      </c>
      <c r="BU53" s="427">
        <v>0</v>
      </c>
      <c r="BV53" s="427">
        <v>0</v>
      </c>
      <c r="BW53" s="427">
        <v>0</v>
      </c>
      <c r="BX53" s="427">
        <v>0</v>
      </c>
      <c r="BY53" s="427">
        <v>0</v>
      </c>
      <c r="BZ53" s="427">
        <v>0</v>
      </c>
      <c r="CC53" s="21"/>
      <c r="CD53" s="437" t="s">
        <v>182</v>
      </c>
      <c r="CE53" s="433">
        <f t="shared" si="0"/>
        <v>0</v>
      </c>
      <c r="CF53" s="433">
        <f t="shared" si="1"/>
        <v>0</v>
      </c>
      <c r="CG53" s="433">
        <f t="shared" si="2"/>
        <v>0</v>
      </c>
      <c r="CH53" s="433">
        <f t="shared" si="3"/>
        <v>0</v>
      </c>
      <c r="CI53" s="433">
        <f t="shared" si="4"/>
        <v>0</v>
      </c>
      <c r="CJ53" s="433">
        <f t="shared" si="5"/>
        <v>0</v>
      </c>
      <c r="CK53" s="433">
        <f t="shared" si="6"/>
        <v>0</v>
      </c>
      <c r="CL53" s="433">
        <f t="shared" si="7"/>
        <v>0</v>
      </c>
      <c r="CM53" s="433">
        <f t="shared" si="8"/>
        <v>0</v>
      </c>
      <c r="CN53" s="433">
        <f t="shared" si="9"/>
        <v>0</v>
      </c>
      <c r="CO53" s="433">
        <f t="shared" si="10"/>
        <v>0</v>
      </c>
      <c r="CP53" s="433">
        <f t="shared" si="11"/>
        <v>0</v>
      </c>
      <c r="CQ53" s="433">
        <f t="shared" si="12"/>
        <v>0</v>
      </c>
      <c r="CR53" s="433">
        <f t="shared" si="13"/>
        <v>0</v>
      </c>
      <c r="CS53" s="433">
        <f t="shared" si="14"/>
        <v>0</v>
      </c>
      <c r="CT53" s="21"/>
    </row>
    <row r="54" spans="3:98" ht="24.75" hidden="1" customHeight="1" outlineLevel="1">
      <c r="C54" s="426" t="s">
        <v>178</v>
      </c>
      <c r="D54" s="427">
        <v>0</v>
      </c>
      <c r="E54" s="427">
        <v>0</v>
      </c>
      <c r="F54" s="427">
        <v>0</v>
      </c>
      <c r="G54" s="427">
        <v>0</v>
      </c>
      <c r="H54" s="427">
        <v>0</v>
      </c>
      <c r="I54" s="427">
        <v>0</v>
      </c>
      <c r="J54" s="427">
        <v>0</v>
      </c>
      <c r="K54" s="427">
        <v>0</v>
      </c>
      <c r="L54" s="427">
        <v>0</v>
      </c>
      <c r="M54" s="427">
        <v>0</v>
      </c>
      <c r="N54" s="427">
        <v>0</v>
      </c>
      <c r="O54" s="427">
        <v>0</v>
      </c>
      <c r="P54" s="427">
        <v>0</v>
      </c>
      <c r="Q54" s="427">
        <v>0</v>
      </c>
      <c r="R54" s="427">
        <v>0</v>
      </c>
      <c r="S54" s="427">
        <v>0</v>
      </c>
      <c r="T54" s="427">
        <v>0</v>
      </c>
      <c r="U54" s="427">
        <v>0</v>
      </c>
      <c r="V54" s="427">
        <v>0</v>
      </c>
      <c r="W54" s="427">
        <v>0</v>
      </c>
      <c r="X54" s="427">
        <v>0</v>
      </c>
      <c r="Y54" s="427">
        <v>0</v>
      </c>
      <c r="Z54" s="427">
        <v>0</v>
      </c>
      <c r="AA54" s="427">
        <v>0</v>
      </c>
      <c r="AB54" s="427">
        <v>0</v>
      </c>
      <c r="AC54" s="427">
        <v>0</v>
      </c>
      <c r="AD54" s="427">
        <v>0</v>
      </c>
      <c r="AE54" s="427">
        <v>0</v>
      </c>
      <c r="AF54" s="427">
        <v>0</v>
      </c>
      <c r="AG54" s="427">
        <v>0</v>
      </c>
      <c r="AH54" s="427">
        <v>0</v>
      </c>
      <c r="AI54" s="427">
        <v>0</v>
      </c>
      <c r="AJ54" s="427">
        <v>0</v>
      </c>
      <c r="AK54" s="427">
        <v>0</v>
      </c>
      <c r="AL54" s="427">
        <v>0</v>
      </c>
      <c r="AM54" s="427">
        <v>0</v>
      </c>
      <c r="AN54" s="427">
        <v>0</v>
      </c>
      <c r="AO54" s="427">
        <v>0</v>
      </c>
      <c r="AP54" s="427">
        <v>0</v>
      </c>
      <c r="AQ54" s="427">
        <v>0</v>
      </c>
      <c r="AR54" s="427">
        <v>0</v>
      </c>
      <c r="AS54" s="427">
        <v>0</v>
      </c>
      <c r="AT54" s="427">
        <v>0</v>
      </c>
      <c r="AU54" s="427">
        <v>0</v>
      </c>
      <c r="AV54" s="427">
        <v>0</v>
      </c>
      <c r="AW54" s="427">
        <v>0</v>
      </c>
      <c r="AX54" s="427">
        <v>0</v>
      </c>
      <c r="AY54" s="427">
        <v>0</v>
      </c>
      <c r="AZ54" s="427">
        <v>0</v>
      </c>
      <c r="BA54" s="427">
        <v>0</v>
      </c>
      <c r="BB54" s="427">
        <v>0</v>
      </c>
      <c r="BC54" s="427">
        <v>0</v>
      </c>
      <c r="BD54" s="427">
        <v>0</v>
      </c>
      <c r="BE54" s="427">
        <v>0</v>
      </c>
      <c r="BF54" s="427">
        <v>32.402999999999999</v>
      </c>
      <c r="BG54" s="427">
        <v>0</v>
      </c>
      <c r="BH54" s="427">
        <v>0</v>
      </c>
      <c r="BI54" s="427">
        <v>0</v>
      </c>
      <c r="BJ54" s="427">
        <v>40.588999999999999</v>
      </c>
      <c r="BK54" s="427">
        <v>40.588999999999999</v>
      </c>
      <c r="BL54" s="427">
        <v>0</v>
      </c>
      <c r="BM54" s="427">
        <v>0</v>
      </c>
      <c r="BN54" s="427">
        <v>0</v>
      </c>
      <c r="BO54" s="427">
        <v>43.048000000000002</v>
      </c>
      <c r="BP54" s="427">
        <v>43.048000000000002</v>
      </c>
      <c r="BQ54" s="427">
        <v>0</v>
      </c>
      <c r="BR54" s="427">
        <v>0</v>
      </c>
      <c r="BS54" s="427">
        <v>0</v>
      </c>
      <c r="BT54" s="427">
        <v>45.098999999999997</v>
      </c>
      <c r="BU54" s="427">
        <v>45.098999999999997</v>
      </c>
      <c r="BV54" s="427">
        <v>0</v>
      </c>
      <c r="BW54" s="427">
        <v>0</v>
      </c>
      <c r="BX54" s="427">
        <v>0</v>
      </c>
      <c r="BY54" s="427">
        <v>0</v>
      </c>
      <c r="BZ54" s="427">
        <v>0</v>
      </c>
      <c r="CC54" s="21"/>
      <c r="CD54" s="426" t="s">
        <v>178</v>
      </c>
      <c r="CE54" s="433">
        <f t="shared" si="0"/>
        <v>0</v>
      </c>
      <c r="CF54" s="433">
        <f t="shared" si="1"/>
        <v>0</v>
      </c>
      <c r="CG54" s="433">
        <f t="shared" si="2"/>
        <v>0</v>
      </c>
      <c r="CH54" s="433">
        <f t="shared" si="3"/>
        <v>0</v>
      </c>
      <c r="CI54" s="433">
        <f t="shared" si="4"/>
        <v>0</v>
      </c>
      <c r="CJ54" s="433">
        <f t="shared" si="5"/>
        <v>0</v>
      </c>
      <c r="CK54" s="433">
        <f t="shared" si="6"/>
        <v>0</v>
      </c>
      <c r="CL54" s="433">
        <f t="shared" si="7"/>
        <v>0</v>
      </c>
      <c r="CM54" s="433">
        <f t="shared" si="8"/>
        <v>0</v>
      </c>
      <c r="CN54" s="433">
        <f t="shared" si="9"/>
        <v>0</v>
      </c>
      <c r="CO54" s="433">
        <f t="shared" si="10"/>
        <v>32.402999999999999</v>
      </c>
      <c r="CP54" s="433">
        <f t="shared" si="11"/>
        <v>40.588999999999999</v>
      </c>
      <c r="CQ54" s="433">
        <f t="shared" si="12"/>
        <v>43.048000000000002</v>
      </c>
      <c r="CR54" s="433">
        <f t="shared" si="13"/>
        <v>45.098999999999997</v>
      </c>
      <c r="CS54" s="433">
        <f t="shared" si="14"/>
        <v>0</v>
      </c>
      <c r="CT54" s="21"/>
    </row>
    <row r="55" spans="3:98" ht="24.75" hidden="1" customHeight="1" outlineLevel="2">
      <c r="C55" s="437" t="s">
        <v>184</v>
      </c>
      <c r="D55" s="427">
        <v>0</v>
      </c>
      <c r="E55" s="427">
        <v>0</v>
      </c>
      <c r="F55" s="427">
        <v>0</v>
      </c>
      <c r="G55" s="427">
        <v>0</v>
      </c>
      <c r="H55" s="427">
        <v>0</v>
      </c>
      <c r="I55" s="427">
        <v>0</v>
      </c>
      <c r="J55" s="427">
        <v>0</v>
      </c>
      <c r="K55" s="427">
        <v>0</v>
      </c>
      <c r="L55" s="427">
        <v>0</v>
      </c>
      <c r="M55" s="427">
        <v>0</v>
      </c>
      <c r="N55" s="427">
        <v>0</v>
      </c>
      <c r="O55" s="427">
        <v>0</v>
      </c>
      <c r="P55" s="427">
        <v>0</v>
      </c>
      <c r="Q55" s="427">
        <v>0</v>
      </c>
      <c r="R55" s="427">
        <v>0</v>
      </c>
      <c r="S55" s="427">
        <v>0</v>
      </c>
      <c r="T55" s="427">
        <v>0</v>
      </c>
      <c r="U55" s="427">
        <v>0</v>
      </c>
      <c r="V55" s="427">
        <v>0</v>
      </c>
      <c r="W55" s="427">
        <v>0</v>
      </c>
      <c r="X55" s="427">
        <v>0</v>
      </c>
      <c r="Y55" s="427">
        <v>0</v>
      </c>
      <c r="Z55" s="427">
        <v>0</v>
      </c>
      <c r="AA55" s="427">
        <v>0</v>
      </c>
      <c r="AB55" s="427">
        <v>0</v>
      </c>
      <c r="AC55" s="427">
        <v>0</v>
      </c>
      <c r="AD55" s="427">
        <v>0</v>
      </c>
      <c r="AE55" s="427">
        <v>0</v>
      </c>
      <c r="AF55" s="427">
        <v>0</v>
      </c>
      <c r="AG55" s="427">
        <v>0</v>
      </c>
      <c r="AH55" s="427">
        <v>0</v>
      </c>
      <c r="AI55" s="427">
        <v>0</v>
      </c>
      <c r="AJ55" s="427">
        <v>0</v>
      </c>
      <c r="AK55" s="427">
        <v>0</v>
      </c>
      <c r="AL55" s="427">
        <v>0</v>
      </c>
      <c r="AM55" s="427">
        <v>0</v>
      </c>
      <c r="AN55" s="427">
        <v>0</v>
      </c>
      <c r="AO55" s="427">
        <v>0</v>
      </c>
      <c r="AP55" s="427">
        <v>0</v>
      </c>
      <c r="AQ55" s="427">
        <v>0</v>
      </c>
      <c r="AR55" s="427">
        <v>0</v>
      </c>
      <c r="AS55" s="427">
        <v>0</v>
      </c>
      <c r="AT55" s="427">
        <v>0</v>
      </c>
      <c r="AU55" s="427">
        <v>0</v>
      </c>
      <c r="AV55" s="427">
        <v>0</v>
      </c>
      <c r="AW55" s="427">
        <v>0</v>
      </c>
      <c r="AX55" s="427">
        <v>0</v>
      </c>
      <c r="AY55" s="427">
        <v>0</v>
      </c>
      <c r="AZ55" s="427">
        <v>0</v>
      </c>
      <c r="BA55" s="427">
        <v>0</v>
      </c>
      <c r="BB55" s="427">
        <v>0</v>
      </c>
      <c r="BC55" s="427">
        <v>0</v>
      </c>
      <c r="BD55" s="427">
        <v>0</v>
      </c>
      <c r="BE55" s="427">
        <v>0</v>
      </c>
      <c r="BF55" s="427">
        <v>0</v>
      </c>
      <c r="BG55" s="427">
        <v>0</v>
      </c>
      <c r="BH55" s="427">
        <v>0</v>
      </c>
      <c r="BI55" s="427">
        <v>0</v>
      </c>
      <c r="BJ55" s="427">
        <v>0</v>
      </c>
      <c r="BK55" s="427">
        <v>0</v>
      </c>
      <c r="BL55" s="427">
        <v>0</v>
      </c>
      <c r="BM55" s="427">
        <v>0</v>
      </c>
      <c r="BN55" s="427">
        <v>0</v>
      </c>
      <c r="BO55" s="427">
        <v>0</v>
      </c>
      <c r="BP55" s="427">
        <v>0</v>
      </c>
      <c r="BQ55" s="427">
        <v>0</v>
      </c>
      <c r="BR55" s="427">
        <v>0</v>
      </c>
      <c r="BS55" s="427">
        <v>0</v>
      </c>
      <c r="BT55" s="427">
        <v>0</v>
      </c>
      <c r="BU55" s="427">
        <v>0</v>
      </c>
      <c r="BV55" s="427">
        <v>0</v>
      </c>
      <c r="BW55" s="427">
        <v>0</v>
      </c>
      <c r="BX55" s="427">
        <v>0</v>
      </c>
      <c r="BY55" s="427">
        <v>0</v>
      </c>
      <c r="BZ55" s="427">
        <v>0</v>
      </c>
      <c r="CC55" s="21"/>
      <c r="CD55" s="437" t="s">
        <v>184</v>
      </c>
      <c r="CE55" s="433">
        <f t="shared" si="0"/>
        <v>0</v>
      </c>
      <c r="CF55" s="433">
        <f t="shared" si="1"/>
        <v>0</v>
      </c>
      <c r="CG55" s="433">
        <f t="shared" si="2"/>
        <v>0</v>
      </c>
      <c r="CH55" s="433">
        <f t="shared" si="3"/>
        <v>0</v>
      </c>
      <c r="CI55" s="433">
        <f t="shared" si="4"/>
        <v>0</v>
      </c>
      <c r="CJ55" s="433">
        <f t="shared" si="5"/>
        <v>0</v>
      </c>
      <c r="CK55" s="433">
        <f t="shared" si="6"/>
        <v>0</v>
      </c>
      <c r="CL55" s="433">
        <f t="shared" si="7"/>
        <v>0</v>
      </c>
      <c r="CM55" s="433">
        <f t="shared" si="8"/>
        <v>0</v>
      </c>
      <c r="CN55" s="433">
        <f t="shared" si="9"/>
        <v>0</v>
      </c>
      <c r="CO55" s="433">
        <f t="shared" si="10"/>
        <v>0</v>
      </c>
      <c r="CP55" s="433">
        <f t="shared" si="11"/>
        <v>0</v>
      </c>
      <c r="CQ55" s="433">
        <f t="shared" si="12"/>
        <v>0</v>
      </c>
      <c r="CR55" s="433">
        <f t="shared" si="13"/>
        <v>0</v>
      </c>
      <c r="CS55" s="433">
        <f t="shared" si="14"/>
        <v>0</v>
      </c>
      <c r="CT55" s="21"/>
    </row>
    <row r="56" spans="3:98" ht="24.75" hidden="1" customHeight="1" outlineLevel="2">
      <c r="C56" s="437" t="s">
        <v>185</v>
      </c>
      <c r="D56" s="427">
        <v>0</v>
      </c>
      <c r="E56" s="427">
        <v>0</v>
      </c>
      <c r="F56" s="427">
        <v>0</v>
      </c>
      <c r="G56" s="427">
        <v>0</v>
      </c>
      <c r="H56" s="427">
        <v>0</v>
      </c>
      <c r="I56" s="427">
        <v>0</v>
      </c>
      <c r="J56" s="427">
        <v>0</v>
      </c>
      <c r="K56" s="427">
        <v>0</v>
      </c>
      <c r="L56" s="427">
        <v>0</v>
      </c>
      <c r="M56" s="427">
        <v>0</v>
      </c>
      <c r="N56" s="427">
        <v>0</v>
      </c>
      <c r="O56" s="427">
        <v>0</v>
      </c>
      <c r="P56" s="427">
        <v>0</v>
      </c>
      <c r="Q56" s="427">
        <v>0</v>
      </c>
      <c r="R56" s="427">
        <v>0</v>
      </c>
      <c r="S56" s="427">
        <v>0</v>
      </c>
      <c r="T56" s="427">
        <v>0</v>
      </c>
      <c r="U56" s="427">
        <v>0</v>
      </c>
      <c r="V56" s="427">
        <v>0</v>
      </c>
      <c r="W56" s="427">
        <v>0</v>
      </c>
      <c r="X56" s="427">
        <v>0</v>
      </c>
      <c r="Y56" s="427">
        <v>0</v>
      </c>
      <c r="Z56" s="427">
        <v>0</v>
      </c>
      <c r="AA56" s="427">
        <v>0</v>
      </c>
      <c r="AB56" s="427">
        <v>0</v>
      </c>
      <c r="AC56" s="427">
        <v>0</v>
      </c>
      <c r="AD56" s="427">
        <v>0</v>
      </c>
      <c r="AE56" s="427">
        <v>0</v>
      </c>
      <c r="AF56" s="427">
        <v>0</v>
      </c>
      <c r="AG56" s="427">
        <v>0</v>
      </c>
      <c r="AH56" s="427">
        <v>0</v>
      </c>
      <c r="AI56" s="427">
        <v>0</v>
      </c>
      <c r="AJ56" s="427">
        <v>0</v>
      </c>
      <c r="AK56" s="427">
        <v>0</v>
      </c>
      <c r="AL56" s="427">
        <v>0</v>
      </c>
      <c r="AM56" s="427">
        <v>0</v>
      </c>
      <c r="AN56" s="427">
        <v>0</v>
      </c>
      <c r="AO56" s="427">
        <v>0</v>
      </c>
      <c r="AP56" s="427">
        <v>0</v>
      </c>
      <c r="AQ56" s="427">
        <v>0</v>
      </c>
      <c r="AR56" s="427">
        <v>0</v>
      </c>
      <c r="AS56" s="427">
        <v>0</v>
      </c>
      <c r="AT56" s="427">
        <v>0</v>
      </c>
      <c r="AU56" s="427">
        <v>0</v>
      </c>
      <c r="AV56" s="427">
        <v>0</v>
      </c>
      <c r="AW56" s="427">
        <v>0</v>
      </c>
      <c r="AX56" s="427">
        <v>0</v>
      </c>
      <c r="AY56" s="427">
        <v>0</v>
      </c>
      <c r="AZ56" s="427">
        <v>0</v>
      </c>
      <c r="BA56" s="427">
        <v>0</v>
      </c>
      <c r="BB56" s="427">
        <v>0</v>
      </c>
      <c r="BC56" s="427">
        <v>0</v>
      </c>
      <c r="BD56" s="427">
        <v>0</v>
      </c>
      <c r="BE56" s="427">
        <v>0</v>
      </c>
      <c r="BF56" s="427">
        <v>17.408999999999999</v>
      </c>
      <c r="BG56" s="427">
        <v>0</v>
      </c>
      <c r="BH56" s="427">
        <v>0</v>
      </c>
      <c r="BI56" s="427">
        <v>0</v>
      </c>
      <c r="BJ56" s="427">
        <v>32.790999999999997</v>
      </c>
      <c r="BK56" s="427">
        <v>32.790999999999997</v>
      </c>
      <c r="BL56" s="427">
        <v>0</v>
      </c>
      <c r="BM56" s="427">
        <v>0</v>
      </c>
      <c r="BN56" s="427">
        <v>0</v>
      </c>
      <c r="BO56" s="427">
        <v>57.893000000000001</v>
      </c>
      <c r="BP56" s="427">
        <v>57.893000000000001</v>
      </c>
      <c r="BQ56" s="427">
        <v>0</v>
      </c>
      <c r="BR56" s="427">
        <v>0</v>
      </c>
      <c r="BS56" s="427">
        <v>0</v>
      </c>
      <c r="BT56" s="427">
        <v>211.60599999999999</v>
      </c>
      <c r="BU56" s="427">
        <v>211.60599999999999</v>
      </c>
      <c r="BV56" s="427">
        <v>0</v>
      </c>
      <c r="BW56" s="427">
        <v>0</v>
      </c>
      <c r="BX56" s="427">
        <v>0</v>
      </c>
      <c r="BY56" s="427">
        <v>0</v>
      </c>
      <c r="BZ56" s="427">
        <v>0</v>
      </c>
      <c r="CC56" s="21"/>
      <c r="CD56" s="437" t="s">
        <v>185</v>
      </c>
      <c r="CE56" s="433">
        <f t="shared" si="0"/>
        <v>0</v>
      </c>
      <c r="CF56" s="433">
        <f t="shared" si="1"/>
        <v>0</v>
      </c>
      <c r="CG56" s="433">
        <f t="shared" si="2"/>
        <v>0</v>
      </c>
      <c r="CH56" s="433">
        <f t="shared" si="3"/>
        <v>0</v>
      </c>
      <c r="CI56" s="433">
        <f t="shared" si="4"/>
        <v>0</v>
      </c>
      <c r="CJ56" s="433">
        <f t="shared" si="5"/>
        <v>0</v>
      </c>
      <c r="CK56" s="433">
        <f t="shared" si="6"/>
        <v>0</v>
      </c>
      <c r="CL56" s="433">
        <f t="shared" si="7"/>
        <v>0</v>
      </c>
      <c r="CM56" s="433">
        <f t="shared" si="8"/>
        <v>0</v>
      </c>
      <c r="CN56" s="433">
        <f t="shared" si="9"/>
        <v>0</v>
      </c>
      <c r="CO56" s="433">
        <f t="shared" si="10"/>
        <v>17.408999999999999</v>
      </c>
      <c r="CP56" s="433">
        <f t="shared" si="11"/>
        <v>32.790999999999997</v>
      </c>
      <c r="CQ56" s="433">
        <f t="shared" si="12"/>
        <v>57.893000000000001</v>
      </c>
      <c r="CR56" s="433">
        <f t="shared" si="13"/>
        <v>211.60599999999999</v>
      </c>
      <c r="CS56" s="433">
        <f t="shared" si="14"/>
        <v>0</v>
      </c>
      <c r="CT56" s="21"/>
    </row>
    <row r="57" spans="3:98" ht="24.75" hidden="1" customHeight="1" outlineLevel="2">
      <c r="C57" s="437" t="s">
        <v>186</v>
      </c>
      <c r="D57" s="427">
        <v>0</v>
      </c>
      <c r="E57" s="427">
        <v>0</v>
      </c>
      <c r="F57" s="427">
        <v>0</v>
      </c>
      <c r="G57" s="427">
        <v>0</v>
      </c>
      <c r="H57" s="427">
        <v>0</v>
      </c>
      <c r="I57" s="427">
        <v>0</v>
      </c>
      <c r="J57" s="427">
        <v>0</v>
      </c>
      <c r="K57" s="427">
        <v>0</v>
      </c>
      <c r="L57" s="427">
        <v>0</v>
      </c>
      <c r="M57" s="427">
        <v>0</v>
      </c>
      <c r="N57" s="427">
        <v>0</v>
      </c>
      <c r="O57" s="427">
        <v>0</v>
      </c>
      <c r="P57" s="427">
        <v>0</v>
      </c>
      <c r="Q57" s="427">
        <v>0</v>
      </c>
      <c r="R57" s="427">
        <v>0</v>
      </c>
      <c r="S57" s="427">
        <v>0</v>
      </c>
      <c r="T57" s="427">
        <v>0</v>
      </c>
      <c r="U57" s="427">
        <v>0</v>
      </c>
      <c r="V57" s="427">
        <v>0</v>
      </c>
      <c r="W57" s="427">
        <v>0</v>
      </c>
      <c r="X57" s="427">
        <v>0</v>
      </c>
      <c r="Y57" s="427">
        <v>0</v>
      </c>
      <c r="Z57" s="427">
        <v>0</v>
      </c>
      <c r="AA57" s="427">
        <v>0</v>
      </c>
      <c r="AB57" s="427">
        <v>0</v>
      </c>
      <c r="AC57" s="427">
        <v>0</v>
      </c>
      <c r="AD57" s="427">
        <v>0</v>
      </c>
      <c r="AE57" s="427">
        <v>0</v>
      </c>
      <c r="AF57" s="427">
        <v>0</v>
      </c>
      <c r="AG57" s="427">
        <v>0</v>
      </c>
      <c r="AH57" s="427">
        <v>0</v>
      </c>
      <c r="AI57" s="427">
        <v>0</v>
      </c>
      <c r="AJ57" s="427">
        <v>0</v>
      </c>
      <c r="AK57" s="427">
        <v>0</v>
      </c>
      <c r="AL57" s="427">
        <v>0</v>
      </c>
      <c r="AM57" s="427">
        <v>0</v>
      </c>
      <c r="AN57" s="427">
        <v>0</v>
      </c>
      <c r="AO57" s="427">
        <v>0</v>
      </c>
      <c r="AP57" s="427">
        <v>0</v>
      </c>
      <c r="AQ57" s="427">
        <v>0</v>
      </c>
      <c r="AR57" s="427">
        <v>0</v>
      </c>
      <c r="AS57" s="427">
        <v>0</v>
      </c>
      <c r="AT57" s="427">
        <v>0</v>
      </c>
      <c r="AU57" s="427">
        <v>0</v>
      </c>
      <c r="AV57" s="427">
        <v>0</v>
      </c>
      <c r="AW57" s="427">
        <v>0</v>
      </c>
      <c r="AX57" s="427">
        <v>0</v>
      </c>
      <c r="AY57" s="427">
        <v>0</v>
      </c>
      <c r="AZ57" s="427">
        <v>0</v>
      </c>
      <c r="BA57" s="427">
        <v>0</v>
      </c>
      <c r="BB57" s="427">
        <v>0</v>
      </c>
      <c r="BC57" s="427">
        <v>0</v>
      </c>
      <c r="BD57" s="427">
        <v>0</v>
      </c>
      <c r="BE57" s="427">
        <v>0</v>
      </c>
      <c r="BF57" s="427">
        <v>0</v>
      </c>
      <c r="BG57" s="427">
        <v>0</v>
      </c>
      <c r="BH57" s="427">
        <v>0</v>
      </c>
      <c r="BI57" s="427">
        <v>0</v>
      </c>
      <c r="BJ57" s="427">
        <v>0</v>
      </c>
      <c r="BK57" s="427">
        <v>0</v>
      </c>
      <c r="BL57" s="427">
        <v>0</v>
      </c>
      <c r="BM57" s="427">
        <v>0</v>
      </c>
      <c r="BN57" s="427">
        <v>0</v>
      </c>
      <c r="BO57" s="427">
        <v>0</v>
      </c>
      <c r="BP57" s="427">
        <v>0</v>
      </c>
      <c r="BQ57" s="427">
        <v>0</v>
      </c>
      <c r="BR57" s="427">
        <v>0</v>
      </c>
      <c r="BS57" s="427">
        <v>0</v>
      </c>
      <c r="BT57" s="427">
        <v>0</v>
      </c>
      <c r="BU57" s="427">
        <v>0</v>
      </c>
      <c r="BV57" s="427">
        <v>0</v>
      </c>
      <c r="BW57" s="427">
        <v>0</v>
      </c>
      <c r="BX57" s="427">
        <v>0</v>
      </c>
      <c r="BY57" s="427">
        <v>0</v>
      </c>
      <c r="BZ57" s="427">
        <v>0</v>
      </c>
      <c r="CC57" s="21"/>
      <c r="CD57" s="437" t="s">
        <v>186</v>
      </c>
      <c r="CE57" s="433">
        <f t="shared" si="0"/>
        <v>0</v>
      </c>
      <c r="CF57" s="433">
        <f t="shared" si="1"/>
        <v>0</v>
      </c>
      <c r="CG57" s="433">
        <f t="shared" si="2"/>
        <v>0</v>
      </c>
      <c r="CH57" s="433">
        <f t="shared" si="3"/>
        <v>0</v>
      </c>
      <c r="CI57" s="433">
        <f t="shared" si="4"/>
        <v>0</v>
      </c>
      <c r="CJ57" s="433">
        <f t="shared" si="5"/>
        <v>0</v>
      </c>
      <c r="CK57" s="433">
        <f t="shared" si="6"/>
        <v>0</v>
      </c>
      <c r="CL57" s="433">
        <f t="shared" si="7"/>
        <v>0</v>
      </c>
      <c r="CM57" s="433">
        <f t="shared" si="8"/>
        <v>0</v>
      </c>
      <c r="CN57" s="433">
        <f t="shared" si="9"/>
        <v>0</v>
      </c>
      <c r="CO57" s="433">
        <f t="shared" si="10"/>
        <v>0</v>
      </c>
      <c r="CP57" s="433">
        <f t="shared" si="11"/>
        <v>0</v>
      </c>
      <c r="CQ57" s="433">
        <f t="shared" si="12"/>
        <v>0</v>
      </c>
      <c r="CR57" s="433">
        <f t="shared" si="13"/>
        <v>0</v>
      </c>
      <c r="CS57" s="433">
        <f t="shared" si="14"/>
        <v>0</v>
      </c>
      <c r="CT57" s="21"/>
    </row>
    <row r="58" spans="3:98" ht="24.75" hidden="1" customHeight="1" outlineLevel="2" collapsed="1">
      <c r="C58" s="437" t="s">
        <v>187</v>
      </c>
      <c r="D58" s="427">
        <v>0</v>
      </c>
      <c r="E58" s="427">
        <v>0</v>
      </c>
      <c r="F58" s="427">
        <v>0</v>
      </c>
      <c r="G58" s="427">
        <v>0</v>
      </c>
      <c r="H58" s="427">
        <v>0</v>
      </c>
      <c r="I58" s="427">
        <v>0</v>
      </c>
      <c r="J58" s="427">
        <v>0</v>
      </c>
      <c r="K58" s="427">
        <v>0</v>
      </c>
      <c r="L58" s="427">
        <v>0</v>
      </c>
      <c r="M58" s="427">
        <v>0</v>
      </c>
      <c r="N58" s="427">
        <v>0</v>
      </c>
      <c r="O58" s="427">
        <v>0</v>
      </c>
      <c r="P58" s="427">
        <v>0</v>
      </c>
      <c r="Q58" s="427">
        <v>0</v>
      </c>
      <c r="R58" s="427">
        <v>0</v>
      </c>
      <c r="S58" s="427">
        <v>0</v>
      </c>
      <c r="T58" s="427">
        <v>0</v>
      </c>
      <c r="U58" s="427">
        <v>0</v>
      </c>
      <c r="V58" s="427">
        <v>0</v>
      </c>
      <c r="W58" s="427">
        <v>0</v>
      </c>
      <c r="X58" s="427">
        <v>0</v>
      </c>
      <c r="Y58" s="427">
        <v>0</v>
      </c>
      <c r="Z58" s="427">
        <v>0</v>
      </c>
      <c r="AA58" s="427">
        <v>0</v>
      </c>
      <c r="AB58" s="427">
        <v>0</v>
      </c>
      <c r="AC58" s="427">
        <v>0</v>
      </c>
      <c r="AD58" s="427">
        <v>0</v>
      </c>
      <c r="AE58" s="427">
        <v>0</v>
      </c>
      <c r="AF58" s="427">
        <v>0</v>
      </c>
      <c r="AG58" s="427">
        <v>0</v>
      </c>
      <c r="AH58" s="427">
        <v>0</v>
      </c>
      <c r="AI58" s="427">
        <v>0</v>
      </c>
      <c r="AJ58" s="427">
        <v>0</v>
      </c>
      <c r="AK58" s="427">
        <v>0</v>
      </c>
      <c r="AL58" s="427">
        <v>0</v>
      </c>
      <c r="AM58" s="427">
        <v>0</v>
      </c>
      <c r="AN58" s="427">
        <v>0</v>
      </c>
      <c r="AO58" s="427">
        <v>0</v>
      </c>
      <c r="AP58" s="427">
        <v>0</v>
      </c>
      <c r="AQ58" s="427">
        <v>0</v>
      </c>
      <c r="AR58" s="427">
        <v>0</v>
      </c>
      <c r="AS58" s="427">
        <v>0</v>
      </c>
      <c r="AT58" s="427">
        <v>0</v>
      </c>
      <c r="AU58" s="427">
        <v>0</v>
      </c>
      <c r="AV58" s="427">
        <v>0</v>
      </c>
      <c r="AW58" s="427">
        <v>0</v>
      </c>
      <c r="AX58" s="427">
        <v>0</v>
      </c>
      <c r="AY58" s="427">
        <v>0</v>
      </c>
      <c r="AZ58" s="427">
        <v>0</v>
      </c>
      <c r="BA58" s="427">
        <v>0</v>
      </c>
      <c r="BB58" s="427">
        <v>0</v>
      </c>
      <c r="BC58" s="427">
        <v>0</v>
      </c>
      <c r="BD58" s="427">
        <v>0</v>
      </c>
      <c r="BE58" s="427">
        <v>0</v>
      </c>
      <c r="BF58" s="427">
        <v>0</v>
      </c>
      <c r="BG58" s="427">
        <v>0</v>
      </c>
      <c r="BH58" s="427">
        <v>0</v>
      </c>
      <c r="BI58" s="427">
        <v>0</v>
      </c>
      <c r="BJ58" s="427">
        <v>0</v>
      </c>
      <c r="BK58" s="427">
        <v>0</v>
      </c>
      <c r="BL58" s="427">
        <v>0</v>
      </c>
      <c r="BM58" s="427">
        <v>0</v>
      </c>
      <c r="BN58" s="427">
        <v>0</v>
      </c>
      <c r="BO58" s="427">
        <v>0</v>
      </c>
      <c r="BP58" s="427">
        <v>0</v>
      </c>
      <c r="BQ58" s="427">
        <v>0</v>
      </c>
      <c r="BR58" s="427">
        <v>0</v>
      </c>
      <c r="BS58" s="427">
        <v>0</v>
      </c>
      <c r="BT58" s="427">
        <v>0</v>
      </c>
      <c r="BU58" s="427">
        <v>0</v>
      </c>
      <c r="BV58" s="427">
        <v>0</v>
      </c>
      <c r="BW58" s="427">
        <v>0</v>
      </c>
      <c r="BX58" s="427">
        <v>0</v>
      </c>
      <c r="BY58" s="427">
        <v>0</v>
      </c>
      <c r="BZ58" s="427">
        <v>0</v>
      </c>
      <c r="CC58" s="21"/>
      <c r="CD58" s="437" t="s">
        <v>187</v>
      </c>
      <c r="CE58" s="433">
        <f t="shared" si="0"/>
        <v>0</v>
      </c>
      <c r="CF58" s="433">
        <f t="shared" si="1"/>
        <v>0</v>
      </c>
      <c r="CG58" s="433">
        <f t="shared" si="2"/>
        <v>0</v>
      </c>
      <c r="CH58" s="433">
        <f t="shared" si="3"/>
        <v>0</v>
      </c>
      <c r="CI58" s="433">
        <f t="shared" si="4"/>
        <v>0</v>
      </c>
      <c r="CJ58" s="433">
        <f t="shared" si="5"/>
        <v>0</v>
      </c>
      <c r="CK58" s="433">
        <f t="shared" si="6"/>
        <v>0</v>
      </c>
      <c r="CL58" s="433">
        <f t="shared" si="7"/>
        <v>0</v>
      </c>
      <c r="CM58" s="433">
        <f t="shared" si="8"/>
        <v>0</v>
      </c>
      <c r="CN58" s="433">
        <f t="shared" si="9"/>
        <v>0</v>
      </c>
      <c r="CO58" s="433">
        <f t="shared" si="10"/>
        <v>0</v>
      </c>
      <c r="CP58" s="433">
        <f t="shared" si="11"/>
        <v>0</v>
      </c>
      <c r="CQ58" s="433">
        <f t="shared" si="12"/>
        <v>0</v>
      </c>
      <c r="CR58" s="433">
        <f t="shared" si="13"/>
        <v>0</v>
      </c>
      <c r="CS58" s="433">
        <f t="shared" si="14"/>
        <v>0</v>
      </c>
      <c r="CT58" s="21"/>
    </row>
    <row r="59" spans="3:98" ht="24.75" hidden="1" customHeight="1" outlineLevel="1">
      <c r="C59" s="426" t="s">
        <v>183</v>
      </c>
      <c r="D59" s="427">
        <v>0</v>
      </c>
      <c r="E59" s="427">
        <v>0</v>
      </c>
      <c r="F59" s="427">
        <v>0</v>
      </c>
      <c r="G59" s="427">
        <v>0</v>
      </c>
      <c r="H59" s="427">
        <v>0</v>
      </c>
      <c r="I59" s="427">
        <v>0</v>
      </c>
      <c r="J59" s="427">
        <v>0</v>
      </c>
      <c r="K59" s="427">
        <v>0</v>
      </c>
      <c r="L59" s="427">
        <v>0</v>
      </c>
      <c r="M59" s="427">
        <v>0</v>
      </c>
      <c r="N59" s="427">
        <v>0</v>
      </c>
      <c r="O59" s="427">
        <v>0</v>
      </c>
      <c r="P59" s="427">
        <v>0</v>
      </c>
      <c r="Q59" s="427">
        <v>0</v>
      </c>
      <c r="R59" s="427">
        <v>0</v>
      </c>
      <c r="S59" s="427">
        <v>0</v>
      </c>
      <c r="T59" s="427">
        <v>0</v>
      </c>
      <c r="U59" s="427">
        <v>0</v>
      </c>
      <c r="V59" s="427">
        <v>0</v>
      </c>
      <c r="W59" s="427">
        <v>0</v>
      </c>
      <c r="X59" s="427">
        <v>0</v>
      </c>
      <c r="Y59" s="427">
        <v>0</v>
      </c>
      <c r="Z59" s="427">
        <v>0</v>
      </c>
      <c r="AA59" s="427">
        <v>0</v>
      </c>
      <c r="AB59" s="427">
        <v>0</v>
      </c>
      <c r="AC59" s="427">
        <v>0</v>
      </c>
      <c r="AD59" s="427">
        <v>0</v>
      </c>
      <c r="AE59" s="427">
        <v>0</v>
      </c>
      <c r="AF59" s="427">
        <v>0</v>
      </c>
      <c r="AG59" s="427">
        <v>0</v>
      </c>
      <c r="AH59" s="427">
        <v>0</v>
      </c>
      <c r="AI59" s="427">
        <v>0</v>
      </c>
      <c r="AJ59" s="427">
        <v>0</v>
      </c>
      <c r="AK59" s="427">
        <v>0</v>
      </c>
      <c r="AL59" s="427">
        <v>0</v>
      </c>
      <c r="AM59" s="427">
        <v>0</v>
      </c>
      <c r="AN59" s="427">
        <v>0</v>
      </c>
      <c r="AO59" s="427">
        <v>0</v>
      </c>
      <c r="AP59" s="427">
        <v>0</v>
      </c>
      <c r="AQ59" s="427">
        <v>0</v>
      </c>
      <c r="AR59" s="427">
        <v>0</v>
      </c>
      <c r="AS59" s="427">
        <v>0</v>
      </c>
      <c r="AT59" s="427">
        <v>0</v>
      </c>
      <c r="AU59" s="427">
        <v>0</v>
      </c>
      <c r="AV59" s="427">
        <v>0</v>
      </c>
      <c r="AW59" s="427">
        <v>0</v>
      </c>
      <c r="AX59" s="427">
        <v>0</v>
      </c>
      <c r="AY59" s="427">
        <v>0</v>
      </c>
      <c r="AZ59" s="427">
        <v>0</v>
      </c>
      <c r="BA59" s="427">
        <v>0</v>
      </c>
      <c r="BB59" s="427">
        <v>0</v>
      </c>
      <c r="BC59" s="427">
        <v>0</v>
      </c>
      <c r="BD59" s="427">
        <v>0</v>
      </c>
      <c r="BE59" s="427">
        <v>0</v>
      </c>
      <c r="BF59" s="427">
        <v>17.408999999999999</v>
      </c>
      <c r="BG59" s="427">
        <v>0</v>
      </c>
      <c r="BH59" s="427">
        <v>0</v>
      </c>
      <c r="BI59" s="427">
        <v>0</v>
      </c>
      <c r="BJ59" s="427">
        <v>32.790999999999997</v>
      </c>
      <c r="BK59" s="427">
        <v>32.790999999999997</v>
      </c>
      <c r="BL59" s="427">
        <v>0</v>
      </c>
      <c r="BM59" s="427">
        <v>0</v>
      </c>
      <c r="BN59" s="427">
        <v>0</v>
      </c>
      <c r="BO59" s="427">
        <v>57.893000000000001</v>
      </c>
      <c r="BP59" s="427">
        <v>57.893000000000001</v>
      </c>
      <c r="BQ59" s="427">
        <v>0</v>
      </c>
      <c r="BR59" s="427">
        <v>0</v>
      </c>
      <c r="BS59" s="427">
        <v>0</v>
      </c>
      <c r="BT59" s="427">
        <v>211.60599999999999</v>
      </c>
      <c r="BU59" s="427">
        <v>211.60599999999999</v>
      </c>
      <c r="BV59" s="427">
        <v>0</v>
      </c>
      <c r="BW59" s="427">
        <v>0</v>
      </c>
      <c r="BX59" s="427">
        <v>0</v>
      </c>
      <c r="BY59" s="427">
        <v>0</v>
      </c>
      <c r="BZ59" s="427">
        <v>0</v>
      </c>
      <c r="CC59" s="21"/>
      <c r="CD59" s="426" t="s">
        <v>183</v>
      </c>
      <c r="CE59" s="433">
        <f t="shared" si="0"/>
        <v>0</v>
      </c>
      <c r="CF59" s="433">
        <f t="shared" si="1"/>
        <v>0</v>
      </c>
      <c r="CG59" s="433">
        <f t="shared" si="2"/>
        <v>0</v>
      </c>
      <c r="CH59" s="433">
        <f t="shared" si="3"/>
        <v>0</v>
      </c>
      <c r="CI59" s="433">
        <f t="shared" si="4"/>
        <v>0</v>
      </c>
      <c r="CJ59" s="433">
        <f t="shared" si="5"/>
        <v>0</v>
      </c>
      <c r="CK59" s="433">
        <f t="shared" si="6"/>
        <v>0</v>
      </c>
      <c r="CL59" s="433">
        <f t="shared" si="7"/>
        <v>0</v>
      </c>
      <c r="CM59" s="433">
        <f t="shared" si="8"/>
        <v>0</v>
      </c>
      <c r="CN59" s="433">
        <f t="shared" si="9"/>
        <v>0</v>
      </c>
      <c r="CO59" s="433">
        <f t="shared" si="10"/>
        <v>17.408999999999999</v>
      </c>
      <c r="CP59" s="433">
        <f t="shared" si="11"/>
        <v>32.790999999999997</v>
      </c>
      <c r="CQ59" s="433">
        <f t="shared" si="12"/>
        <v>57.893000000000001</v>
      </c>
      <c r="CR59" s="433">
        <f t="shared" si="13"/>
        <v>211.60599999999999</v>
      </c>
      <c r="CS59" s="433">
        <f t="shared" si="14"/>
        <v>0</v>
      </c>
      <c r="CT59" s="21"/>
    </row>
    <row r="60" spans="3:98" ht="24.75" hidden="1" customHeight="1" outlineLevel="2">
      <c r="C60" s="437" t="s">
        <v>189</v>
      </c>
      <c r="D60" s="427">
        <v>0</v>
      </c>
      <c r="E60" s="427">
        <v>0</v>
      </c>
      <c r="F60" s="427">
        <v>0</v>
      </c>
      <c r="G60" s="427">
        <v>0</v>
      </c>
      <c r="H60" s="427">
        <v>0</v>
      </c>
      <c r="I60" s="427">
        <v>0</v>
      </c>
      <c r="J60" s="427">
        <v>0</v>
      </c>
      <c r="K60" s="427">
        <v>0</v>
      </c>
      <c r="L60" s="427">
        <v>0</v>
      </c>
      <c r="M60" s="427">
        <v>0</v>
      </c>
      <c r="N60" s="427">
        <v>0</v>
      </c>
      <c r="O60" s="427">
        <v>0</v>
      </c>
      <c r="P60" s="427">
        <v>0</v>
      </c>
      <c r="Q60" s="427">
        <v>0</v>
      </c>
      <c r="R60" s="427">
        <v>0</v>
      </c>
      <c r="S60" s="427">
        <v>0</v>
      </c>
      <c r="T60" s="427">
        <v>0</v>
      </c>
      <c r="U60" s="427">
        <v>0</v>
      </c>
      <c r="V60" s="427">
        <v>0</v>
      </c>
      <c r="W60" s="427">
        <v>0</v>
      </c>
      <c r="X60" s="427">
        <v>0</v>
      </c>
      <c r="Y60" s="427">
        <v>0</v>
      </c>
      <c r="Z60" s="427">
        <v>0</v>
      </c>
      <c r="AA60" s="427">
        <v>0</v>
      </c>
      <c r="AB60" s="427">
        <v>0</v>
      </c>
      <c r="AC60" s="427">
        <v>0</v>
      </c>
      <c r="AD60" s="427">
        <v>0</v>
      </c>
      <c r="AE60" s="427">
        <v>0</v>
      </c>
      <c r="AF60" s="427">
        <v>0</v>
      </c>
      <c r="AG60" s="427">
        <v>0</v>
      </c>
      <c r="AH60" s="427">
        <v>0</v>
      </c>
      <c r="AI60" s="427">
        <v>0</v>
      </c>
      <c r="AJ60" s="427">
        <v>0</v>
      </c>
      <c r="AK60" s="427">
        <v>0</v>
      </c>
      <c r="AL60" s="427">
        <v>0</v>
      </c>
      <c r="AM60" s="427">
        <v>0</v>
      </c>
      <c r="AN60" s="427">
        <v>0</v>
      </c>
      <c r="AO60" s="427">
        <v>0</v>
      </c>
      <c r="AP60" s="427">
        <v>0</v>
      </c>
      <c r="AQ60" s="427">
        <v>0</v>
      </c>
      <c r="AR60" s="427">
        <v>0</v>
      </c>
      <c r="AS60" s="427">
        <v>0</v>
      </c>
      <c r="AT60" s="427">
        <v>0</v>
      </c>
      <c r="AU60" s="427">
        <v>0</v>
      </c>
      <c r="AV60" s="427">
        <v>0</v>
      </c>
      <c r="AW60" s="427">
        <v>0</v>
      </c>
      <c r="AX60" s="427">
        <v>0</v>
      </c>
      <c r="AY60" s="427">
        <v>0</v>
      </c>
      <c r="AZ60" s="427">
        <v>0</v>
      </c>
      <c r="BA60" s="427">
        <v>0</v>
      </c>
      <c r="BB60" s="427">
        <v>0</v>
      </c>
      <c r="BC60" s="427">
        <v>0</v>
      </c>
      <c r="BD60" s="427">
        <v>0</v>
      </c>
      <c r="BE60" s="427">
        <v>0</v>
      </c>
      <c r="BF60" s="427">
        <v>0</v>
      </c>
      <c r="BG60" s="427">
        <v>0</v>
      </c>
      <c r="BH60" s="427">
        <v>0</v>
      </c>
      <c r="BI60" s="427">
        <v>0</v>
      </c>
      <c r="BJ60" s="427">
        <v>0</v>
      </c>
      <c r="BK60" s="427">
        <v>0</v>
      </c>
      <c r="BL60" s="427">
        <v>0</v>
      </c>
      <c r="BM60" s="427">
        <v>0</v>
      </c>
      <c r="BN60" s="427">
        <v>0</v>
      </c>
      <c r="BO60" s="427">
        <v>0</v>
      </c>
      <c r="BP60" s="427">
        <v>0</v>
      </c>
      <c r="BQ60" s="427">
        <v>0</v>
      </c>
      <c r="BR60" s="427">
        <v>0</v>
      </c>
      <c r="BS60" s="427">
        <v>0</v>
      </c>
      <c r="BT60" s="427">
        <v>0</v>
      </c>
      <c r="BU60" s="427">
        <v>0</v>
      </c>
      <c r="BV60" s="427">
        <v>0</v>
      </c>
      <c r="BW60" s="427">
        <v>0</v>
      </c>
      <c r="BX60" s="427">
        <v>0</v>
      </c>
      <c r="BY60" s="427">
        <v>0</v>
      </c>
      <c r="BZ60" s="427">
        <v>0</v>
      </c>
      <c r="CC60" s="21"/>
      <c r="CD60" s="437" t="s">
        <v>189</v>
      </c>
      <c r="CE60" s="433">
        <f t="shared" si="0"/>
        <v>0</v>
      </c>
      <c r="CF60" s="433">
        <f t="shared" si="1"/>
        <v>0</v>
      </c>
      <c r="CG60" s="433">
        <f t="shared" si="2"/>
        <v>0</v>
      </c>
      <c r="CH60" s="433">
        <f t="shared" si="3"/>
        <v>0</v>
      </c>
      <c r="CI60" s="433">
        <f t="shared" si="4"/>
        <v>0</v>
      </c>
      <c r="CJ60" s="433">
        <f t="shared" si="5"/>
        <v>0</v>
      </c>
      <c r="CK60" s="433">
        <f t="shared" si="6"/>
        <v>0</v>
      </c>
      <c r="CL60" s="433">
        <f t="shared" si="7"/>
        <v>0</v>
      </c>
      <c r="CM60" s="433">
        <f t="shared" si="8"/>
        <v>0</v>
      </c>
      <c r="CN60" s="433">
        <f t="shared" si="9"/>
        <v>0</v>
      </c>
      <c r="CO60" s="433">
        <f t="shared" si="10"/>
        <v>0</v>
      </c>
      <c r="CP60" s="433">
        <f t="shared" si="11"/>
        <v>0</v>
      </c>
      <c r="CQ60" s="433">
        <f t="shared" si="12"/>
        <v>0</v>
      </c>
      <c r="CR60" s="433">
        <f t="shared" si="13"/>
        <v>0</v>
      </c>
      <c r="CS60" s="433">
        <f t="shared" si="14"/>
        <v>0</v>
      </c>
      <c r="CT60" s="21"/>
    </row>
    <row r="61" spans="3:98" ht="24.75" hidden="1" customHeight="1" outlineLevel="2">
      <c r="C61" s="437" t="s">
        <v>190</v>
      </c>
      <c r="D61" s="427">
        <v>0</v>
      </c>
      <c r="E61" s="427">
        <v>0</v>
      </c>
      <c r="F61" s="427">
        <v>0</v>
      </c>
      <c r="G61" s="427">
        <v>0</v>
      </c>
      <c r="H61" s="427">
        <v>0</v>
      </c>
      <c r="I61" s="427">
        <v>0</v>
      </c>
      <c r="J61" s="427">
        <v>0</v>
      </c>
      <c r="K61" s="427">
        <v>0</v>
      </c>
      <c r="L61" s="427">
        <v>0</v>
      </c>
      <c r="M61" s="427">
        <v>0</v>
      </c>
      <c r="N61" s="427">
        <v>0</v>
      </c>
      <c r="O61" s="427">
        <v>0</v>
      </c>
      <c r="P61" s="427">
        <v>0</v>
      </c>
      <c r="Q61" s="427">
        <v>0</v>
      </c>
      <c r="R61" s="427">
        <v>0</v>
      </c>
      <c r="S61" s="427">
        <v>0</v>
      </c>
      <c r="T61" s="427">
        <v>0</v>
      </c>
      <c r="U61" s="427">
        <v>0</v>
      </c>
      <c r="V61" s="427">
        <v>0</v>
      </c>
      <c r="W61" s="427">
        <v>0</v>
      </c>
      <c r="X61" s="427">
        <v>0</v>
      </c>
      <c r="Y61" s="427">
        <v>0</v>
      </c>
      <c r="Z61" s="427">
        <v>0</v>
      </c>
      <c r="AA61" s="427">
        <v>0</v>
      </c>
      <c r="AB61" s="427">
        <v>0</v>
      </c>
      <c r="AC61" s="427">
        <v>0</v>
      </c>
      <c r="AD61" s="427">
        <v>0</v>
      </c>
      <c r="AE61" s="427">
        <v>0</v>
      </c>
      <c r="AF61" s="427">
        <v>0</v>
      </c>
      <c r="AG61" s="427">
        <v>0</v>
      </c>
      <c r="AH61" s="427">
        <v>0</v>
      </c>
      <c r="AI61" s="427">
        <v>0</v>
      </c>
      <c r="AJ61" s="427">
        <v>0</v>
      </c>
      <c r="AK61" s="427">
        <v>0</v>
      </c>
      <c r="AL61" s="427">
        <v>0</v>
      </c>
      <c r="AM61" s="427">
        <v>0</v>
      </c>
      <c r="AN61" s="427">
        <v>0</v>
      </c>
      <c r="AO61" s="427">
        <v>0</v>
      </c>
      <c r="AP61" s="427">
        <v>0</v>
      </c>
      <c r="AQ61" s="427">
        <v>0</v>
      </c>
      <c r="AR61" s="427">
        <v>0</v>
      </c>
      <c r="AS61" s="427">
        <v>0</v>
      </c>
      <c r="AT61" s="427">
        <v>0</v>
      </c>
      <c r="AU61" s="427">
        <v>0</v>
      </c>
      <c r="AV61" s="427">
        <v>0</v>
      </c>
      <c r="AW61" s="427">
        <v>0</v>
      </c>
      <c r="AX61" s="427">
        <v>0</v>
      </c>
      <c r="AY61" s="427">
        <v>0</v>
      </c>
      <c r="AZ61" s="427">
        <v>0</v>
      </c>
      <c r="BA61" s="427">
        <v>0</v>
      </c>
      <c r="BB61" s="427">
        <v>0</v>
      </c>
      <c r="BC61" s="427">
        <v>0</v>
      </c>
      <c r="BD61" s="427">
        <v>0</v>
      </c>
      <c r="BE61" s="427">
        <v>0</v>
      </c>
      <c r="BF61" s="427">
        <v>0</v>
      </c>
      <c r="BG61" s="427">
        <v>0</v>
      </c>
      <c r="BH61" s="427">
        <v>0</v>
      </c>
      <c r="BI61" s="427">
        <v>0</v>
      </c>
      <c r="BJ61" s="427">
        <v>0</v>
      </c>
      <c r="BK61" s="427">
        <v>0</v>
      </c>
      <c r="BL61" s="427">
        <v>0</v>
      </c>
      <c r="BM61" s="427">
        <v>0</v>
      </c>
      <c r="BN61" s="427">
        <v>0</v>
      </c>
      <c r="BO61" s="427">
        <v>0</v>
      </c>
      <c r="BP61" s="427">
        <v>0</v>
      </c>
      <c r="BQ61" s="427">
        <v>0</v>
      </c>
      <c r="BR61" s="427">
        <v>0</v>
      </c>
      <c r="BS61" s="427">
        <v>0</v>
      </c>
      <c r="BT61" s="427">
        <v>0</v>
      </c>
      <c r="BU61" s="427">
        <v>0</v>
      </c>
      <c r="BV61" s="427">
        <v>0</v>
      </c>
      <c r="BW61" s="427">
        <v>0</v>
      </c>
      <c r="BX61" s="427">
        <v>0</v>
      </c>
      <c r="BY61" s="427">
        <v>0</v>
      </c>
      <c r="BZ61" s="427">
        <v>0</v>
      </c>
      <c r="CC61" s="21"/>
      <c r="CD61" s="437" t="s">
        <v>190</v>
      </c>
      <c r="CE61" s="433">
        <f t="shared" si="0"/>
        <v>0</v>
      </c>
      <c r="CF61" s="433">
        <f t="shared" si="1"/>
        <v>0</v>
      </c>
      <c r="CG61" s="433">
        <f t="shared" si="2"/>
        <v>0</v>
      </c>
      <c r="CH61" s="433">
        <f t="shared" si="3"/>
        <v>0</v>
      </c>
      <c r="CI61" s="433">
        <f t="shared" si="4"/>
        <v>0</v>
      </c>
      <c r="CJ61" s="433">
        <f t="shared" si="5"/>
        <v>0</v>
      </c>
      <c r="CK61" s="433">
        <f t="shared" si="6"/>
        <v>0</v>
      </c>
      <c r="CL61" s="433">
        <f t="shared" si="7"/>
        <v>0</v>
      </c>
      <c r="CM61" s="433">
        <f t="shared" si="8"/>
        <v>0</v>
      </c>
      <c r="CN61" s="433">
        <f t="shared" si="9"/>
        <v>0</v>
      </c>
      <c r="CO61" s="433">
        <f t="shared" si="10"/>
        <v>0</v>
      </c>
      <c r="CP61" s="433">
        <f t="shared" si="11"/>
        <v>0</v>
      </c>
      <c r="CQ61" s="433">
        <f t="shared" si="12"/>
        <v>0</v>
      </c>
      <c r="CR61" s="433">
        <f t="shared" si="13"/>
        <v>0</v>
      </c>
      <c r="CS61" s="433">
        <f t="shared" si="14"/>
        <v>0</v>
      </c>
      <c r="CT61" s="21"/>
    </row>
    <row r="62" spans="3:98" ht="24.75" hidden="1" customHeight="1" outlineLevel="2" collapsed="1">
      <c r="C62" s="437" t="s">
        <v>191</v>
      </c>
      <c r="D62" s="427">
        <v>0</v>
      </c>
      <c r="E62" s="427">
        <v>0</v>
      </c>
      <c r="F62" s="427">
        <v>0</v>
      </c>
      <c r="G62" s="427">
        <v>0</v>
      </c>
      <c r="H62" s="427">
        <v>0</v>
      </c>
      <c r="I62" s="427">
        <v>0</v>
      </c>
      <c r="J62" s="427">
        <v>0</v>
      </c>
      <c r="K62" s="427">
        <v>0</v>
      </c>
      <c r="L62" s="427">
        <v>0</v>
      </c>
      <c r="M62" s="427">
        <v>0</v>
      </c>
      <c r="N62" s="427">
        <v>0</v>
      </c>
      <c r="O62" s="427">
        <v>0</v>
      </c>
      <c r="P62" s="427">
        <v>0</v>
      </c>
      <c r="Q62" s="427">
        <v>0</v>
      </c>
      <c r="R62" s="427">
        <v>0</v>
      </c>
      <c r="S62" s="427">
        <v>0</v>
      </c>
      <c r="T62" s="427">
        <v>0</v>
      </c>
      <c r="U62" s="427">
        <v>0</v>
      </c>
      <c r="V62" s="427">
        <v>0</v>
      </c>
      <c r="W62" s="427">
        <v>0</v>
      </c>
      <c r="X62" s="427">
        <v>0</v>
      </c>
      <c r="Y62" s="427">
        <v>0</v>
      </c>
      <c r="Z62" s="427">
        <v>0</v>
      </c>
      <c r="AA62" s="427">
        <v>0</v>
      </c>
      <c r="AB62" s="427">
        <v>0</v>
      </c>
      <c r="AC62" s="427">
        <v>0</v>
      </c>
      <c r="AD62" s="427">
        <v>0</v>
      </c>
      <c r="AE62" s="427">
        <v>0</v>
      </c>
      <c r="AF62" s="427">
        <v>0</v>
      </c>
      <c r="AG62" s="427">
        <v>0</v>
      </c>
      <c r="AH62" s="427">
        <v>0</v>
      </c>
      <c r="AI62" s="427">
        <v>0</v>
      </c>
      <c r="AJ62" s="427">
        <v>0</v>
      </c>
      <c r="AK62" s="427">
        <v>0</v>
      </c>
      <c r="AL62" s="427">
        <v>0</v>
      </c>
      <c r="AM62" s="427">
        <v>0</v>
      </c>
      <c r="AN62" s="427">
        <v>0</v>
      </c>
      <c r="AO62" s="427">
        <v>0</v>
      </c>
      <c r="AP62" s="427">
        <v>0</v>
      </c>
      <c r="AQ62" s="427">
        <v>0</v>
      </c>
      <c r="AR62" s="427">
        <v>0</v>
      </c>
      <c r="AS62" s="427">
        <v>0</v>
      </c>
      <c r="AT62" s="427">
        <v>0</v>
      </c>
      <c r="AU62" s="427">
        <v>0</v>
      </c>
      <c r="AV62" s="427">
        <v>0</v>
      </c>
      <c r="AW62" s="427">
        <v>0</v>
      </c>
      <c r="AX62" s="427">
        <v>0</v>
      </c>
      <c r="AY62" s="427">
        <v>0</v>
      </c>
      <c r="AZ62" s="427">
        <v>0</v>
      </c>
      <c r="BA62" s="427">
        <v>0</v>
      </c>
      <c r="BB62" s="427">
        <v>0</v>
      </c>
      <c r="BC62" s="427">
        <v>0</v>
      </c>
      <c r="BD62" s="427">
        <v>0</v>
      </c>
      <c r="BE62" s="427">
        <v>0</v>
      </c>
      <c r="BF62" s="427">
        <v>0</v>
      </c>
      <c r="BG62" s="427">
        <v>0</v>
      </c>
      <c r="BH62" s="427">
        <v>0</v>
      </c>
      <c r="BI62" s="427">
        <v>0</v>
      </c>
      <c r="BJ62" s="427">
        <v>0</v>
      </c>
      <c r="BK62" s="427">
        <v>0</v>
      </c>
      <c r="BL62" s="427">
        <v>0</v>
      </c>
      <c r="BM62" s="427">
        <v>0</v>
      </c>
      <c r="BN62" s="427">
        <v>0</v>
      </c>
      <c r="BO62" s="427">
        <v>0</v>
      </c>
      <c r="BP62" s="427">
        <v>0</v>
      </c>
      <c r="BQ62" s="427">
        <v>0</v>
      </c>
      <c r="BR62" s="427">
        <v>0</v>
      </c>
      <c r="BS62" s="427">
        <v>0</v>
      </c>
      <c r="BT62" s="427">
        <v>0</v>
      </c>
      <c r="BU62" s="427">
        <v>0</v>
      </c>
      <c r="BV62" s="427">
        <v>0</v>
      </c>
      <c r="BW62" s="427">
        <v>0</v>
      </c>
      <c r="BX62" s="427">
        <v>0</v>
      </c>
      <c r="BY62" s="427">
        <v>0</v>
      </c>
      <c r="BZ62" s="427">
        <v>0</v>
      </c>
      <c r="CC62" s="21"/>
      <c r="CD62" s="437" t="s">
        <v>191</v>
      </c>
      <c r="CE62" s="433">
        <f t="shared" si="0"/>
        <v>0</v>
      </c>
      <c r="CF62" s="433">
        <f t="shared" si="1"/>
        <v>0</v>
      </c>
      <c r="CG62" s="433">
        <f t="shared" si="2"/>
        <v>0</v>
      </c>
      <c r="CH62" s="433">
        <f t="shared" si="3"/>
        <v>0</v>
      </c>
      <c r="CI62" s="433">
        <f t="shared" si="4"/>
        <v>0</v>
      </c>
      <c r="CJ62" s="433">
        <f t="shared" si="5"/>
        <v>0</v>
      </c>
      <c r="CK62" s="433">
        <f t="shared" si="6"/>
        <v>0</v>
      </c>
      <c r="CL62" s="433">
        <f t="shared" si="7"/>
        <v>0</v>
      </c>
      <c r="CM62" s="433">
        <f t="shared" si="8"/>
        <v>0</v>
      </c>
      <c r="CN62" s="433">
        <f t="shared" si="9"/>
        <v>0</v>
      </c>
      <c r="CO62" s="433">
        <f t="shared" si="10"/>
        <v>0</v>
      </c>
      <c r="CP62" s="433">
        <f t="shared" si="11"/>
        <v>0</v>
      </c>
      <c r="CQ62" s="433">
        <f t="shared" si="12"/>
        <v>0</v>
      </c>
      <c r="CR62" s="433">
        <f t="shared" si="13"/>
        <v>0</v>
      </c>
      <c r="CS62" s="433">
        <f t="shared" si="14"/>
        <v>0</v>
      </c>
      <c r="CT62" s="21"/>
    </row>
    <row r="63" spans="3:98" ht="24.75" hidden="1" customHeight="1" outlineLevel="2">
      <c r="C63" s="437" t="s">
        <v>192</v>
      </c>
      <c r="D63" s="427">
        <v>0</v>
      </c>
      <c r="E63" s="427">
        <v>0</v>
      </c>
      <c r="F63" s="427">
        <v>0</v>
      </c>
      <c r="G63" s="427">
        <v>0</v>
      </c>
      <c r="H63" s="434">
        <v>0</v>
      </c>
      <c r="I63" s="434">
        <v>0</v>
      </c>
      <c r="J63" s="434">
        <v>0</v>
      </c>
      <c r="K63" s="434">
        <v>0</v>
      </c>
      <c r="L63" s="434">
        <v>0</v>
      </c>
      <c r="M63" s="434">
        <v>0</v>
      </c>
      <c r="N63" s="434">
        <v>0</v>
      </c>
      <c r="O63" s="434">
        <v>0</v>
      </c>
      <c r="P63" s="434">
        <v>0</v>
      </c>
      <c r="Q63" s="434">
        <v>0</v>
      </c>
      <c r="R63" s="434">
        <v>0</v>
      </c>
      <c r="S63" s="434">
        <v>0</v>
      </c>
      <c r="T63" s="434">
        <v>0</v>
      </c>
      <c r="U63" s="434">
        <v>0</v>
      </c>
      <c r="V63" s="434">
        <v>0</v>
      </c>
      <c r="W63" s="434">
        <v>0</v>
      </c>
      <c r="X63" s="434">
        <v>0</v>
      </c>
      <c r="Y63" s="434">
        <v>0</v>
      </c>
      <c r="Z63" s="434">
        <v>0</v>
      </c>
      <c r="AA63" s="434">
        <v>0</v>
      </c>
      <c r="AB63" s="434">
        <v>0</v>
      </c>
      <c r="AC63" s="434">
        <v>0</v>
      </c>
      <c r="AD63" s="434">
        <v>0</v>
      </c>
      <c r="AE63" s="434">
        <v>0</v>
      </c>
      <c r="AF63" s="434">
        <v>0</v>
      </c>
      <c r="AG63" s="434">
        <v>0</v>
      </c>
      <c r="AH63" s="434">
        <v>0</v>
      </c>
      <c r="AI63" s="434">
        <v>0</v>
      </c>
      <c r="AJ63" s="434">
        <v>0</v>
      </c>
      <c r="AK63" s="434">
        <v>0</v>
      </c>
      <c r="AL63" s="434">
        <v>0</v>
      </c>
      <c r="AM63" s="434">
        <v>0</v>
      </c>
      <c r="AN63" s="434">
        <v>0</v>
      </c>
      <c r="AO63" s="434">
        <v>0</v>
      </c>
      <c r="AP63" s="434">
        <v>0</v>
      </c>
      <c r="AQ63" s="434">
        <v>0</v>
      </c>
      <c r="AR63" s="434">
        <v>0</v>
      </c>
      <c r="AS63" s="434">
        <v>0</v>
      </c>
      <c r="AT63" s="434">
        <v>0</v>
      </c>
      <c r="AU63" s="434">
        <v>0</v>
      </c>
      <c r="AV63" s="434">
        <v>0</v>
      </c>
      <c r="AW63" s="434">
        <v>0</v>
      </c>
      <c r="AX63" s="434">
        <v>0</v>
      </c>
      <c r="AY63" s="434">
        <v>0</v>
      </c>
      <c r="AZ63" s="434">
        <v>0</v>
      </c>
      <c r="BA63" s="434">
        <v>0</v>
      </c>
      <c r="BB63" s="434">
        <v>0</v>
      </c>
      <c r="BC63" s="434">
        <v>0</v>
      </c>
      <c r="BD63" s="434">
        <v>0</v>
      </c>
      <c r="BE63" s="434">
        <v>0</v>
      </c>
      <c r="BF63" s="434">
        <v>0</v>
      </c>
      <c r="BG63" s="434">
        <v>0</v>
      </c>
      <c r="BH63" s="434">
        <v>0</v>
      </c>
      <c r="BI63" s="434">
        <v>0</v>
      </c>
      <c r="BJ63" s="434">
        <v>0</v>
      </c>
      <c r="BK63" s="434">
        <v>0</v>
      </c>
      <c r="BL63" s="434">
        <v>0</v>
      </c>
      <c r="BM63" s="434">
        <v>0</v>
      </c>
      <c r="BN63" s="434">
        <v>0</v>
      </c>
      <c r="BO63" s="434">
        <v>0</v>
      </c>
      <c r="BP63" s="434">
        <v>0</v>
      </c>
      <c r="BQ63" s="434">
        <v>0</v>
      </c>
      <c r="BR63" s="434">
        <v>0</v>
      </c>
      <c r="BS63" s="434">
        <v>0</v>
      </c>
      <c r="BT63" s="434">
        <v>0</v>
      </c>
      <c r="BU63" s="434">
        <v>0</v>
      </c>
      <c r="BV63" s="434">
        <v>0</v>
      </c>
      <c r="BW63" s="434">
        <v>0</v>
      </c>
      <c r="BX63" s="434">
        <v>0</v>
      </c>
      <c r="BY63" s="434">
        <v>0</v>
      </c>
      <c r="BZ63" s="434">
        <v>0</v>
      </c>
      <c r="CC63" s="21"/>
      <c r="CD63" s="437" t="s">
        <v>192</v>
      </c>
      <c r="CE63" s="433">
        <f t="shared" si="0"/>
        <v>0</v>
      </c>
      <c r="CF63" s="433">
        <f t="shared" si="1"/>
        <v>0</v>
      </c>
      <c r="CG63" s="433">
        <f t="shared" si="2"/>
        <v>0</v>
      </c>
      <c r="CH63" s="433">
        <f t="shared" si="3"/>
        <v>0</v>
      </c>
      <c r="CI63" s="433">
        <f t="shared" si="4"/>
        <v>0</v>
      </c>
      <c r="CJ63" s="433">
        <f t="shared" si="5"/>
        <v>0</v>
      </c>
      <c r="CK63" s="433">
        <f t="shared" si="6"/>
        <v>0</v>
      </c>
      <c r="CL63" s="433">
        <f t="shared" si="7"/>
        <v>0</v>
      </c>
      <c r="CM63" s="433">
        <f t="shared" si="8"/>
        <v>0</v>
      </c>
      <c r="CN63" s="433">
        <f t="shared" si="9"/>
        <v>0</v>
      </c>
      <c r="CO63" s="433">
        <f t="shared" si="10"/>
        <v>0</v>
      </c>
      <c r="CP63" s="433">
        <f t="shared" si="11"/>
        <v>0</v>
      </c>
      <c r="CQ63" s="433">
        <f t="shared" si="12"/>
        <v>0</v>
      </c>
      <c r="CR63" s="433">
        <f t="shared" si="13"/>
        <v>0</v>
      </c>
      <c r="CS63" s="433">
        <f t="shared" si="14"/>
        <v>0</v>
      </c>
      <c r="CT63" s="21"/>
    </row>
    <row r="64" spans="3:98" ht="24.75" hidden="1" customHeight="1" outlineLevel="1">
      <c r="C64" s="426" t="s">
        <v>188</v>
      </c>
      <c r="D64" s="427">
        <v>0</v>
      </c>
      <c r="E64" s="427">
        <v>0</v>
      </c>
      <c r="F64" s="427">
        <v>0</v>
      </c>
      <c r="G64" s="427">
        <v>0</v>
      </c>
      <c r="H64" s="427">
        <v>0</v>
      </c>
      <c r="I64" s="427">
        <v>0</v>
      </c>
      <c r="J64" s="427">
        <v>0</v>
      </c>
      <c r="K64" s="427">
        <v>0</v>
      </c>
      <c r="L64" s="427">
        <v>0</v>
      </c>
      <c r="M64" s="427">
        <v>0</v>
      </c>
      <c r="N64" s="427">
        <v>0</v>
      </c>
      <c r="O64" s="427">
        <v>0</v>
      </c>
      <c r="P64" s="427">
        <v>0</v>
      </c>
      <c r="Q64" s="427">
        <v>0</v>
      </c>
      <c r="R64" s="427">
        <v>0</v>
      </c>
      <c r="S64" s="427">
        <v>0</v>
      </c>
      <c r="T64" s="427">
        <v>0</v>
      </c>
      <c r="U64" s="427">
        <v>0</v>
      </c>
      <c r="V64" s="427">
        <v>0</v>
      </c>
      <c r="W64" s="427">
        <v>0</v>
      </c>
      <c r="X64" s="427">
        <v>0</v>
      </c>
      <c r="Y64" s="427">
        <v>0</v>
      </c>
      <c r="Z64" s="427">
        <v>0</v>
      </c>
      <c r="AA64" s="427">
        <v>0</v>
      </c>
      <c r="AB64" s="427">
        <v>0</v>
      </c>
      <c r="AC64" s="427">
        <v>0</v>
      </c>
      <c r="AD64" s="427">
        <v>0</v>
      </c>
      <c r="AE64" s="427">
        <v>0</v>
      </c>
      <c r="AF64" s="427">
        <v>0</v>
      </c>
      <c r="AG64" s="427">
        <v>0</v>
      </c>
      <c r="AH64" s="427">
        <v>0</v>
      </c>
      <c r="AI64" s="427">
        <v>0</v>
      </c>
      <c r="AJ64" s="427">
        <v>0</v>
      </c>
      <c r="AK64" s="427">
        <v>0</v>
      </c>
      <c r="AL64" s="427">
        <v>0</v>
      </c>
      <c r="AM64" s="427">
        <v>0</v>
      </c>
      <c r="AN64" s="427">
        <v>0</v>
      </c>
      <c r="AO64" s="427">
        <v>0</v>
      </c>
      <c r="AP64" s="427">
        <v>0</v>
      </c>
      <c r="AQ64" s="427">
        <v>0</v>
      </c>
      <c r="AR64" s="427">
        <v>0</v>
      </c>
      <c r="AS64" s="427">
        <v>0</v>
      </c>
      <c r="AT64" s="427">
        <v>0</v>
      </c>
      <c r="AU64" s="427">
        <v>0</v>
      </c>
      <c r="AV64" s="427">
        <v>0</v>
      </c>
      <c r="AW64" s="427">
        <v>0</v>
      </c>
      <c r="AX64" s="427">
        <v>0</v>
      </c>
      <c r="AY64" s="427">
        <v>0</v>
      </c>
      <c r="AZ64" s="427">
        <v>0</v>
      </c>
      <c r="BA64" s="427">
        <v>0</v>
      </c>
      <c r="BB64" s="427">
        <v>0</v>
      </c>
      <c r="BC64" s="427">
        <v>0</v>
      </c>
      <c r="BD64" s="427">
        <v>0</v>
      </c>
      <c r="BE64" s="427">
        <v>0</v>
      </c>
      <c r="BF64" s="427">
        <v>0</v>
      </c>
      <c r="BG64" s="427">
        <v>0</v>
      </c>
      <c r="BH64" s="427">
        <v>0</v>
      </c>
      <c r="BI64" s="427">
        <v>0</v>
      </c>
      <c r="BJ64" s="427">
        <v>0</v>
      </c>
      <c r="BK64" s="427">
        <v>0</v>
      </c>
      <c r="BL64" s="427">
        <v>0</v>
      </c>
      <c r="BM64" s="427">
        <v>0</v>
      </c>
      <c r="BN64" s="427">
        <v>0</v>
      </c>
      <c r="BO64" s="427">
        <v>0</v>
      </c>
      <c r="BP64" s="427">
        <v>0</v>
      </c>
      <c r="BQ64" s="427">
        <v>0</v>
      </c>
      <c r="BR64" s="427">
        <v>0</v>
      </c>
      <c r="BS64" s="427">
        <v>0</v>
      </c>
      <c r="BT64" s="427">
        <v>0</v>
      </c>
      <c r="BU64" s="427">
        <v>0</v>
      </c>
      <c r="BV64" s="427">
        <v>0</v>
      </c>
      <c r="BW64" s="427">
        <v>0</v>
      </c>
      <c r="BX64" s="427">
        <v>0</v>
      </c>
      <c r="BY64" s="427">
        <v>0</v>
      </c>
      <c r="BZ64" s="427">
        <v>0</v>
      </c>
      <c r="CC64" s="21"/>
      <c r="CD64" s="426" t="s">
        <v>188</v>
      </c>
      <c r="CE64" s="433">
        <f t="shared" si="0"/>
        <v>0</v>
      </c>
      <c r="CF64" s="433">
        <f t="shared" si="1"/>
        <v>0</v>
      </c>
      <c r="CG64" s="433">
        <f t="shared" si="2"/>
        <v>0</v>
      </c>
      <c r="CH64" s="433">
        <f t="shared" si="3"/>
        <v>0</v>
      </c>
      <c r="CI64" s="433">
        <f t="shared" si="4"/>
        <v>0</v>
      </c>
      <c r="CJ64" s="433">
        <f t="shared" si="5"/>
        <v>0</v>
      </c>
      <c r="CK64" s="433">
        <f t="shared" si="6"/>
        <v>0</v>
      </c>
      <c r="CL64" s="433">
        <f t="shared" si="7"/>
        <v>0</v>
      </c>
      <c r="CM64" s="433">
        <f t="shared" si="8"/>
        <v>0</v>
      </c>
      <c r="CN64" s="433">
        <f t="shared" si="9"/>
        <v>0</v>
      </c>
      <c r="CO64" s="433">
        <f t="shared" si="10"/>
        <v>0</v>
      </c>
      <c r="CP64" s="433">
        <f t="shared" si="11"/>
        <v>0</v>
      </c>
      <c r="CQ64" s="433">
        <f t="shared" si="12"/>
        <v>0</v>
      </c>
      <c r="CR64" s="433">
        <f t="shared" si="13"/>
        <v>0</v>
      </c>
      <c r="CS64" s="433">
        <f t="shared" si="14"/>
        <v>0</v>
      </c>
      <c r="CT64" s="21"/>
    </row>
    <row r="65" spans="3:98" ht="24.75" hidden="1" customHeight="1" outlineLevel="1">
      <c r="C65" s="426" t="s">
        <v>193</v>
      </c>
      <c r="D65" s="427">
        <v>0</v>
      </c>
      <c r="E65" s="427">
        <v>0</v>
      </c>
      <c r="F65" s="427">
        <v>0</v>
      </c>
      <c r="G65" s="427">
        <v>0</v>
      </c>
      <c r="H65" s="434">
        <v>0</v>
      </c>
      <c r="I65" s="427">
        <v>0</v>
      </c>
      <c r="J65" s="427">
        <v>0</v>
      </c>
      <c r="K65" s="427">
        <v>0</v>
      </c>
      <c r="L65" s="427">
        <v>0</v>
      </c>
      <c r="M65" s="434">
        <v>0</v>
      </c>
      <c r="N65" s="434">
        <v>0</v>
      </c>
      <c r="O65" s="434">
        <v>0</v>
      </c>
      <c r="P65" s="434">
        <v>0</v>
      </c>
      <c r="Q65" s="434">
        <v>0</v>
      </c>
      <c r="R65" s="434">
        <v>0</v>
      </c>
      <c r="S65" s="434">
        <v>0</v>
      </c>
      <c r="T65" s="434">
        <v>0</v>
      </c>
      <c r="U65" s="434">
        <v>0</v>
      </c>
      <c r="V65" s="434">
        <v>0</v>
      </c>
      <c r="W65" s="434">
        <v>0</v>
      </c>
      <c r="X65" s="434">
        <v>0</v>
      </c>
      <c r="Y65" s="434">
        <v>0</v>
      </c>
      <c r="Z65" s="434">
        <v>0</v>
      </c>
      <c r="AA65" s="434">
        <v>0</v>
      </c>
      <c r="AB65" s="434">
        <v>0</v>
      </c>
      <c r="AC65" s="434">
        <v>0</v>
      </c>
      <c r="AD65" s="434">
        <v>0</v>
      </c>
      <c r="AE65" s="434">
        <v>0</v>
      </c>
      <c r="AF65" s="434">
        <v>0</v>
      </c>
      <c r="AG65" s="434">
        <v>0</v>
      </c>
      <c r="AH65" s="434">
        <v>0</v>
      </c>
      <c r="AI65" s="434">
        <v>0</v>
      </c>
      <c r="AJ65" s="434">
        <v>0</v>
      </c>
      <c r="AK65" s="434">
        <v>0</v>
      </c>
      <c r="AL65" s="434">
        <v>0</v>
      </c>
      <c r="AM65" s="434">
        <v>0</v>
      </c>
      <c r="AN65" s="434">
        <v>0</v>
      </c>
      <c r="AO65" s="434">
        <v>0</v>
      </c>
      <c r="AP65" s="434">
        <v>0</v>
      </c>
      <c r="AQ65" s="434">
        <v>0</v>
      </c>
      <c r="AR65" s="434">
        <v>0</v>
      </c>
      <c r="AS65" s="434">
        <v>0</v>
      </c>
      <c r="AT65" s="434">
        <v>0</v>
      </c>
      <c r="AU65" s="434">
        <v>0</v>
      </c>
      <c r="AV65" s="434">
        <v>0</v>
      </c>
      <c r="AW65" s="434">
        <v>0</v>
      </c>
      <c r="AX65" s="434">
        <v>0</v>
      </c>
      <c r="AY65" s="434">
        <v>0</v>
      </c>
      <c r="AZ65" s="434">
        <v>0</v>
      </c>
      <c r="BA65" s="434">
        <v>0</v>
      </c>
      <c r="BB65" s="434">
        <v>0</v>
      </c>
      <c r="BC65" s="434">
        <v>0</v>
      </c>
      <c r="BD65" s="434">
        <v>0</v>
      </c>
      <c r="BE65" s="434">
        <v>0</v>
      </c>
      <c r="BF65" s="434">
        <v>7.7130000000000001</v>
      </c>
      <c r="BG65" s="434">
        <v>0</v>
      </c>
      <c r="BH65" s="434">
        <v>0</v>
      </c>
      <c r="BI65" s="434">
        <v>0</v>
      </c>
      <c r="BJ65" s="434">
        <v>0.35799999999999998</v>
      </c>
      <c r="BK65" s="434">
        <v>0.35799999999999998</v>
      </c>
      <c r="BL65" s="434">
        <v>0</v>
      </c>
      <c r="BM65" s="434">
        <v>0</v>
      </c>
      <c r="BN65" s="434">
        <v>0</v>
      </c>
      <c r="BO65" s="434">
        <v>0.53500000000000003</v>
      </c>
      <c r="BP65" s="434">
        <v>0.53500000000000003</v>
      </c>
      <c r="BQ65" s="434">
        <v>0</v>
      </c>
      <c r="BR65" s="434">
        <v>0</v>
      </c>
      <c r="BS65" s="434">
        <v>0</v>
      </c>
      <c r="BT65" s="434">
        <v>0.16300000000000001</v>
      </c>
      <c r="BU65" s="434">
        <v>0.16300000000000001</v>
      </c>
      <c r="BV65" s="434">
        <v>0</v>
      </c>
      <c r="BW65" s="434">
        <v>0</v>
      </c>
      <c r="BX65" s="434">
        <v>0</v>
      </c>
      <c r="BY65" s="434">
        <v>0</v>
      </c>
      <c r="BZ65" s="434">
        <v>0</v>
      </c>
      <c r="CC65" s="21"/>
      <c r="CD65" s="426" t="s">
        <v>193</v>
      </c>
      <c r="CE65" s="433">
        <f t="shared" si="0"/>
        <v>0</v>
      </c>
      <c r="CF65" s="433">
        <f t="shared" si="1"/>
        <v>0</v>
      </c>
      <c r="CG65" s="433">
        <f t="shared" si="2"/>
        <v>0</v>
      </c>
      <c r="CH65" s="433">
        <f t="shared" si="3"/>
        <v>0</v>
      </c>
      <c r="CI65" s="433">
        <f t="shared" si="4"/>
        <v>0</v>
      </c>
      <c r="CJ65" s="433">
        <f t="shared" si="5"/>
        <v>0</v>
      </c>
      <c r="CK65" s="433">
        <f t="shared" si="6"/>
        <v>0</v>
      </c>
      <c r="CL65" s="433">
        <f t="shared" si="7"/>
        <v>0</v>
      </c>
      <c r="CM65" s="433">
        <f t="shared" si="8"/>
        <v>0</v>
      </c>
      <c r="CN65" s="433">
        <f t="shared" si="9"/>
        <v>0</v>
      </c>
      <c r="CO65" s="433">
        <f t="shared" si="10"/>
        <v>7.7130000000000001</v>
      </c>
      <c r="CP65" s="433">
        <f t="shared" si="11"/>
        <v>0.35799999999999998</v>
      </c>
      <c r="CQ65" s="433">
        <f t="shared" si="12"/>
        <v>0.53500000000000003</v>
      </c>
      <c r="CR65" s="433">
        <f t="shared" si="13"/>
        <v>0.16300000000000001</v>
      </c>
      <c r="CS65" s="433">
        <f t="shared" si="14"/>
        <v>0</v>
      </c>
      <c r="CT65" s="21"/>
    </row>
    <row r="66" spans="3:98" ht="24.75" hidden="1" customHeight="1" outlineLevel="1">
      <c r="C66" s="426" t="s">
        <v>194</v>
      </c>
      <c r="D66" s="427">
        <v>0</v>
      </c>
      <c r="E66" s="427">
        <v>0</v>
      </c>
      <c r="F66" s="427">
        <v>0</v>
      </c>
      <c r="G66" s="427">
        <v>0</v>
      </c>
      <c r="H66" s="427">
        <v>0</v>
      </c>
      <c r="I66" s="427">
        <v>0</v>
      </c>
      <c r="J66" s="427">
        <v>0</v>
      </c>
      <c r="K66" s="427">
        <v>0</v>
      </c>
      <c r="L66" s="427">
        <v>0</v>
      </c>
      <c r="M66" s="427">
        <v>0</v>
      </c>
      <c r="N66" s="427">
        <v>0</v>
      </c>
      <c r="O66" s="427">
        <v>0</v>
      </c>
      <c r="P66" s="427">
        <v>0</v>
      </c>
      <c r="Q66" s="427">
        <v>0</v>
      </c>
      <c r="R66" s="427">
        <v>0</v>
      </c>
      <c r="S66" s="427">
        <v>0</v>
      </c>
      <c r="T66" s="427">
        <v>0</v>
      </c>
      <c r="U66" s="427">
        <v>0</v>
      </c>
      <c r="V66" s="427">
        <v>0</v>
      </c>
      <c r="W66" s="427">
        <v>0</v>
      </c>
      <c r="X66" s="427">
        <v>0</v>
      </c>
      <c r="Y66" s="427">
        <v>0</v>
      </c>
      <c r="Z66" s="427">
        <v>0</v>
      </c>
      <c r="AA66" s="427">
        <v>0</v>
      </c>
      <c r="AB66" s="427">
        <v>0</v>
      </c>
      <c r="AC66" s="427">
        <v>0</v>
      </c>
      <c r="AD66" s="427">
        <v>0</v>
      </c>
      <c r="AE66" s="427">
        <v>0</v>
      </c>
      <c r="AF66" s="427">
        <v>0</v>
      </c>
      <c r="AG66" s="427">
        <v>0</v>
      </c>
      <c r="AH66" s="427">
        <v>0</v>
      </c>
      <c r="AI66" s="427">
        <v>0</v>
      </c>
      <c r="AJ66" s="427">
        <v>0</v>
      </c>
      <c r="AK66" s="427">
        <v>0</v>
      </c>
      <c r="AL66" s="427">
        <v>0</v>
      </c>
      <c r="AM66" s="427">
        <v>0</v>
      </c>
      <c r="AN66" s="427">
        <v>0</v>
      </c>
      <c r="AO66" s="427">
        <v>0</v>
      </c>
      <c r="AP66" s="427">
        <v>0</v>
      </c>
      <c r="AQ66" s="427">
        <v>0</v>
      </c>
      <c r="AR66" s="427">
        <v>0</v>
      </c>
      <c r="AS66" s="427">
        <v>0</v>
      </c>
      <c r="AT66" s="427">
        <v>0</v>
      </c>
      <c r="AU66" s="427">
        <v>0</v>
      </c>
      <c r="AV66" s="427">
        <v>0</v>
      </c>
      <c r="AW66" s="427">
        <v>0</v>
      </c>
      <c r="AX66" s="427">
        <v>0</v>
      </c>
      <c r="AY66" s="427">
        <v>0</v>
      </c>
      <c r="AZ66" s="427">
        <v>0</v>
      </c>
      <c r="BA66" s="427">
        <v>0</v>
      </c>
      <c r="BB66" s="427">
        <v>0</v>
      </c>
      <c r="BC66" s="427">
        <v>0</v>
      </c>
      <c r="BD66" s="427">
        <v>0</v>
      </c>
      <c r="BE66" s="427">
        <v>0</v>
      </c>
      <c r="BF66" s="427">
        <v>123.386</v>
      </c>
      <c r="BG66" s="427">
        <v>0</v>
      </c>
      <c r="BH66" s="427">
        <v>0</v>
      </c>
      <c r="BI66" s="427">
        <v>0</v>
      </c>
      <c r="BJ66" s="427">
        <v>100.845</v>
      </c>
      <c r="BK66" s="427">
        <v>100.845</v>
      </c>
      <c r="BL66" s="427">
        <v>110.791</v>
      </c>
      <c r="BM66" s="427">
        <v>105.29600000000001</v>
      </c>
      <c r="BN66" s="427">
        <v>105.583</v>
      </c>
      <c r="BO66" s="427">
        <v>98.385000000000005</v>
      </c>
      <c r="BP66" s="427">
        <v>98.385000000000005</v>
      </c>
      <c r="BQ66" s="427">
        <v>91.430999999999997</v>
      </c>
      <c r="BR66" s="427">
        <v>85.971999999999994</v>
      </c>
      <c r="BS66" s="427">
        <v>76.465000000000003</v>
      </c>
      <c r="BT66" s="427">
        <v>69.356999999999999</v>
      </c>
      <c r="BU66" s="427">
        <v>69.356999999999999</v>
      </c>
      <c r="BV66" s="427">
        <v>38.863999999999997</v>
      </c>
      <c r="BW66" s="427">
        <v>18.21</v>
      </c>
      <c r="BX66" s="427">
        <v>15.412000000000001</v>
      </c>
      <c r="BY66" s="427">
        <v>0</v>
      </c>
      <c r="BZ66" s="427">
        <v>0</v>
      </c>
      <c r="CC66" s="21"/>
      <c r="CD66" s="426" t="s">
        <v>194</v>
      </c>
      <c r="CE66" s="433">
        <f t="shared" si="0"/>
        <v>0</v>
      </c>
      <c r="CF66" s="433">
        <f t="shared" si="1"/>
        <v>0</v>
      </c>
      <c r="CG66" s="433">
        <f t="shared" si="2"/>
        <v>0</v>
      </c>
      <c r="CH66" s="433">
        <f t="shared" si="3"/>
        <v>0</v>
      </c>
      <c r="CI66" s="433">
        <f t="shared" si="4"/>
        <v>0</v>
      </c>
      <c r="CJ66" s="433">
        <f t="shared" si="5"/>
        <v>0</v>
      </c>
      <c r="CK66" s="433">
        <f t="shared" si="6"/>
        <v>0</v>
      </c>
      <c r="CL66" s="433">
        <f t="shared" si="7"/>
        <v>0</v>
      </c>
      <c r="CM66" s="433">
        <f t="shared" si="8"/>
        <v>0</v>
      </c>
      <c r="CN66" s="433">
        <f t="shared" si="9"/>
        <v>0</v>
      </c>
      <c r="CO66" s="433">
        <f t="shared" si="10"/>
        <v>123.386</v>
      </c>
      <c r="CP66" s="433">
        <f t="shared" si="11"/>
        <v>100.845</v>
      </c>
      <c r="CQ66" s="433">
        <f t="shared" si="12"/>
        <v>98.385000000000005</v>
      </c>
      <c r="CR66" s="433">
        <f t="shared" si="13"/>
        <v>69.356999999999999</v>
      </c>
      <c r="CS66" s="433">
        <f t="shared" si="14"/>
        <v>0</v>
      </c>
      <c r="CT66" s="21"/>
    </row>
    <row r="67" spans="3:98" ht="24.75" hidden="1" customHeight="1" outlineLevel="1">
      <c r="C67" s="426" t="s">
        <v>195</v>
      </c>
      <c r="D67" s="427">
        <v>0</v>
      </c>
      <c r="E67" s="427">
        <v>0</v>
      </c>
      <c r="F67" s="427">
        <v>0</v>
      </c>
      <c r="G67" s="427">
        <v>0</v>
      </c>
      <c r="H67" s="427">
        <v>0</v>
      </c>
      <c r="I67" s="427">
        <v>0</v>
      </c>
      <c r="J67" s="427">
        <v>0</v>
      </c>
      <c r="K67" s="427">
        <v>0</v>
      </c>
      <c r="L67" s="427">
        <v>0</v>
      </c>
      <c r="M67" s="427">
        <v>0</v>
      </c>
      <c r="N67" s="427">
        <v>0</v>
      </c>
      <c r="O67" s="427">
        <v>0</v>
      </c>
      <c r="P67" s="427">
        <v>0</v>
      </c>
      <c r="Q67" s="427">
        <v>0</v>
      </c>
      <c r="R67" s="427">
        <v>0</v>
      </c>
      <c r="S67" s="427">
        <v>0</v>
      </c>
      <c r="T67" s="427">
        <v>0</v>
      </c>
      <c r="U67" s="427">
        <v>0</v>
      </c>
      <c r="V67" s="427">
        <v>0</v>
      </c>
      <c r="W67" s="427">
        <v>0</v>
      </c>
      <c r="X67" s="427">
        <v>0</v>
      </c>
      <c r="Y67" s="427">
        <v>0</v>
      </c>
      <c r="Z67" s="427">
        <v>0</v>
      </c>
      <c r="AA67" s="427">
        <v>0</v>
      </c>
      <c r="AB67" s="427">
        <v>0</v>
      </c>
      <c r="AC67" s="427">
        <v>0</v>
      </c>
      <c r="AD67" s="427">
        <v>0</v>
      </c>
      <c r="AE67" s="427">
        <v>0</v>
      </c>
      <c r="AF67" s="427">
        <v>0</v>
      </c>
      <c r="AG67" s="427">
        <v>0</v>
      </c>
      <c r="AH67" s="427">
        <v>0</v>
      </c>
      <c r="AI67" s="427">
        <v>0</v>
      </c>
      <c r="AJ67" s="427">
        <v>0</v>
      </c>
      <c r="AK67" s="427">
        <v>0</v>
      </c>
      <c r="AL67" s="427">
        <v>0</v>
      </c>
      <c r="AM67" s="427">
        <v>0</v>
      </c>
      <c r="AN67" s="427">
        <v>0</v>
      </c>
      <c r="AO67" s="427">
        <v>0</v>
      </c>
      <c r="AP67" s="427">
        <v>0</v>
      </c>
      <c r="AQ67" s="427">
        <v>0</v>
      </c>
      <c r="AR67" s="427">
        <v>0</v>
      </c>
      <c r="AS67" s="427">
        <v>0</v>
      </c>
      <c r="AT67" s="427">
        <v>0</v>
      </c>
      <c r="AU67" s="427">
        <v>0</v>
      </c>
      <c r="AV67" s="427">
        <v>0</v>
      </c>
      <c r="AW67" s="427">
        <v>0</v>
      </c>
      <c r="AX67" s="427">
        <v>0</v>
      </c>
      <c r="AY67" s="427">
        <v>0</v>
      </c>
      <c r="AZ67" s="427">
        <v>0</v>
      </c>
      <c r="BA67" s="427">
        <v>0</v>
      </c>
      <c r="BB67" s="427">
        <v>0</v>
      </c>
      <c r="BC67" s="427">
        <v>0</v>
      </c>
      <c r="BD67" s="427">
        <v>0</v>
      </c>
      <c r="BE67" s="427">
        <v>0</v>
      </c>
      <c r="BF67" s="427">
        <v>0</v>
      </c>
      <c r="BG67" s="427">
        <v>0</v>
      </c>
      <c r="BH67" s="427">
        <v>0</v>
      </c>
      <c r="BI67" s="427">
        <v>0</v>
      </c>
      <c r="BJ67" s="427">
        <v>0</v>
      </c>
      <c r="BK67" s="427">
        <v>0</v>
      </c>
      <c r="BL67" s="427">
        <v>50.331000000000003</v>
      </c>
      <c r="BM67" s="427">
        <v>52.174999999999997</v>
      </c>
      <c r="BN67" s="427">
        <v>55.631999999999998</v>
      </c>
      <c r="BO67" s="427">
        <v>0</v>
      </c>
      <c r="BP67" s="427">
        <v>0</v>
      </c>
      <c r="BQ67" s="427">
        <v>65.861000000000004</v>
      </c>
      <c r="BR67" s="427">
        <v>142.209</v>
      </c>
      <c r="BS67" s="427">
        <v>170.922</v>
      </c>
      <c r="BT67" s="427">
        <v>0</v>
      </c>
      <c r="BU67" s="427">
        <v>0</v>
      </c>
      <c r="BV67" s="427">
        <v>172.84299999999999</v>
      </c>
      <c r="BW67" s="427">
        <v>186.04599999999999</v>
      </c>
      <c r="BX67" s="427">
        <v>202.274</v>
      </c>
      <c r="BY67" s="427">
        <v>0</v>
      </c>
      <c r="BZ67" s="427">
        <v>0</v>
      </c>
      <c r="CC67" s="21"/>
      <c r="CD67" s="426" t="s">
        <v>195</v>
      </c>
      <c r="CE67" s="433">
        <f t="shared" si="0"/>
        <v>0</v>
      </c>
      <c r="CF67" s="433">
        <f t="shared" si="1"/>
        <v>0</v>
      </c>
      <c r="CG67" s="433">
        <f t="shared" si="2"/>
        <v>0</v>
      </c>
      <c r="CH67" s="433">
        <f t="shared" si="3"/>
        <v>0</v>
      </c>
      <c r="CI67" s="433">
        <f t="shared" si="4"/>
        <v>0</v>
      </c>
      <c r="CJ67" s="433">
        <f t="shared" si="5"/>
        <v>0</v>
      </c>
      <c r="CK67" s="433">
        <f t="shared" si="6"/>
        <v>0</v>
      </c>
      <c r="CL67" s="433">
        <f t="shared" si="7"/>
        <v>0</v>
      </c>
      <c r="CM67" s="433">
        <f t="shared" si="8"/>
        <v>0</v>
      </c>
      <c r="CN67" s="433">
        <f t="shared" si="9"/>
        <v>0</v>
      </c>
      <c r="CO67" s="433">
        <f t="shared" si="10"/>
        <v>0</v>
      </c>
      <c r="CP67" s="433">
        <f t="shared" si="11"/>
        <v>0</v>
      </c>
      <c r="CQ67" s="433">
        <f t="shared" si="12"/>
        <v>0</v>
      </c>
      <c r="CR67" s="433">
        <f t="shared" si="13"/>
        <v>0</v>
      </c>
      <c r="CS67" s="433">
        <f t="shared" si="14"/>
        <v>0</v>
      </c>
      <c r="CT67" s="21"/>
    </row>
    <row r="68" spans="3:98" ht="24.75" hidden="1" customHeight="1" outlineLevel="1" collapsed="1">
      <c r="C68" s="424" t="s">
        <v>177</v>
      </c>
      <c r="D68" s="427">
        <v>0</v>
      </c>
      <c r="E68" s="427">
        <v>0</v>
      </c>
      <c r="F68" s="427">
        <v>0</v>
      </c>
      <c r="G68" s="427">
        <v>0</v>
      </c>
      <c r="H68" s="427">
        <v>0</v>
      </c>
      <c r="I68" s="427">
        <v>0</v>
      </c>
      <c r="J68" s="427">
        <v>0</v>
      </c>
      <c r="K68" s="427">
        <v>0</v>
      </c>
      <c r="L68" s="427">
        <v>0</v>
      </c>
      <c r="M68" s="427">
        <v>0</v>
      </c>
      <c r="N68" s="427">
        <v>0</v>
      </c>
      <c r="O68" s="427">
        <v>0</v>
      </c>
      <c r="P68" s="427">
        <v>0</v>
      </c>
      <c r="Q68" s="427">
        <v>0</v>
      </c>
      <c r="R68" s="427">
        <v>0</v>
      </c>
      <c r="S68" s="427">
        <v>0</v>
      </c>
      <c r="T68" s="427">
        <v>0</v>
      </c>
      <c r="U68" s="427">
        <v>0</v>
      </c>
      <c r="V68" s="427">
        <v>0</v>
      </c>
      <c r="W68" s="427">
        <v>0</v>
      </c>
      <c r="X68" s="427">
        <v>0</v>
      </c>
      <c r="Y68" s="427">
        <v>0</v>
      </c>
      <c r="Z68" s="427">
        <v>0</v>
      </c>
      <c r="AA68" s="427">
        <v>0</v>
      </c>
      <c r="AB68" s="427">
        <v>0</v>
      </c>
      <c r="AC68" s="427">
        <v>0</v>
      </c>
      <c r="AD68" s="427">
        <v>0</v>
      </c>
      <c r="AE68" s="427">
        <v>0</v>
      </c>
      <c r="AF68" s="427">
        <v>0</v>
      </c>
      <c r="AG68" s="427">
        <v>0</v>
      </c>
      <c r="AH68" s="427">
        <v>0</v>
      </c>
      <c r="AI68" s="427">
        <v>0</v>
      </c>
      <c r="AJ68" s="427">
        <v>0</v>
      </c>
      <c r="AK68" s="427">
        <v>0</v>
      </c>
      <c r="AL68" s="427">
        <v>0</v>
      </c>
      <c r="AM68" s="427">
        <v>0</v>
      </c>
      <c r="AN68" s="427">
        <v>0</v>
      </c>
      <c r="AO68" s="427">
        <v>0</v>
      </c>
      <c r="AP68" s="427">
        <v>0</v>
      </c>
      <c r="AQ68" s="427">
        <v>0</v>
      </c>
      <c r="AR68" s="427">
        <v>0</v>
      </c>
      <c r="AS68" s="427">
        <v>0</v>
      </c>
      <c r="AT68" s="427">
        <v>0</v>
      </c>
      <c r="AU68" s="427">
        <v>0</v>
      </c>
      <c r="AV68" s="427">
        <v>0</v>
      </c>
      <c r="AW68" s="427">
        <v>0</v>
      </c>
      <c r="AX68" s="427">
        <v>0</v>
      </c>
      <c r="AY68" s="427">
        <v>0</v>
      </c>
      <c r="AZ68" s="427">
        <v>0</v>
      </c>
      <c r="BA68" s="427">
        <v>0</v>
      </c>
      <c r="BB68" s="427">
        <v>0</v>
      </c>
      <c r="BC68" s="427">
        <v>0</v>
      </c>
      <c r="BD68" s="427">
        <v>0</v>
      </c>
      <c r="BE68" s="427">
        <v>0</v>
      </c>
      <c r="BF68" s="427">
        <v>180.911</v>
      </c>
      <c r="BG68" s="427">
        <v>0</v>
      </c>
      <c r="BH68" s="427">
        <v>0</v>
      </c>
      <c r="BI68" s="427">
        <v>0</v>
      </c>
      <c r="BJ68" s="427">
        <v>174.583</v>
      </c>
      <c r="BK68" s="427">
        <v>174.583</v>
      </c>
      <c r="BL68" s="427">
        <v>161.12200000000001</v>
      </c>
      <c r="BM68" s="427">
        <v>157.471</v>
      </c>
      <c r="BN68" s="427">
        <v>161.215</v>
      </c>
      <c r="BO68" s="427">
        <v>199.86099999999999</v>
      </c>
      <c r="BP68" s="427">
        <v>199.86099999999999</v>
      </c>
      <c r="BQ68" s="427">
        <v>157.292</v>
      </c>
      <c r="BR68" s="427">
        <v>228.18100000000001</v>
      </c>
      <c r="BS68" s="427">
        <v>247.387</v>
      </c>
      <c r="BT68" s="427">
        <v>326.22500000000002</v>
      </c>
      <c r="BU68" s="427">
        <v>326.22500000000002</v>
      </c>
      <c r="BV68" s="427">
        <v>211.70699999999999</v>
      </c>
      <c r="BW68" s="427">
        <v>204.256</v>
      </c>
      <c r="BX68" s="427">
        <v>217.68600000000001</v>
      </c>
      <c r="BY68" s="427">
        <v>0</v>
      </c>
      <c r="BZ68" s="427">
        <v>0</v>
      </c>
      <c r="CC68" s="21"/>
      <c r="CD68" s="424" t="s">
        <v>177</v>
      </c>
      <c r="CE68" s="433">
        <f t="shared" si="0"/>
        <v>0</v>
      </c>
      <c r="CF68" s="433">
        <f t="shared" si="1"/>
        <v>0</v>
      </c>
      <c r="CG68" s="433">
        <f t="shared" si="2"/>
        <v>0</v>
      </c>
      <c r="CH68" s="433">
        <f t="shared" si="3"/>
        <v>0</v>
      </c>
      <c r="CI68" s="433">
        <f t="shared" si="4"/>
        <v>0</v>
      </c>
      <c r="CJ68" s="433">
        <f t="shared" si="5"/>
        <v>0</v>
      </c>
      <c r="CK68" s="433">
        <f t="shared" si="6"/>
        <v>0</v>
      </c>
      <c r="CL68" s="433">
        <f t="shared" si="7"/>
        <v>0</v>
      </c>
      <c r="CM68" s="433">
        <f t="shared" si="8"/>
        <v>0</v>
      </c>
      <c r="CN68" s="433">
        <f t="shared" si="9"/>
        <v>0</v>
      </c>
      <c r="CO68" s="433">
        <f t="shared" si="10"/>
        <v>180.911</v>
      </c>
      <c r="CP68" s="433">
        <f t="shared" si="11"/>
        <v>174.583</v>
      </c>
      <c r="CQ68" s="433">
        <f t="shared" si="12"/>
        <v>199.86099999999999</v>
      </c>
      <c r="CR68" s="433">
        <f t="shared" si="13"/>
        <v>326.22500000000002</v>
      </c>
      <c r="CS68" s="433">
        <f t="shared" si="14"/>
        <v>0</v>
      </c>
      <c r="CT68" s="21"/>
    </row>
    <row r="69" spans="3:98" ht="24.75" hidden="1" customHeight="1" outlineLevel="3">
      <c r="C69" s="438" t="s">
        <v>199</v>
      </c>
      <c r="D69" s="427">
        <v>0</v>
      </c>
      <c r="E69" s="427">
        <v>0</v>
      </c>
      <c r="F69" s="427">
        <v>0</v>
      </c>
      <c r="G69" s="427">
        <v>0</v>
      </c>
      <c r="H69" s="427">
        <v>0</v>
      </c>
      <c r="I69" s="427">
        <v>0</v>
      </c>
      <c r="J69" s="427">
        <v>0</v>
      </c>
      <c r="K69" s="427">
        <v>0</v>
      </c>
      <c r="L69" s="427">
        <v>0</v>
      </c>
      <c r="M69" s="427">
        <v>0</v>
      </c>
      <c r="N69" s="427">
        <v>0</v>
      </c>
      <c r="O69" s="427">
        <v>0</v>
      </c>
      <c r="P69" s="427">
        <v>0</v>
      </c>
      <c r="Q69" s="427">
        <v>0</v>
      </c>
      <c r="R69" s="427">
        <v>0</v>
      </c>
      <c r="S69" s="427">
        <v>0</v>
      </c>
      <c r="T69" s="427">
        <v>0</v>
      </c>
      <c r="U69" s="427">
        <v>0</v>
      </c>
      <c r="V69" s="427">
        <v>0</v>
      </c>
      <c r="W69" s="427">
        <v>0</v>
      </c>
      <c r="X69" s="427">
        <v>0</v>
      </c>
      <c r="Y69" s="427">
        <v>0</v>
      </c>
      <c r="Z69" s="427">
        <v>0</v>
      </c>
      <c r="AA69" s="427">
        <v>0</v>
      </c>
      <c r="AB69" s="427">
        <v>0</v>
      </c>
      <c r="AC69" s="427">
        <v>0</v>
      </c>
      <c r="AD69" s="427">
        <v>0</v>
      </c>
      <c r="AE69" s="427">
        <v>0</v>
      </c>
      <c r="AF69" s="427">
        <v>0</v>
      </c>
      <c r="AG69" s="427">
        <v>0</v>
      </c>
      <c r="AH69" s="427">
        <v>0</v>
      </c>
      <c r="AI69" s="427">
        <v>0</v>
      </c>
      <c r="AJ69" s="427">
        <v>0</v>
      </c>
      <c r="AK69" s="427">
        <v>0</v>
      </c>
      <c r="AL69" s="427">
        <v>0</v>
      </c>
      <c r="AM69" s="427">
        <v>0</v>
      </c>
      <c r="AN69" s="427">
        <v>0</v>
      </c>
      <c r="AO69" s="427">
        <v>0</v>
      </c>
      <c r="AP69" s="427">
        <v>0</v>
      </c>
      <c r="AQ69" s="427">
        <v>0</v>
      </c>
      <c r="AR69" s="427">
        <v>0</v>
      </c>
      <c r="AS69" s="427">
        <v>0</v>
      </c>
      <c r="AT69" s="427">
        <v>0</v>
      </c>
      <c r="AU69" s="427">
        <v>0</v>
      </c>
      <c r="AV69" s="427">
        <v>0</v>
      </c>
      <c r="AW69" s="427">
        <v>0</v>
      </c>
      <c r="AX69" s="427">
        <v>0</v>
      </c>
      <c r="AY69" s="427">
        <v>0</v>
      </c>
      <c r="AZ69" s="427">
        <v>0</v>
      </c>
      <c r="BA69" s="427">
        <v>0</v>
      </c>
      <c r="BB69" s="427">
        <v>0</v>
      </c>
      <c r="BC69" s="427">
        <v>0</v>
      </c>
      <c r="BD69" s="427">
        <v>0</v>
      </c>
      <c r="BE69" s="427">
        <v>0</v>
      </c>
      <c r="BF69" s="427">
        <v>0</v>
      </c>
      <c r="BG69" s="427">
        <v>0</v>
      </c>
      <c r="BH69" s="427">
        <v>0</v>
      </c>
      <c r="BI69" s="427">
        <v>0</v>
      </c>
      <c r="BJ69" s="427">
        <v>0</v>
      </c>
      <c r="BK69" s="427">
        <v>0</v>
      </c>
      <c r="BL69" s="427">
        <v>0</v>
      </c>
      <c r="BM69" s="427">
        <v>0</v>
      </c>
      <c r="BN69" s="427">
        <v>0</v>
      </c>
      <c r="BO69" s="427">
        <v>0</v>
      </c>
      <c r="BP69" s="427">
        <v>0</v>
      </c>
      <c r="BQ69" s="427">
        <v>0</v>
      </c>
      <c r="BR69" s="427">
        <v>0</v>
      </c>
      <c r="BS69" s="427">
        <v>0</v>
      </c>
      <c r="BT69" s="427">
        <v>0</v>
      </c>
      <c r="BU69" s="427">
        <v>0</v>
      </c>
      <c r="BV69" s="427">
        <v>0</v>
      </c>
      <c r="BW69" s="427">
        <v>0</v>
      </c>
      <c r="BX69" s="427">
        <v>0</v>
      </c>
      <c r="BY69" s="427">
        <v>0</v>
      </c>
      <c r="BZ69" s="427">
        <v>0</v>
      </c>
      <c r="CC69" s="21"/>
      <c r="CD69" s="438" t="s">
        <v>199</v>
      </c>
      <c r="CE69" s="433">
        <f t="shared" si="0"/>
        <v>0</v>
      </c>
      <c r="CF69" s="433">
        <f t="shared" si="1"/>
        <v>0</v>
      </c>
      <c r="CG69" s="433">
        <f t="shared" si="2"/>
        <v>0</v>
      </c>
      <c r="CH69" s="433">
        <f t="shared" si="3"/>
        <v>0</v>
      </c>
      <c r="CI69" s="433">
        <f t="shared" si="4"/>
        <v>0</v>
      </c>
      <c r="CJ69" s="433">
        <f t="shared" si="5"/>
        <v>0</v>
      </c>
      <c r="CK69" s="433">
        <f t="shared" si="6"/>
        <v>0</v>
      </c>
      <c r="CL69" s="433">
        <f t="shared" si="7"/>
        <v>0</v>
      </c>
      <c r="CM69" s="433">
        <f t="shared" si="8"/>
        <v>0</v>
      </c>
      <c r="CN69" s="433">
        <f t="shared" si="9"/>
        <v>0</v>
      </c>
      <c r="CO69" s="433">
        <f t="shared" si="10"/>
        <v>0</v>
      </c>
      <c r="CP69" s="433">
        <f t="shared" si="11"/>
        <v>0</v>
      </c>
      <c r="CQ69" s="433">
        <f t="shared" si="12"/>
        <v>0</v>
      </c>
      <c r="CR69" s="433">
        <f t="shared" si="13"/>
        <v>0</v>
      </c>
      <c r="CS69" s="433">
        <f t="shared" si="14"/>
        <v>0</v>
      </c>
      <c r="CT69" s="21"/>
    </row>
    <row r="70" spans="3:98" ht="24.75" hidden="1" customHeight="1" outlineLevel="3">
      <c r="C70" s="438" t="s">
        <v>200</v>
      </c>
      <c r="D70" s="427">
        <v>0</v>
      </c>
      <c r="E70" s="427">
        <v>0</v>
      </c>
      <c r="F70" s="427">
        <v>0</v>
      </c>
      <c r="G70" s="427">
        <v>0</v>
      </c>
      <c r="H70" s="427">
        <v>0</v>
      </c>
      <c r="I70" s="427">
        <v>0</v>
      </c>
      <c r="J70" s="427">
        <v>0</v>
      </c>
      <c r="K70" s="427">
        <v>0</v>
      </c>
      <c r="L70" s="427">
        <v>0</v>
      </c>
      <c r="M70" s="427">
        <v>0</v>
      </c>
      <c r="N70" s="427">
        <v>0</v>
      </c>
      <c r="O70" s="427">
        <v>0</v>
      </c>
      <c r="P70" s="427">
        <v>0</v>
      </c>
      <c r="Q70" s="427">
        <v>0</v>
      </c>
      <c r="R70" s="427">
        <v>0</v>
      </c>
      <c r="S70" s="427">
        <v>0</v>
      </c>
      <c r="T70" s="427">
        <v>0</v>
      </c>
      <c r="U70" s="427">
        <v>0</v>
      </c>
      <c r="V70" s="427">
        <v>0</v>
      </c>
      <c r="W70" s="427">
        <v>0</v>
      </c>
      <c r="X70" s="427">
        <v>0</v>
      </c>
      <c r="Y70" s="427">
        <v>0</v>
      </c>
      <c r="Z70" s="427">
        <v>0</v>
      </c>
      <c r="AA70" s="427">
        <v>0</v>
      </c>
      <c r="AB70" s="427">
        <v>0</v>
      </c>
      <c r="AC70" s="427">
        <v>0</v>
      </c>
      <c r="AD70" s="427">
        <v>0</v>
      </c>
      <c r="AE70" s="427">
        <v>0</v>
      </c>
      <c r="AF70" s="427">
        <v>0</v>
      </c>
      <c r="AG70" s="427">
        <v>0</v>
      </c>
      <c r="AH70" s="427">
        <v>0</v>
      </c>
      <c r="AI70" s="427">
        <v>0</v>
      </c>
      <c r="AJ70" s="427">
        <v>0</v>
      </c>
      <c r="AK70" s="427">
        <v>0</v>
      </c>
      <c r="AL70" s="427">
        <v>0</v>
      </c>
      <c r="AM70" s="427">
        <v>0</v>
      </c>
      <c r="AN70" s="427">
        <v>0</v>
      </c>
      <c r="AO70" s="427">
        <v>0</v>
      </c>
      <c r="AP70" s="427">
        <v>0</v>
      </c>
      <c r="AQ70" s="427">
        <v>0</v>
      </c>
      <c r="AR70" s="427">
        <v>0</v>
      </c>
      <c r="AS70" s="427">
        <v>0</v>
      </c>
      <c r="AT70" s="427">
        <v>0</v>
      </c>
      <c r="AU70" s="427">
        <v>0</v>
      </c>
      <c r="AV70" s="427">
        <v>0</v>
      </c>
      <c r="AW70" s="427">
        <v>0</v>
      </c>
      <c r="AX70" s="427">
        <v>0</v>
      </c>
      <c r="AY70" s="427">
        <v>0</v>
      </c>
      <c r="AZ70" s="427">
        <v>0</v>
      </c>
      <c r="BA70" s="427">
        <v>0</v>
      </c>
      <c r="BB70" s="427">
        <v>0</v>
      </c>
      <c r="BC70" s="427">
        <v>0</v>
      </c>
      <c r="BD70" s="427">
        <v>0</v>
      </c>
      <c r="BE70" s="427">
        <v>0</v>
      </c>
      <c r="BF70" s="427">
        <v>0</v>
      </c>
      <c r="BG70" s="427">
        <v>0</v>
      </c>
      <c r="BH70" s="427">
        <v>0</v>
      </c>
      <c r="BI70" s="427">
        <v>0</v>
      </c>
      <c r="BJ70" s="427">
        <v>0</v>
      </c>
      <c r="BK70" s="427">
        <v>0</v>
      </c>
      <c r="BL70" s="427">
        <v>0</v>
      </c>
      <c r="BM70" s="427">
        <v>0</v>
      </c>
      <c r="BN70" s="427">
        <v>0</v>
      </c>
      <c r="BO70" s="427">
        <v>0</v>
      </c>
      <c r="BP70" s="427">
        <v>0</v>
      </c>
      <c r="BQ70" s="427">
        <v>0</v>
      </c>
      <c r="BR70" s="427">
        <v>0</v>
      </c>
      <c r="BS70" s="427">
        <v>0</v>
      </c>
      <c r="BT70" s="427">
        <v>0</v>
      </c>
      <c r="BU70" s="427">
        <v>0</v>
      </c>
      <c r="BV70" s="427">
        <v>0</v>
      </c>
      <c r="BW70" s="427">
        <v>0</v>
      </c>
      <c r="BX70" s="427">
        <v>0</v>
      </c>
      <c r="BY70" s="427">
        <v>0</v>
      </c>
      <c r="BZ70" s="427">
        <v>0</v>
      </c>
      <c r="CC70" s="21"/>
      <c r="CD70" s="438" t="s">
        <v>200</v>
      </c>
      <c r="CE70" s="433">
        <f t="shared" si="0"/>
        <v>0</v>
      </c>
      <c r="CF70" s="433">
        <f t="shared" si="1"/>
        <v>0</v>
      </c>
      <c r="CG70" s="433">
        <f t="shared" si="2"/>
        <v>0</v>
      </c>
      <c r="CH70" s="433">
        <f t="shared" si="3"/>
        <v>0</v>
      </c>
      <c r="CI70" s="433">
        <f t="shared" si="4"/>
        <v>0</v>
      </c>
      <c r="CJ70" s="433">
        <f t="shared" si="5"/>
        <v>0</v>
      </c>
      <c r="CK70" s="433">
        <f t="shared" si="6"/>
        <v>0</v>
      </c>
      <c r="CL70" s="433">
        <f t="shared" si="7"/>
        <v>0</v>
      </c>
      <c r="CM70" s="433">
        <f t="shared" si="8"/>
        <v>0</v>
      </c>
      <c r="CN70" s="433">
        <f t="shared" si="9"/>
        <v>0</v>
      </c>
      <c r="CO70" s="433">
        <f t="shared" si="10"/>
        <v>0</v>
      </c>
      <c r="CP70" s="433">
        <f t="shared" si="11"/>
        <v>0</v>
      </c>
      <c r="CQ70" s="433">
        <f t="shared" si="12"/>
        <v>0</v>
      </c>
      <c r="CR70" s="433">
        <f t="shared" si="13"/>
        <v>0</v>
      </c>
      <c r="CS70" s="433">
        <f t="shared" si="14"/>
        <v>0</v>
      </c>
      <c r="CT70" s="21"/>
    </row>
    <row r="71" spans="3:98" ht="24.75" hidden="1" customHeight="1" outlineLevel="3">
      <c r="C71" s="438" t="s">
        <v>201</v>
      </c>
      <c r="D71" s="427">
        <v>0</v>
      </c>
      <c r="E71" s="427">
        <v>0</v>
      </c>
      <c r="F71" s="427">
        <v>0</v>
      </c>
      <c r="G71" s="427">
        <v>0</v>
      </c>
      <c r="H71" s="427">
        <v>0</v>
      </c>
      <c r="I71" s="427">
        <v>0</v>
      </c>
      <c r="J71" s="427">
        <v>0</v>
      </c>
      <c r="K71" s="427">
        <v>0</v>
      </c>
      <c r="L71" s="427">
        <v>0</v>
      </c>
      <c r="M71" s="427">
        <v>0</v>
      </c>
      <c r="N71" s="427">
        <v>0</v>
      </c>
      <c r="O71" s="427">
        <v>0</v>
      </c>
      <c r="P71" s="427">
        <v>0</v>
      </c>
      <c r="Q71" s="427">
        <v>0</v>
      </c>
      <c r="R71" s="427">
        <v>0</v>
      </c>
      <c r="S71" s="427">
        <v>0</v>
      </c>
      <c r="T71" s="427">
        <v>0</v>
      </c>
      <c r="U71" s="427">
        <v>0</v>
      </c>
      <c r="V71" s="427">
        <v>0</v>
      </c>
      <c r="W71" s="427">
        <v>0</v>
      </c>
      <c r="X71" s="427">
        <v>0</v>
      </c>
      <c r="Y71" s="427">
        <v>0</v>
      </c>
      <c r="Z71" s="427">
        <v>0</v>
      </c>
      <c r="AA71" s="427">
        <v>0</v>
      </c>
      <c r="AB71" s="427">
        <v>0</v>
      </c>
      <c r="AC71" s="427">
        <v>0</v>
      </c>
      <c r="AD71" s="427">
        <v>0</v>
      </c>
      <c r="AE71" s="427">
        <v>0</v>
      </c>
      <c r="AF71" s="427">
        <v>0</v>
      </c>
      <c r="AG71" s="427">
        <v>0</v>
      </c>
      <c r="AH71" s="427">
        <v>0</v>
      </c>
      <c r="AI71" s="427">
        <v>0</v>
      </c>
      <c r="AJ71" s="427">
        <v>0</v>
      </c>
      <c r="AK71" s="427">
        <v>0</v>
      </c>
      <c r="AL71" s="427">
        <v>0</v>
      </c>
      <c r="AM71" s="427">
        <v>0</v>
      </c>
      <c r="AN71" s="427">
        <v>0</v>
      </c>
      <c r="AO71" s="427">
        <v>0</v>
      </c>
      <c r="AP71" s="427">
        <v>0</v>
      </c>
      <c r="AQ71" s="427">
        <v>0</v>
      </c>
      <c r="AR71" s="427">
        <v>0</v>
      </c>
      <c r="AS71" s="427">
        <v>0</v>
      </c>
      <c r="AT71" s="427">
        <v>0</v>
      </c>
      <c r="AU71" s="427">
        <v>0</v>
      </c>
      <c r="AV71" s="427">
        <v>0</v>
      </c>
      <c r="AW71" s="427">
        <v>0</v>
      </c>
      <c r="AX71" s="427">
        <v>0</v>
      </c>
      <c r="AY71" s="427">
        <v>0</v>
      </c>
      <c r="AZ71" s="427">
        <v>0</v>
      </c>
      <c r="BA71" s="427">
        <v>0</v>
      </c>
      <c r="BB71" s="427">
        <v>0</v>
      </c>
      <c r="BC71" s="427">
        <v>0</v>
      </c>
      <c r="BD71" s="427">
        <v>0</v>
      </c>
      <c r="BE71" s="427">
        <v>0</v>
      </c>
      <c r="BF71" s="427">
        <v>0</v>
      </c>
      <c r="BG71" s="427">
        <v>0</v>
      </c>
      <c r="BH71" s="427">
        <v>0</v>
      </c>
      <c r="BI71" s="427">
        <v>0</v>
      </c>
      <c r="BJ71" s="427">
        <v>0</v>
      </c>
      <c r="BK71" s="427">
        <v>0</v>
      </c>
      <c r="BL71" s="427">
        <v>0</v>
      </c>
      <c r="BM71" s="427">
        <v>0</v>
      </c>
      <c r="BN71" s="427">
        <v>0</v>
      </c>
      <c r="BO71" s="427">
        <v>0</v>
      </c>
      <c r="BP71" s="427">
        <v>0</v>
      </c>
      <c r="BQ71" s="427">
        <v>0</v>
      </c>
      <c r="BR71" s="427">
        <v>0</v>
      </c>
      <c r="BS71" s="427">
        <v>0</v>
      </c>
      <c r="BT71" s="427">
        <v>0</v>
      </c>
      <c r="BU71" s="427">
        <v>0</v>
      </c>
      <c r="BV71" s="427">
        <v>0</v>
      </c>
      <c r="BW71" s="427">
        <v>0</v>
      </c>
      <c r="BX71" s="427">
        <v>0</v>
      </c>
      <c r="BY71" s="427">
        <v>0</v>
      </c>
      <c r="BZ71" s="427">
        <v>0</v>
      </c>
      <c r="CC71" s="21"/>
      <c r="CD71" s="438" t="s">
        <v>201</v>
      </c>
      <c r="CE71" s="433">
        <f t="shared" si="0"/>
        <v>0</v>
      </c>
      <c r="CF71" s="433">
        <f t="shared" si="1"/>
        <v>0</v>
      </c>
      <c r="CG71" s="433">
        <f t="shared" si="2"/>
        <v>0</v>
      </c>
      <c r="CH71" s="433">
        <f t="shared" si="3"/>
        <v>0</v>
      </c>
      <c r="CI71" s="433">
        <f t="shared" si="4"/>
        <v>0</v>
      </c>
      <c r="CJ71" s="433">
        <f t="shared" si="5"/>
        <v>0</v>
      </c>
      <c r="CK71" s="433">
        <f t="shared" si="6"/>
        <v>0</v>
      </c>
      <c r="CL71" s="433">
        <f t="shared" si="7"/>
        <v>0</v>
      </c>
      <c r="CM71" s="433">
        <f t="shared" si="8"/>
        <v>0</v>
      </c>
      <c r="CN71" s="433">
        <f t="shared" si="9"/>
        <v>0</v>
      </c>
      <c r="CO71" s="433">
        <f t="shared" si="10"/>
        <v>0</v>
      </c>
      <c r="CP71" s="433">
        <f t="shared" si="11"/>
        <v>0</v>
      </c>
      <c r="CQ71" s="433">
        <f t="shared" si="12"/>
        <v>0</v>
      </c>
      <c r="CR71" s="433">
        <f t="shared" si="13"/>
        <v>0</v>
      </c>
      <c r="CS71" s="433">
        <f t="shared" si="14"/>
        <v>0</v>
      </c>
      <c r="CT71" s="21"/>
    </row>
    <row r="72" spans="3:98" ht="24.75" hidden="1" customHeight="1" outlineLevel="3">
      <c r="C72" s="438" t="s">
        <v>202</v>
      </c>
      <c r="D72" s="427">
        <v>0</v>
      </c>
      <c r="E72" s="427">
        <v>0</v>
      </c>
      <c r="F72" s="427">
        <v>0</v>
      </c>
      <c r="G72" s="427">
        <v>0</v>
      </c>
      <c r="H72" s="427">
        <v>0</v>
      </c>
      <c r="I72" s="427">
        <v>0</v>
      </c>
      <c r="J72" s="427">
        <v>0</v>
      </c>
      <c r="K72" s="427">
        <v>0</v>
      </c>
      <c r="L72" s="427">
        <v>0</v>
      </c>
      <c r="M72" s="427">
        <v>0</v>
      </c>
      <c r="N72" s="427">
        <v>0</v>
      </c>
      <c r="O72" s="427">
        <v>0</v>
      </c>
      <c r="P72" s="427">
        <v>0</v>
      </c>
      <c r="Q72" s="427">
        <v>0</v>
      </c>
      <c r="R72" s="427">
        <v>0</v>
      </c>
      <c r="S72" s="427">
        <v>0</v>
      </c>
      <c r="T72" s="427">
        <v>0</v>
      </c>
      <c r="U72" s="427">
        <v>0</v>
      </c>
      <c r="V72" s="427">
        <v>0</v>
      </c>
      <c r="W72" s="427">
        <v>0</v>
      </c>
      <c r="X72" s="427">
        <v>0</v>
      </c>
      <c r="Y72" s="427">
        <v>0</v>
      </c>
      <c r="Z72" s="427">
        <v>0</v>
      </c>
      <c r="AA72" s="427">
        <v>0</v>
      </c>
      <c r="AB72" s="427">
        <v>0</v>
      </c>
      <c r="AC72" s="427">
        <v>0</v>
      </c>
      <c r="AD72" s="427">
        <v>0</v>
      </c>
      <c r="AE72" s="427">
        <v>0</v>
      </c>
      <c r="AF72" s="427">
        <v>0</v>
      </c>
      <c r="AG72" s="427">
        <v>0</v>
      </c>
      <c r="AH72" s="427">
        <v>0</v>
      </c>
      <c r="AI72" s="427">
        <v>0</v>
      </c>
      <c r="AJ72" s="427">
        <v>0</v>
      </c>
      <c r="AK72" s="427">
        <v>0</v>
      </c>
      <c r="AL72" s="427">
        <v>0</v>
      </c>
      <c r="AM72" s="427">
        <v>0</v>
      </c>
      <c r="AN72" s="427">
        <v>0</v>
      </c>
      <c r="AO72" s="427">
        <v>0</v>
      </c>
      <c r="AP72" s="427">
        <v>0</v>
      </c>
      <c r="AQ72" s="427">
        <v>0</v>
      </c>
      <c r="AR72" s="427">
        <v>0</v>
      </c>
      <c r="AS72" s="427">
        <v>0</v>
      </c>
      <c r="AT72" s="427">
        <v>0</v>
      </c>
      <c r="AU72" s="427">
        <v>0</v>
      </c>
      <c r="AV72" s="427">
        <v>0</v>
      </c>
      <c r="AW72" s="427">
        <v>0</v>
      </c>
      <c r="AX72" s="427">
        <v>0</v>
      </c>
      <c r="AY72" s="427">
        <v>0</v>
      </c>
      <c r="AZ72" s="427">
        <v>0</v>
      </c>
      <c r="BA72" s="427">
        <v>0</v>
      </c>
      <c r="BB72" s="427">
        <v>0</v>
      </c>
      <c r="BC72" s="427">
        <v>0</v>
      </c>
      <c r="BD72" s="427">
        <v>0</v>
      </c>
      <c r="BE72" s="427">
        <v>0</v>
      </c>
      <c r="BF72" s="427">
        <v>0</v>
      </c>
      <c r="BG72" s="427">
        <v>0</v>
      </c>
      <c r="BH72" s="427">
        <v>0</v>
      </c>
      <c r="BI72" s="427">
        <v>0</v>
      </c>
      <c r="BJ72" s="427">
        <v>0</v>
      </c>
      <c r="BK72" s="427">
        <v>0</v>
      </c>
      <c r="BL72" s="427">
        <v>0</v>
      </c>
      <c r="BM72" s="427">
        <v>0</v>
      </c>
      <c r="BN72" s="427">
        <v>0</v>
      </c>
      <c r="BO72" s="427">
        <v>0</v>
      </c>
      <c r="BP72" s="427">
        <v>0</v>
      </c>
      <c r="BQ72" s="427">
        <v>0</v>
      </c>
      <c r="BR72" s="427">
        <v>0</v>
      </c>
      <c r="BS72" s="427">
        <v>0</v>
      </c>
      <c r="BT72" s="427">
        <v>0</v>
      </c>
      <c r="BU72" s="427">
        <v>0</v>
      </c>
      <c r="BV72" s="427">
        <v>0</v>
      </c>
      <c r="BW72" s="427">
        <v>0</v>
      </c>
      <c r="BX72" s="427">
        <v>0</v>
      </c>
      <c r="BY72" s="427">
        <v>0</v>
      </c>
      <c r="BZ72" s="427">
        <v>0</v>
      </c>
      <c r="CC72" s="21"/>
      <c r="CD72" s="438" t="s">
        <v>202</v>
      </c>
      <c r="CE72" s="433">
        <f t="shared" ref="CE72:CE135" si="15">H72</f>
        <v>0</v>
      </c>
      <c r="CF72" s="433">
        <f t="shared" ref="CF72:CF135" si="16">M72</f>
        <v>0</v>
      </c>
      <c r="CG72" s="433">
        <f t="shared" ref="CG72:CG135" si="17">R72</f>
        <v>0</v>
      </c>
      <c r="CH72" s="433">
        <f t="shared" ref="CH72:CH135" si="18">W72</f>
        <v>0</v>
      </c>
      <c r="CI72" s="433">
        <f t="shared" ref="CI72:CI135" si="19">AB72</f>
        <v>0</v>
      </c>
      <c r="CJ72" s="433">
        <f t="shared" ref="CJ72:CJ135" si="20">AG72</f>
        <v>0</v>
      </c>
      <c r="CK72" s="433">
        <f t="shared" ref="CK72:CK135" si="21">AL72</f>
        <v>0</v>
      </c>
      <c r="CL72" s="433">
        <f t="shared" ref="CL72:CL135" si="22">AQ72</f>
        <v>0</v>
      </c>
      <c r="CM72" s="433">
        <f t="shared" ref="CM72:CM135" si="23">AV72</f>
        <v>0</v>
      </c>
      <c r="CN72" s="433">
        <f t="shared" ref="CN72:CN135" si="24">BA72</f>
        <v>0</v>
      </c>
      <c r="CO72" s="433">
        <f t="shared" ref="CO72:CO135" si="25">BF72</f>
        <v>0</v>
      </c>
      <c r="CP72" s="433">
        <f t="shared" ref="CP72:CP135" si="26">BK72</f>
        <v>0</v>
      </c>
      <c r="CQ72" s="433">
        <f t="shared" ref="CQ72:CQ135" si="27">BP72</f>
        <v>0</v>
      </c>
      <c r="CR72" s="433">
        <f t="shared" ref="CR72:CR135" si="28">BU72</f>
        <v>0</v>
      </c>
      <c r="CS72" s="433">
        <f t="shared" ref="CS72:CS135" si="29">BZ72</f>
        <v>0</v>
      </c>
      <c r="CT72" s="21"/>
    </row>
    <row r="73" spans="3:98" ht="24.75" hidden="1" customHeight="1" outlineLevel="3" collapsed="1">
      <c r="C73" s="437" t="s">
        <v>198</v>
      </c>
      <c r="D73" s="427">
        <v>0</v>
      </c>
      <c r="E73" s="427">
        <v>0</v>
      </c>
      <c r="F73" s="427">
        <v>0</v>
      </c>
      <c r="G73" s="427">
        <v>0</v>
      </c>
      <c r="H73" s="427">
        <v>0</v>
      </c>
      <c r="I73" s="427">
        <v>0</v>
      </c>
      <c r="J73" s="427">
        <v>0</v>
      </c>
      <c r="K73" s="427">
        <v>0</v>
      </c>
      <c r="L73" s="427">
        <v>0</v>
      </c>
      <c r="M73" s="427">
        <v>0</v>
      </c>
      <c r="N73" s="427">
        <v>0</v>
      </c>
      <c r="O73" s="427">
        <v>0</v>
      </c>
      <c r="P73" s="427">
        <v>0</v>
      </c>
      <c r="Q73" s="427">
        <v>0</v>
      </c>
      <c r="R73" s="427">
        <v>0</v>
      </c>
      <c r="S73" s="427">
        <v>0</v>
      </c>
      <c r="T73" s="427">
        <v>0</v>
      </c>
      <c r="U73" s="427">
        <v>0</v>
      </c>
      <c r="V73" s="427">
        <v>0</v>
      </c>
      <c r="W73" s="427">
        <v>0</v>
      </c>
      <c r="X73" s="427">
        <v>0</v>
      </c>
      <c r="Y73" s="427">
        <v>0</v>
      </c>
      <c r="Z73" s="427">
        <v>0</v>
      </c>
      <c r="AA73" s="427">
        <v>0</v>
      </c>
      <c r="AB73" s="427">
        <v>0</v>
      </c>
      <c r="AC73" s="427">
        <v>0</v>
      </c>
      <c r="AD73" s="427">
        <v>0</v>
      </c>
      <c r="AE73" s="427">
        <v>0</v>
      </c>
      <c r="AF73" s="427">
        <v>0</v>
      </c>
      <c r="AG73" s="427">
        <v>0</v>
      </c>
      <c r="AH73" s="427">
        <v>0</v>
      </c>
      <c r="AI73" s="427">
        <v>0</v>
      </c>
      <c r="AJ73" s="427">
        <v>0</v>
      </c>
      <c r="AK73" s="427">
        <v>0</v>
      </c>
      <c r="AL73" s="427">
        <v>0</v>
      </c>
      <c r="AM73" s="427">
        <v>0</v>
      </c>
      <c r="AN73" s="427">
        <v>0</v>
      </c>
      <c r="AO73" s="427">
        <v>0</v>
      </c>
      <c r="AP73" s="427">
        <v>0</v>
      </c>
      <c r="AQ73" s="427">
        <v>0</v>
      </c>
      <c r="AR73" s="427">
        <v>0</v>
      </c>
      <c r="AS73" s="427">
        <v>0</v>
      </c>
      <c r="AT73" s="427">
        <v>0</v>
      </c>
      <c r="AU73" s="427">
        <v>0</v>
      </c>
      <c r="AV73" s="427">
        <v>0</v>
      </c>
      <c r="AW73" s="427">
        <v>0</v>
      </c>
      <c r="AX73" s="427">
        <v>0</v>
      </c>
      <c r="AY73" s="427">
        <v>0</v>
      </c>
      <c r="AZ73" s="427">
        <v>0</v>
      </c>
      <c r="BA73" s="427">
        <v>0</v>
      </c>
      <c r="BB73" s="427">
        <v>0</v>
      </c>
      <c r="BC73" s="427">
        <v>0</v>
      </c>
      <c r="BD73" s="427">
        <v>0</v>
      </c>
      <c r="BE73" s="427">
        <v>0</v>
      </c>
      <c r="BF73" s="427">
        <v>0</v>
      </c>
      <c r="BG73" s="427">
        <v>0</v>
      </c>
      <c r="BH73" s="427">
        <v>0</v>
      </c>
      <c r="BI73" s="427">
        <v>0</v>
      </c>
      <c r="BJ73" s="427">
        <v>0</v>
      </c>
      <c r="BK73" s="427">
        <v>0</v>
      </c>
      <c r="BL73" s="427">
        <v>0</v>
      </c>
      <c r="BM73" s="427">
        <v>0</v>
      </c>
      <c r="BN73" s="427">
        <v>0</v>
      </c>
      <c r="BO73" s="427">
        <v>0</v>
      </c>
      <c r="BP73" s="427">
        <v>0</v>
      </c>
      <c r="BQ73" s="427">
        <v>0</v>
      </c>
      <c r="BR73" s="427">
        <v>0</v>
      </c>
      <c r="BS73" s="427">
        <v>0</v>
      </c>
      <c r="BT73" s="427">
        <v>0</v>
      </c>
      <c r="BU73" s="427">
        <v>0</v>
      </c>
      <c r="BV73" s="427">
        <v>0</v>
      </c>
      <c r="BW73" s="427">
        <v>0</v>
      </c>
      <c r="BX73" s="427">
        <v>0</v>
      </c>
      <c r="BY73" s="427">
        <v>0</v>
      </c>
      <c r="BZ73" s="427">
        <v>0</v>
      </c>
      <c r="CC73" s="21"/>
      <c r="CD73" s="437" t="s">
        <v>198</v>
      </c>
      <c r="CE73" s="433">
        <f t="shared" si="15"/>
        <v>0</v>
      </c>
      <c r="CF73" s="433">
        <f t="shared" si="16"/>
        <v>0</v>
      </c>
      <c r="CG73" s="433">
        <f t="shared" si="17"/>
        <v>0</v>
      </c>
      <c r="CH73" s="433">
        <f t="shared" si="18"/>
        <v>0</v>
      </c>
      <c r="CI73" s="433">
        <f t="shared" si="19"/>
        <v>0</v>
      </c>
      <c r="CJ73" s="433">
        <f t="shared" si="20"/>
        <v>0</v>
      </c>
      <c r="CK73" s="433">
        <f t="shared" si="21"/>
        <v>0</v>
      </c>
      <c r="CL73" s="433">
        <f t="shared" si="22"/>
        <v>0</v>
      </c>
      <c r="CM73" s="433">
        <f t="shared" si="23"/>
        <v>0</v>
      </c>
      <c r="CN73" s="433">
        <f t="shared" si="24"/>
        <v>0</v>
      </c>
      <c r="CO73" s="433">
        <f t="shared" si="25"/>
        <v>0</v>
      </c>
      <c r="CP73" s="433">
        <f t="shared" si="26"/>
        <v>0</v>
      </c>
      <c r="CQ73" s="433">
        <f t="shared" si="27"/>
        <v>0</v>
      </c>
      <c r="CR73" s="433">
        <f t="shared" si="28"/>
        <v>0</v>
      </c>
      <c r="CS73" s="433">
        <f t="shared" si="29"/>
        <v>0</v>
      </c>
      <c r="CT73" s="21"/>
    </row>
    <row r="74" spans="3:98" ht="24.75" hidden="1" customHeight="1" outlineLevel="4">
      <c r="C74" s="438" t="s">
        <v>204</v>
      </c>
      <c r="D74" s="427">
        <v>0</v>
      </c>
      <c r="E74" s="427">
        <v>0</v>
      </c>
      <c r="F74" s="427">
        <v>0</v>
      </c>
      <c r="G74" s="427">
        <v>0</v>
      </c>
      <c r="H74" s="427">
        <v>0</v>
      </c>
      <c r="I74" s="427">
        <v>0</v>
      </c>
      <c r="J74" s="427">
        <v>0</v>
      </c>
      <c r="K74" s="427">
        <v>0</v>
      </c>
      <c r="L74" s="427">
        <v>0</v>
      </c>
      <c r="M74" s="427">
        <v>0</v>
      </c>
      <c r="N74" s="427">
        <v>0</v>
      </c>
      <c r="O74" s="427">
        <v>0</v>
      </c>
      <c r="P74" s="427">
        <v>0</v>
      </c>
      <c r="Q74" s="427">
        <v>0</v>
      </c>
      <c r="R74" s="427">
        <v>0</v>
      </c>
      <c r="S74" s="427">
        <v>0</v>
      </c>
      <c r="T74" s="427">
        <v>0</v>
      </c>
      <c r="U74" s="427">
        <v>0</v>
      </c>
      <c r="V74" s="427">
        <v>0</v>
      </c>
      <c r="W74" s="427">
        <v>0</v>
      </c>
      <c r="X74" s="427">
        <v>0</v>
      </c>
      <c r="Y74" s="427">
        <v>0</v>
      </c>
      <c r="Z74" s="427">
        <v>0</v>
      </c>
      <c r="AA74" s="427">
        <v>0</v>
      </c>
      <c r="AB74" s="427">
        <v>0</v>
      </c>
      <c r="AC74" s="427">
        <v>0</v>
      </c>
      <c r="AD74" s="427">
        <v>0</v>
      </c>
      <c r="AE74" s="427">
        <v>0</v>
      </c>
      <c r="AF74" s="427">
        <v>0</v>
      </c>
      <c r="AG74" s="427">
        <v>0</v>
      </c>
      <c r="AH74" s="427">
        <v>0</v>
      </c>
      <c r="AI74" s="427">
        <v>0</v>
      </c>
      <c r="AJ74" s="427">
        <v>0</v>
      </c>
      <c r="AK74" s="427">
        <v>0</v>
      </c>
      <c r="AL74" s="427">
        <v>0</v>
      </c>
      <c r="AM74" s="427">
        <v>0</v>
      </c>
      <c r="AN74" s="427">
        <v>0</v>
      </c>
      <c r="AO74" s="427">
        <v>0</v>
      </c>
      <c r="AP74" s="427">
        <v>0</v>
      </c>
      <c r="AQ74" s="427">
        <v>0</v>
      </c>
      <c r="AR74" s="427">
        <v>0</v>
      </c>
      <c r="AS74" s="427">
        <v>0</v>
      </c>
      <c r="AT74" s="427">
        <v>0</v>
      </c>
      <c r="AU74" s="427">
        <v>0</v>
      </c>
      <c r="AV74" s="427">
        <v>0</v>
      </c>
      <c r="AW74" s="427">
        <v>0</v>
      </c>
      <c r="AX74" s="427">
        <v>0</v>
      </c>
      <c r="AY74" s="427">
        <v>0</v>
      </c>
      <c r="AZ74" s="427">
        <v>0</v>
      </c>
      <c r="BA74" s="427">
        <v>0</v>
      </c>
      <c r="BB74" s="427">
        <v>0</v>
      </c>
      <c r="BC74" s="427">
        <v>0</v>
      </c>
      <c r="BD74" s="427">
        <v>0</v>
      </c>
      <c r="BE74" s="427">
        <v>0</v>
      </c>
      <c r="BF74" s="427">
        <v>0</v>
      </c>
      <c r="BG74" s="427">
        <v>0</v>
      </c>
      <c r="BH74" s="427">
        <v>0</v>
      </c>
      <c r="BI74" s="427">
        <v>0</v>
      </c>
      <c r="BJ74" s="427">
        <v>0</v>
      </c>
      <c r="BK74" s="427">
        <v>0</v>
      </c>
      <c r="BL74" s="427">
        <v>0</v>
      </c>
      <c r="BM74" s="427">
        <v>0</v>
      </c>
      <c r="BN74" s="427">
        <v>0</v>
      </c>
      <c r="BO74" s="427">
        <v>0</v>
      </c>
      <c r="BP74" s="427">
        <v>0</v>
      </c>
      <c r="BQ74" s="427">
        <v>0</v>
      </c>
      <c r="BR74" s="427">
        <v>0</v>
      </c>
      <c r="BS74" s="427">
        <v>0</v>
      </c>
      <c r="BT74" s="427">
        <v>0</v>
      </c>
      <c r="BU74" s="427">
        <v>0</v>
      </c>
      <c r="BV74" s="427">
        <v>0</v>
      </c>
      <c r="BW74" s="427">
        <v>0</v>
      </c>
      <c r="BX74" s="427">
        <v>0</v>
      </c>
      <c r="BY74" s="427">
        <v>0</v>
      </c>
      <c r="BZ74" s="427">
        <v>0</v>
      </c>
      <c r="CC74" s="21"/>
      <c r="CD74" s="438" t="s">
        <v>204</v>
      </c>
      <c r="CE74" s="433">
        <f t="shared" si="15"/>
        <v>0</v>
      </c>
      <c r="CF74" s="433">
        <f t="shared" si="16"/>
        <v>0</v>
      </c>
      <c r="CG74" s="433">
        <f t="shared" si="17"/>
        <v>0</v>
      </c>
      <c r="CH74" s="433">
        <f t="shared" si="18"/>
        <v>0</v>
      </c>
      <c r="CI74" s="433">
        <f t="shared" si="19"/>
        <v>0</v>
      </c>
      <c r="CJ74" s="433">
        <f t="shared" si="20"/>
        <v>0</v>
      </c>
      <c r="CK74" s="433">
        <f t="shared" si="21"/>
        <v>0</v>
      </c>
      <c r="CL74" s="433">
        <f t="shared" si="22"/>
        <v>0</v>
      </c>
      <c r="CM74" s="433">
        <f t="shared" si="23"/>
        <v>0</v>
      </c>
      <c r="CN74" s="433">
        <f t="shared" si="24"/>
        <v>0</v>
      </c>
      <c r="CO74" s="433">
        <f t="shared" si="25"/>
        <v>0</v>
      </c>
      <c r="CP74" s="433">
        <f t="shared" si="26"/>
        <v>0</v>
      </c>
      <c r="CQ74" s="433">
        <f t="shared" si="27"/>
        <v>0</v>
      </c>
      <c r="CR74" s="433">
        <f t="shared" si="28"/>
        <v>0</v>
      </c>
      <c r="CS74" s="433">
        <f t="shared" si="29"/>
        <v>0</v>
      </c>
      <c r="CT74" s="21"/>
    </row>
    <row r="75" spans="3:98" ht="24.75" hidden="1" customHeight="1" outlineLevel="4" collapsed="1">
      <c r="C75" s="438" t="s">
        <v>205</v>
      </c>
      <c r="D75" s="427">
        <v>0</v>
      </c>
      <c r="E75" s="427">
        <v>0</v>
      </c>
      <c r="F75" s="427">
        <v>0</v>
      </c>
      <c r="G75" s="427">
        <v>0</v>
      </c>
      <c r="H75" s="427">
        <v>0</v>
      </c>
      <c r="I75" s="427">
        <v>0</v>
      </c>
      <c r="J75" s="427">
        <v>0</v>
      </c>
      <c r="K75" s="427">
        <v>0</v>
      </c>
      <c r="L75" s="427">
        <v>0</v>
      </c>
      <c r="M75" s="427">
        <v>0</v>
      </c>
      <c r="N75" s="427">
        <v>0</v>
      </c>
      <c r="O75" s="427">
        <v>0</v>
      </c>
      <c r="P75" s="427">
        <v>0</v>
      </c>
      <c r="Q75" s="427">
        <v>0</v>
      </c>
      <c r="R75" s="427">
        <v>0</v>
      </c>
      <c r="S75" s="427">
        <v>0</v>
      </c>
      <c r="T75" s="427">
        <v>0</v>
      </c>
      <c r="U75" s="427">
        <v>0</v>
      </c>
      <c r="V75" s="427">
        <v>0</v>
      </c>
      <c r="W75" s="427">
        <v>0</v>
      </c>
      <c r="X75" s="427">
        <v>0</v>
      </c>
      <c r="Y75" s="427">
        <v>0</v>
      </c>
      <c r="Z75" s="427">
        <v>0</v>
      </c>
      <c r="AA75" s="427">
        <v>0</v>
      </c>
      <c r="AB75" s="427">
        <v>0</v>
      </c>
      <c r="AC75" s="427">
        <v>0</v>
      </c>
      <c r="AD75" s="427">
        <v>0</v>
      </c>
      <c r="AE75" s="427">
        <v>0</v>
      </c>
      <c r="AF75" s="427">
        <v>0</v>
      </c>
      <c r="AG75" s="427">
        <v>0</v>
      </c>
      <c r="AH75" s="427">
        <v>0</v>
      </c>
      <c r="AI75" s="427">
        <v>0</v>
      </c>
      <c r="AJ75" s="427">
        <v>0</v>
      </c>
      <c r="AK75" s="427">
        <v>0</v>
      </c>
      <c r="AL75" s="427">
        <v>0</v>
      </c>
      <c r="AM75" s="427">
        <v>0</v>
      </c>
      <c r="AN75" s="427">
        <v>0</v>
      </c>
      <c r="AO75" s="427">
        <v>0</v>
      </c>
      <c r="AP75" s="427">
        <v>0</v>
      </c>
      <c r="AQ75" s="427">
        <v>0</v>
      </c>
      <c r="AR75" s="427">
        <v>0</v>
      </c>
      <c r="AS75" s="427">
        <v>0</v>
      </c>
      <c r="AT75" s="427">
        <v>0</v>
      </c>
      <c r="AU75" s="427">
        <v>0</v>
      </c>
      <c r="AV75" s="427">
        <v>0</v>
      </c>
      <c r="AW75" s="427">
        <v>0</v>
      </c>
      <c r="AX75" s="427">
        <v>0</v>
      </c>
      <c r="AY75" s="427">
        <v>0</v>
      </c>
      <c r="AZ75" s="427">
        <v>0</v>
      </c>
      <c r="BA75" s="427">
        <v>0</v>
      </c>
      <c r="BB75" s="427">
        <v>0</v>
      </c>
      <c r="BC75" s="427">
        <v>0</v>
      </c>
      <c r="BD75" s="427">
        <v>0</v>
      </c>
      <c r="BE75" s="427">
        <v>0</v>
      </c>
      <c r="BF75" s="427">
        <v>0</v>
      </c>
      <c r="BG75" s="427">
        <v>0</v>
      </c>
      <c r="BH75" s="427">
        <v>0</v>
      </c>
      <c r="BI75" s="427">
        <v>0</v>
      </c>
      <c r="BJ75" s="427">
        <v>0</v>
      </c>
      <c r="BK75" s="427">
        <v>0</v>
      </c>
      <c r="BL75" s="427">
        <v>0</v>
      </c>
      <c r="BM75" s="427">
        <v>0</v>
      </c>
      <c r="BN75" s="427">
        <v>0</v>
      </c>
      <c r="BO75" s="427">
        <v>0</v>
      </c>
      <c r="BP75" s="427">
        <v>0</v>
      </c>
      <c r="BQ75" s="427">
        <v>0</v>
      </c>
      <c r="BR75" s="427">
        <v>0</v>
      </c>
      <c r="BS75" s="427">
        <v>0</v>
      </c>
      <c r="BT75" s="427">
        <v>0</v>
      </c>
      <c r="BU75" s="427">
        <v>0</v>
      </c>
      <c r="BV75" s="427">
        <v>0</v>
      </c>
      <c r="BW75" s="427">
        <v>0</v>
      </c>
      <c r="BX75" s="427">
        <v>0</v>
      </c>
      <c r="BY75" s="427">
        <v>0</v>
      </c>
      <c r="BZ75" s="427">
        <v>0</v>
      </c>
      <c r="CC75" s="21"/>
      <c r="CD75" s="438" t="s">
        <v>205</v>
      </c>
      <c r="CE75" s="433">
        <f t="shared" si="15"/>
        <v>0</v>
      </c>
      <c r="CF75" s="433">
        <f t="shared" si="16"/>
        <v>0</v>
      </c>
      <c r="CG75" s="433">
        <f t="shared" si="17"/>
        <v>0</v>
      </c>
      <c r="CH75" s="433">
        <f t="shared" si="18"/>
        <v>0</v>
      </c>
      <c r="CI75" s="433">
        <f t="shared" si="19"/>
        <v>0</v>
      </c>
      <c r="CJ75" s="433">
        <f t="shared" si="20"/>
        <v>0</v>
      </c>
      <c r="CK75" s="433">
        <f t="shared" si="21"/>
        <v>0</v>
      </c>
      <c r="CL75" s="433">
        <f t="shared" si="22"/>
        <v>0</v>
      </c>
      <c r="CM75" s="433">
        <f t="shared" si="23"/>
        <v>0</v>
      </c>
      <c r="CN75" s="433">
        <f t="shared" si="24"/>
        <v>0</v>
      </c>
      <c r="CO75" s="433">
        <f t="shared" si="25"/>
        <v>0</v>
      </c>
      <c r="CP75" s="433">
        <f t="shared" si="26"/>
        <v>0</v>
      </c>
      <c r="CQ75" s="433">
        <f t="shared" si="27"/>
        <v>0</v>
      </c>
      <c r="CR75" s="433">
        <f t="shared" si="28"/>
        <v>0</v>
      </c>
      <c r="CS75" s="433">
        <f t="shared" si="29"/>
        <v>0</v>
      </c>
      <c r="CT75" s="21"/>
    </row>
    <row r="76" spans="3:98" ht="24.75" hidden="1" customHeight="1" outlineLevel="4">
      <c r="C76" s="438" t="s">
        <v>206</v>
      </c>
      <c r="D76" s="427">
        <v>0</v>
      </c>
      <c r="E76" s="427">
        <v>0</v>
      </c>
      <c r="F76" s="427">
        <v>0</v>
      </c>
      <c r="G76" s="427">
        <v>0</v>
      </c>
      <c r="H76" s="427">
        <v>0</v>
      </c>
      <c r="I76" s="427">
        <v>0</v>
      </c>
      <c r="J76" s="427">
        <v>0</v>
      </c>
      <c r="K76" s="427">
        <v>0</v>
      </c>
      <c r="L76" s="427">
        <v>0</v>
      </c>
      <c r="M76" s="427">
        <v>0</v>
      </c>
      <c r="N76" s="427">
        <v>0</v>
      </c>
      <c r="O76" s="427">
        <v>0</v>
      </c>
      <c r="P76" s="427">
        <v>0</v>
      </c>
      <c r="Q76" s="427">
        <v>0</v>
      </c>
      <c r="R76" s="427">
        <v>0</v>
      </c>
      <c r="S76" s="427">
        <v>0</v>
      </c>
      <c r="T76" s="427">
        <v>0</v>
      </c>
      <c r="U76" s="427">
        <v>0</v>
      </c>
      <c r="V76" s="427">
        <v>0</v>
      </c>
      <c r="W76" s="427">
        <v>0</v>
      </c>
      <c r="X76" s="427">
        <v>0</v>
      </c>
      <c r="Y76" s="427">
        <v>0</v>
      </c>
      <c r="Z76" s="427">
        <v>0</v>
      </c>
      <c r="AA76" s="427">
        <v>0</v>
      </c>
      <c r="AB76" s="427">
        <v>0</v>
      </c>
      <c r="AC76" s="427">
        <v>0</v>
      </c>
      <c r="AD76" s="427">
        <v>0</v>
      </c>
      <c r="AE76" s="427">
        <v>0</v>
      </c>
      <c r="AF76" s="427">
        <v>0</v>
      </c>
      <c r="AG76" s="427">
        <v>0</v>
      </c>
      <c r="AH76" s="427">
        <v>0</v>
      </c>
      <c r="AI76" s="427">
        <v>0</v>
      </c>
      <c r="AJ76" s="427">
        <v>0</v>
      </c>
      <c r="AK76" s="427">
        <v>0</v>
      </c>
      <c r="AL76" s="427">
        <v>0</v>
      </c>
      <c r="AM76" s="427">
        <v>0</v>
      </c>
      <c r="AN76" s="427">
        <v>0</v>
      </c>
      <c r="AO76" s="427">
        <v>0</v>
      </c>
      <c r="AP76" s="427">
        <v>0</v>
      </c>
      <c r="AQ76" s="427">
        <v>0</v>
      </c>
      <c r="AR76" s="427">
        <v>0</v>
      </c>
      <c r="AS76" s="427">
        <v>0</v>
      </c>
      <c r="AT76" s="427">
        <v>0</v>
      </c>
      <c r="AU76" s="427">
        <v>0</v>
      </c>
      <c r="AV76" s="427">
        <v>0</v>
      </c>
      <c r="AW76" s="427">
        <v>0</v>
      </c>
      <c r="AX76" s="427">
        <v>0</v>
      </c>
      <c r="AY76" s="427">
        <v>0</v>
      </c>
      <c r="AZ76" s="427">
        <v>0</v>
      </c>
      <c r="BA76" s="427">
        <v>0</v>
      </c>
      <c r="BB76" s="427">
        <v>0</v>
      </c>
      <c r="BC76" s="427">
        <v>0</v>
      </c>
      <c r="BD76" s="427">
        <v>0</v>
      </c>
      <c r="BE76" s="427">
        <v>0</v>
      </c>
      <c r="BF76" s="427">
        <v>0</v>
      </c>
      <c r="BG76" s="427">
        <v>0</v>
      </c>
      <c r="BH76" s="427">
        <v>0</v>
      </c>
      <c r="BI76" s="427">
        <v>0</v>
      </c>
      <c r="BJ76" s="427">
        <v>0</v>
      </c>
      <c r="BK76" s="427">
        <v>0</v>
      </c>
      <c r="BL76" s="427">
        <v>0</v>
      </c>
      <c r="BM76" s="427">
        <v>0</v>
      </c>
      <c r="BN76" s="427">
        <v>0</v>
      </c>
      <c r="BO76" s="427">
        <v>0</v>
      </c>
      <c r="BP76" s="427">
        <v>0</v>
      </c>
      <c r="BQ76" s="427">
        <v>0</v>
      </c>
      <c r="BR76" s="427">
        <v>0</v>
      </c>
      <c r="BS76" s="427">
        <v>0</v>
      </c>
      <c r="BT76" s="427">
        <v>0</v>
      </c>
      <c r="BU76" s="427">
        <v>0</v>
      </c>
      <c r="BV76" s="427">
        <v>0</v>
      </c>
      <c r="BW76" s="427">
        <v>0</v>
      </c>
      <c r="BX76" s="427">
        <v>0</v>
      </c>
      <c r="BY76" s="427">
        <v>0</v>
      </c>
      <c r="BZ76" s="427">
        <v>0</v>
      </c>
      <c r="CC76" s="21"/>
      <c r="CD76" s="438" t="s">
        <v>206</v>
      </c>
      <c r="CE76" s="433">
        <f t="shared" si="15"/>
        <v>0</v>
      </c>
      <c r="CF76" s="433">
        <f t="shared" si="16"/>
        <v>0</v>
      </c>
      <c r="CG76" s="433">
        <f t="shared" si="17"/>
        <v>0</v>
      </c>
      <c r="CH76" s="433">
        <f t="shared" si="18"/>
        <v>0</v>
      </c>
      <c r="CI76" s="433">
        <f t="shared" si="19"/>
        <v>0</v>
      </c>
      <c r="CJ76" s="433">
        <f t="shared" si="20"/>
        <v>0</v>
      </c>
      <c r="CK76" s="433">
        <f t="shared" si="21"/>
        <v>0</v>
      </c>
      <c r="CL76" s="433">
        <f t="shared" si="22"/>
        <v>0</v>
      </c>
      <c r="CM76" s="433">
        <f t="shared" si="23"/>
        <v>0</v>
      </c>
      <c r="CN76" s="433">
        <f t="shared" si="24"/>
        <v>0</v>
      </c>
      <c r="CO76" s="433">
        <f t="shared" si="25"/>
        <v>0</v>
      </c>
      <c r="CP76" s="433">
        <f t="shared" si="26"/>
        <v>0</v>
      </c>
      <c r="CQ76" s="433">
        <f t="shared" si="27"/>
        <v>0</v>
      </c>
      <c r="CR76" s="433">
        <f t="shared" si="28"/>
        <v>0</v>
      </c>
      <c r="CS76" s="433">
        <f t="shared" si="29"/>
        <v>0</v>
      </c>
      <c r="CT76" s="21"/>
    </row>
    <row r="77" spans="3:98" ht="24.75" hidden="1" customHeight="1" outlineLevel="4">
      <c r="C77" s="438" t="s">
        <v>207</v>
      </c>
      <c r="D77" s="427">
        <v>0</v>
      </c>
      <c r="E77" s="427">
        <v>0</v>
      </c>
      <c r="F77" s="427">
        <v>0</v>
      </c>
      <c r="G77" s="427">
        <v>0</v>
      </c>
      <c r="H77" s="427">
        <v>0</v>
      </c>
      <c r="I77" s="427">
        <v>0</v>
      </c>
      <c r="J77" s="427">
        <v>0</v>
      </c>
      <c r="K77" s="427">
        <v>0</v>
      </c>
      <c r="L77" s="427">
        <v>0</v>
      </c>
      <c r="M77" s="427">
        <v>0</v>
      </c>
      <c r="N77" s="427">
        <v>0</v>
      </c>
      <c r="O77" s="427">
        <v>0</v>
      </c>
      <c r="P77" s="427">
        <v>0</v>
      </c>
      <c r="Q77" s="427">
        <v>0</v>
      </c>
      <c r="R77" s="427">
        <v>0</v>
      </c>
      <c r="S77" s="427">
        <v>0</v>
      </c>
      <c r="T77" s="427">
        <v>0</v>
      </c>
      <c r="U77" s="427">
        <v>0</v>
      </c>
      <c r="V77" s="427">
        <v>0</v>
      </c>
      <c r="W77" s="427">
        <v>0</v>
      </c>
      <c r="X77" s="427">
        <v>0</v>
      </c>
      <c r="Y77" s="427">
        <v>0</v>
      </c>
      <c r="Z77" s="427">
        <v>0</v>
      </c>
      <c r="AA77" s="427">
        <v>0</v>
      </c>
      <c r="AB77" s="427">
        <v>0</v>
      </c>
      <c r="AC77" s="427">
        <v>0</v>
      </c>
      <c r="AD77" s="427">
        <v>0</v>
      </c>
      <c r="AE77" s="427">
        <v>0</v>
      </c>
      <c r="AF77" s="427">
        <v>0</v>
      </c>
      <c r="AG77" s="427">
        <v>0</v>
      </c>
      <c r="AH77" s="427">
        <v>0</v>
      </c>
      <c r="AI77" s="427">
        <v>0</v>
      </c>
      <c r="AJ77" s="427">
        <v>0</v>
      </c>
      <c r="AK77" s="427">
        <v>0</v>
      </c>
      <c r="AL77" s="427">
        <v>0</v>
      </c>
      <c r="AM77" s="427">
        <v>0</v>
      </c>
      <c r="AN77" s="427">
        <v>0</v>
      </c>
      <c r="AO77" s="427">
        <v>0</v>
      </c>
      <c r="AP77" s="427">
        <v>0</v>
      </c>
      <c r="AQ77" s="427">
        <v>0</v>
      </c>
      <c r="AR77" s="427">
        <v>0</v>
      </c>
      <c r="AS77" s="427">
        <v>0</v>
      </c>
      <c r="AT77" s="427">
        <v>0</v>
      </c>
      <c r="AU77" s="427">
        <v>0</v>
      </c>
      <c r="AV77" s="427">
        <v>0</v>
      </c>
      <c r="AW77" s="427">
        <v>0</v>
      </c>
      <c r="AX77" s="427">
        <v>0</v>
      </c>
      <c r="AY77" s="427">
        <v>0</v>
      </c>
      <c r="AZ77" s="427">
        <v>0</v>
      </c>
      <c r="BA77" s="427">
        <v>0</v>
      </c>
      <c r="BB77" s="427">
        <v>0</v>
      </c>
      <c r="BC77" s="427">
        <v>0</v>
      </c>
      <c r="BD77" s="427">
        <v>0</v>
      </c>
      <c r="BE77" s="427">
        <v>0</v>
      </c>
      <c r="BF77" s="427">
        <v>0</v>
      </c>
      <c r="BG77" s="427">
        <v>0</v>
      </c>
      <c r="BH77" s="427">
        <v>0</v>
      </c>
      <c r="BI77" s="427">
        <v>0</v>
      </c>
      <c r="BJ77" s="427">
        <v>0</v>
      </c>
      <c r="BK77" s="427">
        <v>0</v>
      </c>
      <c r="BL77" s="427">
        <v>0</v>
      </c>
      <c r="BM77" s="427">
        <v>0</v>
      </c>
      <c r="BN77" s="427">
        <v>0</v>
      </c>
      <c r="BO77" s="427">
        <v>0</v>
      </c>
      <c r="BP77" s="427">
        <v>0</v>
      </c>
      <c r="BQ77" s="427">
        <v>0</v>
      </c>
      <c r="BR77" s="427">
        <v>0</v>
      </c>
      <c r="BS77" s="427">
        <v>0</v>
      </c>
      <c r="BT77" s="427">
        <v>0</v>
      </c>
      <c r="BU77" s="427">
        <v>0</v>
      </c>
      <c r="BV77" s="427">
        <v>0</v>
      </c>
      <c r="BW77" s="427">
        <v>0</v>
      </c>
      <c r="BX77" s="427">
        <v>0</v>
      </c>
      <c r="BY77" s="427">
        <v>0</v>
      </c>
      <c r="BZ77" s="427">
        <v>0</v>
      </c>
      <c r="CC77" s="21"/>
      <c r="CD77" s="438" t="s">
        <v>207</v>
      </c>
      <c r="CE77" s="433">
        <f t="shared" si="15"/>
        <v>0</v>
      </c>
      <c r="CF77" s="433">
        <f t="shared" si="16"/>
        <v>0</v>
      </c>
      <c r="CG77" s="433">
        <f t="shared" si="17"/>
        <v>0</v>
      </c>
      <c r="CH77" s="433">
        <f t="shared" si="18"/>
        <v>0</v>
      </c>
      <c r="CI77" s="433">
        <f t="shared" si="19"/>
        <v>0</v>
      </c>
      <c r="CJ77" s="433">
        <f t="shared" si="20"/>
        <v>0</v>
      </c>
      <c r="CK77" s="433">
        <f t="shared" si="21"/>
        <v>0</v>
      </c>
      <c r="CL77" s="433">
        <f t="shared" si="22"/>
        <v>0</v>
      </c>
      <c r="CM77" s="433">
        <f t="shared" si="23"/>
        <v>0</v>
      </c>
      <c r="CN77" s="433">
        <f t="shared" si="24"/>
        <v>0</v>
      </c>
      <c r="CO77" s="433">
        <f t="shared" si="25"/>
        <v>0</v>
      </c>
      <c r="CP77" s="433">
        <f t="shared" si="26"/>
        <v>0</v>
      </c>
      <c r="CQ77" s="433">
        <f t="shared" si="27"/>
        <v>0</v>
      </c>
      <c r="CR77" s="433">
        <f t="shared" si="28"/>
        <v>0</v>
      </c>
      <c r="CS77" s="433">
        <f t="shared" si="29"/>
        <v>0</v>
      </c>
      <c r="CT77" s="21"/>
    </row>
    <row r="78" spans="3:98" ht="24.75" hidden="1" customHeight="1" outlineLevel="3">
      <c r="C78" s="437" t="s">
        <v>203</v>
      </c>
      <c r="D78" s="427">
        <v>0</v>
      </c>
      <c r="E78" s="427">
        <v>0</v>
      </c>
      <c r="F78" s="427">
        <v>0</v>
      </c>
      <c r="G78" s="427">
        <v>0</v>
      </c>
      <c r="H78" s="427">
        <v>0</v>
      </c>
      <c r="I78" s="427">
        <v>0</v>
      </c>
      <c r="J78" s="427">
        <v>0</v>
      </c>
      <c r="K78" s="427">
        <v>0</v>
      </c>
      <c r="L78" s="427">
        <v>0</v>
      </c>
      <c r="M78" s="427">
        <v>0</v>
      </c>
      <c r="N78" s="427">
        <v>0</v>
      </c>
      <c r="O78" s="427">
        <v>0</v>
      </c>
      <c r="P78" s="427">
        <v>0</v>
      </c>
      <c r="Q78" s="427">
        <v>0</v>
      </c>
      <c r="R78" s="427">
        <v>0</v>
      </c>
      <c r="S78" s="427">
        <v>0</v>
      </c>
      <c r="T78" s="427">
        <v>0</v>
      </c>
      <c r="U78" s="427">
        <v>0</v>
      </c>
      <c r="V78" s="427">
        <v>0</v>
      </c>
      <c r="W78" s="427">
        <v>0</v>
      </c>
      <c r="X78" s="427">
        <v>0</v>
      </c>
      <c r="Y78" s="427">
        <v>0</v>
      </c>
      <c r="Z78" s="427">
        <v>0</v>
      </c>
      <c r="AA78" s="427">
        <v>0</v>
      </c>
      <c r="AB78" s="427">
        <v>0</v>
      </c>
      <c r="AC78" s="427">
        <v>0</v>
      </c>
      <c r="AD78" s="427">
        <v>0</v>
      </c>
      <c r="AE78" s="427">
        <v>0</v>
      </c>
      <c r="AF78" s="427">
        <v>0</v>
      </c>
      <c r="AG78" s="427">
        <v>0</v>
      </c>
      <c r="AH78" s="427">
        <v>0</v>
      </c>
      <c r="AI78" s="427">
        <v>0</v>
      </c>
      <c r="AJ78" s="427">
        <v>0</v>
      </c>
      <c r="AK78" s="427">
        <v>0</v>
      </c>
      <c r="AL78" s="427">
        <v>0</v>
      </c>
      <c r="AM78" s="427">
        <v>0</v>
      </c>
      <c r="AN78" s="427">
        <v>0</v>
      </c>
      <c r="AO78" s="427">
        <v>0</v>
      </c>
      <c r="AP78" s="427">
        <v>0</v>
      </c>
      <c r="AQ78" s="427">
        <v>0</v>
      </c>
      <c r="AR78" s="427">
        <v>0</v>
      </c>
      <c r="AS78" s="427">
        <v>0</v>
      </c>
      <c r="AT78" s="427">
        <v>0</v>
      </c>
      <c r="AU78" s="427">
        <v>0</v>
      </c>
      <c r="AV78" s="427">
        <v>0</v>
      </c>
      <c r="AW78" s="427">
        <v>0</v>
      </c>
      <c r="AX78" s="427">
        <v>0</v>
      </c>
      <c r="AY78" s="427">
        <v>0</v>
      </c>
      <c r="AZ78" s="427">
        <v>0</v>
      </c>
      <c r="BA78" s="427">
        <v>0</v>
      </c>
      <c r="BB78" s="427">
        <v>0</v>
      </c>
      <c r="BC78" s="427">
        <v>0</v>
      </c>
      <c r="BD78" s="427">
        <v>0</v>
      </c>
      <c r="BE78" s="427">
        <v>0</v>
      </c>
      <c r="BF78" s="427">
        <v>0</v>
      </c>
      <c r="BG78" s="427">
        <v>0</v>
      </c>
      <c r="BH78" s="427">
        <v>0</v>
      </c>
      <c r="BI78" s="427">
        <v>0</v>
      </c>
      <c r="BJ78" s="427">
        <v>0</v>
      </c>
      <c r="BK78" s="427">
        <v>0</v>
      </c>
      <c r="BL78" s="427">
        <v>0</v>
      </c>
      <c r="BM78" s="427">
        <v>0</v>
      </c>
      <c r="BN78" s="427">
        <v>0</v>
      </c>
      <c r="BO78" s="427">
        <v>0</v>
      </c>
      <c r="BP78" s="427">
        <v>0</v>
      </c>
      <c r="BQ78" s="427">
        <v>0</v>
      </c>
      <c r="BR78" s="427">
        <v>0</v>
      </c>
      <c r="BS78" s="427">
        <v>0</v>
      </c>
      <c r="BT78" s="427">
        <v>0</v>
      </c>
      <c r="BU78" s="427">
        <v>0</v>
      </c>
      <c r="BV78" s="427">
        <v>0</v>
      </c>
      <c r="BW78" s="427">
        <v>0</v>
      </c>
      <c r="BX78" s="427">
        <v>0</v>
      </c>
      <c r="BY78" s="427">
        <v>0</v>
      </c>
      <c r="BZ78" s="427">
        <v>0</v>
      </c>
      <c r="CC78" s="21"/>
      <c r="CD78" s="437" t="s">
        <v>203</v>
      </c>
      <c r="CE78" s="433">
        <f t="shared" si="15"/>
        <v>0</v>
      </c>
      <c r="CF78" s="433">
        <f t="shared" si="16"/>
        <v>0</v>
      </c>
      <c r="CG78" s="433">
        <f t="shared" si="17"/>
        <v>0</v>
      </c>
      <c r="CH78" s="433">
        <f t="shared" si="18"/>
        <v>0</v>
      </c>
      <c r="CI78" s="433">
        <f t="shared" si="19"/>
        <v>0</v>
      </c>
      <c r="CJ78" s="433">
        <f t="shared" si="20"/>
        <v>0</v>
      </c>
      <c r="CK78" s="433">
        <f t="shared" si="21"/>
        <v>0</v>
      </c>
      <c r="CL78" s="433">
        <f t="shared" si="22"/>
        <v>0</v>
      </c>
      <c r="CM78" s="433">
        <f t="shared" si="23"/>
        <v>0</v>
      </c>
      <c r="CN78" s="433">
        <f t="shared" si="24"/>
        <v>0</v>
      </c>
      <c r="CO78" s="433">
        <f t="shared" si="25"/>
        <v>0</v>
      </c>
      <c r="CP78" s="433">
        <f t="shared" si="26"/>
        <v>0</v>
      </c>
      <c r="CQ78" s="433">
        <f t="shared" si="27"/>
        <v>0</v>
      </c>
      <c r="CR78" s="433">
        <f t="shared" si="28"/>
        <v>0</v>
      </c>
      <c r="CS78" s="433">
        <f t="shared" si="29"/>
        <v>0</v>
      </c>
      <c r="CT78" s="21"/>
    </row>
    <row r="79" spans="3:98" ht="24.75" hidden="1" customHeight="1" outlineLevel="4">
      <c r="C79" s="438" t="s">
        <v>209</v>
      </c>
      <c r="D79" s="427">
        <v>0</v>
      </c>
      <c r="E79" s="427">
        <v>0</v>
      </c>
      <c r="F79" s="427">
        <v>0</v>
      </c>
      <c r="G79" s="427">
        <v>0</v>
      </c>
      <c r="H79" s="427">
        <v>0</v>
      </c>
      <c r="I79" s="427">
        <v>0</v>
      </c>
      <c r="J79" s="427">
        <v>0</v>
      </c>
      <c r="K79" s="427">
        <v>0</v>
      </c>
      <c r="L79" s="427">
        <v>0</v>
      </c>
      <c r="M79" s="427">
        <v>0</v>
      </c>
      <c r="N79" s="427">
        <v>0</v>
      </c>
      <c r="O79" s="427">
        <v>0</v>
      </c>
      <c r="P79" s="427">
        <v>0</v>
      </c>
      <c r="Q79" s="427">
        <v>0</v>
      </c>
      <c r="R79" s="427">
        <v>0</v>
      </c>
      <c r="S79" s="427">
        <v>0</v>
      </c>
      <c r="T79" s="427">
        <v>0</v>
      </c>
      <c r="U79" s="427">
        <v>0</v>
      </c>
      <c r="V79" s="427">
        <v>0</v>
      </c>
      <c r="W79" s="427">
        <v>0</v>
      </c>
      <c r="X79" s="427">
        <v>0</v>
      </c>
      <c r="Y79" s="427">
        <v>0</v>
      </c>
      <c r="Z79" s="427">
        <v>0</v>
      </c>
      <c r="AA79" s="427">
        <v>0</v>
      </c>
      <c r="AB79" s="427">
        <v>0</v>
      </c>
      <c r="AC79" s="427">
        <v>0</v>
      </c>
      <c r="AD79" s="427">
        <v>0</v>
      </c>
      <c r="AE79" s="427">
        <v>0</v>
      </c>
      <c r="AF79" s="427">
        <v>0</v>
      </c>
      <c r="AG79" s="427">
        <v>0</v>
      </c>
      <c r="AH79" s="427">
        <v>0</v>
      </c>
      <c r="AI79" s="427">
        <v>0</v>
      </c>
      <c r="AJ79" s="427">
        <v>0</v>
      </c>
      <c r="AK79" s="427">
        <v>0</v>
      </c>
      <c r="AL79" s="427">
        <v>0</v>
      </c>
      <c r="AM79" s="427">
        <v>0</v>
      </c>
      <c r="AN79" s="427">
        <v>0</v>
      </c>
      <c r="AO79" s="427">
        <v>0</v>
      </c>
      <c r="AP79" s="427">
        <v>0</v>
      </c>
      <c r="AQ79" s="427">
        <v>0</v>
      </c>
      <c r="AR79" s="427">
        <v>0</v>
      </c>
      <c r="AS79" s="427">
        <v>0</v>
      </c>
      <c r="AT79" s="427">
        <v>0</v>
      </c>
      <c r="AU79" s="427">
        <v>0</v>
      </c>
      <c r="AV79" s="427">
        <v>0</v>
      </c>
      <c r="AW79" s="427">
        <v>0</v>
      </c>
      <c r="AX79" s="427">
        <v>0</v>
      </c>
      <c r="AY79" s="427">
        <v>0</v>
      </c>
      <c r="AZ79" s="427">
        <v>0</v>
      </c>
      <c r="BA79" s="427">
        <v>0</v>
      </c>
      <c r="BB79" s="427">
        <v>0</v>
      </c>
      <c r="BC79" s="427">
        <v>0</v>
      </c>
      <c r="BD79" s="427">
        <v>0</v>
      </c>
      <c r="BE79" s="427">
        <v>0</v>
      </c>
      <c r="BF79" s="427">
        <v>0</v>
      </c>
      <c r="BG79" s="427">
        <v>0</v>
      </c>
      <c r="BH79" s="427">
        <v>0</v>
      </c>
      <c r="BI79" s="427">
        <v>0</v>
      </c>
      <c r="BJ79" s="427">
        <v>0</v>
      </c>
      <c r="BK79" s="427">
        <v>0</v>
      </c>
      <c r="BL79" s="427">
        <v>0</v>
      </c>
      <c r="BM79" s="427">
        <v>0</v>
      </c>
      <c r="BN79" s="427">
        <v>0</v>
      </c>
      <c r="BO79" s="427">
        <v>0</v>
      </c>
      <c r="BP79" s="427">
        <v>0</v>
      </c>
      <c r="BQ79" s="427">
        <v>0</v>
      </c>
      <c r="BR79" s="427">
        <v>0</v>
      </c>
      <c r="BS79" s="427">
        <v>0</v>
      </c>
      <c r="BT79" s="427">
        <v>0</v>
      </c>
      <c r="BU79" s="427">
        <v>0</v>
      </c>
      <c r="BV79" s="427">
        <v>0</v>
      </c>
      <c r="BW79" s="427">
        <v>0</v>
      </c>
      <c r="BX79" s="427">
        <v>0</v>
      </c>
      <c r="BY79" s="427">
        <v>0</v>
      </c>
      <c r="BZ79" s="427">
        <v>0</v>
      </c>
      <c r="CC79" s="21"/>
      <c r="CD79" s="438" t="s">
        <v>209</v>
      </c>
      <c r="CE79" s="433">
        <f t="shared" si="15"/>
        <v>0</v>
      </c>
      <c r="CF79" s="433">
        <f t="shared" si="16"/>
        <v>0</v>
      </c>
      <c r="CG79" s="433">
        <f t="shared" si="17"/>
        <v>0</v>
      </c>
      <c r="CH79" s="433">
        <f t="shared" si="18"/>
        <v>0</v>
      </c>
      <c r="CI79" s="433">
        <f t="shared" si="19"/>
        <v>0</v>
      </c>
      <c r="CJ79" s="433">
        <f t="shared" si="20"/>
        <v>0</v>
      </c>
      <c r="CK79" s="433">
        <f t="shared" si="21"/>
        <v>0</v>
      </c>
      <c r="CL79" s="433">
        <f t="shared" si="22"/>
        <v>0</v>
      </c>
      <c r="CM79" s="433">
        <f t="shared" si="23"/>
        <v>0</v>
      </c>
      <c r="CN79" s="433">
        <f t="shared" si="24"/>
        <v>0</v>
      </c>
      <c r="CO79" s="433">
        <f t="shared" si="25"/>
        <v>0</v>
      </c>
      <c r="CP79" s="433">
        <f t="shared" si="26"/>
        <v>0</v>
      </c>
      <c r="CQ79" s="433">
        <f t="shared" si="27"/>
        <v>0</v>
      </c>
      <c r="CR79" s="433">
        <f t="shared" si="28"/>
        <v>0</v>
      </c>
      <c r="CS79" s="433">
        <f t="shared" si="29"/>
        <v>0</v>
      </c>
      <c r="CT79" s="21"/>
    </row>
    <row r="80" spans="3:98" ht="24.75" hidden="1" customHeight="1" outlineLevel="4">
      <c r="C80" s="438" t="s">
        <v>210</v>
      </c>
      <c r="D80" s="427">
        <v>0</v>
      </c>
      <c r="E80" s="427">
        <v>0</v>
      </c>
      <c r="F80" s="427">
        <v>0</v>
      </c>
      <c r="G80" s="427">
        <v>0</v>
      </c>
      <c r="H80" s="427">
        <v>0</v>
      </c>
      <c r="I80" s="427">
        <v>0</v>
      </c>
      <c r="J80" s="427">
        <v>0</v>
      </c>
      <c r="K80" s="427">
        <v>0</v>
      </c>
      <c r="L80" s="427">
        <v>0</v>
      </c>
      <c r="M80" s="427">
        <v>0</v>
      </c>
      <c r="N80" s="427">
        <v>0</v>
      </c>
      <c r="O80" s="427">
        <v>0</v>
      </c>
      <c r="P80" s="427">
        <v>0</v>
      </c>
      <c r="Q80" s="427">
        <v>0</v>
      </c>
      <c r="R80" s="427">
        <v>0</v>
      </c>
      <c r="S80" s="427">
        <v>0</v>
      </c>
      <c r="T80" s="427">
        <v>0</v>
      </c>
      <c r="U80" s="427">
        <v>0</v>
      </c>
      <c r="V80" s="427">
        <v>0</v>
      </c>
      <c r="W80" s="427">
        <v>0</v>
      </c>
      <c r="X80" s="427">
        <v>0</v>
      </c>
      <c r="Y80" s="427">
        <v>0</v>
      </c>
      <c r="Z80" s="427">
        <v>0</v>
      </c>
      <c r="AA80" s="427">
        <v>0</v>
      </c>
      <c r="AB80" s="427">
        <v>0</v>
      </c>
      <c r="AC80" s="427">
        <v>0</v>
      </c>
      <c r="AD80" s="427">
        <v>0</v>
      </c>
      <c r="AE80" s="427">
        <v>0</v>
      </c>
      <c r="AF80" s="427">
        <v>0</v>
      </c>
      <c r="AG80" s="427">
        <v>0</v>
      </c>
      <c r="AH80" s="427">
        <v>0</v>
      </c>
      <c r="AI80" s="427">
        <v>0</v>
      </c>
      <c r="AJ80" s="427">
        <v>0</v>
      </c>
      <c r="AK80" s="427">
        <v>0</v>
      </c>
      <c r="AL80" s="427">
        <v>0</v>
      </c>
      <c r="AM80" s="427">
        <v>0</v>
      </c>
      <c r="AN80" s="427">
        <v>0</v>
      </c>
      <c r="AO80" s="427">
        <v>0</v>
      </c>
      <c r="AP80" s="427">
        <v>0</v>
      </c>
      <c r="AQ80" s="427">
        <v>0</v>
      </c>
      <c r="AR80" s="427">
        <v>0</v>
      </c>
      <c r="AS80" s="427">
        <v>0</v>
      </c>
      <c r="AT80" s="427">
        <v>0</v>
      </c>
      <c r="AU80" s="427">
        <v>0</v>
      </c>
      <c r="AV80" s="427">
        <v>0</v>
      </c>
      <c r="AW80" s="427">
        <v>0</v>
      </c>
      <c r="AX80" s="427">
        <v>0</v>
      </c>
      <c r="AY80" s="427">
        <v>0</v>
      </c>
      <c r="AZ80" s="427">
        <v>0</v>
      </c>
      <c r="BA80" s="427">
        <v>0</v>
      </c>
      <c r="BB80" s="427">
        <v>0</v>
      </c>
      <c r="BC80" s="427">
        <v>0</v>
      </c>
      <c r="BD80" s="427">
        <v>0</v>
      </c>
      <c r="BE80" s="427">
        <v>0</v>
      </c>
      <c r="BF80" s="427">
        <v>0</v>
      </c>
      <c r="BG80" s="427">
        <v>0</v>
      </c>
      <c r="BH80" s="427">
        <v>0</v>
      </c>
      <c r="BI80" s="427">
        <v>0</v>
      </c>
      <c r="BJ80" s="427">
        <v>0</v>
      </c>
      <c r="BK80" s="427">
        <v>0</v>
      </c>
      <c r="BL80" s="427">
        <v>0</v>
      </c>
      <c r="BM80" s="427">
        <v>0</v>
      </c>
      <c r="BN80" s="427">
        <v>0</v>
      </c>
      <c r="BO80" s="427">
        <v>0</v>
      </c>
      <c r="BP80" s="427">
        <v>0</v>
      </c>
      <c r="BQ80" s="427">
        <v>0</v>
      </c>
      <c r="BR80" s="427">
        <v>0</v>
      </c>
      <c r="BS80" s="427">
        <v>0</v>
      </c>
      <c r="BT80" s="427">
        <v>0</v>
      </c>
      <c r="BU80" s="427">
        <v>0</v>
      </c>
      <c r="BV80" s="427">
        <v>0</v>
      </c>
      <c r="BW80" s="427">
        <v>0</v>
      </c>
      <c r="BX80" s="427">
        <v>0</v>
      </c>
      <c r="BY80" s="427">
        <v>0</v>
      </c>
      <c r="BZ80" s="427">
        <v>0</v>
      </c>
      <c r="CC80" s="21"/>
      <c r="CD80" s="438" t="s">
        <v>210</v>
      </c>
      <c r="CE80" s="433">
        <f t="shared" si="15"/>
        <v>0</v>
      </c>
      <c r="CF80" s="433">
        <f t="shared" si="16"/>
        <v>0</v>
      </c>
      <c r="CG80" s="433">
        <f t="shared" si="17"/>
        <v>0</v>
      </c>
      <c r="CH80" s="433">
        <f t="shared" si="18"/>
        <v>0</v>
      </c>
      <c r="CI80" s="433">
        <f t="shared" si="19"/>
        <v>0</v>
      </c>
      <c r="CJ80" s="433">
        <f t="shared" si="20"/>
        <v>0</v>
      </c>
      <c r="CK80" s="433">
        <f t="shared" si="21"/>
        <v>0</v>
      </c>
      <c r="CL80" s="433">
        <f t="shared" si="22"/>
        <v>0</v>
      </c>
      <c r="CM80" s="433">
        <f t="shared" si="23"/>
        <v>0</v>
      </c>
      <c r="CN80" s="433">
        <f t="shared" si="24"/>
        <v>0</v>
      </c>
      <c r="CO80" s="433">
        <f t="shared" si="25"/>
        <v>0</v>
      </c>
      <c r="CP80" s="433">
        <f t="shared" si="26"/>
        <v>0</v>
      </c>
      <c r="CQ80" s="433">
        <f t="shared" si="27"/>
        <v>0</v>
      </c>
      <c r="CR80" s="433">
        <f t="shared" si="28"/>
        <v>0</v>
      </c>
      <c r="CS80" s="433">
        <f t="shared" si="29"/>
        <v>0</v>
      </c>
      <c r="CT80" s="21"/>
    </row>
    <row r="81" spans="3:98" ht="24.75" hidden="1" customHeight="1" outlineLevel="4">
      <c r="C81" s="438" t="s">
        <v>211</v>
      </c>
      <c r="D81" s="427">
        <v>0</v>
      </c>
      <c r="E81" s="427">
        <v>0</v>
      </c>
      <c r="F81" s="427">
        <v>0</v>
      </c>
      <c r="G81" s="427">
        <v>0</v>
      </c>
      <c r="H81" s="427">
        <v>0</v>
      </c>
      <c r="I81" s="427">
        <v>0</v>
      </c>
      <c r="J81" s="427">
        <v>0</v>
      </c>
      <c r="K81" s="427">
        <v>0</v>
      </c>
      <c r="L81" s="427">
        <v>0</v>
      </c>
      <c r="M81" s="427">
        <v>0</v>
      </c>
      <c r="N81" s="427">
        <v>0</v>
      </c>
      <c r="O81" s="427">
        <v>0</v>
      </c>
      <c r="P81" s="427">
        <v>0</v>
      </c>
      <c r="Q81" s="427">
        <v>0</v>
      </c>
      <c r="R81" s="427">
        <v>0</v>
      </c>
      <c r="S81" s="427">
        <v>0</v>
      </c>
      <c r="T81" s="427">
        <v>0</v>
      </c>
      <c r="U81" s="427">
        <v>0</v>
      </c>
      <c r="V81" s="427">
        <v>0</v>
      </c>
      <c r="W81" s="427">
        <v>0</v>
      </c>
      <c r="X81" s="427">
        <v>0</v>
      </c>
      <c r="Y81" s="427">
        <v>0</v>
      </c>
      <c r="Z81" s="427">
        <v>0</v>
      </c>
      <c r="AA81" s="427">
        <v>0</v>
      </c>
      <c r="AB81" s="427">
        <v>0</v>
      </c>
      <c r="AC81" s="427">
        <v>0</v>
      </c>
      <c r="AD81" s="427">
        <v>0</v>
      </c>
      <c r="AE81" s="427">
        <v>0</v>
      </c>
      <c r="AF81" s="427">
        <v>0</v>
      </c>
      <c r="AG81" s="427">
        <v>0</v>
      </c>
      <c r="AH81" s="427">
        <v>0</v>
      </c>
      <c r="AI81" s="427">
        <v>0</v>
      </c>
      <c r="AJ81" s="427">
        <v>0</v>
      </c>
      <c r="AK81" s="427">
        <v>0</v>
      </c>
      <c r="AL81" s="427">
        <v>0</v>
      </c>
      <c r="AM81" s="427">
        <v>0</v>
      </c>
      <c r="AN81" s="427">
        <v>0</v>
      </c>
      <c r="AO81" s="427">
        <v>0</v>
      </c>
      <c r="AP81" s="427">
        <v>0</v>
      </c>
      <c r="AQ81" s="427">
        <v>0</v>
      </c>
      <c r="AR81" s="427">
        <v>0</v>
      </c>
      <c r="AS81" s="427">
        <v>0</v>
      </c>
      <c r="AT81" s="427">
        <v>0</v>
      </c>
      <c r="AU81" s="427">
        <v>0</v>
      </c>
      <c r="AV81" s="427">
        <v>0</v>
      </c>
      <c r="AW81" s="427">
        <v>0</v>
      </c>
      <c r="AX81" s="427">
        <v>0</v>
      </c>
      <c r="AY81" s="427">
        <v>0</v>
      </c>
      <c r="AZ81" s="427">
        <v>0</v>
      </c>
      <c r="BA81" s="427">
        <v>0</v>
      </c>
      <c r="BB81" s="427">
        <v>0</v>
      </c>
      <c r="BC81" s="427">
        <v>0</v>
      </c>
      <c r="BD81" s="427">
        <v>0</v>
      </c>
      <c r="BE81" s="427">
        <v>0</v>
      </c>
      <c r="BF81" s="427">
        <v>0</v>
      </c>
      <c r="BG81" s="427">
        <v>0</v>
      </c>
      <c r="BH81" s="427">
        <v>0</v>
      </c>
      <c r="BI81" s="427">
        <v>0</v>
      </c>
      <c r="BJ81" s="427">
        <v>0</v>
      </c>
      <c r="BK81" s="427">
        <v>0</v>
      </c>
      <c r="BL81" s="427">
        <v>0</v>
      </c>
      <c r="BM81" s="427">
        <v>0</v>
      </c>
      <c r="BN81" s="427">
        <v>0</v>
      </c>
      <c r="BO81" s="427">
        <v>0</v>
      </c>
      <c r="BP81" s="427">
        <v>0</v>
      </c>
      <c r="BQ81" s="427">
        <v>0</v>
      </c>
      <c r="BR81" s="427">
        <v>0</v>
      </c>
      <c r="BS81" s="427">
        <v>0</v>
      </c>
      <c r="BT81" s="427">
        <v>0</v>
      </c>
      <c r="BU81" s="427">
        <v>0</v>
      </c>
      <c r="BV81" s="427">
        <v>0</v>
      </c>
      <c r="BW81" s="427">
        <v>0</v>
      </c>
      <c r="BX81" s="427">
        <v>0</v>
      </c>
      <c r="BY81" s="427">
        <v>0</v>
      </c>
      <c r="BZ81" s="427">
        <v>0</v>
      </c>
      <c r="CC81" s="21"/>
      <c r="CD81" s="438" t="s">
        <v>211</v>
      </c>
      <c r="CE81" s="433">
        <f t="shared" si="15"/>
        <v>0</v>
      </c>
      <c r="CF81" s="433">
        <f t="shared" si="16"/>
        <v>0</v>
      </c>
      <c r="CG81" s="433">
        <f t="shared" si="17"/>
        <v>0</v>
      </c>
      <c r="CH81" s="433">
        <f t="shared" si="18"/>
        <v>0</v>
      </c>
      <c r="CI81" s="433">
        <f t="shared" si="19"/>
        <v>0</v>
      </c>
      <c r="CJ81" s="433">
        <f t="shared" si="20"/>
        <v>0</v>
      </c>
      <c r="CK81" s="433">
        <f t="shared" si="21"/>
        <v>0</v>
      </c>
      <c r="CL81" s="433">
        <f t="shared" si="22"/>
        <v>0</v>
      </c>
      <c r="CM81" s="433">
        <f t="shared" si="23"/>
        <v>0</v>
      </c>
      <c r="CN81" s="433">
        <f t="shared" si="24"/>
        <v>0</v>
      </c>
      <c r="CO81" s="433">
        <f t="shared" si="25"/>
        <v>0</v>
      </c>
      <c r="CP81" s="433">
        <f t="shared" si="26"/>
        <v>0</v>
      </c>
      <c r="CQ81" s="433">
        <f t="shared" si="27"/>
        <v>0</v>
      </c>
      <c r="CR81" s="433">
        <f t="shared" si="28"/>
        <v>0</v>
      </c>
      <c r="CS81" s="433">
        <f t="shared" si="29"/>
        <v>0</v>
      </c>
      <c r="CT81" s="21"/>
    </row>
    <row r="82" spans="3:98" ht="24.75" hidden="1" customHeight="1" outlineLevel="4">
      <c r="C82" s="438" t="s">
        <v>212</v>
      </c>
      <c r="D82" s="427">
        <v>0</v>
      </c>
      <c r="E82" s="427">
        <v>0</v>
      </c>
      <c r="F82" s="427">
        <v>0</v>
      </c>
      <c r="G82" s="427">
        <v>0</v>
      </c>
      <c r="H82" s="427">
        <v>0</v>
      </c>
      <c r="I82" s="427">
        <v>0</v>
      </c>
      <c r="J82" s="427">
        <v>0</v>
      </c>
      <c r="K82" s="427">
        <v>0</v>
      </c>
      <c r="L82" s="427">
        <v>0</v>
      </c>
      <c r="M82" s="427">
        <v>0</v>
      </c>
      <c r="N82" s="427">
        <v>0</v>
      </c>
      <c r="O82" s="427">
        <v>0</v>
      </c>
      <c r="P82" s="427">
        <v>0</v>
      </c>
      <c r="Q82" s="427">
        <v>0</v>
      </c>
      <c r="R82" s="427">
        <v>0</v>
      </c>
      <c r="S82" s="427">
        <v>0</v>
      </c>
      <c r="T82" s="427">
        <v>0</v>
      </c>
      <c r="U82" s="427">
        <v>0</v>
      </c>
      <c r="V82" s="427">
        <v>0</v>
      </c>
      <c r="W82" s="427">
        <v>0</v>
      </c>
      <c r="X82" s="427">
        <v>0</v>
      </c>
      <c r="Y82" s="427">
        <v>0</v>
      </c>
      <c r="Z82" s="427">
        <v>0</v>
      </c>
      <c r="AA82" s="427">
        <v>0</v>
      </c>
      <c r="AB82" s="427">
        <v>0</v>
      </c>
      <c r="AC82" s="427">
        <v>0</v>
      </c>
      <c r="AD82" s="427">
        <v>0</v>
      </c>
      <c r="AE82" s="427">
        <v>0</v>
      </c>
      <c r="AF82" s="427">
        <v>0</v>
      </c>
      <c r="AG82" s="427">
        <v>0</v>
      </c>
      <c r="AH82" s="427">
        <v>0</v>
      </c>
      <c r="AI82" s="427">
        <v>0</v>
      </c>
      <c r="AJ82" s="427">
        <v>0</v>
      </c>
      <c r="AK82" s="427">
        <v>0</v>
      </c>
      <c r="AL82" s="427">
        <v>0</v>
      </c>
      <c r="AM82" s="427">
        <v>0</v>
      </c>
      <c r="AN82" s="427">
        <v>0</v>
      </c>
      <c r="AO82" s="427">
        <v>0</v>
      </c>
      <c r="AP82" s="427">
        <v>0</v>
      </c>
      <c r="AQ82" s="427">
        <v>0</v>
      </c>
      <c r="AR82" s="427">
        <v>0</v>
      </c>
      <c r="AS82" s="427">
        <v>0</v>
      </c>
      <c r="AT82" s="427">
        <v>0</v>
      </c>
      <c r="AU82" s="427">
        <v>0</v>
      </c>
      <c r="AV82" s="427">
        <v>0</v>
      </c>
      <c r="AW82" s="427">
        <v>0</v>
      </c>
      <c r="AX82" s="427">
        <v>0</v>
      </c>
      <c r="AY82" s="427">
        <v>0</v>
      </c>
      <c r="AZ82" s="427">
        <v>0</v>
      </c>
      <c r="BA82" s="427">
        <v>0</v>
      </c>
      <c r="BB82" s="427">
        <v>0</v>
      </c>
      <c r="BC82" s="427">
        <v>0</v>
      </c>
      <c r="BD82" s="427">
        <v>0</v>
      </c>
      <c r="BE82" s="427">
        <v>0</v>
      </c>
      <c r="BF82" s="427">
        <v>0</v>
      </c>
      <c r="BG82" s="427">
        <v>0</v>
      </c>
      <c r="BH82" s="427">
        <v>0</v>
      </c>
      <c r="BI82" s="427">
        <v>0</v>
      </c>
      <c r="BJ82" s="427">
        <v>0</v>
      </c>
      <c r="BK82" s="427">
        <v>0</v>
      </c>
      <c r="BL82" s="427">
        <v>0</v>
      </c>
      <c r="BM82" s="427">
        <v>0</v>
      </c>
      <c r="BN82" s="427">
        <v>0</v>
      </c>
      <c r="BO82" s="427">
        <v>0</v>
      </c>
      <c r="BP82" s="427">
        <v>0</v>
      </c>
      <c r="BQ82" s="427">
        <v>0</v>
      </c>
      <c r="BR82" s="427">
        <v>0</v>
      </c>
      <c r="BS82" s="427">
        <v>0</v>
      </c>
      <c r="BT82" s="427">
        <v>0</v>
      </c>
      <c r="BU82" s="427">
        <v>0</v>
      </c>
      <c r="BV82" s="427">
        <v>0</v>
      </c>
      <c r="BW82" s="427">
        <v>0</v>
      </c>
      <c r="BX82" s="427">
        <v>0</v>
      </c>
      <c r="BY82" s="427">
        <v>0</v>
      </c>
      <c r="BZ82" s="427">
        <v>0</v>
      </c>
      <c r="CC82" s="21"/>
      <c r="CD82" s="438" t="s">
        <v>212</v>
      </c>
      <c r="CE82" s="433">
        <f t="shared" si="15"/>
        <v>0</v>
      </c>
      <c r="CF82" s="433">
        <f t="shared" si="16"/>
        <v>0</v>
      </c>
      <c r="CG82" s="433">
        <f t="shared" si="17"/>
        <v>0</v>
      </c>
      <c r="CH82" s="433">
        <f t="shared" si="18"/>
        <v>0</v>
      </c>
      <c r="CI82" s="433">
        <f t="shared" si="19"/>
        <v>0</v>
      </c>
      <c r="CJ82" s="433">
        <f t="shared" si="20"/>
        <v>0</v>
      </c>
      <c r="CK82" s="433">
        <f t="shared" si="21"/>
        <v>0</v>
      </c>
      <c r="CL82" s="433">
        <f t="shared" si="22"/>
        <v>0</v>
      </c>
      <c r="CM82" s="433">
        <f t="shared" si="23"/>
        <v>0</v>
      </c>
      <c r="CN82" s="433">
        <f t="shared" si="24"/>
        <v>0</v>
      </c>
      <c r="CO82" s="433">
        <f t="shared" si="25"/>
        <v>0</v>
      </c>
      <c r="CP82" s="433">
        <f t="shared" si="26"/>
        <v>0</v>
      </c>
      <c r="CQ82" s="433">
        <f t="shared" si="27"/>
        <v>0</v>
      </c>
      <c r="CR82" s="433">
        <f t="shared" si="28"/>
        <v>0</v>
      </c>
      <c r="CS82" s="433">
        <f t="shared" si="29"/>
        <v>0</v>
      </c>
      <c r="CT82" s="21"/>
    </row>
    <row r="83" spans="3:98" ht="24.75" hidden="1" customHeight="1" outlineLevel="3">
      <c r="C83" s="437" t="s">
        <v>208</v>
      </c>
      <c r="D83" s="427">
        <v>0</v>
      </c>
      <c r="E83" s="427">
        <v>0</v>
      </c>
      <c r="F83" s="427">
        <v>0</v>
      </c>
      <c r="G83" s="427">
        <v>0</v>
      </c>
      <c r="H83" s="427">
        <v>0</v>
      </c>
      <c r="I83" s="427">
        <v>0</v>
      </c>
      <c r="J83" s="427">
        <v>0</v>
      </c>
      <c r="K83" s="427">
        <v>0</v>
      </c>
      <c r="L83" s="427">
        <v>0</v>
      </c>
      <c r="M83" s="427">
        <v>0</v>
      </c>
      <c r="N83" s="427">
        <v>0</v>
      </c>
      <c r="O83" s="427">
        <v>0</v>
      </c>
      <c r="P83" s="427">
        <v>0</v>
      </c>
      <c r="Q83" s="427">
        <v>0</v>
      </c>
      <c r="R83" s="427">
        <v>0</v>
      </c>
      <c r="S83" s="427">
        <v>0</v>
      </c>
      <c r="T83" s="427">
        <v>0</v>
      </c>
      <c r="U83" s="427">
        <v>0</v>
      </c>
      <c r="V83" s="427">
        <v>0</v>
      </c>
      <c r="W83" s="427">
        <v>0</v>
      </c>
      <c r="X83" s="427">
        <v>0</v>
      </c>
      <c r="Y83" s="427">
        <v>0</v>
      </c>
      <c r="Z83" s="427">
        <v>0</v>
      </c>
      <c r="AA83" s="427">
        <v>0</v>
      </c>
      <c r="AB83" s="427">
        <v>0</v>
      </c>
      <c r="AC83" s="427">
        <v>0</v>
      </c>
      <c r="AD83" s="427">
        <v>0</v>
      </c>
      <c r="AE83" s="427">
        <v>0</v>
      </c>
      <c r="AF83" s="427">
        <v>0</v>
      </c>
      <c r="AG83" s="427">
        <v>0</v>
      </c>
      <c r="AH83" s="427">
        <v>0</v>
      </c>
      <c r="AI83" s="427">
        <v>0</v>
      </c>
      <c r="AJ83" s="427">
        <v>0</v>
      </c>
      <c r="AK83" s="427">
        <v>0</v>
      </c>
      <c r="AL83" s="427">
        <v>0</v>
      </c>
      <c r="AM83" s="427">
        <v>0</v>
      </c>
      <c r="AN83" s="427">
        <v>0</v>
      </c>
      <c r="AO83" s="427">
        <v>0</v>
      </c>
      <c r="AP83" s="427">
        <v>0</v>
      </c>
      <c r="AQ83" s="427">
        <v>0</v>
      </c>
      <c r="AR83" s="427">
        <v>0</v>
      </c>
      <c r="AS83" s="427">
        <v>0</v>
      </c>
      <c r="AT83" s="427">
        <v>0</v>
      </c>
      <c r="AU83" s="427">
        <v>0</v>
      </c>
      <c r="AV83" s="427">
        <v>0</v>
      </c>
      <c r="AW83" s="427">
        <v>0</v>
      </c>
      <c r="AX83" s="427">
        <v>0</v>
      </c>
      <c r="AY83" s="427">
        <v>0</v>
      </c>
      <c r="AZ83" s="427">
        <v>0</v>
      </c>
      <c r="BA83" s="427">
        <v>0</v>
      </c>
      <c r="BB83" s="427">
        <v>0</v>
      </c>
      <c r="BC83" s="427">
        <v>0</v>
      </c>
      <c r="BD83" s="427">
        <v>0</v>
      </c>
      <c r="BE83" s="427">
        <v>0</v>
      </c>
      <c r="BF83" s="427">
        <v>0</v>
      </c>
      <c r="BG83" s="427">
        <v>0</v>
      </c>
      <c r="BH83" s="427">
        <v>0</v>
      </c>
      <c r="BI83" s="427">
        <v>0</v>
      </c>
      <c r="BJ83" s="427">
        <v>0</v>
      </c>
      <c r="BK83" s="427">
        <v>0</v>
      </c>
      <c r="BL83" s="427">
        <v>0</v>
      </c>
      <c r="BM83" s="427">
        <v>0</v>
      </c>
      <c r="BN83" s="427">
        <v>0</v>
      </c>
      <c r="BO83" s="427">
        <v>0</v>
      </c>
      <c r="BP83" s="427">
        <v>0</v>
      </c>
      <c r="BQ83" s="427">
        <v>0</v>
      </c>
      <c r="BR83" s="427">
        <v>0</v>
      </c>
      <c r="BS83" s="427">
        <v>0</v>
      </c>
      <c r="BT83" s="427">
        <v>0</v>
      </c>
      <c r="BU83" s="427">
        <v>0</v>
      </c>
      <c r="BV83" s="427">
        <v>0</v>
      </c>
      <c r="BW83" s="427">
        <v>0</v>
      </c>
      <c r="BX83" s="427">
        <v>0</v>
      </c>
      <c r="BY83" s="427">
        <v>0</v>
      </c>
      <c r="BZ83" s="427">
        <v>0</v>
      </c>
      <c r="CC83" s="21"/>
      <c r="CD83" s="437" t="s">
        <v>208</v>
      </c>
      <c r="CE83" s="433">
        <f t="shared" si="15"/>
        <v>0</v>
      </c>
      <c r="CF83" s="433">
        <f t="shared" si="16"/>
        <v>0</v>
      </c>
      <c r="CG83" s="433">
        <f t="shared" si="17"/>
        <v>0</v>
      </c>
      <c r="CH83" s="433">
        <f t="shared" si="18"/>
        <v>0</v>
      </c>
      <c r="CI83" s="433">
        <f t="shared" si="19"/>
        <v>0</v>
      </c>
      <c r="CJ83" s="433">
        <f t="shared" si="20"/>
        <v>0</v>
      </c>
      <c r="CK83" s="433">
        <f t="shared" si="21"/>
        <v>0</v>
      </c>
      <c r="CL83" s="433">
        <f t="shared" si="22"/>
        <v>0</v>
      </c>
      <c r="CM83" s="433">
        <f t="shared" si="23"/>
        <v>0</v>
      </c>
      <c r="CN83" s="433">
        <f t="shared" si="24"/>
        <v>0</v>
      </c>
      <c r="CO83" s="433">
        <f t="shared" si="25"/>
        <v>0</v>
      </c>
      <c r="CP83" s="433">
        <f t="shared" si="26"/>
        <v>0</v>
      </c>
      <c r="CQ83" s="433">
        <f t="shared" si="27"/>
        <v>0</v>
      </c>
      <c r="CR83" s="433">
        <f t="shared" si="28"/>
        <v>0</v>
      </c>
      <c r="CS83" s="433">
        <f t="shared" si="29"/>
        <v>0</v>
      </c>
      <c r="CT83" s="21"/>
    </row>
    <row r="84" spans="3:98" ht="24.75" hidden="1" customHeight="1" outlineLevel="3">
      <c r="C84" s="437" t="s">
        <v>213</v>
      </c>
      <c r="D84" s="427">
        <v>0</v>
      </c>
      <c r="E84" s="427">
        <v>0</v>
      </c>
      <c r="F84" s="427">
        <v>0</v>
      </c>
      <c r="G84" s="427">
        <v>0</v>
      </c>
      <c r="H84" s="427">
        <v>0</v>
      </c>
      <c r="I84" s="427">
        <v>0</v>
      </c>
      <c r="J84" s="427">
        <v>0</v>
      </c>
      <c r="K84" s="427">
        <v>0</v>
      </c>
      <c r="L84" s="427">
        <v>0</v>
      </c>
      <c r="M84" s="427">
        <v>0</v>
      </c>
      <c r="N84" s="427">
        <v>0</v>
      </c>
      <c r="O84" s="427">
        <v>0</v>
      </c>
      <c r="P84" s="427">
        <v>0</v>
      </c>
      <c r="Q84" s="427">
        <v>0</v>
      </c>
      <c r="R84" s="427">
        <v>0</v>
      </c>
      <c r="S84" s="427">
        <v>0</v>
      </c>
      <c r="T84" s="427">
        <v>0</v>
      </c>
      <c r="U84" s="427">
        <v>0</v>
      </c>
      <c r="V84" s="427">
        <v>0</v>
      </c>
      <c r="W84" s="427">
        <v>0</v>
      </c>
      <c r="X84" s="427">
        <v>0</v>
      </c>
      <c r="Y84" s="427">
        <v>0</v>
      </c>
      <c r="Z84" s="427">
        <v>0</v>
      </c>
      <c r="AA84" s="427">
        <v>0</v>
      </c>
      <c r="AB84" s="427">
        <v>0</v>
      </c>
      <c r="AC84" s="427">
        <v>0</v>
      </c>
      <c r="AD84" s="427">
        <v>0</v>
      </c>
      <c r="AE84" s="427">
        <v>0</v>
      </c>
      <c r="AF84" s="427">
        <v>0</v>
      </c>
      <c r="AG84" s="427">
        <v>0</v>
      </c>
      <c r="AH84" s="427">
        <v>0</v>
      </c>
      <c r="AI84" s="427">
        <v>0</v>
      </c>
      <c r="AJ84" s="427">
        <v>0</v>
      </c>
      <c r="AK84" s="427">
        <v>0</v>
      </c>
      <c r="AL84" s="427">
        <v>0</v>
      </c>
      <c r="AM84" s="427">
        <v>0</v>
      </c>
      <c r="AN84" s="427">
        <v>0</v>
      </c>
      <c r="AO84" s="427">
        <v>0</v>
      </c>
      <c r="AP84" s="427">
        <v>0</v>
      </c>
      <c r="AQ84" s="427">
        <v>0</v>
      </c>
      <c r="AR84" s="427">
        <v>0</v>
      </c>
      <c r="AS84" s="427">
        <v>0</v>
      </c>
      <c r="AT84" s="427">
        <v>0</v>
      </c>
      <c r="AU84" s="427">
        <v>0</v>
      </c>
      <c r="AV84" s="427">
        <v>0</v>
      </c>
      <c r="AW84" s="427">
        <v>0</v>
      </c>
      <c r="AX84" s="427">
        <v>0</v>
      </c>
      <c r="AY84" s="427">
        <v>0</v>
      </c>
      <c r="AZ84" s="427">
        <v>0</v>
      </c>
      <c r="BA84" s="427">
        <v>0</v>
      </c>
      <c r="BB84" s="427">
        <v>0</v>
      </c>
      <c r="BC84" s="427">
        <v>0</v>
      </c>
      <c r="BD84" s="427">
        <v>0</v>
      </c>
      <c r="BE84" s="427">
        <v>0</v>
      </c>
      <c r="BF84" s="427">
        <v>0</v>
      </c>
      <c r="BG84" s="427">
        <v>0</v>
      </c>
      <c r="BH84" s="427">
        <v>0</v>
      </c>
      <c r="BI84" s="427">
        <v>0</v>
      </c>
      <c r="BJ84" s="427">
        <v>0</v>
      </c>
      <c r="BK84" s="427">
        <v>0</v>
      </c>
      <c r="BL84" s="427">
        <v>0</v>
      </c>
      <c r="BM84" s="427">
        <v>0</v>
      </c>
      <c r="BN84" s="427">
        <v>0</v>
      </c>
      <c r="BO84" s="427">
        <v>0</v>
      </c>
      <c r="BP84" s="427">
        <v>0</v>
      </c>
      <c r="BQ84" s="427">
        <v>0</v>
      </c>
      <c r="BR84" s="427">
        <v>0</v>
      </c>
      <c r="BS84" s="427">
        <v>0</v>
      </c>
      <c r="BT84" s="427">
        <v>0</v>
      </c>
      <c r="BU84" s="427">
        <v>0</v>
      </c>
      <c r="BV84" s="427">
        <v>0</v>
      </c>
      <c r="BW84" s="427">
        <v>0</v>
      </c>
      <c r="BX84" s="427">
        <v>0</v>
      </c>
      <c r="BY84" s="427">
        <v>0</v>
      </c>
      <c r="BZ84" s="427">
        <v>0</v>
      </c>
      <c r="CC84" s="21"/>
      <c r="CD84" s="437" t="s">
        <v>213</v>
      </c>
      <c r="CE84" s="433">
        <f t="shared" si="15"/>
        <v>0</v>
      </c>
      <c r="CF84" s="433">
        <f t="shared" si="16"/>
        <v>0</v>
      </c>
      <c r="CG84" s="433">
        <f t="shared" si="17"/>
        <v>0</v>
      </c>
      <c r="CH84" s="433">
        <f t="shared" si="18"/>
        <v>0</v>
      </c>
      <c r="CI84" s="433">
        <f t="shared" si="19"/>
        <v>0</v>
      </c>
      <c r="CJ84" s="433">
        <f t="shared" si="20"/>
        <v>0</v>
      </c>
      <c r="CK84" s="433">
        <f t="shared" si="21"/>
        <v>0</v>
      </c>
      <c r="CL84" s="433">
        <f t="shared" si="22"/>
        <v>0</v>
      </c>
      <c r="CM84" s="433">
        <f t="shared" si="23"/>
        <v>0</v>
      </c>
      <c r="CN84" s="433">
        <f t="shared" si="24"/>
        <v>0</v>
      </c>
      <c r="CO84" s="433">
        <f t="shared" si="25"/>
        <v>0</v>
      </c>
      <c r="CP84" s="433">
        <f t="shared" si="26"/>
        <v>0</v>
      </c>
      <c r="CQ84" s="433">
        <f t="shared" si="27"/>
        <v>0</v>
      </c>
      <c r="CR84" s="433">
        <f t="shared" si="28"/>
        <v>0</v>
      </c>
      <c r="CS84" s="433">
        <f t="shared" si="29"/>
        <v>0</v>
      </c>
      <c r="CT84" s="21"/>
    </row>
    <row r="85" spans="3:98" ht="24.75" hidden="1" customHeight="1" outlineLevel="3">
      <c r="C85" s="437" t="s">
        <v>214</v>
      </c>
      <c r="D85" s="427">
        <v>0</v>
      </c>
      <c r="E85" s="427">
        <v>0</v>
      </c>
      <c r="F85" s="427">
        <v>0</v>
      </c>
      <c r="G85" s="427">
        <v>0</v>
      </c>
      <c r="H85" s="427">
        <v>0</v>
      </c>
      <c r="I85" s="427">
        <v>0</v>
      </c>
      <c r="J85" s="427">
        <v>0</v>
      </c>
      <c r="K85" s="427">
        <v>0</v>
      </c>
      <c r="L85" s="427">
        <v>0</v>
      </c>
      <c r="M85" s="427">
        <v>0</v>
      </c>
      <c r="N85" s="427">
        <v>0</v>
      </c>
      <c r="O85" s="427">
        <v>0</v>
      </c>
      <c r="P85" s="427">
        <v>0</v>
      </c>
      <c r="Q85" s="427">
        <v>0</v>
      </c>
      <c r="R85" s="427">
        <v>0</v>
      </c>
      <c r="S85" s="427">
        <v>0</v>
      </c>
      <c r="T85" s="427">
        <v>0</v>
      </c>
      <c r="U85" s="427">
        <v>0</v>
      </c>
      <c r="V85" s="427">
        <v>0</v>
      </c>
      <c r="W85" s="427">
        <v>0</v>
      </c>
      <c r="X85" s="427">
        <v>0</v>
      </c>
      <c r="Y85" s="427">
        <v>0</v>
      </c>
      <c r="Z85" s="427">
        <v>0</v>
      </c>
      <c r="AA85" s="427">
        <v>0</v>
      </c>
      <c r="AB85" s="427">
        <v>0</v>
      </c>
      <c r="AC85" s="427">
        <v>0</v>
      </c>
      <c r="AD85" s="427">
        <v>0</v>
      </c>
      <c r="AE85" s="427">
        <v>0</v>
      </c>
      <c r="AF85" s="427">
        <v>0</v>
      </c>
      <c r="AG85" s="427">
        <v>0</v>
      </c>
      <c r="AH85" s="427">
        <v>0</v>
      </c>
      <c r="AI85" s="427">
        <v>0</v>
      </c>
      <c r="AJ85" s="427">
        <v>0</v>
      </c>
      <c r="AK85" s="427">
        <v>0</v>
      </c>
      <c r="AL85" s="427">
        <v>0</v>
      </c>
      <c r="AM85" s="427">
        <v>0</v>
      </c>
      <c r="AN85" s="427">
        <v>0</v>
      </c>
      <c r="AO85" s="427">
        <v>0</v>
      </c>
      <c r="AP85" s="427">
        <v>0</v>
      </c>
      <c r="AQ85" s="427">
        <v>0</v>
      </c>
      <c r="AR85" s="427">
        <v>0</v>
      </c>
      <c r="AS85" s="427">
        <v>0</v>
      </c>
      <c r="AT85" s="427">
        <v>0</v>
      </c>
      <c r="AU85" s="427">
        <v>0</v>
      </c>
      <c r="AV85" s="427">
        <v>0</v>
      </c>
      <c r="AW85" s="427">
        <v>0</v>
      </c>
      <c r="AX85" s="427">
        <v>0</v>
      </c>
      <c r="AY85" s="427">
        <v>0</v>
      </c>
      <c r="AZ85" s="427">
        <v>0</v>
      </c>
      <c r="BA85" s="427">
        <v>0</v>
      </c>
      <c r="BB85" s="427">
        <v>0</v>
      </c>
      <c r="BC85" s="427">
        <v>0</v>
      </c>
      <c r="BD85" s="427">
        <v>0</v>
      </c>
      <c r="BE85" s="427">
        <v>0</v>
      </c>
      <c r="BF85" s="427">
        <v>0</v>
      </c>
      <c r="BG85" s="427">
        <v>0</v>
      </c>
      <c r="BH85" s="427">
        <v>0</v>
      </c>
      <c r="BI85" s="427">
        <v>0</v>
      </c>
      <c r="BJ85" s="427">
        <v>0</v>
      </c>
      <c r="BK85" s="427">
        <v>0</v>
      </c>
      <c r="BL85" s="427">
        <v>0</v>
      </c>
      <c r="BM85" s="427">
        <v>0</v>
      </c>
      <c r="BN85" s="427">
        <v>0</v>
      </c>
      <c r="BO85" s="427">
        <v>0</v>
      </c>
      <c r="BP85" s="427">
        <v>0</v>
      </c>
      <c r="BQ85" s="427">
        <v>0</v>
      </c>
      <c r="BR85" s="427">
        <v>0</v>
      </c>
      <c r="BS85" s="427">
        <v>0</v>
      </c>
      <c r="BT85" s="427">
        <v>0</v>
      </c>
      <c r="BU85" s="427">
        <v>0</v>
      </c>
      <c r="BV85" s="427">
        <v>0</v>
      </c>
      <c r="BW85" s="427">
        <v>0</v>
      </c>
      <c r="BX85" s="427">
        <v>0</v>
      </c>
      <c r="BY85" s="427">
        <v>0</v>
      </c>
      <c r="BZ85" s="427">
        <v>0</v>
      </c>
      <c r="CC85" s="21"/>
      <c r="CD85" s="437" t="s">
        <v>214</v>
      </c>
      <c r="CE85" s="433">
        <f t="shared" si="15"/>
        <v>0</v>
      </c>
      <c r="CF85" s="433">
        <f t="shared" si="16"/>
        <v>0</v>
      </c>
      <c r="CG85" s="433">
        <f t="shared" si="17"/>
        <v>0</v>
      </c>
      <c r="CH85" s="433">
        <f t="shared" si="18"/>
        <v>0</v>
      </c>
      <c r="CI85" s="433">
        <f t="shared" si="19"/>
        <v>0</v>
      </c>
      <c r="CJ85" s="433">
        <f t="shared" si="20"/>
        <v>0</v>
      </c>
      <c r="CK85" s="433">
        <f t="shared" si="21"/>
        <v>0</v>
      </c>
      <c r="CL85" s="433">
        <f t="shared" si="22"/>
        <v>0</v>
      </c>
      <c r="CM85" s="433">
        <f t="shared" si="23"/>
        <v>0</v>
      </c>
      <c r="CN85" s="433">
        <f t="shared" si="24"/>
        <v>0</v>
      </c>
      <c r="CO85" s="433">
        <f t="shared" si="25"/>
        <v>0</v>
      </c>
      <c r="CP85" s="433">
        <f t="shared" si="26"/>
        <v>0</v>
      </c>
      <c r="CQ85" s="433">
        <f t="shared" si="27"/>
        <v>0</v>
      </c>
      <c r="CR85" s="433">
        <f t="shared" si="28"/>
        <v>0</v>
      </c>
      <c r="CS85" s="433">
        <f t="shared" si="29"/>
        <v>0</v>
      </c>
      <c r="CT85" s="21"/>
    </row>
    <row r="86" spans="3:98" ht="24.75" hidden="1" customHeight="1" outlineLevel="3">
      <c r="C86" s="437" t="s">
        <v>215</v>
      </c>
      <c r="D86" s="427">
        <v>0</v>
      </c>
      <c r="E86" s="427">
        <v>0</v>
      </c>
      <c r="F86" s="427">
        <v>0</v>
      </c>
      <c r="G86" s="427">
        <v>0</v>
      </c>
      <c r="H86" s="427">
        <v>0</v>
      </c>
      <c r="I86" s="427">
        <v>0</v>
      </c>
      <c r="J86" s="427">
        <v>0</v>
      </c>
      <c r="K86" s="427">
        <v>0</v>
      </c>
      <c r="L86" s="427">
        <v>0</v>
      </c>
      <c r="M86" s="427">
        <v>0</v>
      </c>
      <c r="N86" s="427">
        <v>0</v>
      </c>
      <c r="O86" s="427">
        <v>0</v>
      </c>
      <c r="P86" s="427">
        <v>0</v>
      </c>
      <c r="Q86" s="427">
        <v>0</v>
      </c>
      <c r="R86" s="427">
        <v>0</v>
      </c>
      <c r="S86" s="427">
        <v>0</v>
      </c>
      <c r="T86" s="427">
        <v>0</v>
      </c>
      <c r="U86" s="427">
        <v>0</v>
      </c>
      <c r="V86" s="427">
        <v>0</v>
      </c>
      <c r="W86" s="427">
        <v>0</v>
      </c>
      <c r="X86" s="427">
        <v>0</v>
      </c>
      <c r="Y86" s="427">
        <v>0</v>
      </c>
      <c r="Z86" s="427">
        <v>0</v>
      </c>
      <c r="AA86" s="427">
        <v>0</v>
      </c>
      <c r="AB86" s="427">
        <v>0</v>
      </c>
      <c r="AC86" s="427">
        <v>0</v>
      </c>
      <c r="AD86" s="427">
        <v>0</v>
      </c>
      <c r="AE86" s="427">
        <v>0</v>
      </c>
      <c r="AF86" s="427">
        <v>0</v>
      </c>
      <c r="AG86" s="427">
        <v>0</v>
      </c>
      <c r="AH86" s="427">
        <v>0</v>
      </c>
      <c r="AI86" s="427">
        <v>0</v>
      </c>
      <c r="AJ86" s="427">
        <v>0</v>
      </c>
      <c r="AK86" s="427">
        <v>0</v>
      </c>
      <c r="AL86" s="427">
        <v>0</v>
      </c>
      <c r="AM86" s="427">
        <v>0</v>
      </c>
      <c r="AN86" s="427">
        <v>0</v>
      </c>
      <c r="AO86" s="427">
        <v>0</v>
      </c>
      <c r="AP86" s="427">
        <v>0</v>
      </c>
      <c r="AQ86" s="427">
        <v>0</v>
      </c>
      <c r="AR86" s="427">
        <v>0</v>
      </c>
      <c r="AS86" s="427">
        <v>0</v>
      </c>
      <c r="AT86" s="427">
        <v>0</v>
      </c>
      <c r="AU86" s="427">
        <v>0</v>
      </c>
      <c r="AV86" s="427">
        <v>0</v>
      </c>
      <c r="AW86" s="427">
        <v>0</v>
      </c>
      <c r="AX86" s="427">
        <v>0</v>
      </c>
      <c r="AY86" s="427">
        <v>0</v>
      </c>
      <c r="AZ86" s="427">
        <v>0</v>
      </c>
      <c r="BA86" s="427">
        <v>0</v>
      </c>
      <c r="BB86" s="427">
        <v>0</v>
      </c>
      <c r="BC86" s="427">
        <v>0</v>
      </c>
      <c r="BD86" s="427">
        <v>0</v>
      </c>
      <c r="BE86" s="427">
        <v>0</v>
      </c>
      <c r="BF86" s="427">
        <v>0</v>
      </c>
      <c r="BG86" s="427">
        <v>0</v>
      </c>
      <c r="BH86" s="427">
        <v>0</v>
      </c>
      <c r="BI86" s="427">
        <v>0</v>
      </c>
      <c r="BJ86" s="427">
        <v>0</v>
      </c>
      <c r="BK86" s="427">
        <v>0</v>
      </c>
      <c r="BL86" s="427">
        <v>0</v>
      </c>
      <c r="BM86" s="427">
        <v>0</v>
      </c>
      <c r="BN86" s="427">
        <v>0</v>
      </c>
      <c r="BO86" s="427">
        <v>0</v>
      </c>
      <c r="BP86" s="427">
        <v>0</v>
      </c>
      <c r="BQ86" s="427">
        <v>0</v>
      </c>
      <c r="BR86" s="427">
        <v>0</v>
      </c>
      <c r="BS86" s="427">
        <v>0</v>
      </c>
      <c r="BT86" s="427">
        <v>0</v>
      </c>
      <c r="BU86" s="427">
        <v>0</v>
      </c>
      <c r="BV86" s="427">
        <v>0</v>
      </c>
      <c r="BW86" s="427">
        <v>0</v>
      </c>
      <c r="BX86" s="427">
        <v>0</v>
      </c>
      <c r="BY86" s="427">
        <v>0</v>
      </c>
      <c r="BZ86" s="427">
        <v>0</v>
      </c>
      <c r="CC86" s="21"/>
      <c r="CD86" s="437" t="s">
        <v>215</v>
      </c>
      <c r="CE86" s="433">
        <f t="shared" si="15"/>
        <v>0</v>
      </c>
      <c r="CF86" s="433">
        <f t="shared" si="16"/>
        <v>0</v>
      </c>
      <c r="CG86" s="433">
        <f t="shared" si="17"/>
        <v>0</v>
      </c>
      <c r="CH86" s="433">
        <f t="shared" si="18"/>
        <v>0</v>
      </c>
      <c r="CI86" s="433">
        <f t="shared" si="19"/>
        <v>0</v>
      </c>
      <c r="CJ86" s="433">
        <f t="shared" si="20"/>
        <v>0</v>
      </c>
      <c r="CK86" s="433">
        <f t="shared" si="21"/>
        <v>0</v>
      </c>
      <c r="CL86" s="433">
        <f t="shared" si="22"/>
        <v>0</v>
      </c>
      <c r="CM86" s="433">
        <f t="shared" si="23"/>
        <v>0</v>
      </c>
      <c r="CN86" s="433">
        <f t="shared" si="24"/>
        <v>0</v>
      </c>
      <c r="CO86" s="433">
        <f t="shared" si="25"/>
        <v>0</v>
      </c>
      <c r="CP86" s="433">
        <f t="shared" si="26"/>
        <v>0</v>
      </c>
      <c r="CQ86" s="433">
        <f t="shared" si="27"/>
        <v>0</v>
      </c>
      <c r="CR86" s="433">
        <f t="shared" si="28"/>
        <v>0</v>
      </c>
      <c r="CS86" s="433">
        <f t="shared" si="29"/>
        <v>0</v>
      </c>
      <c r="CT86" s="21"/>
    </row>
    <row r="87" spans="3:98" ht="24.75" hidden="1" customHeight="1" outlineLevel="2">
      <c r="C87" s="426" t="s">
        <v>197</v>
      </c>
      <c r="D87" s="427">
        <v>0</v>
      </c>
      <c r="E87" s="427">
        <v>0</v>
      </c>
      <c r="F87" s="427">
        <v>0</v>
      </c>
      <c r="G87" s="427">
        <v>0</v>
      </c>
      <c r="H87" s="427">
        <v>0</v>
      </c>
      <c r="I87" s="427">
        <v>0</v>
      </c>
      <c r="J87" s="427">
        <v>0</v>
      </c>
      <c r="K87" s="427">
        <v>0</v>
      </c>
      <c r="L87" s="427">
        <v>0</v>
      </c>
      <c r="M87" s="427">
        <v>0</v>
      </c>
      <c r="N87" s="427">
        <v>0</v>
      </c>
      <c r="O87" s="427">
        <v>0</v>
      </c>
      <c r="P87" s="427">
        <v>0</v>
      </c>
      <c r="Q87" s="427">
        <v>0</v>
      </c>
      <c r="R87" s="427">
        <v>0</v>
      </c>
      <c r="S87" s="427">
        <v>0</v>
      </c>
      <c r="T87" s="427">
        <v>0</v>
      </c>
      <c r="U87" s="427">
        <v>0</v>
      </c>
      <c r="V87" s="427">
        <v>0</v>
      </c>
      <c r="W87" s="427">
        <v>0</v>
      </c>
      <c r="X87" s="427">
        <v>0</v>
      </c>
      <c r="Y87" s="427">
        <v>0</v>
      </c>
      <c r="Z87" s="427">
        <v>0</v>
      </c>
      <c r="AA87" s="427">
        <v>0</v>
      </c>
      <c r="AB87" s="427">
        <v>0</v>
      </c>
      <c r="AC87" s="427">
        <v>0</v>
      </c>
      <c r="AD87" s="427">
        <v>0</v>
      </c>
      <c r="AE87" s="427">
        <v>0</v>
      </c>
      <c r="AF87" s="427">
        <v>0</v>
      </c>
      <c r="AG87" s="427">
        <v>0</v>
      </c>
      <c r="AH87" s="427">
        <v>0</v>
      </c>
      <c r="AI87" s="427">
        <v>0</v>
      </c>
      <c r="AJ87" s="427">
        <v>0</v>
      </c>
      <c r="AK87" s="427">
        <v>0</v>
      </c>
      <c r="AL87" s="427">
        <v>0</v>
      </c>
      <c r="AM87" s="427">
        <v>0</v>
      </c>
      <c r="AN87" s="427">
        <v>0</v>
      </c>
      <c r="AO87" s="427">
        <v>0</v>
      </c>
      <c r="AP87" s="427">
        <v>0</v>
      </c>
      <c r="AQ87" s="427">
        <v>0</v>
      </c>
      <c r="AR87" s="427">
        <v>0</v>
      </c>
      <c r="AS87" s="427">
        <v>0</v>
      </c>
      <c r="AT87" s="427">
        <v>0</v>
      </c>
      <c r="AU87" s="427">
        <v>0</v>
      </c>
      <c r="AV87" s="427">
        <v>0</v>
      </c>
      <c r="AW87" s="427">
        <v>0</v>
      </c>
      <c r="AX87" s="427">
        <v>0</v>
      </c>
      <c r="AY87" s="427">
        <v>0</v>
      </c>
      <c r="AZ87" s="427">
        <v>0</v>
      </c>
      <c r="BA87" s="427">
        <v>0</v>
      </c>
      <c r="BB87" s="427">
        <v>0</v>
      </c>
      <c r="BC87" s="427">
        <v>0</v>
      </c>
      <c r="BD87" s="427">
        <v>0</v>
      </c>
      <c r="BE87" s="427">
        <v>0</v>
      </c>
      <c r="BF87" s="427">
        <v>-10.407999999999999</v>
      </c>
      <c r="BG87" s="427">
        <v>0</v>
      </c>
      <c r="BH87" s="427">
        <v>0</v>
      </c>
      <c r="BI87" s="427">
        <v>0</v>
      </c>
      <c r="BJ87" s="427">
        <v>-24.488</v>
      </c>
      <c r="BK87" s="427">
        <v>-24.488</v>
      </c>
      <c r="BL87" s="427">
        <v>0</v>
      </c>
      <c r="BM87" s="427">
        <v>0</v>
      </c>
      <c r="BN87" s="427">
        <v>0</v>
      </c>
      <c r="BO87" s="427">
        <v>-42.246000000000002</v>
      </c>
      <c r="BP87" s="427">
        <v>-42.246000000000002</v>
      </c>
      <c r="BQ87" s="427">
        <v>0</v>
      </c>
      <c r="BR87" s="427">
        <v>0</v>
      </c>
      <c r="BS87" s="427">
        <v>0</v>
      </c>
      <c r="BT87" s="427">
        <v>-85.015000000000001</v>
      </c>
      <c r="BU87" s="427">
        <v>-85.015000000000001</v>
      </c>
      <c r="BV87" s="427">
        <v>0</v>
      </c>
      <c r="BW87" s="427">
        <v>0</v>
      </c>
      <c r="BX87" s="427">
        <v>0</v>
      </c>
      <c r="BY87" s="427">
        <v>0</v>
      </c>
      <c r="BZ87" s="427">
        <v>0</v>
      </c>
      <c r="CC87" s="21"/>
      <c r="CD87" s="426" t="s">
        <v>197</v>
      </c>
      <c r="CE87" s="433">
        <f t="shared" si="15"/>
        <v>0</v>
      </c>
      <c r="CF87" s="433">
        <f t="shared" si="16"/>
        <v>0</v>
      </c>
      <c r="CG87" s="433">
        <f t="shared" si="17"/>
        <v>0</v>
      </c>
      <c r="CH87" s="433">
        <f t="shared" si="18"/>
        <v>0</v>
      </c>
      <c r="CI87" s="433">
        <f t="shared" si="19"/>
        <v>0</v>
      </c>
      <c r="CJ87" s="433">
        <f t="shared" si="20"/>
        <v>0</v>
      </c>
      <c r="CK87" s="433">
        <f t="shared" si="21"/>
        <v>0</v>
      </c>
      <c r="CL87" s="433">
        <f t="shared" si="22"/>
        <v>0</v>
      </c>
      <c r="CM87" s="433">
        <f t="shared" si="23"/>
        <v>0</v>
      </c>
      <c r="CN87" s="433">
        <f t="shared" si="24"/>
        <v>0</v>
      </c>
      <c r="CO87" s="433">
        <f t="shared" si="25"/>
        <v>-10.407999999999999</v>
      </c>
      <c r="CP87" s="433">
        <f t="shared" si="26"/>
        <v>-24.488</v>
      </c>
      <c r="CQ87" s="433">
        <f t="shared" si="27"/>
        <v>-42.246000000000002</v>
      </c>
      <c r="CR87" s="433">
        <f t="shared" si="28"/>
        <v>-85.015000000000001</v>
      </c>
      <c r="CS87" s="433">
        <f t="shared" si="29"/>
        <v>0</v>
      </c>
      <c r="CT87" s="21"/>
    </row>
    <row r="88" spans="3:98" ht="24.75" hidden="1" customHeight="1" outlineLevel="2">
      <c r="C88" s="426" t="s">
        <v>216</v>
      </c>
      <c r="D88" s="427">
        <v>0</v>
      </c>
      <c r="E88" s="427">
        <v>0</v>
      </c>
      <c r="F88" s="427">
        <v>0</v>
      </c>
      <c r="G88" s="427">
        <v>0</v>
      </c>
      <c r="H88" s="427">
        <v>0</v>
      </c>
      <c r="I88" s="427">
        <v>0</v>
      </c>
      <c r="J88" s="427">
        <v>0</v>
      </c>
      <c r="K88" s="427">
        <v>0</v>
      </c>
      <c r="L88" s="427">
        <v>0</v>
      </c>
      <c r="M88" s="427">
        <v>0</v>
      </c>
      <c r="N88" s="427">
        <v>0</v>
      </c>
      <c r="O88" s="427">
        <v>0</v>
      </c>
      <c r="P88" s="427">
        <v>0</v>
      </c>
      <c r="Q88" s="427">
        <v>0</v>
      </c>
      <c r="R88" s="427">
        <v>0</v>
      </c>
      <c r="S88" s="427">
        <v>0</v>
      </c>
      <c r="T88" s="427">
        <v>0</v>
      </c>
      <c r="U88" s="427">
        <v>0</v>
      </c>
      <c r="V88" s="427">
        <v>0</v>
      </c>
      <c r="W88" s="427">
        <v>0</v>
      </c>
      <c r="X88" s="427">
        <v>0</v>
      </c>
      <c r="Y88" s="427">
        <v>0</v>
      </c>
      <c r="Z88" s="427">
        <v>0</v>
      </c>
      <c r="AA88" s="427">
        <v>0</v>
      </c>
      <c r="AB88" s="427">
        <v>0</v>
      </c>
      <c r="AC88" s="427">
        <v>0</v>
      </c>
      <c r="AD88" s="427">
        <v>0</v>
      </c>
      <c r="AE88" s="427">
        <v>0</v>
      </c>
      <c r="AF88" s="427">
        <v>0</v>
      </c>
      <c r="AG88" s="427">
        <v>0</v>
      </c>
      <c r="AH88" s="427">
        <v>0</v>
      </c>
      <c r="AI88" s="427">
        <v>0</v>
      </c>
      <c r="AJ88" s="427">
        <v>0</v>
      </c>
      <c r="AK88" s="427">
        <v>0</v>
      </c>
      <c r="AL88" s="427">
        <v>0</v>
      </c>
      <c r="AM88" s="427">
        <v>0</v>
      </c>
      <c r="AN88" s="427">
        <v>0</v>
      </c>
      <c r="AO88" s="427">
        <v>0</v>
      </c>
      <c r="AP88" s="427">
        <v>0</v>
      </c>
      <c r="AQ88" s="427">
        <v>0</v>
      </c>
      <c r="AR88" s="427">
        <v>0</v>
      </c>
      <c r="AS88" s="427">
        <v>0</v>
      </c>
      <c r="AT88" s="427">
        <v>0</v>
      </c>
      <c r="AU88" s="427">
        <v>0</v>
      </c>
      <c r="AV88" s="427">
        <v>0</v>
      </c>
      <c r="AW88" s="427">
        <v>0</v>
      </c>
      <c r="AX88" s="427">
        <v>0</v>
      </c>
      <c r="AY88" s="427">
        <v>0</v>
      </c>
      <c r="AZ88" s="427">
        <v>0</v>
      </c>
      <c r="BA88" s="427">
        <v>0</v>
      </c>
      <c r="BB88" s="427">
        <v>0</v>
      </c>
      <c r="BC88" s="427">
        <v>0</v>
      </c>
      <c r="BD88" s="427">
        <v>0</v>
      </c>
      <c r="BE88" s="427">
        <v>0</v>
      </c>
      <c r="BF88" s="427">
        <v>0</v>
      </c>
      <c r="BG88" s="427">
        <v>0</v>
      </c>
      <c r="BH88" s="427">
        <v>0</v>
      </c>
      <c r="BI88" s="427">
        <v>0</v>
      </c>
      <c r="BJ88" s="427">
        <v>0</v>
      </c>
      <c r="BK88" s="427">
        <v>0</v>
      </c>
      <c r="BL88" s="427">
        <v>0</v>
      </c>
      <c r="BM88" s="427">
        <v>0</v>
      </c>
      <c r="BN88" s="427">
        <v>0</v>
      </c>
      <c r="BO88" s="427">
        <v>0</v>
      </c>
      <c r="BP88" s="427">
        <v>0</v>
      </c>
      <c r="BQ88" s="427">
        <v>0</v>
      </c>
      <c r="BR88" s="427">
        <v>0</v>
      </c>
      <c r="BS88" s="427">
        <v>0</v>
      </c>
      <c r="BT88" s="427">
        <v>0</v>
      </c>
      <c r="BU88" s="427">
        <v>0</v>
      </c>
      <c r="BV88" s="427">
        <v>0</v>
      </c>
      <c r="BW88" s="427">
        <v>0</v>
      </c>
      <c r="BX88" s="427">
        <v>0</v>
      </c>
      <c r="BY88" s="427">
        <v>0</v>
      </c>
      <c r="BZ88" s="427">
        <v>0</v>
      </c>
      <c r="CC88" s="21"/>
      <c r="CD88" s="426" t="s">
        <v>216</v>
      </c>
      <c r="CE88" s="433">
        <f t="shared" si="15"/>
        <v>0</v>
      </c>
      <c r="CF88" s="433">
        <f t="shared" si="16"/>
        <v>0</v>
      </c>
      <c r="CG88" s="433">
        <f t="shared" si="17"/>
        <v>0</v>
      </c>
      <c r="CH88" s="433">
        <f t="shared" si="18"/>
        <v>0</v>
      </c>
      <c r="CI88" s="433">
        <f t="shared" si="19"/>
        <v>0</v>
      </c>
      <c r="CJ88" s="433">
        <f t="shared" si="20"/>
        <v>0</v>
      </c>
      <c r="CK88" s="433">
        <f t="shared" si="21"/>
        <v>0</v>
      </c>
      <c r="CL88" s="433">
        <f t="shared" si="22"/>
        <v>0</v>
      </c>
      <c r="CM88" s="433">
        <f t="shared" si="23"/>
        <v>0</v>
      </c>
      <c r="CN88" s="433">
        <f t="shared" si="24"/>
        <v>0</v>
      </c>
      <c r="CO88" s="433">
        <f t="shared" si="25"/>
        <v>0</v>
      </c>
      <c r="CP88" s="433">
        <f t="shared" si="26"/>
        <v>0</v>
      </c>
      <c r="CQ88" s="433">
        <f t="shared" si="27"/>
        <v>0</v>
      </c>
      <c r="CR88" s="433">
        <f t="shared" si="28"/>
        <v>0</v>
      </c>
      <c r="CS88" s="433">
        <f t="shared" si="29"/>
        <v>0</v>
      </c>
      <c r="CT88" s="21"/>
    </row>
    <row r="89" spans="3:98" ht="24.75" hidden="1" customHeight="1" outlineLevel="1">
      <c r="C89" s="424" t="s">
        <v>196</v>
      </c>
      <c r="D89" s="427">
        <v>0</v>
      </c>
      <c r="E89" s="427">
        <v>0</v>
      </c>
      <c r="F89" s="427">
        <v>0</v>
      </c>
      <c r="G89" s="427">
        <v>0</v>
      </c>
      <c r="H89" s="427">
        <v>0</v>
      </c>
      <c r="I89" s="427">
        <v>0</v>
      </c>
      <c r="J89" s="427">
        <v>0</v>
      </c>
      <c r="K89" s="427">
        <v>0</v>
      </c>
      <c r="L89" s="427">
        <v>0</v>
      </c>
      <c r="M89" s="427">
        <v>0</v>
      </c>
      <c r="N89" s="427">
        <v>0</v>
      </c>
      <c r="O89" s="427">
        <v>0</v>
      </c>
      <c r="P89" s="427">
        <v>0</v>
      </c>
      <c r="Q89" s="427">
        <v>0</v>
      </c>
      <c r="R89" s="427">
        <v>0</v>
      </c>
      <c r="S89" s="427">
        <v>0</v>
      </c>
      <c r="T89" s="427">
        <v>0</v>
      </c>
      <c r="U89" s="427">
        <v>0</v>
      </c>
      <c r="V89" s="427">
        <v>0</v>
      </c>
      <c r="W89" s="427">
        <v>0</v>
      </c>
      <c r="X89" s="427">
        <v>0</v>
      </c>
      <c r="Y89" s="427">
        <v>0</v>
      </c>
      <c r="Z89" s="427">
        <v>0</v>
      </c>
      <c r="AA89" s="427">
        <v>0</v>
      </c>
      <c r="AB89" s="427">
        <v>0</v>
      </c>
      <c r="AC89" s="427">
        <v>0</v>
      </c>
      <c r="AD89" s="427">
        <v>0</v>
      </c>
      <c r="AE89" s="427">
        <v>0</v>
      </c>
      <c r="AF89" s="427">
        <v>0</v>
      </c>
      <c r="AG89" s="427">
        <v>0</v>
      </c>
      <c r="AH89" s="427">
        <v>0</v>
      </c>
      <c r="AI89" s="427">
        <v>0</v>
      </c>
      <c r="AJ89" s="427">
        <v>0</v>
      </c>
      <c r="AK89" s="427">
        <v>0</v>
      </c>
      <c r="AL89" s="427">
        <v>0</v>
      </c>
      <c r="AM89" s="427">
        <v>0</v>
      </c>
      <c r="AN89" s="427">
        <v>0</v>
      </c>
      <c r="AO89" s="427">
        <v>0</v>
      </c>
      <c r="AP89" s="427">
        <v>0</v>
      </c>
      <c r="AQ89" s="427">
        <v>0</v>
      </c>
      <c r="AR89" s="427">
        <v>0</v>
      </c>
      <c r="AS89" s="427">
        <v>0</v>
      </c>
      <c r="AT89" s="427">
        <v>0</v>
      </c>
      <c r="AU89" s="427">
        <v>0</v>
      </c>
      <c r="AV89" s="427">
        <v>0</v>
      </c>
      <c r="AW89" s="427">
        <v>0</v>
      </c>
      <c r="AX89" s="427">
        <v>0</v>
      </c>
      <c r="AY89" s="427">
        <v>0</v>
      </c>
      <c r="AZ89" s="427">
        <v>0</v>
      </c>
      <c r="BA89" s="427">
        <v>0</v>
      </c>
      <c r="BB89" s="427">
        <v>0</v>
      </c>
      <c r="BC89" s="427">
        <v>0</v>
      </c>
      <c r="BD89" s="427">
        <v>0</v>
      </c>
      <c r="BE89" s="427">
        <v>0</v>
      </c>
      <c r="BF89" s="427">
        <v>-10.407999999999999</v>
      </c>
      <c r="BG89" s="427">
        <v>0</v>
      </c>
      <c r="BH89" s="427">
        <v>0</v>
      </c>
      <c r="BI89" s="427">
        <v>0</v>
      </c>
      <c r="BJ89" s="427">
        <v>-24.488</v>
      </c>
      <c r="BK89" s="427">
        <v>-24.488</v>
      </c>
      <c r="BL89" s="427">
        <v>0</v>
      </c>
      <c r="BM89" s="427">
        <v>0</v>
      </c>
      <c r="BN89" s="427">
        <v>0</v>
      </c>
      <c r="BO89" s="427">
        <v>-42.246000000000002</v>
      </c>
      <c r="BP89" s="427">
        <v>-42.246000000000002</v>
      </c>
      <c r="BQ89" s="427">
        <v>0</v>
      </c>
      <c r="BR89" s="427">
        <v>0</v>
      </c>
      <c r="BS89" s="427">
        <v>0</v>
      </c>
      <c r="BT89" s="427">
        <v>-85.015000000000001</v>
      </c>
      <c r="BU89" s="427">
        <v>-85.015000000000001</v>
      </c>
      <c r="BV89" s="427">
        <v>0</v>
      </c>
      <c r="BW89" s="427">
        <v>0</v>
      </c>
      <c r="BX89" s="427">
        <v>0</v>
      </c>
      <c r="BY89" s="427">
        <v>0</v>
      </c>
      <c r="BZ89" s="427">
        <v>0</v>
      </c>
      <c r="CC89" s="21"/>
      <c r="CD89" s="424" t="s">
        <v>196</v>
      </c>
      <c r="CE89" s="433">
        <f t="shared" si="15"/>
        <v>0</v>
      </c>
      <c r="CF89" s="433">
        <f t="shared" si="16"/>
        <v>0</v>
      </c>
      <c r="CG89" s="433">
        <f t="shared" si="17"/>
        <v>0</v>
      </c>
      <c r="CH89" s="433">
        <f t="shared" si="18"/>
        <v>0</v>
      </c>
      <c r="CI89" s="433">
        <f t="shared" si="19"/>
        <v>0</v>
      </c>
      <c r="CJ89" s="433">
        <f t="shared" si="20"/>
        <v>0</v>
      </c>
      <c r="CK89" s="433">
        <f t="shared" si="21"/>
        <v>0</v>
      </c>
      <c r="CL89" s="433">
        <f t="shared" si="22"/>
        <v>0</v>
      </c>
      <c r="CM89" s="433">
        <f t="shared" si="23"/>
        <v>0</v>
      </c>
      <c r="CN89" s="433">
        <f t="shared" si="24"/>
        <v>0</v>
      </c>
      <c r="CO89" s="433">
        <f t="shared" si="25"/>
        <v>-10.407999999999999</v>
      </c>
      <c r="CP89" s="433">
        <f t="shared" si="26"/>
        <v>-24.488</v>
      </c>
      <c r="CQ89" s="433">
        <f t="shared" si="27"/>
        <v>-42.246000000000002</v>
      </c>
      <c r="CR89" s="433">
        <f t="shared" si="28"/>
        <v>-85.015000000000001</v>
      </c>
      <c r="CS89" s="433">
        <f t="shared" si="29"/>
        <v>0</v>
      </c>
      <c r="CT89" s="21"/>
    </row>
    <row r="90" spans="3:98" ht="24.75" customHeight="1" collapsed="1">
      <c r="C90" s="415" t="s">
        <v>45</v>
      </c>
      <c r="D90" s="427">
        <v>0</v>
      </c>
      <c r="E90" s="427">
        <v>0</v>
      </c>
      <c r="F90" s="427">
        <v>0</v>
      </c>
      <c r="G90" s="427">
        <v>0</v>
      </c>
      <c r="H90" s="427">
        <v>0</v>
      </c>
      <c r="I90" s="427">
        <v>0</v>
      </c>
      <c r="J90" s="427">
        <v>0</v>
      </c>
      <c r="K90" s="427">
        <v>0</v>
      </c>
      <c r="L90" s="427">
        <v>0</v>
      </c>
      <c r="M90" s="427">
        <v>0</v>
      </c>
      <c r="N90" s="427">
        <v>0</v>
      </c>
      <c r="O90" s="427">
        <v>0</v>
      </c>
      <c r="P90" s="427">
        <v>0</v>
      </c>
      <c r="Q90" s="427">
        <v>0</v>
      </c>
      <c r="R90" s="427">
        <v>0</v>
      </c>
      <c r="S90" s="427">
        <v>0</v>
      </c>
      <c r="T90" s="427">
        <v>0</v>
      </c>
      <c r="U90" s="427">
        <v>0</v>
      </c>
      <c r="V90" s="427">
        <v>0</v>
      </c>
      <c r="W90" s="427">
        <v>0</v>
      </c>
      <c r="X90" s="427">
        <v>0</v>
      </c>
      <c r="Y90" s="427">
        <v>0</v>
      </c>
      <c r="Z90" s="427">
        <v>0</v>
      </c>
      <c r="AA90" s="427">
        <v>0</v>
      </c>
      <c r="AB90" s="427">
        <v>0</v>
      </c>
      <c r="AC90" s="427">
        <v>0</v>
      </c>
      <c r="AD90" s="427">
        <v>0</v>
      </c>
      <c r="AE90" s="427">
        <v>0</v>
      </c>
      <c r="AF90" s="427">
        <v>0</v>
      </c>
      <c r="AG90" s="427">
        <v>0</v>
      </c>
      <c r="AH90" s="427">
        <v>0</v>
      </c>
      <c r="AI90" s="427">
        <v>0</v>
      </c>
      <c r="AJ90" s="427">
        <v>0</v>
      </c>
      <c r="AK90" s="427">
        <v>0</v>
      </c>
      <c r="AL90" s="427">
        <v>0</v>
      </c>
      <c r="AM90" s="427">
        <v>0</v>
      </c>
      <c r="AN90" s="427">
        <v>0</v>
      </c>
      <c r="AO90" s="427">
        <v>0</v>
      </c>
      <c r="AP90" s="427">
        <v>0</v>
      </c>
      <c r="AQ90" s="427">
        <v>0</v>
      </c>
      <c r="AR90" s="427">
        <v>0</v>
      </c>
      <c r="AS90" s="427">
        <v>0</v>
      </c>
      <c r="AT90" s="427">
        <v>0</v>
      </c>
      <c r="AU90" s="427">
        <v>0</v>
      </c>
      <c r="AV90" s="427">
        <v>0</v>
      </c>
      <c r="AW90" s="427">
        <v>0</v>
      </c>
      <c r="AX90" s="427">
        <v>0</v>
      </c>
      <c r="AY90" s="427">
        <v>0</v>
      </c>
      <c r="AZ90" s="427">
        <v>0</v>
      </c>
      <c r="BA90" s="427">
        <v>0</v>
      </c>
      <c r="BB90" s="427">
        <v>0</v>
      </c>
      <c r="BC90" s="427">
        <v>0</v>
      </c>
      <c r="BD90" s="427">
        <v>0</v>
      </c>
      <c r="BE90" s="427">
        <v>0</v>
      </c>
      <c r="BF90" s="427">
        <v>170.50299999999999</v>
      </c>
      <c r="BG90" s="427">
        <v>0</v>
      </c>
      <c r="BH90" s="427">
        <v>0</v>
      </c>
      <c r="BI90" s="427">
        <v>0</v>
      </c>
      <c r="BJ90" s="427">
        <v>150.095</v>
      </c>
      <c r="BK90" s="427">
        <v>150.095</v>
      </c>
      <c r="BL90" s="427">
        <v>161.12200000000001</v>
      </c>
      <c r="BM90" s="427">
        <v>157.471</v>
      </c>
      <c r="BN90" s="427">
        <v>161.215</v>
      </c>
      <c r="BO90" s="427">
        <v>157.61500000000001</v>
      </c>
      <c r="BP90" s="427">
        <v>157.61500000000001</v>
      </c>
      <c r="BQ90" s="427">
        <v>157.292</v>
      </c>
      <c r="BR90" s="427">
        <v>228.18100000000001</v>
      </c>
      <c r="BS90" s="427">
        <v>247.387</v>
      </c>
      <c r="BT90" s="427">
        <v>241.21</v>
      </c>
      <c r="BU90" s="427">
        <v>241.21</v>
      </c>
      <c r="BV90" s="427">
        <v>211.70699999999999</v>
      </c>
      <c r="BW90" s="427">
        <v>204.256</v>
      </c>
      <c r="BX90" s="427">
        <v>217.68600000000001</v>
      </c>
      <c r="BY90" s="427">
        <v>0</v>
      </c>
      <c r="BZ90" s="427">
        <v>0</v>
      </c>
      <c r="CC90" s="21"/>
      <c r="CD90" s="415" t="s">
        <v>45</v>
      </c>
      <c r="CE90" s="433">
        <f t="shared" si="15"/>
        <v>0</v>
      </c>
      <c r="CF90" s="433">
        <f t="shared" si="16"/>
        <v>0</v>
      </c>
      <c r="CG90" s="433">
        <f t="shared" si="17"/>
        <v>0</v>
      </c>
      <c r="CH90" s="433">
        <f t="shared" si="18"/>
        <v>0</v>
      </c>
      <c r="CI90" s="433">
        <f t="shared" si="19"/>
        <v>0</v>
      </c>
      <c r="CJ90" s="433">
        <f t="shared" si="20"/>
        <v>0</v>
      </c>
      <c r="CK90" s="433">
        <f t="shared" si="21"/>
        <v>0</v>
      </c>
      <c r="CL90" s="433">
        <f t="shared" si="22"/>
        <v>0</v>
      </c>
      <c r="CM90" s="433">
        <f t="shared" si="23"/>
        <v>0</v>
      </c>
      <c r="CN90" s="433">
        <f t="shared" si="24"/>
        <v>0</v>
      </c>
      <c r="CO90" s="433">
        <f t="shared" si="25"/>
        <v>170.50299999999999</v>
      </c>
      <c r="CP90" s="433">
        <f t="shared" si="26"/>
        <v>150.095</v>
      </c>
      <c r="CQ90" s="433">
        <f t="shared" si="27"/>
        <v>157.61500000000001</v>
      </c>
      <c r="CR90" s="433">
        <f t="shared" si="28"/>
        <v>241.21</v>
      </c>
      <c r="CS90" s="433">
        <f t="shared" si="29"/>
        <v>0</v>
      </c>
      <c r="CT90" s="21"/>
    </row>
    <row r="91" spans="3:98" ht="24.75" hidden="1" customHeight="1" outlineLevel="1">
      <c r="C91" s="424" t="s">
        <v>218</v>
      </c>
      <c r="D91" s="427">
        <v>0</v>
      </c>
      <c r="E91" s="427">
        <v>0</v>
      </c>
      <c r="F91" s="427">
        <v>0</v>
      </c>
      <c r="G91" s="427">
        <v>0</v>
      </c>
      <c r="H91" s="427">
        <v>0</v>
      </c>
      <c r="I91" s="427">
        <v>0</v>
      </c>
      <c r="J91" s="427">
        <v>0</v>
      </c>
      <c r="K91" s="427">
        <v>0</v>
      </c>
      <c r="L91" s="427">
        <v>0</v>
      </c>
      <c r="M91" s="427">
        <v>0</v>
      </c>
      <c r="N91" s="427">
        <v>0</v>
      </c>
      <c r="O91" s="427">
        <v>0</v>
      </c>
      <c r="P91" s="427">
        <v>0</v>
      </c>
      <c r="Q91" s="427">
        <v>0</v>
      </c>
      <c r="R91" s="427">
        <v>0</v>
      </c>
      <c r="S91" s="427">
        <v>0</v>
      </c>
      <c r="T91" s="427">
        <v>0</v>
      </c>
      <c r="U91" s="427">
        <v>0</v>
      </c>
      <c r="V91" s="427">
        <v>0</v>
      </c>
      <c r="W91" s="427">
        <v>0</v>
      </c>
      <c r="X91" s="427">
        <v>0</v>
      </c>
      <c r="Y91" s="427">
        <v>0</v>
      </c>
      <c r="Z91" s="427">
        <v>0</v>
      </c>
      <c r="AA91" s="427">
        <v>0</v>
      </c>
      <c r="AB91" s="427">
        <v>0</v>
      </c>
      <c r="AC91" s="427">
        <v>0</v>
      </c>
      <c r="AD91" s="427">
        <v>0</v>
      </c>
      <c r="AE91" s="427">
        <v>0</v>
      </c>
      <c r="AF91" s="427">
        <v>0</v>
      </c>
      <c r="AG91" s="427">
        <v>0</v>
      </c>
      <c r="AH91" s="427">
        <v>0</v>
      </c>
      <c r="AI91" s="427">
        <v>0</v>
      </c>
      <c r="AJ91" s="427">
        <v>0</v>
      </c>
      <c r="AK91" s="427">
        <v>0</v>
      </c>
      <c r="AL91" s="427">
        <v>0</v>
      </c>
      <c r="AM91" s="427">
        <v>0</v>
      </c>
      <c r="AN91" s="427">
        <v>0</v>
      </c>
      <c r="AO91" s="427">
        <v>0</v>
      </c>
      <c r="AP91" s="427">
        <v>0</v>
      </c>
      <c r="AQ91" s="427">
        <v>0</v>
      </c>
      <c r="AR91" s="427">
        <v>0</v>
      </c>
      <c r="AS91" s="427">
        <v>0</v>
      </c>
      <c r="AT91" s="427">
        <v>0</v>
      </c>
      <c r="AU91" s="427">
        <v>0</v>
      </c>
      <c r="AV91" s="427">
        <v>0</v>
      </c>
      <c r="AW91" s="427">
        <v>0</v>
      </c>
      <c r="AX91" s="427">
        <v>0</v>
      </c>
      <c r="AY91" s="427">
        <v>0</v>
      </c>
      <c r="AZ91" s="427">
        <v>0</v>
      </c>
      <c r="BA91" s="427">
        <v>0</v>
      </c>
      <c r="BB91" s="427">
        <v>0</v>
      </c>
      <c r="BC91" s="427">
        <v>0</v>
      </c>
      <c r="BD91" s="427">
        <v>0</v>
      </c>
      <c r="BE91" s="427">
        <v>0</v>
      </c>
      <c r="BF91" s="427">
        <v>0</v>
      </c>
      <c r="BG91" s="427">
        <v>0</v>
      </c>
      <c r="BH91" s="427">
        <v>0</v>
      </c>
      <c r="BI91" s="427">
        <v>0</v>
      </c>
      <c r="BJ91" s="427">
        <v>0</v>
      </c>
      <c r="BK91" s="427">
        <v>0</v>
      </c>
      <c r="BL91" s="427">
        <v>0</v>
      </c>
      <c r="BM91" s="427">
        <v>0</v>
      </c>
      <c r="BN91" s="427">
        <v>0</v>
      </c>
      <c r="BO91" s="427">
        <v>0</v>
      </c>
      <c r="BP91" s="427">
        <v>0</v>
      </c>
      <c r="BQ91" s="427">
        <v>0</v>
      </c>
      <c r="BR91" s="427">
        <v>0</v>
      </c>
      <c r="BS91" s="427">
        <v>0</v>
      </c>
      <c r="BT91" s="427">
        <v>0</v>
      </c>
      <c r="BU91" s="427">
        <v>0</v>
      </c>
      <c r="BV91" s="427">
        <v>0</v>
      </c>
      <c r="BW91" s="427">
        <v>0</v>
      </c>
      <c r="BX91" s="427">
        <v>0</v>
      </c>
      <c r="BY91" s="427">
        <v>0</v>
      </c>
      <c r="BZ91" s="427">
        <v>0</v>
      </c>
      <c r="CC91" s="21"/>
      <c r="CD91" s="424" t="s">
        <v>218</v>
      </c>
      <c r="CE91" s="433">
        <f t="shared" si="15"/>
        <v>0</v>
      </c>
      <c r="CF91" s="433">
        <f t="shared" si="16"/>
        <v>0</v>
      </c>
      <c r="CG91" s="433">
        <f t="shared" si="17"/>
        <v>0</v>
      </c>
      <c r="CH91" s="433">
        <f t="shared" si="18"/>
        <v>0</v>
      </c>
      <c r="CI91" s="433">
        <f t="shared" si="19"/>
        <v>0</v>
      </c>
      <c r="CJ91" s="433">
        <f t="shared" si="20"/>
        <v>0</v>
      </c>
      <c r="CK91" s="433">
        <f t="shared" si="21"/>
        <v>0</v>
      </c>
      <c r="CL91" s="433">
        <f t="shared" si="22"/>
        <v>0</v>
      </c>
      <c r="CM91" s="433">
        <f t="shared" si="23"/>
        <v>0</v>
      </c>
      <c r="CN91" s="433">
        <f t="shared" si="24"/>
        <v>0</v>
      </c>
      <c r="CO91" s="433">
        <f t="shared" si="25"/>
        <v>0</v>
      </c>
      <c r="CP91" s="433">
        <f t="shared" si="26"/>
        <v>0</v>
      </c>
      <c r="CQ91" s="433">
        <f t="shared" si="27"/>
        <v>0</v>
      </c>
      <c r="CR91" s="433">
        <f t="shared" si="28"/>
        <v>0</v>
      </c>
      <c r="CS91" s="433">
        <f t="shared" si="29"/>
        <v>0</v>
      </c>
      <c r="CT91" s="21"/>
    </row>
    <row r="92" spans="3:98" ht="24.75" hidden="1" customHeight="1" outlineLevel="1">
      <c r="C92" s="424" t="s">
        <v>219</v>
      </c>
      <c r="D92" s="427">
        <v>0</v>
      </c>
      <c r="E92" s="427">
        <v>0</v>
      </c>
      <c r="F92" s="427">
        <v>0</v>
      </c>
      <c r="G92" s="427">
        <v>0</v>
      </c>
      <c r="H92" s="427">
        <v>0</v>
      </c>
      <c r="I92" s="427">
        <v>0</v>
      </c>
      <c r="J92" s="427">
        <v>0</v>
      </c>
      <c r="K92" s="427">
        <v>0</v>
      </c>
      <c r="L92" s="427">
        <v>0</v>
      </c>
      <c r="M92" s="427">
        <v>0</v>
      </c>
      <c r="N92" s="427">
        <v>0</v>
      </c>
      <c r="O92" s="427">
        <v>0</v>
      </c>
      <c r="P92" s="427">
        <v>0</v>
      </c>
      <c r="Q92" s="427">
        <v>0</v>
      </c>
      <c r="R92" s="427">
        <v>0</v>
      </c>
      <c r="S92" s="427">
        <v>0</v>
      </c>
      <c r="T92" s="427">
        <v>0</v>
      </c>
      <c r="U92" s="427">
        <v>0</v>
      </c>
      <c r="V92" s="427">
        <v>0</v>
      </c>
      <c r="W92" s="427">
        <v>0</v>
      </c>
      <c r="X92" s="427">
        <v>0</v>
      </c>
      <c r="Y92" s="427">
        <v>0</v>
      </c>
      <c r="Z92" s="427">
        <v>0</v>
      </c>
      <c r="AA92" s="427">
        <v>0</v>
      </c>
      <c r="AB92" s="427">
        <v>0</v>
      </c>
      <c r="AC92" s="427">
        <v>0</v>
      </c>
      <c r="AD92" s="427">
        <v>0</v>
      </c>
      <c r="AE92" s="427">
        <v>0</v>
      </c>
      <c r="AF92" s="427">
        <v>0</v>
      </c>
      <c r="AG92" s="427">
        <v>0</v>
      </c>
      <c r="AH92" s="427">
        <v>0</v>
      </c>
      <c r="AI92" s="427">
        <v>0</v>
      </c>
      <c r="AJ92" s="427">
        <v>0</v>
      </c>
      <c r="AK92" s="427">
        <v>0</v>
      </c>
      <c r="AL92" s="427">
        <v>0</v>
      </c>
      <c r="AM92" s="427">
        <v>0</v>
      </c>
      <c r="AN92" s="427">
        <v>0</v>
      </c>
      <c r="AO92" s="427">
        <v>0</v>
      </c>
      <c r="AP92" s="427">
        <v>0</v>
      </c>
      <c r="AQ92" s="427">
        <v>0</v>
      </c>
      <c r="AR92" s="427">
        <v>0</v>
      </c>
      <c r="AS92" s="427">
        <v>0</v>
      </c>
      <c r="AT92" s="427">
        <v>0</v>
      </c>
      <c r="AU92" s="427">
        <v>0</v>
      </c>
      <c r="AV92" s="427">
        <v>0</v>
      </c>
      <c r="AW92" s="427">
        <v>0</v>
      </c>
      <c r="AX92" s="427">
        <v>0</v>
      </c>
      <c r="AY92" s="427">
        <v>0</v>
      </c>
      <c r="AZ92" s="427">
        <v>0</v>
      </c>
      <c r="BA92" s="427">
        <v>0</v>
      </c>
      <c r="BB92" s="427">
        <v>0</v>
      </c>
      <c r="BC92" s="427">
        <v>0</v>
      </c>
      <c r="BD92" s="427">
        <v>0</v>
      </c>
      <c r="BE92" s="427">
        <v>0</v>
      </c>
      <c r="BF92" s="427">
        <v>0</v>
      </c>
      <c r="BG92" s="427">
        <v>0</v>
      </c>
      <c r="BH92" s="427">
        <v>0</v>
      </c>
      <c r="BI92" s="427">
        <v>0</v>
      </c>
      <c r="BJ92" s="427">
        <v>0</v>
      </c>
      <c r="BK92" s="427">
        <v>0</v>
      </c>
      <c r="BL92" s="427">
        <v>0</v>
      </c>
      <c r="BM92" s="427">
        <v>0</v>
      </c>
      <c r="BN92" s="427">
        <v>0</v>
      </c>
      <c r="BO92" s="427">
        <v>0</v>
      </c>
      <c r="BP92" s="427">
        <v>0</v>
      </c>
      <c r="BQ92" s="427">
        <v>0</v>
      </c>
      <c r="BR92" s="427">
        <v>0</v>
      </c>
      <c r="BS92" s="427">
        <v>0</v>
      </c>
      <c r="BT92" s="427">
        <v>0</v>
      </c>
      <c r="BU92" s="427">
        <v>0</v>
      </c>
      <c r="BV92" s="427">
        <v>0</v>
      </c>
      <c r="BW92" s="427">
        <v>0</v>
      </c>
      <c r="BX92" s="427">
        <v>0</v>
      </c>
      <c r="BY92" s="427">
        <v>0</v>
      </c>
      <c r="BZ92" s="427">
        <v>0</v>
      </c>
      <c r="CC92" s="21"/>
      <c r="CD92" s="424" t="s">
        <v>219</v>
      </c>
      <c r="CE92" s="433">
        <f t="shared" si="15"/>
        <v>0</v>
      </c>
      <c r="CF92" s="433">
        <f t="shared" si="16"/>
        <v>0</v>
      </c>
      <c r="CG92" s="433">
        <f t="shared" si="17"/>
        <v>0</v>
      </c>
      <c r="CH92" s="433">
        <f t="shared" si="18"/>
        <v>0</v>
      </c>
      <c r="CI92" s="433">
        <f t="shared" si="19"/>
        <v>0</v>
      </c>
      <c r="CJ92" s="433">
        <f t="shared" si="20"/>
        <v>0</v>
      </c>
      <c r="CK92" s="433">
        <f t="shared" si="21"/>
        <v>0</v>
      </c>
      <c r="CL92" s="433">
        <f t="shared" si="22"/>
        <v>0</v>
      </c>
      <c r="CM92" s="433">
        <f t="shared" si="23"/>
        <v>0</v>
      </c>
      <c r="CN92" s="433">
        <f t="shared" si="24"/>
        <v>0</v>
      </c>
      <c r="CO92" s="433">
        <f t="shared" si="25"/>
        <v>0</v>
      </c>
      <c r="CP92" s="433">
        <f t="shared" si="26"/>
        <v>0</v>
      </c>
      <c r="CQ92" s="433">
        <f t="shared" si="27"/>
        <v>0</v>
      </c>
      <c r="CR92" s="433">
        <f t="shared" si="28"/>
        <v>0</v>
      </c>
      <c r="CS92" s="433">
        <f t="shared" si="29"/>
        <v>0</v>
      </c>
      <c r="CT92" s="21"/>
    </row>
    <row r="93" spans="3:98" ht="24.75" customHeight="1" collapsed="1">
      <c r="C93" s="415" t="s">
        <v>217</v>
      </c>
      <c r="D93" s="427">
        <v>0</v>
      </c>
      <c r="E93" s="427">
        <v>0</v>
      </c>
      <c r="F93" s="427">
        <v>0</v>
      </c>
      <c r="G93" s="427">
        <v>0</v>
      </c>
      <c r="H93" s="427">
        <v>0</v>
      </c>
      <c r="I93" s="427">
        <v>0</v>
      </c>
      <c r="J93" s="427">
        <v>0</v>
      </c>
      <c r="K93" s="427">
        <v>0</v>
      </c>
      <c r="L93" s="427">
        <v>0</v>
      </c>
      <c r="M93" s="427">
        <v>0</v>
      </c>
      <c r="N93" s="427">
        <v>0</v>
      </c>
      <c r="O93" s="427">
        <v>0</v>
      </c>
      <c r="P93" s="427">
        <v>0</v>
      </c>
      <c r="Q93" s="427">
        <v>0</v>
      </c>
      <c r="R93" s="427">
        <v>0</v>
      </c>
      <c r="S93" s="427">
        <v>0</v>
      </c>
      <c r="T93" s="427">
        <v>0</v>
      </c>
      <c r="U93" s="427">
        <v>0</v>
      </c>
      <c r="V93" s="427">
        <v>0</v>
      </c>
      <c r="W93" s="427">
        <v>0</v>
      </c>
      <c r="X93" s="427">
        <v>0</v>
      </c>
      <c r="Y93" s="427">
        <v>0</v>
      </c>
      <c r="Z93" s="427">
        <v>0</v>
      </c>
      <c r="AA93" s="427">
        <v>0</v>
      </c>
      <c r="AB93" s="427">
        <v>0</v>
      </c>
      <c r="AC93" s="427">
        <v>0</v>
      </c>
      <c r="AD93" s="427">
        <v>0</v>
      </c>
      <c r="AE93" s="427">
        <v>0</v>
      </c>
      <c r="AF93" s="427">
        <v>0</v>
      </c>
      <c r="AG93" s="427">
        <v>0</v>
      </c>
      <c r="AH93" s="427">
        <v>0</v>
      </c>
      <c r="AI93" s="427">
        <v>0</v>
      </c>
      <c r="AJ93" s="427">
        <v>0</v>
      </c>
      <c r="AK93" s="427">
        <v>0</v>
      </c>
      <c r="AL93" s="427">
        <v>0</v>
      </c>
      <c r="AM93" s="427">
        <v>0</v>
      </c>
      <c r="AN93" s="427">
        <v>0</v>
      </c>
      <c r="AO93" s="427">
        <v>0</v>
      </c>
      <c r="AP93" s="427">
        <v>0</v>
      </c>
      <c r="AQ93" s="427">
        <v>0</v>
      </c>
      <c r="AR93" s="427">
        <v>0</v>
      </c>
      <c r="AS93" s="427">
        <v>0</v>
      </c>
      <c r="AT93" s="427">
        <v>0</v>
      </c>
      <c r="AU93" s="427">
        <v>0</v>
      </c>
      <c r="AV93" s="427">
        <v>0</v>
      </c>
      <c r="AW93" s="427">
        <v>0</v>
      </c>
      <c r="AX93" s="427">
        <v>0</v>
      </c>
      <c r="AY93" s="427">
        <v>0</v>
      </c>
      <c r="AZ93" s="427">
        <v>0</v>
      </c>
      <c r="BA93" s="427">
        <v>0</v>
      </c>
      <c r="BB93" s="427">
        <v>0</v>
      </c>
      <c r="BC93" s="427">
        <v>0</v>
      </c>
      <c r="BD93" s="427">
        <v>0</v>
      </c>
      <c r="BE93" s="427">
        <v>0</v>
      </c>
      <c r="BF93" s="427">
        <v>0</v>
      </c>
      <c r="BG93" s="427">
        <v>0</v>
      </c>
      <c r="BH93" s="427">
        <v>0</v>
      </c>
      <c r="BI93" s="427">
        <v>0</v>
      </c>
      <c r="BJ93" s="427">
        <v>0</v>
      </c>
      <c r="BK93" s="427">
        <v>0</v>
      </c>
      <c r="BL93" s="427">
        <v>0</v>
      </c>
      <c r="BM93" s="427">
        <v>0</v>
      </c>
      <c r="BN93" s="427">
        <v>0</v>
      </c>
      <c r="BO93" s="427">
        <v>0</v>
      </c>
      <c r="BP93" s="427">
        <v>0</v>
      </c>
      <c r="BQ93" s="427">
        <v>0</v>
      </c>
      <c r="BR93" s="427">
        <v>0</v>
      </c>
      <c r="BS93" s="427">
        <v>0</v>
      </c>
      <c r="BT93" s="427">
        <v>0</v>
      </c>
      <c r="BU93" s="427">
        <v>0</v>
      </c>
      <c r="BV93" s="427">
        <v>0</v>
      </c>
      <c r="BW93" s="427">
        <v>0</v>
      </c>
      <c r="BX93" s="427">
        <v>0</v>
      </c>
      <c r="BY93" s="427">
        <v>0</v>
      </c>
      <c r="BZ93" s="427">
        <v>0</v>
      </c>
      <c r="CC93" s="21"/>
      <c r="CD93" s="415" t="s">
        <v>217</v>
      </c>
      <c r="CE93" s="433">
        <f t="shared" si="15"/>
        <v>0</v>
      </c>
      <c r="CF93" s="433">
        <f t="shared" si="16"/>
        <v>0</v>
      </c>
      <c r="CG93" s="433">
        <f t="shared" si="17"/>
        <v>0</v>
      </c>
      <c r="CH93" s="433">
        <f t="shared" si="18"/>
        <v>0</v>
      </c>
      <c r="CI93" s="433">
        <f t="shared" si="19"/>
        <v>0</v>
      </c>
      <c r="CJ93" s="433">
        <f t="shared" si="20"/>
        <v>0</v>
      </c>
      <c r="CK93" s="433">
        <f t="shared" si="21"/>
        <v>0</v>
      </c>
      <c r="CL93" s="433">
        <f t="shared" si="22"/>
        <v>0</v>
      </c>
      <c r="CM93" s="433">
        <f t="shared" si="23"/>
        <v>0</v>
      </c>
      <c r="CN93" s="433">
        <f t="shared" si="24"/>
        <v>0</v>
      </c>
      <c r="CO93" s="433">
        <f t="shared" si="25"/>
        <v>0</v>
      </c>
      <c r="CP93" s="433">
        <f t="shared" si="26"/>
        <v>0</v>
      </c>
      <c r="CQ93" s="433">
        <f t="shared" si="27"/>
        <v>0</v>
      </c>
      <c r="CR93" s="433">
        <f t="shared" si="28"/>
        <v>0</v>
      </c>
      <c r="CS93" s="433">
        <f t="shared" si="29"/>
        <v>0</v>
      </c>
      <c r="CT93" s="21"/>
    </row>
    <row r="94" spans="3:98" ht="24.75" hidden="1" customHeight="1" outlineLevel="1" collapsed="1">
      <c r="C94" s="424" t="s">
        <v>221</v>
      </c>
      <c r="D94" s="427">
        <v>0</v>
      </c>
      <c r="E94" s="427">
        <v>0</v>
      </c>
      <c r="F94" s="427">
        <v>0</v>
      </c>
      <c r="G94" s="427">
        <v>0</v>
      </c>
      <c r="H94" s="427">
        <v>0</v>
      </c>
      <c r="I94" s="427">
        <v>0</v>
      </c>
      <c r="J94" s="427">
        <v>0</v>
      </c>
      <c r="K94" s="427">
        <v>0</v>
      </c>
      <c r="L94" s="427">
        <v>0</v>
      </c>
      <c r="M94" s="427">
        <v>0</v>
      </c>
      <c r="N94" s="427">
        <v>0</v>
      </c>
      <c r="O94" s="427">
        <v>0</v>
      </c>
      <c r="P94" s="427">
        <v>0</v>
      </c>
      <c r="Q94" s="427">
        <v>0</v>
      </c>
      <c r="R94" s="427">
        <v>0</v>
      </c>
      <c r="S94" s="427">
        <v>0</v>
      </c>
      <c r="T94" s="427">
        <v>0</v>
      </c>
      <c r="U94" s="427">
        <v>0</v>
      </c>
      <c r="V94" s="427">
        <v>0</v>
      </c>
      <c r="W94" s="427">
        <v>0</v>
      </c>
      <c r="X94" s="427">
        <v>0</v>
      </c>
      <c r="Y94" s="427">
        <v>0</v>
      </c>
      <c r="Z94" s="427">
        <v>0</v>
      </c>
      <c r="AA94" s="427">
        <v>0</v>
      </c>
      <c r="AB94" s="427">
        <v>0</v>
      </c>
      <c r="AC94" s="427">
        <v>0</v>
      </c>
      <c r="AD94" s="427">
        <v>0</v>
      </c>
      <c r="AE94" s="427">
        <v>0</v>
      </c>
      <c r="AF94" s="427">
        <v>0</v>
      </c>
      <c r="AG94" s="427">
        <v>0</v>
      </c>
      <c r="AH94" s="427">
        <v>0</v>
      </c>
      <c r="AI94" s="427">
        <v>0</v>
      </c>
      <c r="AJ94" s="427">
        <v>0</v>
      </c>
      <c r="AK94" s="427">
        <v>0</v>
      </c>
      <c r="AL94" s="427">
        <v>0</v>
      </c>
      <c r="AM94" s="427">
        <v>0</v>
      </c>
      <c r="AN94" s="427">
        <v>0</v>
      </c>
      <c r="AO94" s="427">
        <v>0</v>
      </c>
      <c r="AP94" s="427">
        <v>0</v>
      </c>
      <c r="AQ94" s="427">
        <v>0</v>
      </c>
      <c r="AR94" s="427">
        <v>0</v>
      </c>
      <c r="AS94" s="427">
        <v>0</v>
      </c>
      <c r="AT94" s="427">
        <v>0</v>
      </c>
      <c r="AU94" s="427">
        <v>0</v>
      </c>
      <c r="AV94" s="427">
        <v>0</v>
      </c>
      <c r="AW94" s="427">
        <v>0</v>
      </c>
      <c r="AX94" s="427">
        <v>0</v>
      </c>
      <c r="AY94" s="427">
        <v>0</v>
      </c>
      <c r="AZ94" s="427">
        <v>0</v>
      </c>
      <c r="BA94" s="427">
        <v>0</v>
      </c>
      <c r="BB94" s="427">
        <v>0</v>
      </c>
      <c r="BC94" s="427">
        <v>0</v>
      </c>
      <c r="BD94" s="427">
        <v>0</v>
      </c>
      <c r="BE94" s="427">
        <v>0</v>
      </c>
      <c r="BF94" s="427">
        <v>0</v>
      </c>
      <c r="BG94" s="427">
        <v>0</v>
      </c>
      <c r="BH94" s="427">
        <v>0</v>
      </c>
      <c r="BI94" s="427">
        <v>0</v>
      </c>
      <c r="BJ94" s="427">
        <v>0</v>
      </c>
      <c r="BK94" s="427">
        <v>0</v>
      </c>
      <c r="BL94" s="427">
        <v>0</v>
      </c>
      <c r="BM94" s="427">
        <v>0</v>
      </c>
      <c r="BN94" s="427">
        <v>0</v>
      </c>
      <c r="BO94" s="427">
        <v>0</v>
      </c>
      <c r="BP94" s="427">
        <v>0</v>
      </c>
      <c r="BQ94" s="427">
        <v>0</v>
      </c>
      <c r="BR94" s="427">
        <v>0</v>
      </c>
      <c r="BS94" s="427">
        <v>0</v>
      </c>
      <c r="BT94" s="427">
        <v>0</v>
      </c>
      <c r="BU94" s="427">
        <v>0</v>
      </c>
      <c r="BV94" s="427">
        <v>0</v>
      </c>
      <c r="BW94" s="427">
        <v>0</v>
      </c>
      <c r="BX94" s="427">
        <v>0</v>
      </c>
      <c r="BY94" s="427">
        <v>0</v>
      </c>
      <c r="BZ94" s="427">
        <v>0</v>
      </c>
      <c r="CC94" s="21"/>
      <c r="CD94" s="424" t="s">
        <v>221</v>
      </c>
      <c r="CE94" s="433">
        <f t="shared" si="15"/>
        <v>0</v>
      </c>
      <c r="CF94" s="433">
        <f t="shared" si="16"/>
        <v>0</v>
      </c>
      <c r="CG94" s="433">
        <f t="shared" si="17"/>
        <v>0</v>
      </c>
      <c r="CH94" s="433">
        <f t="shared" si="18"/>
        <v>0</v>
      </c>
      <c r="CI94" s="433">
        <f t="shared" si="19"/>
        <v>0</v>
      </c>
      <c r="CJ94" s="433">
        <f t="shared" si="20"/>
        <v>0</v>
      </c>
      <c r="CK94" s="433">
        <f t="shared" si="21"/>
        <v>0</v>
      </c>
      <c r="CL94" s="433">
        <f t="shared" si="22"/>
        <v>0</v>
      </c>
      <c r="CM94" s="433">
        <f t="shared" si="23"/>
        <v>0</v>
      </c>
      <c r="CN94" s="433">
        <f t="shared" si="24"/>
        <v>0</v>
      </c>
      <c r="CO94" s="433">
        <f t="shared" si="25"/>
        <v>0</v>
      </c>
      <c r="CP94" s="433">
        <f t="shared" si="26"/>
        <v>0</v>
      </c>
      <c r="CQ94" s="433">
        <f t="shared" si="27"/>
        <v>0</v>
      </c>
      <c r="CR94" s="433">
        <f t="shared" si="28"/>
        <v>0</v>
      </c>
      <c r="CS94" s="433">
        <f t="shared" si="29"/>
        <v>0</v>
      </c>
      <c r="CT94" s="21"/>
    </row>
    <row r="95" spans="3:98" ht="24.75" hidden="1" customHeight="1" outlineLevel="1">
      <c r="C95" s="424" t="s">
        <v>222</v>
      </c>
      <c r="D95" s="427">
        <v>0</v>
      </c>
      <c r="E95" s="427">
        <v>0</v>
      </c>
      <c r="F95" s="427">
        <v>0</v>
      </c>
      <c r="G95" s="427">
        <v>0</v>
      </c>
      <c r="H95" s="427">
        <v>0</v>
      </c>
      <c r="I95" s="427">
        <v>0</v>
      </c>
      <c r="J95" s="427">
        <v>0</v>
      </c>
      <c r="K95" s="427">
        <v>0</v>
      </c>
      <c r="L95" s="427">
        <v>0</v>
      </c>
      <c r="M95" s="427">
        <v>0</v>
      </c>
      <c r="N95" s="427">
        <v>0</v>
      </c>
      <c r="O95" s="427">
        <v>0</v>
      </c>
      <c r="P95" s="427">
        <v>0</v>
      </c>
      <c r="Q95" s="427">
        <v>0</v>
      </c>
      <c r="R95" s="427">
        <v>0</v>
      </c>
      <c r="S95" s="427">
        <v>0</v>
      </c>
      <c r="T95" s="427">
        <v>0</v>
      </c>
      <c r="U95" s="427">
        <v>0</v>
      </c>
      <c r="V95" s="427">
        <v>0</v>
      </c>
      <c r="W95" s="427">
        <v>0</v>
      </c>
      <c r="X95" s="427">
        <v>0</v>
      </c>
      <c r="Y95" s="427">
        <v>0</v>
      </c>
      <c r="Z95" s="427">
        <v>0</v>
      </c>
      <c r="AA95" s="427">
        <v>0</v>
      </c>
      <c r="AB95" s="427">
        <v>0</v>
      </c>
      <c r="AC95" s="427">
        <v>0</v>
      </c>
      <c r="AD95" s="427">
        <v>0</v>
      </c>
      <c r="AE95" s="427">
        <v>0</v>
      </c>
      <c r="AF95" s="427">
        <v>0</v>
      </c>
      <c r="AG95" s="427">
        <v>0</v>
      </c>
      <c r="AH95" s="427">
        <v>0</v>
      </c>
      <c r="AI95" s="427">
        <v>0</v>
      </c>
      <c r="AJ95" s="427">
        <v>0</v>
      </c>
      <c r="AK95" s="427">
        <v>0</v>
      </c>
      <c r="AL95" s="427">
        <v>0</v>
      </c>
      <c r="AM95" s="427">
        <v>0</v>
      </c>
      <c r="AN95" s="427">
        <v>0</v>
      </c>
      <c r="AO95" s="427">
        <v>0</v>
      </c>
      <c r="AP95" s="427">
        <v>0</v>
      </c>
      <c r="AQ95" s="427">
        <v>0</v>
      </c>
      <c r="AR95" s="427">
        <v>0</v>
      </c>
      <c r="AS95" s="427">
        <v>0</v>
      </c>
      <c r="AT95" s="427">
        <v>0</v>
      </c>
      <c r="AU95" s="427">
        <v>0</v>
      </c>
      <c r="AV95" s="427">
        <v>0</v>
      </c>
      <c r="AW95" s="427">
        <v>0</v>
      </c>
      <c r="AX95" s="427">
        <v>0</v>
      </c>
      <c r="AY95" s="427">
        <v>0</v>
      </c>
      <c r="AZ95" s="427">
        <v>0</v>
      </c>
      <c r="BA95" s="427">
        <v>0</v>
      </c>
      <c r="BB95" s="427">
        <v>0</v>
      </c>
      <c r="BC95" s="427">
        <v>0</v>
      </c>
      <c r="BD95" s="427">
        <v>0</v>
      </c>
      <c r="BE95" s="427">
        <v>0</v>
      </c>
      <c r="BF95" s="427">
        <v>0</v>
      </c>
      <c r="BG95" s="427">
        <v>0</v>
      </c>
      <c r="BH95" s="427">
        <v>0</v>
      </c>
      <c r="BI95" s="427">
        <v>0</v>
      </c>
      <c r="BJ95" s="427">
        <v>0</v>
      </c>
      <c r="BK95" s="427">
        <v>0</v>
      </c>
      <c r="BL95" s="427">
        <v>0</v>
      </c>
      <c r="BM95" s="427">
        <v>0</v>
      </c>
      <c r="BN95" s="427">
        <v>0</v>
      </c>
      <c r="BO95" s="427">
        <v>0</v>
      </c>
      <c r="BP95" s="427">
        <v>0</v>
      </c>
      <c r="BQ95" s="427">
        <v>0</v>
      </c>
      <c r="BR95" s="427">
        <v>0</v>
      </c>
      <c r="BS95" s="427">
        <v>0</v>
      </c>
      <c r="BT95" s="427">
        <v>0</v>
      </c>
      <c r="BU95" s="427">
        <v>0</v>
      </c>
      <c r="BV95" s="427">
        <v>0</v>
      </c>
      <c r="BW95" s="427">
        <v>0</v>
      </c>
      <c r="BX95" s="427">
        <v>0</v>
      </c>
      <c r="BY95" s="427">
        <v>0</v>
      </c>
      <c r="BZ95" s="427">
        <v>0</v>
      </c>
      <c r="CC95" s="21"/>
      <c r="CD95" s="424" t="s">
        <v>222</v>
      </c>
      <c r="CE95" s="433">
        <f t="shared" si="15"/>
        <v>0</v>
      </c>
      <c r="CF95" s="433">
        <f t="shared" si="16"/>
        <v>0</v>
      </c>
      <c r="CG95" s="433">
        <f t="shared" si="17"/>
        <v>0</v>
      </c>
      <c r="CH95" s="433">
        <f t="shared" si="18"/>
        <v>0</v>
      </c>
      <c r="CI95" s="433">
        <f t="shared" si="19"/>
        <v>0</v>
      </c>
      <c r="CJ95" s="433">
        <f t="shared" si="20"/>
        <v>0</v>
      </c>
      <c r="CK95" s="433">
        <f t="shared" si="21"/>
        <v>0</v>
      </c>
      <c r="CL95" s="433">
        <f t="shared" si="22"/>
        <v>0</v>
      </c>
      <c r="CM95" s="433">
        <f t="shared" si="23"/>
        <v>0</v>
      </c>
      <c r="CN95" s="433">
        <f t="shared" si="24"/>
        <v>0</v>
      </c>
      <c r="CO95" s="433">
        <f t="shared" si="25"/>
        <v>0</v>
      </c>
      <c r="CP95" s="433">
        <f t="shared" si="26"/>
        <v>0</v>
      </c>
      <c r="CQ95" s="433">
        <f t="shared" si="27"/>
        <v>0</v>
      </c>
      <c r="CR95" s="433">
        <f t="shared" si="28"/>
        <v>0</v>
      </c>
      <c r="CS95" s="433">
        <f t="shared" si="29"/>
        <v>0</v>
      </c>
      <c r="CT95" s="21"/>
    </row>
    <row r="96" spans="3:98" ht="24.75" customHeight="1" collapsed="1">
      <c r="C96" s="415" t="s">
        <v>220</v>
      </c>
      <c r="D96" s="427">
        <v>0</v>
      </c>
      <c r="E96" s="427">
        <v>0</v>
      </c>
      <c r="F96" s="427">
        <v>0</v>
      </c>
      <c r="G96" s="427">
        <v>0</v>
      </c>
      <c r="H96" s="427">
        <v>0</v>
      </c>
      <c r="I96" s="427">
        <v>0</v>
      </c>
      <c r="J96" s="427">
        <v>0</v>
      </c>
      <c r="K96" s="427">
        <v>0</v>
      </c>
      <c r="L96" s="427">
        <v>0</v>
      </c>
      <c r="M96" s="427">
        <v>0</v>
      </c>
      <c r="N96" s="427">
        <v>0</v>
      </c>
      <c r="O96" s="427">
        <v>0</v>
      </c>
      <c r="P96" s="427">
        <v>0</v>
      </c>
      <c r="Q96" s="427">
        <v>0</v>
      </c>
      <c r="R96" s="427">
        <v>0</v>
      </c>
      <c r="S96" s="427">
        <v>0</v>
      </c>
      <c r="T96" s="427">
        <v>0</v>
      </c>
      <c r="U96" s="427">
        <v>0</v>
      </c>
      <c r="V96" s="427">
        <v>0</v>
      </c>
      <c r="W96" s="427">
        <v>0</v>
      </c>
      <c r="X96" s="427">
        <v>0</v>
      </c>
      <c r="Y96" s="427">
        <v>0</v>
      </c>
      <c r="Z96" s="427">
        <v>0</v>
      </c>
      <c r="AA96" s="427">
        <v>0</v>
      </c>
      <c r="AB96" s="427">
        <v>0</v>
      </c>
      <c r="AC96" s="427">
        <v>0</v>
      </c>
      <c r="AD96" s="427">
        <v>0</v>
      </c>
      <c r="AE96" s="427">
        <v>0</v>
      </c>
      <c r="AF96" s="427">
        <v>0</v>
      </c>
      <c r="AG96" s="427">
        <v>0</v>
      </c>
      <c r="AH96" s="427">
        <v>0</v>
      </c>
      <c r="AI96" s="427">
        <v>0</v>
      </c>
      <c r="AJ96" s="427">
        <v>0</v>
      </c>
      <c r="AK96" s="427">
        <v>0</v>
      </c>
      <c r="AL96" s="427">
        <v>0</v>
      </c>
      <c r="AM96" s="427">
        <v>0</v>
      </c>
      <c r="AN96" s="427">
        <v>0</v>
      </c>
      <c r="AO96" s="427">
        <v>0</v>
      </c>
      <c r="AP96" s="427">
        <v>0</v>
      </c>
      <c r="AQ96" s="427">
        <v>0</v>
      </c>
      <c r="AR96" s="427">
        <v>0</v>
      </c>
      <c r="AS96" s="427">
        <v>0</v>
      </c>
      <c r="AT96" s="427">
        <v>0</v>
      </c>
      <c r="AU96" s="427">
        <v>0</v>
      </c>
      <c r="AV96" s="427">
        <v>0</v>
      </c>
      <c r="AW96" s="427">
        <v>0</v>
      </c>
      <c r="AX96" s="427">
        <v>0</v>
      </c>
      <c r="AY96" s="427">
        <v>0</v>
      </c>
      <c r="AZ96" s="427">
        <v>0</v>
      </c>
      <c r="BA96" s="427">
        <v>0</v>
      </c>
      <c r="BB96" s="427">
        <v>0</v>
      </c>
      <c r="BC96" s="427">
        <v>0</v>
      </c>
      <c r="BD96" s="427">
        <v>0</v>
      </c>
      <c r="BE96" s="427">
        <v>0</v>
      </c>
      <c r="BF96" s="427">
        <v>0</v>
      </c>
      <c r="BG96" s="427">
        <v>0</v>
      </c>
      <c r="BH96" s="427">
        <v>0</v>
      </c>
      <c r="BI96" s="427">
        <v>0</v>
      </c>
      <c r="BJ96" s="427">
        <v>0</v>
      </c>
      <c r="BK96" s="427">
        <v>0</v>
      </c>
      <c r="BL96" s="427">
        <v>0</v>
      </c>
      <c r="BM96" s="427">
        <v>0</v>
      </c>
      <c r="BN96" s="427">
        <v>0</v>
      </c>
      <c r="BO96" s="427">
        <v>0</v>
      </c>
      <c r="BP96" s="427">
        <v>0</v>
      </c>
      <c r="BQ96" s="427">
        <v>0</v>
      </c>
      <c r="BR96" s="427">
        <v>0</v>
      </c>
      <c r="BS96" s="427">
        <v>0</v>
      </c>
      <c r="BT96" s="427">
        <v>0</v>
      </c>
      <c r="BU96" s="427">
        <v>0</v>
      </c>
      <c r="BV96" s="427">
        <v>0</v>
      </c>
      <c r="BW96" s="427">
        <v>0</v>
      </c>
      <c r="BX96" s="427">
        <v>0</v>
      </c>
      <c r="BY96" s="427">
        <v>0</v>
      </c>
      <c r="BZ96" s="427">
        <v>0</v>
      </c>
      <c r="CC96" s="21"/>
      <c r="CD96" s="415" t="s">
        <v>220</v>
      </c>
      <c r="CE96" s="433">
        <f t="shared" si="15"/>
        <v>0</v>
      </c>
      <c r="CF96" s="433">
        <f t="shared" si="16"/>
        <v>0</v>
      </c>
      <c r="CG96" s="433">
        <f t="shared" si="17"/>
        <v>0</v>
      </c>
      <c r="CH96" s="433">
        <f t="shared" si="18"/>
        <v>0</v>
      </c>
      <c r="CI96" s="433">
        <f t="shared" si="19"/>
        <v>0</v>
      </c>
      <c r="CJ96" s="433">
        <f t="shared" si="20"/>
        <v>0</v>
      </c>
      <c r="CK96" s="433">
        <f t="shared" si="21"/>
        <v>0</v>
      </c>
      <c r="CL96" s="433">
        <f t="shared" si="22"/>
        <v>0</v>
      </c>
      <c r="CM96" s="433">
        <f t="shared" si="23"/>
        <v>0</v>
      </c>
      <c r="CN96" s="433">
        <f t="shared" si="24"/>
        <v>0</v>
      </c>
      <c r="CO96" s="433">
        <f t="shared" si="25"/>
        <v>0</v>
      </c>
      <c r="CP96" s="433">
        <f t="shared" si="26"/>
        <v>0</v>
      </c>
      <c r="CQ96" s="433">
        <f t="shared" si="27"/>
        <v>0</v>
      </c>
      <c r="CR96" s="433">
        <f t="shared" si="28"/>
        <v>0</v>
      </c>
      <c r="CS96" s="433">
        <f t="shared" si="29"/>
        <v>0</v>
      </c>
      <c r="CT96" s="21"/>
    </row>
    <row r="97" spans="3:98" ht="24.75" hidden="1" customHeight="1" outlineLevel="2">
      <c r="C97" s="437" t="s">
        <v>225</v>
      </c>
      <c r="D97" s="427">
        <v>0</v>
      </c>
      <c r="E97" s="427">
        <v>0</v>
      </c>
      <c r="F97" s="427">
        <v>0</v>
      </c>
      <c r="G97" s="427">
        <v>0</v>
      </c>
      <c r="H97" s="427">
        <v>0</v>
      </c>
      <c r="I97" s="427">
        <v>0</v>
      </c>
      <c r="J97" s="427">
        <v>0</v>
      </c>
      <c r="K97" s="427">
        <v>0</v>
      </c>
      <c r="L97" s="427">
        <v>0</v>
      </c>
      <c r="M97" s="427">
        <v>0</v>
      </c>
      <c r="N97" s="427">
        <v>0</v>
      </c>
      <c r="O97" s="427">
        <v>0</v>
      </c>
      <c r="P97" s="427">
        <v>0</v>
      </c>
      <c r="Q97" s="427">
        <v>0</v>
      </c>
      <c r="R97" s="427">
        <v>0</v>
      </c>
      <c r="S97" s="427">
        <v>0</v>
      </c>
      <c r="T97" s="427">
        <v>0</v>
      </c>
      <c r="U97" s="427">
        <v>0</v>
      </c>
      <c r="V97" s="427">
        <v>0</v>
      </c>
      <c r="W97" s="427">
        <v>0</v>
      </c>
      <c r="X97" s="427">
        <v>0</v>
      </c>
      <c r="Y97" s="427">
        <v>0</v>
      </c>
      <c r="Z97" s="427">
        <v>0</v>
      </c>
      <c r="AA97" s="427">
        <v>0</v>
      </c>
      <c r="AB97" s="427">
        <v>0</v>
      </c>
      <c r="AC97" s="427">
        <v>0</v>
      </c>
      <c r="AD97" s="427">
        <v>0</v>
      </c>
      <c r="AE97" s="427">
        <v>0</v>
      </c>
      <c r="AF97" s="427">
        <v>0</v>
      </c>
      <c r="AG97" s="427">
        <v>0</v>
      </c>
      <c r="AH97" s="427">
        <v>0</v>
      </c>
      <c r="AI97" s="427">
        <v>0</v>
      </c>
      <c r="AJ97" s="427">
        <v>0</v>
      </c>
      <c r="AK97" s="427">
        <v>0</v>
      </c>
      <c r="AL97" s="427">
        <v>0</v>
      </c>
      <c r="AM97" s="427">
        <v>0</v>
      </c>
      <c r="AN97" s="427">
        <v>0</v>
      </c>
      <c r="AO97" s="427">
        <v>0</v>
      </c>
      <c r="AP97" s="427">
        <v>0</v>
      </c>
      <c r="AQ97" s="427">
        <v>0</v>
      </c>
      <c r="AR97" s="427">
        <v>0</v>
      </c>
      <c r="AS97" s="427">
        <v>0</v>
      </c>
      <c r="AT97" s="427">
        <v>0</v>
      </c>
      <c r="AU97" s="427">
        <v>0</v>
      </c>
      <c r="AV97" s="427">
        <v>0</v>
      </c>
      <c r="AW97" s="427">
        <v>0</v>
      </c>
      <c r="AX97" s="427">
        <v>0</v>
      </c>
      <c r="AY97" s="427">
        <v>0</v>
      </c>
      <c r="AZ97" s="427">
        <v>0</v>
      </c>
      <c r="BA97" s="427">
        <v>0</v>
      </c>
      <c r="BB97" s="427">
        <v>0</v>
      </c>
      <c r="BC97" s="427">
        <v>0</v>
      </c>
      <c r="BD97" s="427">
        <v>0</v>
      </c>
      <c r="BE97" s="427">
        <v>0</v>
      </c>
      <c r="BF97" s="427">
        <v>0.03</v>
      </c>
      <c r="BG97" s="427">
        <v>0</v>
      </c>
      <c r="BH97" s="427">
        <v>0</v>
      </c>
      <c r="BI97" s="427">
        <v>0</v>
      </c>
      <c r="BJ97" s="427">
        <v>0.03</v>
      </c>
      <c r="BK97" s="427">
        <v>0.03</v>
      </c>
      <c r="BL97" s="427">
        <v>0</v>
      </c>
      <c r="BM97" s="427">
        <v>0</v>
      </c>
      <c r="BN97" s="427">
        <v>0</v>
      </c>
      <c r="BO97" s="427">
        <v>0</v>
      </c>
      <c r="BP97" s="427">
        <v>0</v>
      </c>
      <c r="BQ97" s="427">
        <v>0</v>
      </c>
      <c r="BR97" s="427">
        <v>0</v>
      </c>
      <c r="BS97" s="427">
        <v>0</v>
      </c>
      <c r="BT97" s="427">
        <v>0</v>
      </c>
      <c r="BU97" s="427">
        <v>0</v>
      </c>
      <c r="BV97" s="427">
        <v>0</v>
      </c>
      <c r="BW97" s="427">
        <v>0</v>
      </c>
      <c r="BX97" s="427">
        <v>0</v>
      </c>
      <c r="BY97" s="427">
        <v>0</v>
      </c>
      <c r="BZ97" s="427">
        <v>0</v>
      </c>
      <c r="CC97" s="21"/>
      <c r="CD97" s="437" t="s">
        <v>225</v>
      </c>
      <c r="CE97" s="433">
        <f t="shared" si="15"/>
        <v>0</v>
      </c>
      <c r="CF97" s="433">
        <f t="shared" si="16"/>
        <v>0</v>
      </c>
      <c r="CG97" s="433">
        <f t="shared" si="17"/>
        <v>0</v>
      </c>
      <c r="CH97" s="433">
        <f t="shared" si="18"/>
        <v>0</v>
      </c>
      <c r="CI97" s="433">
        <f t="shared" si="19"/>
        <v>0</v>
      </c>
      <c r="CJ97" s="433">
        <f t="shared" si="20"/>
        <v>0</v>
      </c>
      <c r="CK97" s="433">
        <f t="shared" si="21"/>
        <v>0</v>
      </c>
      <c r="CL97" s="433">
        <f t="shared" si="22"/>
        <v>0</v>
      </c>
      <c r="CM97" s="433">
        <f t="shared" si="23"/>
        <v>0</v>
      </c>
      <c r="CN97" s="433">
        <f t="shared" si="24"/>
        <v>0</v>
      </c>
      <c r="CO97" s="433">
        <f t="shared" si="25"/>
        <v>0.03</v>
      </c>
      <c r="CP97" s="433">
        <f t="shared" si="26"/>
        <v>0.03</v>
      </c>
      <c r="CQ97" s="433">
        <f t="shared" si="27"/>
        <v>0</v>
      </c>
      <c r="CR97" s="433">
        <f t="shared" si="28"/>
        <v>0</v>
      </c>
      <c r="CS97" s="433">
        <f t="shared" si="29"/>
        <v>0</v>
      </c>
      <c r="CT97" s="21"/>
    </row>
    <row r="98" spans="3:98" ht="24.75" hidden="1" customHeight="1" outlineLevel="2">
      <c r="C98" s="437" t="s">
        <v>226</v>
      </c>
      <c r="D98" s="427">
        <v>0</v>
      </c>
      <c r="E98" s="427">
        <v>0</v>
      </c>
      <c r="F98" s="427">
        <v>0</v>
      </c>
      <c r="G98" s="427">
        <v>0</v>
      </c>
      <c r="H98" s="427">
        <v>0</v>
      </c>
      <c r="I98" s="427">
        <v>0</v>
      </c>
      <c r="J98" s="427">
        <v>0</v>
      </c>
      <c r="K98" s="427">
        <v>0</v>
      </c>
      <c r="L98" s="427">
        <v>0</v>
      </c>
      <c r="M98" s="427">
        <v>0</v>
      </c>
      <c r="N98" s="427">
        <v>0</v>
      </c>
      <c r="O98" s="427">
        <v>0</v>
      </c>
      <c r="P98" s="427">
        <v>0</v>
      </c>
      <c r="Q98" s="427">
        <v>0</v>
      </c>
      <c r="R98" s="427">
        <v>0</v>
      </c>
      <c r="S98" s="427">
        <v>0</v>
      </c>
      <c r="T98" s="427">
        <v>0</v>
      </c>
      <c r="U98" s="427">
        <v>0</v>
      </c>
      <c r="V98" s="427">
        <v>0</v>
      </c>
      <c r="W98" s="427">
        <v>0</v>
      </c>
      <c r="X98" s="427">
        <v>0</v>
      </c>
      <c r="Y98" s="427">
        <v>0</v>
      </c>
      <c r="Z98" s="427">
        <v>0</v>
      </c>
      <c r="AA98" s="427">
        <v>0</v>
      </c>
      <c r="AB98" s="427">
        <v>0</v>
      </c>
      <c r="AC98" s="427">
        <v>0</v>
      </c>
      <c r="AD98" s="427">
        <v>0</v>
      </c>
      <c r="AE98" s="427">
        <v>0</v>
      </c>
      <c r="AF98" s="427">
        <v>0</v>
      </c>
      <c r="AG98" s="427">
        <v>0</v>
      </c>
      <c r="AH98" s="427">
        <v>0</v>
      </c>
      <c r="AI98" s="427">
        <v>0</v>
      </c>
      <c r="AJ98" s="427">
        <v>0</v>
      </c>
      <c r="AK98" s="427">
        <v>0</v>
      </c>
      <c r="AL98" s="427">
        <v>0</v>
      </c>
      <c r="AM98" s="427">
        <v>0</v>
      </c>
      <c r="AN98" s="427">
        <v>0</v>
      </c>
      <c r="AO98" s="427">
        <v>0</v>
      </c>
      <c r="AP98" s="427">
        <v>0</v>
      </c>
      <c r="AQ98" s="427">
        <v>0</v>
      </c>
      <c r="AR98" s="427">
        <v>0</v>
      </c>
      <c r="AS98" s="427">
        <v>0</v>
      </c>
      <c r="AT98" s="427">
        <v>0</v>
      </c>
      <c r="AU98" s="427">
        <v>0</v>
      </c>
      <c r="AV98" s="427">
        <v>0</v>
      </c>
      <c r="AW98" s="427">
        <v>0</v>
      </c>
      <c r="AX98" s="427">
        <v>0</v>
      </c>
      <c r="AY98" s="427">
        <v>0</v>
      </c>
      <c r="AZ98" s="427">
        <v>0</v>
      </c>
      <c r="BA98" s="427">
        <v>0</v>
      </c>
      <c r="BB98" s="427">
        <v>0</v>
      </c>
      <c r="BC98" s="427">
        <v>0</v>
      </c>
      <c r="BD98" s="427">
        <v>0</v>
      </c>
      <c r="BE98" s="427">
        <v>0</v>
      </c>
      <c r="BF98" s="427">
        <v>14.108000000000001</v>
      </c>
      <c r="BG98" s="427">
        <v>0</v>
      </c>
      <c r="BH98" s="427">
        <v>0</v>
      </c>
      <c r="BI98" s="427">
        <v>0</v>
      </c>
      <c r="BJ98" s="427">
        <v>20.707999999999998</v>
      </c>
      <c r="BK98" s="427">
        <v>20.707999999999998</v>
      </c>
      <c r="BL98" s="427">
        <v>0</v>
      </c>
      <c r="BM98" s="427">
        <v>65.207999999999998</v>
      </c>
      <c r="BN98" s="427">
        <v>88.707999999999998</v>
      </c>
      <c r="BO98" s="427">
        <v>100.908</v>
      </c>
      <c r="BP98" s="427">
        <v>100.908</v>
      </c>
      <c r="BQ98" s="427">
        <v>127.30800000000001</v>
      </c>
      <c r="BR98" s="427">
        <v>128.292</v>
      </c>
      <c r="BS98" s="427">
        <v>128.292</v>
      </c>
      <c r="BT98" s="427">
        <v>126.69199999999999</v>
      </c>
      <c r="BU98" s="427">
        <v>126.69199999999999</v>
      </c>
      <c r="BV98" s="427">
        <v>119.992</v>
      </c>
      <c r="BW98" s="427">
        <v>119.992</v>
      </c>
      <c r="BX98" s="427">
        <v>119.991</v>
      </c>
      <c r="BY98" s="427">
        <v>0</v>
      </c>
      <c r="BZ98" s="427">
        <v>0</v>
      </c>
      <c r="CC98" s="21"/>
      <c r="CD98" s="437" t="s">
        <v>226</v>
      </c>
      <c r="CE98" s="433">
        <f t="shared" si="15"/>
        <v>0</v>
      </c>
      <c r="CF98" s="433">
        <f t="shared" si="16"/>
        <v>0</v>
      </c>
      <c r="CG98" s="433">
        <f t="shared" si="17"/>
        <v>0</v>
      </c>
      <c r="CH98" s="433">
        <f t="shared" si="18"/>
        <v>0</v>
      </c>
      <c r="CI98" s="433">
        <f t="shared" si="19"/>
        <v>0</v>
      </c>
      <c r="CJ98" s="433">
        <f t="shared" si="20"/>
        <v>0</v>
      </c>
      <c r="CK98" s="433">
        <f t="shared" si="21"/>
        <v>0</v>
      </c>
      <c r="CL98" s="433">
        <f t="shared" si="22"/>
        <v>0</v>
      </c>
      <c r="CM98" s="433">
        <f t="shared" si="23"/>
        <v>0</v>
      </c>
      <c r="CN98" s="433">
        <f t="shared" si="24"/>
        <v>0</v>
      </c>
      <c r="CO98" s="433">
        <f t="shared" si="25"/>
        <v>14.108000000000001</v>
      </c>
      <c r="CP98" s="433">
        <f t="shared" si="26"/>
        <v>20.707999999999998</v>
      </c>
      <c r="CQ98" s="433">
        <f t="shared" si="27"/>
        <v>100.908</v>
      </c>
      <c r="CR98" s="433">
        <f t="shared" si="28"/>
        <v>126.69199999999999</v>
      </c>
      <c r="CS98" s="433">
        <f t="shared" si="29"/>
        <v>0</v>
      </c>
      <c r="CT98" s="21"/>
    </row>
    <row r="99" spans="3:98" ht="24.75" hidden="1" customHeight="1" outlineLevel="2">
      <c r="C99" s="437" t="s">
        <v>227</v>
      </c>
      <c r="D99" s="427">
        <v>0</v>
      </c>
      <c r="E99" s="427">
        <v>0</v>
      </c>
      <c r="F99" s="427">
        <v>0</v>
      </c>
      <c r="G99" s="427">
        <v>0</v>
      </c>
      <c r="H99" s="427">
        <v>0</v>
      </c>
      <c r="I99" s="427">
        <v>0</v>
      </c>
      <c r="J99" s="427">
        <v>0</v>
      </c>
      <c r="K99" s="427">
        <v>0</v>
      </c>
      <c r="L99" s="427">
        <v>0</v>
      </c>
      <c r="M99" s="427">
        <v>0</v>
      </c>
      <c r="N99" s="427">
        <v>0</v>
      </c>
      <c r="O99" s="427">
        <v>0</v>
      </c>
      <c r="P99" s="427">
        <v>0</v>
      </c>
      <c r="Q99" s="427">
        <v>0</v>
      </c>
      <c r="R99" s="427">
        <v>0</v>
      </c>
      <c r="S99" s="427">
        <v>0</v>
      </c>
      <c r="T99" s="427">
        <v>0</v>
      </c>
      <c r="U99" s="427">
        <v>0</v>
      </c>
      <c r="V99" s="427">
        <v>0</v>
      </c>
      <c r="W99" s="427">
        <v>0</v>
      </c>
      <c r="X99" s="427">
        <v>0</v>
      </c>
      <c r="Y99" s="427">
        <v>0</v>
      </c>
      <c r="Z99" s="427">
        <v>0</v>
      </c>
      <c r="AA99" s="427">
        <v>0</v>
      </c>
      <c r="AB99" s="427">
        <v>0</v>
      </c>
      <c r="AC99" s="427">
        <v>0</v>
      </c>
      <c r="AD99" s="427">
        <v>0</v>
      </c>
      <c r="AE99" s="427">
        <v>0</v>
      </c>
      <c r="AF99" s="427">
        <v>0</v>
      </c>
      <c r="AG99" s="427">
        <v>0</v>
      </c>
      <c r="AH99" s="427">
        <v>0</v>
      </c>
      <c r="AI99" s="427">
        <v>0</v>
      </c>
      <c r="AJ99" s="427">
        <v>0</v>
      </c>
      <c r="AK99" s="427">
        <v>0</v>
      </c>
      <c r="AL99" s="427">
        <v>0</v>
      </c>
      <c r="AM99" s="427">
        <v>0</v>
      </c>
      <c r="AN99" s="427">
        <v>0</v>
      </c>
      <c r="AO99" s="427">
        <v>0</v>
      </c>
      <c r="AP99" s="427">
        <v>0</v>
      </c>
      <c r="AQ99" s="427">
        <v>0</v>
      </c>
      <c r="AR99" s="427">
        <v>0</v>
      </c>
      <c r="AS99" s="427">
        <v>0</v>
      </c>
      <c r="AT99" s="427">
        <v>0</v>
      </c>
      <c r="AU99" s="427">
        <v>0</v>
      </c>
      <c r="AV99" s="427">
        <v>0</v>
      </c>
      <c r="AW99" s="427">
        <v>0</v>
      </c>
      <c r="AX99" s="427">
        <v>0</v>
      </c>
      <c r="AY99" s="427">
        <v>0</v>
      </c>
      <c r="AZ99" s="427">
        <v>0</v>
      </c>
      <c r="BA99" s="427">
        <v>0</v>
      </c>
      <c r="BB99" s="427">
        <v>0</v>
      </c>
      <c r="BC99" s="427">
        <v>0</v>
      </c>
      <c r="BD99" s="427">
        <v>0</v>
      </c>
      <c r="BE99" s="427">
        <v>0</v>
      </c>
      <c r="BF99" s="427">
        <v>0</v>
      </c>
      <c r="BG99" s="427">
        <v>0</v>
      </c>
      <c r="BH99" s="427">
        <v>0</v>
      </c>
      <c r="BI99" s="427">
        <v>0</v>
      </c>
      <c r="BJ99" s="427">
        <v>0.35</v>
      </c>
      <c r="BK99" s="427">
        <v>0.35</v>
      </c>
      <c r="BL99" s="427">
        <v>0</v>
      </c>
      <c r="BM99" s="427">
        <v>0.35</v>
      </c>
      <c r="BN99" s="427">
        <v>0</v>
      </c>
      <c r="BO99" s="427">
        <v>0</v>
      </c>
      <c r="BP99" s="427">
        <v>0</v>
      </c>
      <c r="BQ99" s="427">
        <v>26.9</v>
      </c>
      <c r="BR99" s="427">
        <v>26.9</v>
      </c>
      <c r="BS99" s="427">
        <v>26.9</v>
      </c>
      <c r="BT99" s="427">
        <v>26.9</v>
      </c>
      <c r="BU99" s="427">
        <v>26.9</v>
      </c>
      <c r="BV99" s="427">
        <v>28</v>
      </c>
      <c r="BW99" s="427">
        <v>28</v>
      </c>
      <c r="BX99" s="427">
        <v>28</v>
      </c>
      <c r="BY99" s="427">
        <v>0</v>
      </c>
      <c r="BZ99" s="427">
        <v>0</v>
      </c>
      <c r="CC99" s="21"/>
      <c r="CD99" s="437" t="s">
        <v>227</v>
      </c>
      <c r="CE99" s="433">
        <f t="shared" si="15"/>
        <v>0</v>
      </c>
      <c r="CF99" s="433">
        <f t="shared" si="16"/>
        <v>0</v>
      </c>
      <c r="CG99" s="433">
        <f t="shared" si="17"/>
        <v>0</v>
      </c>
      <c r="CH99" s="433">
        <f t="shared" si="18"/>
        <v>0</v>
      </c>
      <c r="CI99" s="433">
        <f t="shared" si="19"/>
        <v>0</v>
      </c>
      <c r="CJ99" s="433">
        <f t="shared" si="20"/>
        <v>0</v>
      </c>
      <c r="CK99" s="433">
        <f t="shared" si="21"/>
        <v>0</v>
      </c>
      <c r="CL99" s="433">
        <f t="shared" si="22"/>
        <v>0</v>
      </c>
      <c r="CM99" s="433">
        <f t="shared" si="23"/>
        <v>0</v>
      </c>
      <c r="CN99" s="433">
        <f t="shared" si="24"/>
        <v>0</v>
      </c>
      <c r="CO99" s="433">
        <f t="shared" si="25"/>
        <v>0</v>
      </c>
      <c r="CP99" s="433">
        <f t="shared" si="26"/>
        <v>0.35</v>
      </c>
      <c r="CQ99" s="433">
        <f t="shared" si="27"/>
        <v>0</v>
      </c>
      <c r="CR99" s="433">
        <f t="shared" si="28"/>
        <v>26.9</v>
      </c>
      <c r="CS99" s="433">
        <f t="shared" si="29"/>
        <v>0</v>
      </c>
      <c r="CT99" s="21"/>
    </row>
    <row r="100" spans="3:98" ht="24.75" hidden="1" customHeight="1" outlineLevel="2">
      <c r="C100" s="437" t="s">
        <v>228</v>
      </c>
      <c r="D100" s="427">
        <v>0</v>
      </c>
      <c r="E100" s="427">
        <v>0</v>
      </c>
      <c r="F100" s="427">
        <v>0</v>
      </c>
      <c r="G100" s="427">
        <v>0</v>
      </c>
      <c r="H100" s="427">
        <v>0</v>
      </c>
      <c r="I100" s="427">
        <v>0</v>
      </c>
      <c r="J100" s="427">
        <v>0</v>
      </c>
      <c r="K100" s="427">
        <v>0</v>
      </c>
      <c r="L100" s="427">
        <v>0</v>
      </c>
      <c r="M100" s="427">
        <v>0</v>
      </c>
      <c r="N100" s="427">
        <v>0</v>
      </c>
      <c r="O100" s="427">
        <v>0</v>
      </c>
      <c r="P100" s="427">
        <v>0</v>
      </c>
      <c r="Q100" s="427">
        <v>0</v>
      </c>
      <c r="R100" s="427">
        <v>0</v>
      </c>
      <c r="S100" s="427">
        <v>0</v>
      </c>
      <c r="T100" s="427">
        <v>0</v>
      </c>
      <c r="U100" s="427">
        <v>0</v>
      </c>
      <c r="V100" s="427">
        <v>0</v>
      </c>
      <c r="W100" s="427">
        <v>0</v>
      </c>
      <c r="X100" s="427">
        <v>0</v>
      </c>
      <c r="Y100" s="427">
        <v>0</v>
      </c>
      <c r="Z100" s="427">
        <v>0</v>
      </c>
      <c r="AA100" s="427">
        <v>0</v>
      </c>
      <c r="AB100" s="427">
        <v>0</v>
      </c>
      <c r="AC100" s="427">
        <v>0</v>
      </c>
      <c r="AD100" s="427">
        <v>0</v>
      </c>
      <c r="AE100" s="427">
        <v>0</v>
      </c>
      <c r="AF100" s="427">
        <v>0</v>
      </c>
      <c r="AG100" s="427">
        <v>0</v>
      </c>
      <c r="AH100" s="427">
        <v>0</v>
      </c>
      <c r="AI100" s="427">
        <v>0</v>
      </c>
      <c r="AJ100" s="427">
        <v>0</v>
      </c>
      <c r="AK100" s="427">
        <v>0</v>
      </c>
      <c r="AL100" s="427">
        <v>0</v>
      </c>
      <c r="AM100" s="427">
        <v>0</v>
      </c>
      <c r="AN100" s="427">
        <v>0</v>
      </c>
      <c r="AO100" s="427">
        <v>0</v>
      </c>
      <c r="AP100" s="427">
        <v>0</v>
      </c>
      <c r="AQ100" s="427">
        <v>0</v>
      </c>
      <c r="AR100" s="427">
        <v>0</v>
      </c>
      <c r="AS100" s="427">
        <v>0</v>
      </c>
      <c r="AT100" s="427">
        <v>0</v>
      </c>
      <c r="AU100" s="427">
        <v>0</v>
      </c>
      <c r="AV100" s="427">
        <v>0</v>
      </c>
      <c r="AW100" s="427">
        <v>0</v>
      </c>
      <c r="AX100" s="427">
        <v>0</v>
      </c>
      <c r="AY100" s="427">
        <v>0</v>
      </c>
      <c r="AZ100" s="427">
        <v>0</v>
      </c>
      <c r="BA100" s="427">
        <v>0</v>
      </c>
      <c r="BB100" s="427">
        <v>0</v>
      </c>
      <c r="BC100" s="427">
        <v>0</v>
      </c>
      <c r="BD100" s="427">
        <v>0</v>
      </c>
      <c r="BE100" s="427">
        <v>0</v>
      </c>
      <c r="BF100" s="427">
        <v>0</v>
      </c>
      <c r="BG100" s="427">
        <v>0</v>
      </c>
      <c r="BH100" s="427">
        <v>0</v>
      </c>
      <c r="BI100" s="427">
        <v>0</v>
      </c>
      <c r="BJ100" s="427">
        <v>0</v>
      </c>
      <c r="BK100" s="427">
        <v>0</v>
      </c>
      <c r="BL100" s="427">
        <v>0</v>
      </c>
      <c r="BM100" s="427">
        <v>1.2</v>
      </c>
      <c r="BN100" s="427">
        <v>2.8</v>
      </c>
      <c r="BO100" s="427">
        <v>0</v>
      </c>
      <c r="BP100" s="427">
        <v>3</v>
      </c>
      <c r="BQ100" s="427">
        <v>4.3209999999999997</v>
      </c>
      <c r="BR100" s="427">
        <v>2.2010000000000001</v>
      </c>
      <c r="BS100" s="427">
        <v>2.1</v>
      </c>
      <c r="BT100" s="427">
        <v>0</v>
      </c>
      <c r="BU100" s="427">
        <v>1.877</v>
      </c>
      <c r="BV100" s="427">
        <v>4.3</v>
      </c>
      <c r="BW100" s="427">
        <v>4.3</v>
      </c>
      <c r="BX100" s="427">
        <v>4.3</v>
      </c>
      <c r="BY100" s="427">
        <v>0</v>
      </c>
      <c r="BZ100" s="427">
        <v>0</v>
      </c>
      <c r="CC100" s="21"/>
      <c r="CD100" s="437" t="s">
        <v>228</v>
      </c>
      <c r="CE100" s="433">
        <f t="shared" si="15"/>
        <v>0</v>
      </c>
      <c r="CF100" s="433">
        <f t="shared" si="16"/>
        <v>0</v>
      </c>
      <c r="CG100" s="433">
        <f t="shared" si="17"/>
        <v>0</v>
      </c>
      <c r="CH100" s="433">
        <f t="shared" si="18"/>
        <v>0</v>
      </c>
      <c r="CI100" s="433">
        <f t="shared" si="19"/>
        <v>0</v>
      </c>
      <c r="CJ100" s="433">
        <f t="shared" si="20"/>
        <v>0</v>
      </c>
      <c r="CK100" s="433">
        <f t="shared" si="21"/>
        <v>0</v>
      </c>
      <c r="CL100" s="433">
        <f t="shared" si="22"/>
        <v>0</v>
      </c>
      <c r="CM100" s="433">
        <f t="shared" si="23"/>
        <v>0</v>
      </c>
      <c r="CN100" s="433">
        <f t="shared" si="24"/>
        <v>0</v>
      </c>
      <c r="CO100" s="433">
        <f t="shared" si="25"/>
        <v>0</v>
      </c>
      <c r="CP100" s="433">
        <f t="shared" si="26"/>
        <v>0</v>
      </c>
      <c r="CQ100" s="433">
        <f t="shared" si="27"/>
        <v>3</v>
      </c>
      <c r="CR100" s="433">
        <f t="shared" si="28"/>
        <v>1.877</v>
      </c>
      <c r="CS100" s="433">
        <f t="shared" si="29"/>
        <v>0</v>
      </c>
      <c r="CT100" s="21"/>
    </row>
    <row r="101" spans="3:98" ht="24.75" hidden="1" customHeight="1" outlineLevel="2">
      <c r="C101" s="437" t="s">
        <v>229</v>
      </c>
      <c r="D101" s="427">
        <v>0</v>
      </c>
      <c r="E101" s="427">
        <v>0</v>
      </c>
      <c r="F101" s="427">
        <v>0</v>
      </c>
      <c r="G101" s="427">
        <v>0</v>
      </c>
      <c r="H101" s="427">
        <v>0</v>
      </c>
      <c r="I101" s="427">
        <v>0</v>
      </c>
      <c r="J101" s="427">
        <v>0</v>
      </c>
      <c r="K101" s="427">
        <v>0</v>
      </c>
      <c r="L101" s="427">
        <v>0</v>
      </c>
      <c r="M101" s="427">
        <v>0</v>
      </c>
      <c r="N101" s="427">
        <v>0</v>
      </c>
      <c r="O101" s="427">
        <v>0</v>
      </c>
      <c r="P101" s="427">
        <v>0</v>
      </c>
      <c r="Q101" s="427">
        <v>0</v>
      </c>
      <c r="R101" s="427">
        <v>0</v>
      </c>
      <c r="S101" s="427">
        <v>0</v>
      </c>
      <c r="T101" s="427">
        <v>0</v>
      </c>
      <c r="U101" s="427">
        <v>0</v>
      </c>
      <c r="V101" s="427">
        <v>0</v>
      </c>
      <c r="W101" s="427">
        <v>0</v>
      </c>
      <c r="X101" s="427">
        <v>0</v>
      </c>
      <c r="Y101" s="427">
        <v>0</v>
      </c>
      <c r="Z101" s="427">
        <v>0</v>
      </c>
      <c r="AA101" s="427">
        <v>0</v>
      </c>
      <c r="AB101" s="427">
        <v>0</v>
      </c>
      <c r="AC101" s="427">
        <v>0</v>
      </c>
      <c r="AD101" s="427">
        <v>0</v>
      </c>
      <c r="AE101" s="427">
        <v>0</v>
      </c>
      <c r="AF101" s="427">
        <v>0</v>
      </c>
      <c r="AG101" s="427">
        <v>0</v>
      </c>
      <c r="AH101" s="427">
        <v>0</v>
      </c>
      <c r="AI101" s="427">
        <v>0</v>
      </c>
      <c r="AJ101" s="427">
        <v>0</v>
      </c>
      <c r="AK101" s="427">
        <v>0</v>
      </c>
      <c r="AL101" s="427">
        <v>0</v>
      </c>
      <c r="AM101" s="427">
        <v>0</v>
      </c>
      <c r="AN101" s="427">
        <v>0</v>
      </c>
      <c r="AO101" s="427">
        <v>0</v>
      </c>
      <c r="AP101" s="427">
        <v>0</v>
      </c>
      <c r="AQ101" s="427">
        <v>0</v>
      </c>
      <c r="AR101" s="427">
        <v>0</v>
      </c>
      <c r="AS101" s="427">
        <v>0</v>
      </c>
      <c r="AT101" s="427">
        <v>0</v>
      </c>
      <c r="AU101" s="427">
        <v>0</v>
      </c>
      <c r="AV101" s="427">
        <v>0</v>
      </c>
      <c r="AW101" s="427">
        <v>0</v>
      </c>
      <c r="AX101" s="427">
        <v>0</v>
      </c>
      <c r="AY101" s="427">
        <v>0</v>
      </c>
      <c r="AZ101" s="427">
        <v>0</v>
      </c>
      <c r="BA101" s="427">
        <v>0</v>
      </c>
      <c r="BB101" s="427">
        <v>0</v>
      </c>
      <c r="BC101" s="427">
        <v>0</v>
      </c>
      <c r="BD101" s="427">
        <v>0</v>
      </c>
      <c r="BE101" s="427">
        <v>0</v>
      </c>
      <c r="BF101" s="427">
        <v>66.191000000000003</v>
      </c>
      <c r="BG101" s="427">
        <v>0</v>
      </c>
      <c r="BH101" s="427">
        <v>0</v>
      </c>
      <c r="BI101" s="427">
        <v>0</v>
      </c>
      <c r="BJ101" s="427">
        <v>66.590999999999994</v>
      </c>
      <c r="BK101" s="427">
        <v>66.590999999999994</v>
      </c>
      <c r="BL101" s="427">
        <v>0</v>
      </c>
      <c r="BM101" s="427">
        <v>66.590999999999994</v>
      </c>
      <c r="BN101" s="427">
        <v>76.391000000000005</v>
      </c>
      <c r="BO101" s="427">
        <v>79.491</v>
      </c>
      <c r="BP101" s="427">
        <v>79.491</v>
      </c>
      <c r="BQ101" s="427">
        <v>89.790999999999997</v>
      </c>
      <c r="BR101" s="427">
        <v>86.691000000000003</v>
      </c>
      <c r="BS101" s="427">
        <v>86.691000000000003</v>
      </c>
      <c r="BT101" s="427">
        <v>86.691000000000003</v>
      </c>
      <c r="BU101" s="427">
        <v>86.691000000000003</v>
      </c>
      <c r="BV101" s="427">
        <v>103.791</v>
      </c>
      <c r="BW101" s="427">
        <v>103.79</v>
      </c>
      <c r="BX101" s="427">
        <v>103.791</v>
      </c>
      <c r="BY101" s="427">
        <v>0</v>
      </c>
      <c r="BZ101" s="427">
        <v>0</v>
      </c>
      <c r="CC101" s="21"/>
      <c r="CD101" s="437" t="s">
        <v>229</v>
      </c>
      <c r="CE101" s="433">
        <f t="shared" si="15"/>
        <v>0</v>
      </c>
      <c r="CF101" s="433">
        <f t="shared" si="16"/>
        <v>0</v>
      </c>
      <c r="CG101" s="433">
        <f t="shared" si="17"/>
        <v>0</v>
      </c>
      <c r="CH101" s="433">
        <f t="shared" si="18"/>
        <v>0</v>
      </c>
      <c r="CI101" s="433">
        <f t="shared" si="19"/>
        <v>0</v>
      </c>
      <c r="CJ101" s="433">
        <f t="shared" si="20"/>
        <v>0</v>
      </c>
      <c r="CK101" s="433">
        <f t="shared" si="21"/>
        <v>0</v>
      </c>
      <c r="CL101" s="433">
        <f t="shared" si="22"/>
        <v>0</v>
      </c>
      <c r="CM101" s="433">
        <f t="shared" si="23"/>
        <v>0</v>
      </c>
      <c r="CN101" s="433">
        <f t="shared" si="24"/>
        <v>0</v>
      </c>
      <c r="CO101" s="433">
        <f t="shared" si="25"/>
        <v>66.191000000000003</v>
      </c>
      <c r="CP101" s="433">
        <f t="shared" si="26"/>
        <v>66.590999999999994</v>
      </c>
      <c r="CQ101" s="433">
        <f t="shared" si="27"/>
        <v>79.491</v>
      </c>
      <c r="CR101" s="433">
        <f t="shared" si="28"/>
        <v>86.691000000000003</v>
      </c>
      <c r="CS101" s="433">
        <f t="shared" si="29"/>
        <v>0</v>
      </c>
      <c r="CT101" s="21"/>
    </row>
    <row r="102" spans="3:98" ht="24.75" hidden="1" customHeight="1" outlineLevel="2">
      <c r="C102" s="437" t="s">
        <v>230</v>
      </c>
      <c r="D102" s="427">
        <v>0</v>
      </c>
      <c r="E102" s="427">
        <v>0</v>
      </c>
      <c r="F102" s="427">
        <v>0</v>
      </c>
      <c r="G102" s="427">
        <v>0</v>
      </c>
      <c r="H102" s="427">
        <v>0</v>
      </c>
      <c r="I102" s="427">
        <v>0</v>
      </c>
      <c r="J102" s="427">
        <v>0</v>
      </c>
      <c r="K102" s="427">
        <v>0</v>
      </c>
      <c r="L102" s="427">
        <v>0</v>
      </c>
      <c r="M102" s="427">
        <v>0</v>
      </c>
      <c r="N102" s="427">
        <v>0</v>
      </c>
      <c r="O102" s="427">
        <v>0</v>
      </c>
      <c r="P102" s="427">
        <v>0</v>
      </c>
      <c r="Q102" s="427">
        <v>0</v>
      </c>
      <c r="R102" s="427">
        <v>0</v>
      </c>
      <c r="S102" s="427">
        <v>0</v>
      </c>
      <c r="T102" s="427">
        <v>0</v>
      </c>
      <c r="U102" s="427">
        <v>0</v>
      </c>
      <c r="V102" s="427">
        <v>0</v>
      </c>
      <c r="W102" s="427">
        <v>0</v>
      </c>
      <c r="X102" s="427">
        <v>0</v>
      </c>
      <c r="Y102" s="427">
        <v>0</v>
      </c>
      <c r="Z102" s="427">
        <v>0</v>
      </c>
      <c r="AA102" s="427">
        <v>0</v>
      </c>
      <c r="AB102" s="427">
        <v>0</v>
      </c>
      <c r="AC102" s="427">
        <v>0</v>
      </c>
      <c r="AD102" s="427">
        <v>0</v>
      </c>
      <c r="AE102" s="427">
        <v>0</v>
      </c>
      <c r="AF102" s="427">
        <v>0</v>
      </c>
      <c r="AG102" s="427">
        <v>0</v>
      </c>
      <c r="AH102" s="427">
        <v>0</v>
      </c>
      <c r="AI102" s="427">
        <v>0</v>
      </c>
      <c r="AJ102" s="427">
        <v>0</v>
      </c>
      <c r="AK102" s="427">
        <v>0</v>
      </c>
      <c r="AL102" s="427">
        <v>0</v>
      </c>
      <c r="AM102" s="427">
        <v>0</v>
      </c>
      <c r="AN102" s="427">
        <v>0</v>
      </c>
      <c r="AO102" s="427">
        <v>0</v>
      </c>
      <c r="AP102" s="427">
        <v>0</v>
      </c>
      <c r="AQ102" s="427">
        <v>0</v>
      </c>
      <c r="AR102" s="427">
        <v>0</v>
      </c>
      <c r="AS102" s="427">
        <v>0</v>
      </c>
      <c r="AT102" s="427">
        <v>0</v>
      </c>
      <c r="AU102" s="427">
        <v>0</v>
      </c>
      <c r="AV102" s="427">
        <v>0</v>
      </c>
      <c r="AW102" s="427">
        <v>0</v>
      </c>
      <c r="AX102" s="427">
        <v>0</v>
      </c>
      <c r="AY102" s="427">
        <v>0</v>
      </c>
      <c r="AZ102" s="427">
        <v>0</v>
      </c>
      <c r="BA102" s="427">
        <v>0</v>
      </c>
      <c r="BB102" s="427">
        <v>0</v>
      </c>
      <c r="BC102" s="427">
        <v>0</v>
      </c>
      <c r="BD102" s="427">
        <v>0</v>
      </c>
      <c r="BE102" s="427">
        <v>0</v>
      </c>
      <c r="BF102" s="427">
        <v>3.052</v>
      </c>
      <c r="BG102" s="427">
        <v>0</v>
      </c>
      <c r="BH102" s="427">
        <v>0</v>
      </c>
      <c r="BI102" s="427">
        <v>0</v>
      </c>
      <c r="BJ102" s="427">
        <v>318.74599999999998</v>
      </c>
      <c r="BK102" s="427">
        <v>318.74599999999998</v>
      </c>
      <c r="BL102" s="427">
        <v>0</v>
      </c>
      <c r="BM102" s="427">
        <v>29.649000000000001</v>
      </c>
      <c r="BN102" s="427">
        <v>29.649000000000001</v>
      </c>
      <c r="BO102" s="427">
        <v>66.448999999999998</v>
      </c>
      <c r="BP102" s="427">
        <v>66.448999999999998</v>
      </c>
      <c r="BQ102" s="427">
        <v>69.849000000000004</v>
      </c>
      <c r="BR102" s="427">
        <v>69.849000000000004</v>
      </c>
      <c r="BS102" s="427">
        <v>692.92200000000003</v>
      </c>
      <c r="BT102" s="427">
        <v>69.849000000000004</v>
      </c>
      <c r="BU102" s="427">
        <v>69.849000000000004</v>
      </c>
      <c r="BV102" s="427">
        <v>69.849000000000004</v>
      </c>
      <c r="BW102" s="427">
        <v>69.849000000000004</v>
      </c>
      <c r="BX102" s="427">
        <v>9.0489999999999995</v>
      </c>
      <c r="BY102" s="427">
        <v>0</v>
      </c>
      <c r="BZ102" s="427">
        <v>0</v>
      </c>
      <c r="CC102" s="21"/>
      <c r="CD102" s="437" t="s">
        <v>230</v>
      </c>
      <c r="CE102" s="433">
        <f t="shared" si="15"/>
        <v>0</v>
      </c>
      <c r="CF102" s="433">
        <f t="shared" si="16"/>
        <v>0</v>
      </c>
      <c r="CG102" s="433">
        <f t="shared" si="17"/>
        <v>0</v>
      </c>
      <c r="CH102" s="433">
        <f t="shared" si="18"/>
        <v>0</v>
      </c>
      <c r="CI102" s="433">
        <f t="shared" si="19"/>
        <v>0</v>
      </c>
      <c r="CJ102" s="433">
        <f t="shared" si="20"/>
        <v>0</v>
      </c>
      <c r="CK102" s="433">
        <f t="shared" si="21"/>
        <v>0</v>
      </c>
      <c r="CL102" s="433">
        <f t="shared" si="22"/>
        <v>0</v>
      </c>
      <c r="CM102" s="433">
        <f t="shared" si="23"/>
        <v>0</v>
      </c>
      <c r="CN102" s="433">
        <f t="shared" si="24"/>
        <v>0</v>
      </c>
      <c r="CO102" s="433">
        <f t="shared" si="25"/>
        <v>3.052</v>
      </c>
      <c r="CP102" s="433">
        <f t="shared" si="26"/>
        <v>318.74599999999998</v>
      </c>
      <c r="CQ102" s="433">
        <f t="shared" si="27"/>
        <v>66.448999999999998</v>
      </c>
      <c r="CR102" s="433">
        <f t="shared" si="28"/>
        <v>69.849000000000004</v>
      </c>
      <c r="CS102" s="433">
        <f t="shared" si="29"/>
        <v>0</v>
      </c>
      <c r="CT102" s="21"/>
    </row>
    <row r="103" spans="3:98" ht="24.75" hidden="1" customHeight="1" outlineLevel="1">
      <c r="C103" s="426" t="s">
        <v>46</v>
      </c>
      <c r="D103" s="427">
        <v>0</v>
      </c>
      <c r="E103" s="427">
        <v>0</v>
      </c>
      <c r="F103" s="427">
        <v>0</v>
      </c>
      <c r="G103" s="427">
        <v>0</v>
      </c>
      <c r="H103" s="427">
        <v>0</v>
      </c>
      <c r="I103" s="427">
        <v>0</v>
      </c>
      <c r="J103" s="427">
        <v>0</v>
      </c>
      <c r="K103" s="427">
        <v>0</v>
      </c>
      <c r="L103" s="427">
        <v>0</v>
      </c>
      <c r="M103" s="427">
        <v>0</v>
      </c>
      <c r="N103" s="427">
        <v>0</v>
      </c>
      <c r="O103" s="427">
        <v>0</v>
      </c>
      <c r="P103" s="427">
        <v>0</v>
      </c>
      <c r="Q103" s="427">
        <v>0</v>
      </c>
      <c r="R103" s="427">
        <v>0</v>
      </c>
      <c r="S103" s="427">
        <v>0</v>
      </c>
      <c r="T103" s="427">
        <v>0</v>
      </c>
      <c r="U103" s="427">
        <v>0</v>
      </c>
      <c r="V103" s="427">
        <v>0</v>
      </c>
      <c r="W103" s="427">
        <v>0</v>
      </c>
      <c r="X103" s="427">
        <v>0</v>
      </c>
      <c r="Y103" s="427">
        <v>0</v>
      </c>
      <c r="Z103" s="427">
        <v>0</v>
      </c>
      <c r="AA103" s="427">
        <v>0</v>
      </c>
      <c r="AB103" s="427">
        <v>0</v>
      </c>
      <c r="AC103" s="427">
        <v>0</v>
      </c>
      <c r="AD103" s="427">
        <v>0</v>
      </c>
      <c r="AE103" s="427">
        <v>0</v>
      </c>
      <c r="AF103" s="427">
        <v>0</v>
      </c>
      <c r="AG103" s="427">
        <v>0</v>
      </c>
      <c r="AH103" s="427">
        <v>0</v>
      </c>
      <c r="AI103" s="427">
        <v>0</v>
      </c>
      <c r="AJ103" s="427">
        <v>0</v>
      </c>
      <c r="AK103" s="427">
        <v>0</v>
      </c>
      <c r="AL103" s="427">
        <v>0</v>
      </c>
      <c r="AM103" s="427">
        <v>0</v>
      </c>
      <c r="AN103" s="427">
        <v>0</v>
      </c>
      <c r="AO103" s="427">
        <v>0</v>
      </c>
      <c r="AP103" s="427">
        <v>0</v>
      </c>
      <c r="AQ103" s="427">
        <v>0</v>
      </c>
      <c r="AR103" s="427">
        <v>0</v>
      </c>
      <c r="AS103" s="427">
        <v>0</v>
      </c>
      <c r="AT103" s="427">
        <v>0</v>
      </c>
      <c r="AU103" s="427">
        <v>0</v>
      </c>
      <c r="AV103" s="427">
        <v>0</v>
      </c>
      <c r="AW103" s="427">
        <v>0</v>
      </c>
      <c r="AX103" s="427">
        <v>0</v>
      </c>
      <c r="AY103" s="427">
        <v>0</v>
      </c>
      <c r="AZ103" s="427">
        <v>0</v>
      </c>
      <c r="BA103" s="427">
        <v>0</v>
      </c>
      <c r="BB103" s="427">
        <v>0</v>
      </c>
      <c r="BC103" s="427">
        <v>0</v>
      </c>
      <c r="BD103" s="427">
        <v>0</v>
      </c>
      <c r="BE103" s="427">
        <v>0</v>
      </c>
      <c r="BF103" s="427">
        <v>83.381</v>
      </c>
      <c r="BG103" s="427">
        <v>0</v>
      </c>
      <c r="BH103" s="427">
        <v>0</v>
      </c>
      <c r="BI103" s="427">
        <v>0</v>
      </c>
      <c r="BJ103" s="427">
        <v>406.42500000000001</v>
      </c>
      <c r="BK103" s="427">
        <v>406.42500000000001</v>
      </c>
      <c r="BL103" s="427">
        <v>93.031999999999996</v>
      </c>
      <c r="BM103" s="427">
        <v>162.99799999999999</v>
      </c>
      <c r="BN103" s="427">
        <v>197.548</v>
      </c>
      <c r="BO103" s="427">
        <v>249.84800000000001</v>
      </c>
      <c r="BP103" s="427">
        <v>249.84800000000001</v>
      </c>
      <c r="BQ103" s="427">
        <v>318.16899999999998</v>
      </c>
      <c r="BR103" s="427">
        <v>313.93299999999999</v>
      </c>
      <c r="BS103" s="427">
        <v>936.90499999999997</v>
      </c>
      <c r="BT103" s="427">
        <v>312.00900000000001</v>
      </c>
      <c r="BU103" s="427">
        <v>312.00900000000001</v>
      </c>
      <c r="BV103" s="427">
        <v>325.93200000000002</v>
      </c>
      <c r="BW103" s="427">
        <v>325.93099999999998</v>
      </c>
      <c r="BX103" s="427">
        <v>265.13099999999997</v>
      </c>
      <c r="BY103" s="427">
        <v>0</v>
      </c>
      <c r="BZ103" s="427">
        <v>0</v>
      </c>
      <c r="CC103" s="21"/>
      <c r="CD103" s="426" t="s">
        <v>46</v>
      </c>
      <c r="CE103" s="433">
        <f t="shared" si="15"/>
        <v>0</v>
      </c>
      <c r="CF103" s="433">
        <f t="shared" si="16"/>
        <v>0</v>
      </c>
      <c r="CG103" s="433">
        <f t="shared" si="17"/>
        <v>0</v>
      </c>
      <c r="CH103" s="433">
        <f t="shared" si="18"/>
        <v>0</v>
      </c>
      <c r="CI103" s="433">
        <f t="shared" si="19"/>
        <v>0</v>
      </c>
      <c r="CJ103" s="433">
        <f t="shared" si="20"/>
        <v>0</v>
      </c>
      <c r="CK103" s="433">
        <f t="shared" si="21"/>
        <v>0</v>
      </c>
      <c r="CL103" s="433">
        <f t="shared" si="22"/>
        <v>0</v>
      </c>
      <c r="CM103" s="433">
        <f t="shared" si="23"/>
        <v>0</v>
      </c>
      <c r="CN103" s="433">
        <f t="shared" si="24"/>
        <v>0</v>
      </c>
      <c r="CO103" s="433">
        <f t="shared" si="25"/>
        <v>83.381</v>
      </c>
      <c r="CP103" s="433">
        <f t="shared" si="26"/>
        <v>406.42500000000001</v>
      </c>
      <c r="CQ103" s="433">
        <f t="shared" si="27"/>
        <v>249.84800000000001</v>
      </c>
      <c r="CR103" s="433">
        <f t="shared" si="28"/>
        <v>312.00900000000001</v>
      </c>
      <c r="CS103" s="433">
        <f t="shared" si="29"/>
        <v>0</v>
      </c>
      <c r="CT103" s="21"/>
    </row>
    <row r="104" spans="3:98" ht="24.75" hidden="1" customHeight="1" outlineLevel="1">
      <c r="C104" s="426" t="s">
        <v>47</v>
      </c>
      <c r="D104" s="427">
        <v>0</v>
      </c>
      <c r="E104" s="427">
        <v>0</v>
      </c>
      <c r="F104" s="427">
        <v>0</v>
      </c>
      <c r="G104" s="427">
        <v>0</v>
      </c>
      <c r="H104" s="427">
        <v>0</v>
      </c>
      <c r="I104" s="427">
        <v>0</v>
      </c>
      <c r="J104" s="427">
        <v>0</v>
      </c>
      <c r="K104" s="427">
        <v>0</v>
      </c>
      <c r="L104" s="427">
        <v>0</v>
      </c>
      <c r="M104" s="427">
        <v>0</v>
      </c>
      <c r="N104" s="427">
        <v>0</v>
      </c>
      <c r="O104" s="427">
        <v>0</v>
      </c>
      <c r="P104" s="427">
        <v>0</v>
      </c>
      <c r="Q104" s="427">
        <v>0</v>
      </c>
      <c r="R104" s="427">
        <v>0</v>
      </c>
      <c r="S104" s="427">
        <v>0</v>
      </c>
      <c r="T104" s="427">
        <v>0</v>
      </c>
      <c r="U104" s="427">
        <v>0</v>
      </c>
      <c r="V104" s="427">
        <v>0</v>
      </c>
      <c r="W104" s="427">
        <v>0</v>
      </c>
      <c r="X104" s="427">
        <v>0</v>
      </c>
      <c r="Y104" s="427">
        <v>0</v>
      </c>
      <c r="Z104" s="427">
        <v>0</v>
      </c>
      <c r="AA104" s="427">
        <v>0</v>
      </c>
      <c r="AB104" s="427">
        <v>0</v>
      </c>
      <c r="AC104" s="427">
        <v>0</v>
      </c>
      <c r="AD104" s="427">
        <v>0</v>
      </c>
      <c r="AE104" s="427">
        <v>0</v>
      </c>
      <c r="AF104" s="427">
        <v>0</v>
      </c>
      <c r="AG104" s="427">
        <v>0</v>
      </c>
      <c r="AH104" s="427">
        <v>0</v>
      </c>
      <c r="AI104" s="427">
        <v>0</v>
      </c>
      <c r="AJ104" s="427">
        <v>0</v>
      </c>
      <c r="AK104" s="427">
        <v>0</v>
      </c>
      <c r="AL104" s="427">
        <v>0</v>
      </c>
      <c r="AM104" s="427">
        <v>0</v>
      </c>
      <c r="AN104" s="427">
        <v>0</v>
      </c>
      <c r="AO104" s="427">
        <v>0</v>
      </c>
      <c r="AP104" s="427">
        <v>0</v>
      </c>
      <c r="AQ104" s="427">
        <v>0</v>
      </c>
      <c r="AR104" s="427">
        <v>0</v>
      </c>
      <c r="AS104" s="427">
        <v>0</v>
      </c>
      <c r="AT104" s="427">
        <v>0</v>
      </c>
      <c r="AU104" s="427">
        <v>0</v>
      </c>
      <c r="AV104" s="427">
        <v>0</v>
      </c>
      <c r="AW104" s="427">
        <v>0</v>
      </c>
      <c r="AX104" s="427">
        <v>0</v>
      </c>
      <c r="AY104" s="427">
        <v>0</v>
      </c>
      <c r="AZ104" s="427">
        <v>0</v>
      </c>
      <c r="BA104" s="427">
        <v>0</v>
      </c>
      <c r="BB104" s="427">
        <v>0</v>
      </c>
      <c r="BC104" s="427">
        <v>0</v>
      </c>
      <c r="BD104" s="427">
        <v>0</v>
      </c>
      <c r="BE104" s="427">
        <v>0</v>
      </c>
      <c r="BF104" s="427">
        <v>54.695999999999998</v>
      </c>
      <c r="BG104" s="427">
        <v>0</v>
      </c>
      <c r="BH104" s="427">
        <v>0</v>
      </c>
      <c r="BI104" s="427">
        <v>0</v>
      </c>
      <c r="BJ104" s="427">
        <v>77.212000000000003</v>
      </c>
      <c r="BK104" s="427">
        <v>77.212000000000003</v>
      </c>
      <c r="BL104" s="427">
        <v>481.37900000000002</v>
      </c>
      <c r="BM104" s="427">
        <v>501.25900000000001</v>
      </c>
      <c r="BN104" s="427">
        <v>567.41999999999996</v>
      </c>
      <c r="BO104" s="427">
        <v>625.75800000000004</v>
      </c>
      <c r="BP104" s="427">
        <v>625.75800000000004</v>
      </c>
      <c r="BQ104" s="427">
        <v>1080.1759999999999</v>
      </c>
      <c r="BR104" s="427">
        <v>1073.9059999999999</v>
      </c>
      <c r="BS104" s="427">
        <v>1073.9059999999999</v>
      </c>
      <c r="BT104" s="427">
        <v>1073.9059999999999</v>
      </c>
      <c r="BU104" s="427">
        <v>1073.9059999999999</v>
      </c>
      <c r="BV104" s="427">
        <v>1139.67</v>
      </c>
      <c r="BW104" s="427">
        <v>1139.67</v>
      </c>
      <c r="BX104" s="427">
        <v>1139.67</v>
      </c>
      <c r="BY104" s="427">
        <v>0</v>
      </c>
      <c r="BZ104" s="427">
        <v>0</v>
      </c>
      <c r="CC104" s="21"/>
      <c r="CD104" s="426" t="s">
        <v>47</v>
      </c>
      <c r="CE104" s="433">
        <f t="shared" si="15"/>
        <v>0</v>
      </c>
      <c r="CF104" s="433">
        <f t="shared" si="16"/>
        <v>0</v>
      </c>
      <c r="CG104" s="433">
        <f t="shared" si="17"/>
        <v>0</v>
      </c>
      <c r="CH104" s="433">
        <f t="shared" si="18"/>
        <v>0</v>
      </c>
      <c r="CI104" s="433">
        <f t="shared" si="19"/>
        <v>0</v>
      </c>
      <c r="CJ104" s="433">
        <f t="shared" si="20"/>
        <v>0</v>
      </c>
      <c r="CK104" s="433">
        <f t="shared" si="21"/>
        <v>0</v>
      </c>
      <c r="CL104" s="433">
        <f t="shared" si="22"/>
        <v>0</v>
      </c>
      <c r="CM104" s="433">
        <f t="shared" si="23"/>
        <v>0</v>
      </c>
      <c r="CN104" s="433">
        <f t="shared" si="24"/>
        <v>0</v>
      </c>
      <c r="CO104" s="433">
        <f t="shared" si="25"/>
        <v>54.695999999999998</v>
      </c>
      <c r="CP104" s="433">
        <f t="shared" si="26"/>
        <v>77.212000000000003</v>
      </c>
      <c r="CQ104" s="433">
        <f t="shared" si="27"/>
        <v>625.75800000000004</v>
      </c>
      <c r="CR104" s="433">
        <f t="shared" si="28"/>
        <v>1073.9059999999999</v>
      </c>
      <c r="CS104" s="433">
        <f t="shared" si="29"/>
        <v>0</v>
      </c>
      <c r="CT104" s="21"/>
    </row>
    <row r="105" spans="3:98" ht="24.75" hidden="1" customHeight="1" outlineLevel="1" collapsed="1">
      <c r="C105" s="424" t="s">
        <v>224</v>
      </c>
      <c r="D105" s="427">
        <v>0</v>
      </c>
      <c r="E105" s="427">
        <v>0</v>
      </c>
      <c r="F105" s="427">
        <v>0</v>
      </c>
      <c r="G105" s="427">
        <v>0</v>
      </c>
      <c r="H105" s="427">
        <v>0</v>
      </c>
      <c r="I105" s="427">
        <v>0</v>
      </c>
      <c r="J105" s="427">
        <v>0</v>
      </c>
      <c r="K105" s="427">
        <v>0</v>
      </c>
      <c r="L105" s="427">
        <v>0</v>
      </c>
      <c r="M105" s="427">
        <v>0</v>
      </c>
      <c r="N105" s="427">
        <v>0</v>
      </c>
      <c r="O105" s="427">
        <v>0</v>
      </c>
      <c r="P105" s="427">
        <v>0</v>
      </c>
      <c r="Q105" s="427">
        <v>0</v>
      </c>
      <c r="R105" s="427">
        <v>0</v>
      </c>
      <c r="S105" s="427">
        <v>0</v>
      </c>
      <c r="T105" s="427">
        <v>0</v>
      </c>
      <c r="U105" s="427">
        <v>0</v>
      </c>
      <c r="V105" s="427">
        <v>0</v>
      </c>
      <c r="W105" s="427">
        <v>0</v>
      </c>
      <c r="X105" s="427">
        <v>0</v>
      </c>
      <c r="Y105" s="427">
        <v>0</v>
      </c>
      <c r="Z105" s="427">
        <v>0</v>
      </c>
      <c r="AA105" s="427">
        <v>0</v>
      </c>
      <c r="AB105" s="427">
        <v>0</v>
      </c>
      <c r="AC105" s="427">
        <v>0</v>
      </c>
      <c r="AD105" s="427">
        <v>0</v>
      </c>
      <c r="AE105" s="427">
        <v>0</v>
      </c>
      <c r="AF105" s="427">
        <v>0</v>
      </c>
      <c r="AG105" s="427">
        <v>0</v>
      </c>
      <c r="AH105" s="427">
        <v>0</v>
      </c>
      <c r="AI105" s="427">
        <v>0</v>
      </c>
      <c r="AJ105" s="427">
        <v>0</v>
      </c>
      <c r="AK105" s="427">
        <v>0</v>
      </c>
      <c r="AL105" s="427">
        <v>0</v>
      </c>
      <c r="AM105" s="427">
        <v>0</v>
      </c>
      <c r="AN105" s="427">
        <v>0</v>
      </c>
      <c r="AO105" s="427">
        <v>0</v>
      </c>
      <c r="AP105" s="427">
        <v>0</v>
      </c>
      <c r="AQ105" s="427">
        <v>0</v>
      </c>
      <c r="AR105" s="427">
        <v>0</v>
      </c>
      <c r="AS105" s="427">
        <v>0</v>
      </c>
      <c r="AT105" s="427">
        <v>0</v>
      </c>
      <c r="AU105" s="427">
        <v>0</v>
      </c>
      <c r="AV105" s="427">
        <v>0</v>
      </c>
      <c r="AW105" s="427">
        <v>0</v>
      </c>
      <c r="AX105" s="427">
        <v>0</v>
      </c>
      <c r="AY105" s="427">
        <v>0</v>
      </c>
      <c r="AZ105" s="427">
        <v>0</v>
      </c>
      <c r="BA105" s="427">
        <v>0</v>
      </c>
      <c r="BB105" s="427">
        <v>0</v>
      </c>
      <c r="BC105" s="427">
        <v>0</v>
      </c>
      <c r="BD105" s="427">
        <v>0</v>
      </c>
      <c r="BE105" s="427">
        <v>0</v>
      </c>
      <c r="BF105" s="427">
        <v>138.077</v>
      </c>
      <c r="BG105" s="427">
        <v>0</v>
      </c>
      <c r="BH105" s="427">
        <v>0</v>
      </c>
      <c r="BI105" s="427">
        <v>0</v>
      </c>
      <c r="BJ105" s="427">
        <v>483.637</v>
      </c>
      <c r="BK105" s="427">
        <v>483.637</v>
      </c>
      <c r="BL105" s="427">
        <v>574.41099999999994</v>
      </c>
      <c r="BM105" s="427">
        <v>664.25699999999995</v>
      </c>
      <c r="BN105" s="427">
        <v>764.96799999999996</v>
      </c>
      <c r="BO105" s="427">
        <v>875.60599999999999</v>
      </c>
      <c r="BP105" s="427">
        <v>875.60599999999999</v>
      </c>
      <c r="BQ105" s="427">
        <v>1398.345</v>
      </c>
      <c r="BR105" s="427">
        <v>1387.8389999999999</v>
      </c>
      <c r="BS105" s="427">
        <v>2010.8109999999999</v>
      </c>
      <c r="BT105" s="427">
        <v>1385.915</v>
      </c>
      <c r="BU105" s="427">
        <v>1385.915</v>
      </c>
      <c r="BV105" s="427">
        <v>1465.6020000000001</v>
      </c>
      <c r="BW105" s="427">
        <v>1465.6010000000001</v>
      </c>
      <c r="BX105" s="427">
        <v>1404.8009999999999</v>
      </c>
      <c r="BY105" s="427">
        <v>0</v>
      </c>
      <c r="BZ105" s="427">
        <v>0</v>
      </c>
      <c r="CC105" s="21"/>
      <c r="CD105" s="424" t="s">
        <v>224</v>
      </c>
      <c r="CE105" s="433">
        <f t="shared" si="15"/>
        <v>0</v>
      </c>
      <c r="CF105" s="433">
        <f t="shared" si="16"/>
        <v>0</v>
      </c>
      <c r="CG105" s="433">
        <f t="shared" si="17"/>
        <v>0</v>
      </c>
      <c r="CH105" s="433">
        <f t="shared" si="18"/>
        <v>0</v>
      </c>
      <c r="CI105" s="433">
        <f t="shared" si="19"/>
        <v>0</v>
      </c>
      <c r="CJ105" s="433">
        <f t="shared" si="20"/>
        <v>0</v>
      </c>
      <c r="CK105" s="433">
        <f t="shared" si="21"/>
        <v>0</v>
      </c>
      <c r="CL105" s="433">
        <f t="shared" si="22"/>
        <v>0</v>
      </c>
      <c r="CM105" s="433">
        <f t="shared" si="23"/>
        <v>0</v>
      </c>
      <c r="CN105" s="433">
        <f t="shared" si="24"/>
        <v>0</v>
      </c>
      <c r="CO105" s="433">
        <f t="shared" si="25"/>
        <v>138.077</v>
      </c>
      <c r="CP105" s="433">
        <f t="shared" si="26"/>
        <v>483.637</v>
      </c>
      <c r="CQ105" s="433">
        <f t="shared" si="27"/>
        <v>875.60599999999999</v>
      </c>
      <c r="CR105" s="433">
        <f t="shared" si="28"/>
        <v>1385.915</v>
      </c>
      <c r="CS105" s="433">
        <f t="shared" si="29"/>
        <v>0</v>
      </c>
      <c r="CT105" s="21"/>
    </row>
    <row r="106" spans="3:98" ht="24.75" hidden="1" customHeight="1" outlineLevel="3">
      <c r="C106" s="438" t="s">
        <v>235</v>
      </c>
      <c r="D106" s="427">
        <v>0</v>
      </c>
      <c r="E106" s="427">
        <v>0</v>
      </c>
      <c r="F106" s="427">
        <v>0</v>
      </c>
      <c r="G106" s="427">
        <v>0</v>
      </c>
      <c r="H106" s="427">
        <v>0</v>
      </c>
      <c r="I106" s="427">
        <v>0</v>
      </c>
      <c r="J106" s="427">
        <v>0</v>
      </c>
      <c r="K106" s="427">
        <v>0</v>
      </c>
      <c r="L106" s="427">
        <v>0</v>
      </c>
      <c r="M106" s="427">
        <v>0</v>
      </c>
      <c r="N106" s="427">
        <v>0</v>
      </c>
      <c r="O106" s="427">
        <v>0</v>
      </c>
      <c r="P106" s="427">
        <v>0</v>
      </c>
      <c r="Q106" s="427">
        <v>0</v>
      </c>
      <c r="R106" s="427">
        <v>0</v>
      </c>
      <c r="S106" s="427">
        <v>0</v>
      </c>
      <c r="T106" s="427">
        <v>0</v>
      </c>
      <c r="U106" s="427">
        <v>0</v>
      </c>
      <c r="V106" s="427">
        <v>0</v>
      </c>
      <c r="W106" s="427">
        <v>0</v>
      </c>
      <c r="X106" s="427">
        <v>0</v>
      </c>
      <c r="Y106" s="427">
        <v>0</v>
      </c>
      <c r="Z106" s="427">
        <v>0</v>
      </c>
      <c r="AA106" s="427">
        <v>0</v>
      </c>
      <c r="AB106" s="427">
        <v>0</v>
      </c>
      <c r="AC106" s="427">
        <v>0</v>
      </c>
      <c r="AD106" s="427">
        <v>0</v>
      </c>
      <c r="AE106" s="427">
        <v>0</v>
      </c>
      <c r="AF106" s="427">
        <v>0</v>
      </c>
      <c r="AG106" s="427">
        <v>0</v>
      </c>
      <c r="AH106" s="427">
        <v>0</v>
      </c>
      <c r="AI106" s="427">
        <v>0</v>
      </c>
      <c r="AJ106" s="427">
        <v>0</v>
      </c>
      <c r="AK106" s="427">
        <v>0</v>
      </c>
      <c r="AL106" s="427">
        <v>0</v>
      </c>
      <c r="AM106" s="427">
        <v>0</v>
      </c>
      <c r="AN106" s="427">
        <v>0</v>
      </c>
      <c r="AO106" s="427">
        <v>0</v>
      </c>
      <c r="AP106" s="427">
        <v>0</v>
      </c>
      <c r="AQ106" s="427">
        <v>0</v>
      </c>
      <c r="AR106" s="427">
        <v>0</v>
      </c>
      <c r="AS106" s="427">
        <v>0</v>
      </c>
      <c r="AT106" s="427">
        <v>0</v>
      </c>
      <c r="AU106" s="427">
        <v>0</v>
      </c>
      <c r="AV106" s="427">
        <v>0</v>
      </c>
      <c r="AW106" s="427">
        <v>0</v>
      </c>
      <c r="AX106" s="427">
        <v>0</v>
      </c>
      <c r="AY106" s="427">
        <v>0</v>
      </c>
      <c r="AZ106" s="427">
        <v>0</v>
      </c>
      <c r="BA106" s="427">
        <v>0</v>
      </c>
      <c r="BB106" s="427">
        <v>0</v>
      </c>
      <c r="BC106" s="427">
        <v>0</v>
      </c>
      <c r="BD106" s="427">
        <v>0</v>
      </c>
      <c r="BE106" s="427">
        <v>0</v>
      </c>
      <c r="BF106" s="427">
        <v>-2.5999999999999999E-2</v>
      </c>
      <c r="BG106" s="427">
        <v>0</v>
      </c>
      <c r="BH106" s="427">
        <v>0</v>
      </c>
      <c r="BI106" s="427">
        <v>0</v>
      </c>
      <c r="BJ106" s="427">
        <v>-0.03</v>
      </c>
      <c r="BK106" s="427">
        <v>-0.03</v>
      </c>
      <c r="BL106" s="427">
        <v>0</v>
      </c>
      <c r="BM106" s="427">
        <v>0</v>
      </c>
      <c r="BN106" s="427">
        <v>0</v>
      </c>
      <c r="BO106" s="427">
        <v>0</v>
      </c>
      <c r="BP106" s="427">
        <v>0</v>
      </c>
      <c r="BQ106" s="427">
        <v>0</v>
      </c>
      <c r="BR106" s="427">
        <v>0</v>
      </c>
      <c r="BS106" s="427">
        <v>0</v>
      </c>
      <c r="BT106" s="427">
        <v>0</v>
      </c>
      <c r="BU106" s="427">
        <v>0</v>
      </c>
      <c r="BV106" s="427">
        <v>0</v>
      </c>
      <c r="BW106" s="427">
        <v>0</v>
      </c>
      <c r="BX106" s="427">
        <v>0</v>
      </c>
      <c r="BY106" s="427">
        <v>0</v>
      </c>
      <c r="BZ106" s="427">
        <v>0</v>
      </c>
      <c r="CC106" s="21"/>
      <c r="CD106" s="438" t="s">
        <v>235</v>
      </c>
      <c r="CE106" s="433">
        <f t="shared" si="15"/>
        <v>0</v>
      </c>
      <c r="CF106" s="433">
        <f t="shared" si="16"/>
        <v>0</v>
      </c>
      <c r="CG106" s="433">
        <f t="shared" si="17"/>
        <v>0</v>
      </c>
      <c r="CH106" s="433">
        <f t="shared" si="18"/>
        <v>0</v>
      </c>
      <c r="CI106" s="433">
        <f t="shared" si="19"/>
        <v>0</v>
      </c>
      <c r="CJ106" s="433">
        <f t="shared" si="20"/>
        <v>0</v>
      </c>
      <c r="CK106" s="433">
        <f t="shared" si="21"/>
        <v>0</v>
      </c>
      <c r="CL106" s="433">
        <f t="shared" si="22"/>
        <v>0</v>
      </c>
      <c r="CM106" s="433">
        <f t="shared" si="23"/>
        <v>0</v>
      </c>
      <c r="CN106" s="433">
        <f t="shared" si="24"/>
        <v>0</v>
      </c>
      <c r="CO106" s="433">
        <f t="shared" si="25"/>
        <v>-2.5999999999999999E-2</v>
      </c>
      <c r="CP106" s="433">
        <f t="shared" si="26"/>
        <v>-0.03</v>
      </c>
      <c r="CQ106" s="433">
        <f t="shared" si="27"/>
        <v>0</v>
      </c>
      <c r="CR106" s="433">
        <f t="shared" si="28"/>
        <v>0</v>
      </c>
      <c r="CS106" s="433">
        <f t="shared" si="29"/>
        <v>0</v>
      </c>
      <c r="CT106" s="21"/>
    </row>
    <row r="107" spans="3:98" ht="24.75" hidden="1" customHeight="1" outlineLevel="3">
      <c r="C107" s="438" t="s">
        <v>236</v>
      </c>
      <c r="D107" s="427">
        <v>0</v>
      </c>
      <c r="E107" s="427">
        <v>0</v>
      </c>
      <c r="F107" s="427">
        <v>0</v>
      </c>
      <c r="G107" s="427">
        <v>0</v>
      </c>
      <c r="H107" s="427">
        <v>0</v>
      </c>
      <c r="I107" s="427">
        <v>0</v>
      </c>
      <c r="J107" s="427">
        <v>0</v>
      </c>
      <c r="K107" s="427">
        <v>0</v>
      </c>
      <c r="L107" s="427">
        <v>0</v>
      </c>
      <c r="M107" s="427">
        <v>0</v>
      </c>
      <c r="N107" s="427">
        <v>0</v>
      </c>
      <c r="O107" s="427">
        <v>0</v>
      </c>
      <c r="P107" s="427">
        <v>0</v>
      </c>
      <c r="Q107" s="427">
        <v>0</v>
      </c>
      <c r="R107" s="427">
        <v>0</v>
      </c>
      <c r="S107" s="427">
        <v>0</v>
      </c>
      <c r="T107" s="427">
        <v>0</v>
      </c>
      <c r="U107" s="427">
        <v>0</v>
      </c>
      <c r="V107" s="427">
        <v>0</v>
      </c>
      <c r="W107" s="427">
        <v>0</v>
      </c>
      <c r="X107" s="427">
        <v>0</v>
      </c>
      <c r="Y107" s="427">
        <v>0</v>
      </c>
      <c r="Z107" s="427">
        <v>0</v>
      </c>
      <c r="AA107" s="427">
        <v>0</v>
      </c>
      <c r="AB107" s="427">
        <v>0</v>
      </c>
      <c r="AC107" s="427">
        <v>0</v>
      </c>
      <c r="AD107" s="427">
        <v>0</v>
      </c>
      <c r="AE107" s="427">
        <v>0</v>
      </c>
      <c r="AF107" s="427">
        <v>0</v>
      </c>
      <c r="AG107" s="427">
        <v>0</v>
      </c>
      <c r="AH107" s="427">
        <v>0</v>
      </c>
      <c r="AI107" s="427">
        <v>0</v>
      </c>
      <c r="AJ107" s="427">
        <v>0</v>
      </c>
      <c r="AK107" s="427">
        <v>0</v>
      </c>
      <c r="AL107" s="427">
        <v>0</v>
      </c>
      <c r="AM107" s="427">
        <v>0</v>
      </c>
      <c r="AN107" s="427">
        <v>0</v>
      </c>
      <c r="AO107" s="427">
        <v>0</v>
      </c>
      <c r="AP107" s="427">
        <v>0</v>
      </c>
      <c r="AQ107" s="427">
        <v>0</v>
      </c>
      <c r="AR107" s="427">
        <v>0</v>
      </c>
      <c r="AS107" s="427">
        <v>0</v>
      </c>
      <c r="AT107" s="427">
        <v>0</v>
      </c>
      <c r="AU107" s="427">
        <v>0</v>
      </c>
      <c r="AV107" s="427">
        <v>0</v>
      </c>
      <c r="AW107" s="427">
        <v>0</v>
      </c>
      <c r="AX107" s="427">
        <v>0</v>
      </c>
      <c r="AY107" s="427">
        <v>0</v>
      </c>
      <c r="AZ107" s="427">
        <v>0</v>
      </c>
      <c r="BA107" s="427">
        <v>0</v>
      </c>
      <c r="BB107" s="427">
        <v>0</v>
      </c>
      <c r="BC107" s="427">
        <v>0</v>
      </c>
      <c r="BD107" s="427">
        <v>0</v>
      </c>
      <c r="BE107" s="427">
        <v>0</v>
      </c>
      <c r="BF107" s="427">
        <v>-7.9589999999999996</v>
      </c>
      <c r="BG107" s="427">
        <v>0</v>
      </c>
      <c r="BH107" s="427">
        <v>0</v>
      </c>
      <c r="BI107" s="427">
        <v>0</v>
      </c>
      <c r="BJ107" s="427">
        <v>-13.023999999999999</v>
      </c>
      <c r="BK107" s="427">
        <v>-13.023999999999999</v>
      </c>
      <c r="BL107" s="427">
        <v>0</v>
      </c>
      <c r="BM107" s="427">
        <v>-20.158000000000001</v>
      </c>
      <c r="BN107" s="427">
        <v>-26.087</v>
      </c>
      <c r="BO107" s="427">
        <v>-34.865000000000002</v>
      </c>
      <c r="BP107" s="427">
        <v>-34.865000000000002</v>
      </c>
      <c r="BQ107" s="427">
        <v>-46.128</v>
      </c>
      <c r="BR107" s="427">
        <v>-57.805</v>
      </c>
      <c r="BS107" s="427">
        <v>-71.147000000000006</v>
      </c>
      <c r="BT107" s="427">
        <v>-81.171999999999997</v>
      </c>
      <c r="BU107" s="427">
        <v>-81.171999999999997</v>
      </c>
      <c r="BV107" s="427">
        <v>-86.274000000000001</v>
      </c>
      <c r="BW107" s="427">
        <v>-95.042000000000002</v>
      </c>
      <c r="BX107" s="427">
        <v>-102.348</v>
      </c>
      <c r="BY107" s="427">
        <v>0</v>
      </c>
      <c r="BZ107" s="427">
        <v>0</v>
      </c>
      <c r="CC107" s="21"/>
      <c r="CD107" s="438" t="s">
        <v>236</v>
      </c>
      <c r="CE107" s="433">
        <f t="shared" si="15"/>
        <v>0</v>
      </c>
      <c r="CF107" s="433">
        <f t="shared" si="16"/>
        <v>0</v>
      </c>
      <c r="CG107" s="433">
        <f t="shared" si="17"/>
        <v>0</v>
      </c>
      <c r="CH107" s="433">
        <f t="shared" si="18"/>
        <v>0</v>
      </c>
      <c r="CI107" s="433">
        <f t="shared" si="19"/>
        <v>0</v>
      </c>
      <c r="CJ107" s="433">
        <f t="shared" si="20"/>
        <v>0</v>
      </c>
      <c r="CK107" s="433">
        <f t="shared" si="21"/>
        <v>0</v>
      </c>
      <c r="CL107" s="433">
        <f t="shared" si="22"/>
        <v>0</v>
      </c>
      <c r="CM107" s="433">
        <f t="shared" si="23"/>
        <v>0</v>
      </c>
      <c r="CN107" s="433">
        <f t="shared" si="24"/>
        <v>0</v>
      </c>
      <c r="CO107" s="433">
        <f t="shared" si="25"/>
        <v>-7.9589999999999996</v>
      </c>
      <c r="CP107" s="433">
        <f t="shared" si="26"/>
        <v>-13.023999999999999</v>
      </c>
      <c r="CQ107" s="433">
        <f t="shared" si="27"/>
        <v>-34.865000000000002</v>
      </c>
      <c r="CR107" s="433">
        <f t="shared" si="28"/>
        <v>-81.171999999999997</v>
      </c>
      <c r="CS107" s="433">
        <f t="shared" si="29"/>
        <v>0</v>
      </c>
      <c r="CT107" s="21"/>
    </row>
    <row r="108" spans="3:98" ht="24.75" hidden="1" customHeight="1" outlineLevel="3" collapsed="1">
      <c r="C108" s="438" t="s">
        <v>237</v>
      </c>
      <c r="D108" s="427">
        <v>0</v>
      </c>
      <c r="E108" s="427">
        <v>0</v>
      </c>
      <c r="F108" s="427">
        <v>0</v>
      </c>
      <c r="G108" s="427">
        <v>0</v>
      </c>
      <c r="H108" s="427">
        <v>0</v>
      </c>
      <c r="I108" s="427">
        <v>0</v>
      </c>
      <c r="J108" s="427">
        <v>0</v>
      </c>
      <c r="K108" s="427">
        <v>0</v>
      </c>
      <c r="L108" s="427">
        <v>0</v>
      </c>
      <c r="M108" s="427">
        <v>0</v>
      </c>
      <c r="N108" s="427">
        <v>0</v>
      </c>
      <c r="O108" s="427">
        <v>0</v>
      </c>
      <c r="P108" s="427">
        <v>0</v>
      </c>
      <c r="Q108" s="427">
        <v>0</v>
      </c>
      <c r="R108" s="427">
        <v>0</v>
      </c>
      <c r="S108" s="427">
        <v>0</v>
      </c>
      <c r="T108" s="427">
        <v>0</v>
      </c>
      <c r="U108" s="427">
        <v>0</v>
      </c>
      <c r="V108" s="427">
        <v>0</v>
      </c>
      <c r="W108" s="427">
        <v>0</v>
      </c>
      <c r="X108" s="427">
        <v>0</v>
      </c>
      <c r="Y108" s="427">
        <v>0</v>
      </c>
      <c r="Z108" s="427">
        <v>0</v>
      </c>
      <c r="AA108" s="427">
        <v>0</v>
      </c>
      <c r="AB108" s="427">
        <v>0</v>
      </c>
      <c r="AC108" s="427">
        <v>0</v>
      </c>
      <c r="AD108" s="427">
        <v>0</v>
      </c>
      <c r="AE108" s="427">
        <v>0</v>
      </c>
      <c r="AF108" s="427">
        <v>0</v>
      </c>
      <c r="AG108" s="427">
        <v>0</v>
      </c>
      <c r="AH108" s="427">
        <v>0</v>
      </c>
      <c r="AI108" s="427">
        <v>0</v>
      </c>
      <c r="AJ108" s="427">
        <v>0</v>
      </c>
      <c r="AK108" s="427">
        <v>0</v>
      </c>
      <c r="AL108" s="427">
        <v>0</v>
      </c>
      <c r="AM108" s="427">
        <v>0</v>
      </c>
      <c r="AN108" s="427">
        <v>0</v>
      </c>
      <c r="AO108" s="427">
        <v>0</v>
      </c>
      <c r="AP108" s="427">
        <v>0</v>
      </c>
      <c r="AQ108" s="427">
        <v>0</v>
      </c>
      <c r="AR108" s="427">
        <v>0</v>
      </c>
      <c r="AS108" s="427">
        <v>0</v>
      </c>
      <c r="AT108" s="427">
        <v>0</v>
      </c>
      <c r="AU108" s="427">
        <v>0</v>
      </c>
      <c r="AV108" s="427">
        <v>0</v>
      </c>
      <c r="AW108" s="427">
        <v>0</v>
      </c>
      <c r="AX108" s="427">
        <v>0</v>
      </c>
      <c r="AY108" s="427">
        <v>0</v>
      </c>
      <c r="AZ108" s="427">
        <v>0</v>
      </c>
      <c r="BA108" s="427">
        <v>0</v>
      </c>
      <c r="BB108" s="427">
        <v>0</v>
      </c>
      <c r="BC108" s="427">
        <v>0</v>
      </c>
      <c r="BD108" s="427">
        <v>0</v>
      </c>
      <c r="BE108" s="427">
        <v>0</v>
      </c>
      <c r="BF108" s="427">
        <v>0</v>
      </c>
      <c r="BG108" s="427">
        <v>0</v>
      </c>
      <c r="BH108" s="427">
        <v>0</v>
      </c>
      <c r="BI108" s="427">
        <v>0</v>
      </c>
      <c r="BJ108" s="427">
        <v>0</v>
      </c>
      <c r="BK108" s="427">
        <v>0</v>
      </c>
      <c r="BL108" s="427">
        <v>0</v>
      </c>
      <c r="BM108" s="427">
        <v>0</v>
      </c>
      <c r="BN108" s="427">
        <v>0</v>
      </c>
      <c r="BO108" s="427">
        <v>0</v>
      </c>
      <c r="BP108" s="427">
        <v>0</v>
      </c>
      <c r="BQ108" s="427">
        <v>0</v>
      </c>
      <c r="BR108" s="427">
        <v>0</v>
      </c>
      <c r="BS108" s="427">
        <v>0</v>
      </c>
      <c r="BT108" s="427">
        <v>0</v>
      </c>
      <c r="BU108" s="427">
        <v>0</v>
      </c>
      <c r="BV108" s="427">
        <v>0</v>
      </c>
      <c r="BW108" s="427">
        <v>0</v>
      </c>
      <c r="BX108" s="427">
        <v>0</v>
      </c>
      <c r="BY108" s="427">
        <v>0</v>
      </c>
      <c r="BZ108" s="427">
        <v>0</v>
      </c>
      <c r="CC108" s="21"/>
      <c r="CD108" s="438" t="s">
        <v>237</v>
      </c>
      <c r="CE108" s="433">
        <f t="shared" si="15"/>
        <v>0</v>
      </c>
      <c r="CF108" s="433">
        <f t="shared" si="16"/>
        <v>0</v>
      </c>
      <c r="CG108" s="433">
        <f t="shared" si="17"/>
        <v>0</v>
      </c>
      <c r="CH108" s="433">
        <f t="shared" si="18"/>
        <v>0</v>
      </c>
      <c r="CI108" s="433">
        <f t="shared" si="19"/>
        <v>0</v>
      </c>
      <c r="CJ108" s="433">
        <f t="shared" si="20"/>
        <v>0</v>
      </c>
      <c r="CK108" s="433">
        <f t="shared" si="21"/>
        <v>0</v>
      </c>
      <c r="CL108" s="433">
        <f t="shared" si="22"/>
        <v>0</v>
      </c>
      <c r="CM108" s="433">
        <f t="shared" si="23"/>
        <v>0</v>
      </c>
      <c r="CN108" s="433">
        <f t="shared" si="24"/>
        <v>0</v>
      </c>
      <c r="CO108" s="433">
        <f t="shared" si="25"/>
        <v>0</v>
      </c>
      <c r="CP108" s="433">
        <f t="shared" si="26"/>
        <v>0</v>
      </c>
      <c r="CQ108" s="433">
        <f t="shared" si="27"/>
        <v>0</v>
      </c>
      <c r="CR108" s="433">
        <f t="shared" si="28"/>
        <v>0</v>
      </c>
      <c r="CS108" s="433">
        <f t="shared" si="29"/>
        <v>0</v>
      </c>
      <c r="CT108" s="21"/>
    </row>
    <row r="109" spans="3:98" ht="24.75" hidden="1" customHeight="1" outlineLevel="3">
      <c r="C109" s="438" t="s">
        <v>238</v>
      </c>
      <c r="D109" s="427">
        <v>0</v>
      </c>
      <c r="E109" s="427">
        <v>0</v>
      </c>
      <c r="F109" s="427">
        <v>0</v>
      </c>
      <c r="G109" s="427">
        <v>0</v>
      </c>
      <c r="H109" s="427">
        <v>0</v>
      </c>
      <c r="I109" s="427">
        <v>0</v>
      </c>
      <c r="J109" s="427">
        <v>0</v>
      </c>
      <c r="K109" s="427">
        <v>0</v>
      </c>
      <c r="L109" s="427">
        <v>0</v>
      </c>
      <c r="M109" s="427">
        <v>0</v>
      </c>
      <c r="N109" s="427">
        <v>0</v>
      </c>
      <c r="O109" s="427">
        <v>0</v>
      </c>
      <c r="P109" s="427">
        <v>0</v>
      </c>
      <c r="Q109" s="427">
        <v>0</v>
      </c>
      <c r="R109" s="427">
        <v>0</v>
      </c>
      <c r="S109" s="427">
        <v>0</v>
      </c>
      <c r="T109" s="427">
        <v>0</v>
      </c>
      <c r="U109" s="427">
        <v>0</v>
      </c>
      <c r="V109" s="427">
        <v>0</v>
      </c>
      <c r="W109" s="427">
        <v>0</v>
      </c>
      <c r="X109" s="427">
        <v>0</v>
      </c>
      <c r="Y109" s="427">
        <v>0</v>
      </c>
      <c r="Z109" s="427">
        <v>0</v>
      </c>
      <c r="AA109" s="427">
        <v>0</v>
      </c>
      <c r="AB109" s="427">
        <v>0</v>
      </c>
      <c r="AC109" s="427">
        <v>0</v>
      </c>
      <c r="AD109" s="427">
        <v>0</v>
      </c>
      <c r="AE109" s="427">
        <v>0</v>
      </c>
      <c r="AF109" s="427">
        <v>0</v>
      </c>
      <c r="AG109" s="427">
        <v>0</v>
      </c>
      <c r="AH109" s="427">
        <v>0</v>
      </c>
      <c r="AI109" s="427">
        <v>0</v>
      </c>
      <c r="AJ109" s="427">
        <v>0</v>
      </c>
      <c r="AK109" s="427">
        <v>0</v>
      </c>
      <c r="AL109" s="427">
        <v>0</v>
      </c>
      <c r="AM109" s="427">
        <v>0</v>
      </c>
      <c r="AN109" s="427">
        <v>0</v>
      </c>
      <c r="AO109" s="427">
        <v>0</v>
      </c>
      <c r="AP109" s="427">
        <v>0</v>
      </c>
      <c r="AQ109" s="427">
        <v>0</v>
      </c>
      <c r="AR109" s="427">
        <v>0</v>
      </c>
      <c r="AS109" s="427">
        <v>0</v>
      </c>
      <c r="AT109" s="427">
        <v>0</v>
      </c>
      <c r="AU109" s="427">
        <v>0</v>
      </c>
      <c r="AV109" s="427">
        <v>0</v>
      </c>
      <c r="AW109" s="427">
        <v>0</v>
      </c>
      <c r="AX109" s="427">
        <v>0</v>
      </c>
      <c r="AY109" s="427">
        <v>0</v>
      </c>
      <c r="AZ109" s="427">
        <v>0</v>
      </c>
      <c r="BA109" s="427">
        <v>0</v>
      </c>
      <c r="BB109" s="427">
        <v>0</v>
      </c>
      <c r="BC109" s="427">
        <v>0</v>
      </c>
      <c r="BD109" s="427">
        <v>0</v>
      </c>
      <c r="BE109" s="427">
        <v>0</v>
      </c>
      <c r="BF109" s="427">
        <v>0</v>
      </c>
      <c r="BG109" s="427">
        <v>0</v>
      </c>
      <c r="BH109" s="427">
        <v>0</v>
      </c>
      <c r="BI109" s="427">
        <v>0</v>
      </c>
      <c r="BJ109" s="427">
        <v>0</v>
      </c>
      <c r="BK109" s="427">
        <v>0</v>
      </c>
      <c r="BL109" s="427">
        <v>0</v>
      </c>
      <c r="BM109" s="427">
        <v>0</v>
      </c>
      <c r="BN109" s="427">
        <v>0</v>
      </c>
      <c r="BO109" s="427">
        <v>0</v>
      </c>
      <c r="BP109" s="427">
        <v>0</v>
      </c>
      <c r="BQ109" s="427">
        <v>0</v>
      </c>
      <c r="BR109" s="427">
        <v>0</v>
      </c>
      <c r="BS109" s="427">
        <v>0</v>
      </c>
      <c r="BT109" s="427">
        <v>0</v>
      </c>
      <c r="BU109" s="427">
        <v>0</v>
      </c>
      <c r="BV109" s="427">
        <v>0</v>
      </c>
      <c r="BW109" s="427">
        <v>0</v>
      </c>
      <c r="BX109" s="427">
        <v>0</v>
      </c>
      <c r="BY109" s="427">
        <v>0</v>
      </c>
      <c r="BZ109" s="427">
        <v>0</v>
      </c>
      <c r="CC109" s="21"/>
      <c r="CD109" s="438" t="s">
        <v>238</v>
      </c>
      <c r="CE109" s="433">
        <f t="shared" si="15"/>
        <v>0</v>
      </c>
      <c r="CF109" s="433">
        <f t="shared" si="16"/>
        <v>0</v>
      </c>
      <c r="CG109" s="433">
        <f t="shared" si="17"/>
        <v>0</v>
      </c>
      <c r="CH109" s="433">
        <f t="shared" si="18"/>
        <v>0</v>
      </c>
      <c r="CI109" s="433">
        <f t="shared" si="19"/>
        <v>0</v>
      </c>
      <c r="CJ109" s="433">
        <f t="shared" si="20"/>
        <v>0</v>
      </c>
      <c r="CK109" s="433">
        <f t="shared" si="21"/>
        <v>0</v>
      </c>
      <c r="CL109" s="433">
        <f t="shared" si="22"/>
        <v>0</v>
      </c>
      <c r="CM109" s="433">
        <f t="shared" si="23"/>
        <v>0</v>
      </c>
      <c r="CN109" s="433">
        <f t="shared" si="24"/>
        <v>0</v>
      </c>
      <c r="CO109" s="433">
        <f t="shared" si="25"/>
        <v>0</v>
      </c>
      <c r="CP109" s="433">
        <f t="shared" si="26"/>
        <v>0</v>
      </c>
      <c r="CQ109" s="433">
        <f t="shared" si="27"/>
        <v>0</v>
      </c>
      <c r="CR109" s="433">
        <f t="shared" si="28"/>
        <v>0</v>
      </c>
      <c r="CS109" s="433">
        <f t="shared" si="29"/>
        <v>0</v>
      </c>
      <c r="CT109" s="21"/>
    </row>
    <row r="110" spans="3:98" ht="24.75" hidden="1" customHeight="1" outlineLevel="3">
      <c r="C110" s="438" t="s">
        <v>239</v>
      </c>
      <c r="D110" s="427">
        <v>0</v>
      </c>
      <c r="E110" s="427">
        <v>0</v>
      </c>
      <c r="F110" s="427">
        <v>0</v>
      </c>
      <c r="G110" s="427">
        <v>0</v>
      </c>
      <c r="H110" s="427">
        <v>0</v>
      </c>
      <c r="I110" s="427">
        <v>0</v>
      </c>
      <c r="J110" s="427">
        <v>0</v>
      </c>
      <c r="K110" s="427">
        <v>0</v>
      </c>
      <c r="L110" s="427">
        <v>0</v>
      </c>
      <c r="M110" s="427">
        <v>0</v>
      </c>
      <c r="N110" s="427">
        <v>0</v>
      </c>
      <c r="O110" s="427">
        <v>0</v>
      </c>
      <c r="P110" s="427">
        <v>0</v>
      </c>
      <c r="Q110" s="427">
        <v>0</v>
      </c>
      <c r="R110" s="427">
        <v>0</v>
      </c>
      <c r="S110" s="427">
        <v>0</v>
      </c>
      <c r="T110" s="427">
        <v>0</v>
      </c>
      <c r="U110" s="427">
        <v>0</v>
      </c>
      <c r="V110" s="427">
        <v>0</v>
      </c>
      <c r="W110" s="427">
        <v>0</v>
      </c>
      <c r="X110" s="427">
        <v>0</v>
      </c>
      <c r="Y110" s="427">
        <v>0</v>
      </c>
      <c r="Z110" s="427">
        <v>0</v>
      </c>
      <c r="AA110" s="427">
        <v>0</v>
      </c>
      <c r="AB110" s="427">
        <v>0</v>
      </c>
      <c r="AC110" s="427">
        <v>0</v>
      </c>
      <c r="AD110" s="427">
        <v>0</v>
      </c>
      <c r="AE110" s="427">
        <v>0</v>
      </c>
      <c r="AF110" s="427">
        <v>0</v>
      </c>
      <c r="AG110" s="427">
        <v>0</v>
      </c>
      <c r="AH110" s="427">
        <v>0</v>
      </c>
      <c r="AI110" s="427">
        <v>0</v>
      </c>
      <c r="AJ110" s="427">
        <v>0</v>
      </c>
      <c r="AK110" s="427">
        <v>0</v>
      </c>
      <c r="AL110" s="427">
        <v>0</v>
      </c>
      <c r="AM110" s="427">
        <v>0</v>
      </c>
      <c r="AN110" s="427">
        <v>0</v>
      </c>
      <c r="AO110" s="427">
        <v>0</v>
      </c>
      <c r="AP110" s="427">
        <v>0</v>
      </c>
      <c r="AQ110" s="427">
        <v>0</v>
      </c>
      <c r="AR110" s="427">
        <v>0</v>
      </c>
      <c r="AS110" s="427">
        <v>0</v>
      </c>
      <c r="AT110" s="427">
        <v>0</v>
      </c>
      <c r="AU110" s="427">
        <v>0</v>
      </c>
      <c r="AV110" s="427">
        <v>0</v>
      </c>
      <c r="AW110" s="427">
        <v>0</v>
      </c>
      <c r="AX110" s="427">
        <v>0</v>
      </c>
      <c r="AY110" s="427">
        <v>0</v>
      </c>
      <c r="AZ110" s="427">
        <v>0</v>
      </c>
      <c r="BA110" s="427">
        <v>0</v>
      </c>
      <c r="BB110" s="427">
        <v>0</v>
      </c>
      <c r="BC110" s="427">
        <v>0</v>
      </c>
      <c r="BD110" s="427">
        <v>0</v>
      </c>
      <c r="BE110" s="427">
        <v>0</v>
      </c>
      <c r="BF110" s="427">
        <v>-4.6589999999999998</v>
      </c>
      <c r="BG110" s="427">
        <v>0</v>
      </c>
      <c r="BH110" s="427">
        <v>0</v>
      </c>
      <c r="BI110" s="427">
        <v>0</v>
      </c>
      <c r="BJ110" s="427">
        <v>-15.771000000000001</v>
      </c>
      <c r="BK110" s="427">
        <v>-15.771000000000001</v>
      </c>
      <c r="BL110" s="427">
        <v>0</v>
      </c>
      <c r="BM110" s="427">
        <v>-21.349</v>
      </c>
      <c r="BN110" s="427">
        <v>-24.247</v>
      </c>
      <c r="BO110" s="427">
        <v>-27.789000000000001</v>
      </c>
      <c r="BP110" s="427">
        <v>-27.789000000000001</v>
      </c>
      <c r="BQ110" s="427">
        <v>-32.725000000000001</v>
      </c>
      <c r="BR110" s="427">
        <v>-36.621000000000002</v>
      </c>
      <c r="BS110" s="427">
        <v>-41.17</v>
      </c>
      <c r="BT110" s="427">
        <v>-45.716999999999999</v>
      </c>
      <c r="BU110" s="427">
        <v>-45.716999999999999</v>
      </c>
      <c r="BV110" s="427">
        <v>-50.496000000000002</v>
      </c>
      <c r="BW110" s="427">
        <v>-55.747999999999998</v>
      </c>
      <c r="BX110" s="427">
        <v>-61.014000000000003</v>
      </c>
      <c r="BY110" s="427">
        <v>0</v>
      </c>
      <c r="BZ110" s="427">
        <v>0</v>
      </c>
      <c r="CC110" s="21"/>
      <c r="CD110" s="438" t="s">
        <v>239</v>
      </c>
      <c r="CE110" s="433">
        <f t="shared" si="15"/>
        <v>0</v>
      </c>
      <c r="CF110" s="433">
        <f t="shared" si="16"/>
        <v>0</v>
      </c>
      <c r="CG110" s="433">
        <f t="shared" si="17"/>
        <v>0</v>
      </c>
      <c r="CH110" s="433">
        <f t="shared" si="18"/>
        <v>0</v>
      </c>
      <c r="CI110" s="433">
        <f t="shared" si="19"/>
        <v>0</v>
      </c>
      <c r="CJ110" s="433">
        <f t="shared" si="20"/>
        <v>0</v>
      </c>
      <c r="CK110" s="433">
        <f t="shared" si="21"/>
        <v>0</v>
      </c>
      <c r="CL110" s="433">
        <f t="shared" si="22"/>
        <v>0</v>
      </c>
      <c r="CM110" s="433">
        <f t="shared" si="23"/>
        <v>0</v>
      </c>
      <c r="CN110" s="433">
        <f t="shared" si="24"/>
        <v>0</v>
      </c>
      <c r="CO110" s="433">
        <f t="shared" si="25"/>
        <v>-4.6589999999999998</v>
      </c>
      <c r="CP110" s="433">
        <f t="shared" si="26"/>
        <v>-15.771000000000001</v>
      </c>
      <c r="CQ110" s="433">
        <f t="shared" si="27"/>
        <v>-27.789000000000001</v>
      </c>
      <c r="CR110" s="433">
        <f t="shared" si="28"/>
        <v>-45.716999999999999</v>
      </c>
      <c r="CS110" s="433">
        <f t="shared" si="29"/>
        <v>0</v>
      </c>
      <c r="CT110" s="21"/>
    </row>
    <row r="111" spans="3:98" ht="24.75" hidden="1" customHeight="1" outlineLevel="3">
      <c r="C111" s="438" t="s">
        <v>240</v>
      </c>
      <c r="D111" s="427">
        <v>0</v>
      </c>
      <c r="E111" s="427">
        <v>0</v>
      </c>
      <c r="F111" s="427">
        <v>0</v>
      </c>
      <c r="G111" s="427">
        <v>0</v>
      </c>
      <c r="H111" s="434">
        <v>0</v>
      </c>
      <c r="I111" s="434">
        <v>0</v>
      </c>
      <c r="J111" s="434">
        <v>0</v>
      </c>
      <c r="K111" s="434">
        <v>0</v>
      </c>
      <c r="L111" s="434">
        <v>0</v>
      </c>
      <c r="M111" s="434">
        <v>0</v>
      </c>
      <c r="N111" s="434">
        <v>0</v>
      </c>
      <c r="O111" s="434">
        <v>0</v>
      </c>
      <c r="P111" s="434">
        <v>0</v>
      </c>
      <c r="Q111" s="434">
        <v>0</v>
      </c>
      <c r="R111" s="434">
        <v>0</v>
      </c>
      <c r="S111" s="434">
        <v>0</v>
      </c>
      <c r="T111" s="434">
        <v>0</v>
      </c>
      <c r="U111" s="434">
        <v>0</v>
      </c>
      <c r="V111" s="434">
        <v>0</v>
      </c>
      <c r="W111" s="434">
        <v>0</v>
      </c>
      <c r="X111" s="434">
        <v>0</v>
      </c>
      <c r="Y111" s="434">
        <v>0</v>
      </c>
      <c r="Z111" s="434">
        <v>0</v>
      </c>
      <c r="AA111" s="434">
        <v>0</v>
      </c>
      <c r="AB111" s="434">
        <v>0</v>
      </c>
      <c r="AC111" s="434">
        <v>0</v>
      </c>
      <c r="AD111" s="434">
        <v>0</v>
      </c>
      <c r="AE111" s="434">
        <v>0</v>
      </c>
      <c r="AF111" s="434">
        <v>0</v>
      </c>
      <c r="AG111" s="434">
        <v>0</v>
      </c>
      <c r="AH111" s="434">
        <v>0</v>
      </c>
      <c r="AI111" s="434">
        <v>0</v>
      </c>
      <c r="AJ111" s="434">
        <v>0</v>
      </c>
      <c r="AK111" s="434">
        <v>0</v>
      </c>
      <c r="AL111" s="434">
        <v>0</v>
      </c>
      <c r="AM111" s="434">
        <v>0</v>
      </c>
      <c r="AN111" s="434">
        <v>0</v>
      </c>
      <c r="AO111" s="434">
        <v>0</v>
      </c>
      <c r="AP111" s="434">
        <v>0</v>
      </c>
      <c r="AQ111" s="434">
        <v>0</v>
      </c>
      <c r="AR111" s="434">
        <v>0</v>
      </c>
      <c r="AS111" s="434">
        <v>0</v>
      </c>
      <c r="AT111" s="434">
        <v>0</v>
      </c>
      <c r="AU111" s="434">
        <v>0</v>
      </c>
      <c r="AV111" s="434">
        <v>0</v>
      </c>
      <c r="AW111" s="434">
        <v>0</v>
      </c>
      <c r="AX111" s="434">
        <v>0</v>
      </c>
      <c r="AY111" s="434">
        <v>0</v>
      </c>
      <c r="AZ111" s="434">
        <v>0</v>
      </c>
      <c r="BA111" s="434">
        <v>0</v>
      </c>
      <c r="BB111" s="434">
        <v>0</v>
      </c>
      <c r="BC111" s="434">
        <v>0</v>
      </c>
      <c r="BD111" s="434">
        <v>0</v>
      </c>
      <c r="BE111" s="434">
        <v>0</v>
      </c>
      <c r="BF111" s="434">
        <v>-0.6</v>
      </c>
      <c r="BG111" s="434">
        <v>0</v>
      </c>
      <c r="BH111" s="434">
        <v>0</v>
      </c>
      <c r="BI111" s="434">
        <v>0</v>
      </c>
      <c r="BJ111" s="434">
        <v>-0.68100000000000005</v>
      </c>
      <c r="BK111" s="434">
        <v>-0.68100000000000005</v>
      </c>
      <c r="BL111" s="434">
        <v>0</v>
      </c>
      <c r="BM111" s="434">
        <v>-1.6020000000000001</v>
      </c>
      <c r="BN111" s="434">
        <v>-5.0309999999999997</v>
      </c>
      <c r="BO111" s="434">
        <v>-10.505000000000001</v>
      </c>
      <c r="BP111" s="434">
        <v>-10.505000000000001</v>
      </c>
      <c r="BQ111" s="434">
        <v>-20.187999999999999</v>
      </c>
      <c r="BR111" s="434">
        <v>-29.998999999999999</v>
      </c>
      <c r="BS111" s="434">
        <v>-39.845999999999997</v>
      </c>
      <c r="BT111" s="434">
        <v>-49.691000000000003</v>
      </c>
      <c r="BU111" s="434">
        <v>-49.691000000000003</v>
      </c>
      <c r="BV111" s="434">
        <v>-59.47</v>
      </c>
      <c r="BW111" s="434">
        <v>-67.007000000000005</v>
      </c>
      <c r="BX111" s="434">
        <v>-6.8339999999999996</v>
      </c>
      <c r="BY111" s="434">
        <v>0</v>
      </c>
      <c r="BZ111" s="434">
        <v>0</v>
      </c>
      <c r="CC111" s="21"/>
      <c r="CD111" s="438" t="s">
        <v>240</v>
      </c>
      <c r="CE111" s="433">
        <f t="shared" si="15"/>
        <v>0</v>
      </c>
      <c r="CF111" s="433">
        <f t="shared" si="16"/>
        <v>0</v>
      </c>
      <c r="CG111" s="433">
        <f t="shared" si="17"/>
        <v>0</v>
      </c>
      <c r="CH111" s="433">
        <f t="shared" si="18"/>
        <v>0</v>
      </c>
      <c r="CI111" s="433">
        <f t="shared" si="19"/>
        <v>0</v>
      </c>
      <c r="CJ111" s="433">
        <f t="shared" si="20"/>
        <v>0</v>
      </c>
      <c r="CK111" s="433">
        <f t="shared" si="21"/>
        <v>0</v>
      </c>
      <c r="CL111" s="433">
        <f t="shared" si="22"/>
        <v>0</v>
      </c>
      <c r="CM111" s="433">
        <f t="shared" si="23"/>
        <v>0</v>
      </c>
      <c r="CN111" s="433">
        <f t="shared" si="24"/>
        <v>0</v>
      </c>
      <c r="CO111" s="433">
        <f t="shared" si="25"/>
        <v>-0.6</v>
      </c>
      <c r="CP111" s="433">
        <f t="shared" si="26"/>
        <v>-0.68100000000000005</v>
      </c>
      <c r="CQ111" s="433">
        <f t="shared" si="27"/>
        <v>-10.505000000000001</v>
      </c>
      <c r="CR111" s="433">
        <f t="shared" si="28"/>
        <v>-49.691000000000003</v>
      </c>
      <c r="CS111" s="433">
        <f t="shared" si="29"/>
        <v>0</v>
      </c>
      <c r="CT111" s="21"/>
    </row>
    <row r="112" spans="3:98" ht="24.75" hidden="1" customHeight="1" outlineLevel="2">
      <c r="C112" s="437" t="s">
        <v>234</v>
      </c>
      <c r="D112" s="427">
        <v>0</v>
      </c>
      <c r="E112" s="427">
        <v>0</v>
      </c>
      <c r="F112" s="427">
        <v>0</v>
      </c>
      <c r="G112" s="427">
        <v>0</v>
      </c>
      <c r="H112" s="427">
        <v>0</v>
      </c>
      <c r="I112" s="427">
        <v>0</v>
      </c>
      <c r="J112" s="427">
        <v>0</v>
      </c>
      <c r="K112" s="427">
        <v>0</v>
      </c>
      <c r="L112" s="427">
        <v>0</v>
      </c>
      <c r="M112" s="427">
        <v>0</v>
      </c>
      <c r="N112" s="427">
        <v>0</v>
      </c>
      <c r="O112" s="427">
        <v>0</v>
      </c>
      <c r="P112" s="427">
        <v>0</v>
      </c>
      <c r="Q112" s="427">
        <v>0</v>
      </c>
      <c r="R112" s="427">
        <v>0</v>
      </c>
      <c r="S112" s="427">
        <v>0</v>
      </c>
      <c r="T112" s="427">
        <v>0</v>
      </c>
      <c r="U112" s="427">
        <v>0</v>
      </c>
      <c r="V112" s="427">
        <v>0</v>
      </c>
      <c r="W112" s="427">
        <v>0</v>
      </c>
      <c r="X112" s="427">
        <v>0</v>
      </c>
      <c r="Y112" s="427">
        <v>0</v>
      </c>
      <c r="Z112" s="427">
        <v>0</v>
      </c>
      <c r="AA112" s="427">
        <v>0</v>
      </c>
      <c r="AB112" s="427">
        <v>0</v>
      </c>
      <c r="AC112" s="427">
        <v>0</v>
      </c>
      <c r="AD112" s="427">
        <v>0</v>
      </c>
      <c r="AE112" s="427">
        <v>0</v>
      </c>
      <c r="AF112" s="427">
        <v>0</v>
      </c>
      <c r="AG112" s="427">
        <v>0</v>
      </c>
      <c r="AH112" s="427">
        <v>0</v>
      </c>
      <c r="AI112" s="427">
        <v>0</v>
      </c>
      <c r="AJ112" s="427">
        <v>0</v>
      </c>
      <c r="AK112" s="427">
        <v>0</v>
      </c>
      <c r="AL112" s="427">
        <v>0</v>
      </c>
      <c r="AM112" s="427">
        <v>0</v>
      </c>
      <c r="AN112" s="427">
        <v>0</v>
      </c>
      <c r="AO112" s="427">
        <v>0</v>
      </c>
      <c r="AP112" s="427">
        <v>0</v>
      </c>
      <c r="AQ112" s="427">
        <v>0</v>
      </c>
      <c r="AR112" s="427">
        <v>0</v>
      </c>
      <c r="AS112" s="427">
        <v>0</v>
      </c>
      <c r="AT112" s="427">
        <v>0</v>
      </c>
      <c r="AU112" s="427">
        <v>0</v>
      </c>
      <c r="AV112" s="427">
        <v>0</v>
      </c>
      <c r="AW112" s="427">
        <v>0</v>
      </c>
      <c r="AX112" s="427">
        <v>0</v>
      </c>
      <c r="AY112" s="427">
        <v>0</v>
      </c>
      <c r="AZ112" s="427">
        <v>0</v>
      </c>
      <c r="BA112" s="427">
        <v>0</v>
      </c>
      <c r="BB112" s="427">
        <v>0</v>
      </c>
      <c r="BC112" s="427">
        <v>0</v>
      </c>
      <c r="BD112" s="427">
        <v>0</v>
      </c>
      <c r="BE112" s="427">
        <v>0</v>
      </c>
      <c r="BF112" s="427">
        <v>-13.244</v>
      </c>
      <c r="BG112" s="427">
        <v>0</v>
      </c>
      <c r="BH112" s="427">
        <v>0</v>
      </c>
      <c r="BI112" s="427">
        <v>0</v>
      </c>
      <c r="BJ112" s="427">
        <v>-29.506</v>
      </c>
      <c r="BK112" s="427">
        <v>-29.506</v>
      </c>
      <c r="BL112" s="427">
        <v>0</v>
      </c>
      <c r="BM112" s="427">
        <v>-43.109000000000002</v>
      </c>
      <c r="BN112" s="427">
        <v>-55.365000000000002</v>
      </c>
      <c r="BO112" s="427">
        <v>-73.159000000000006</v>
      </c>
      <c r="BP112" s="427">
        <v>-73.159000000000006</v>
      </c>
      <c r="BQ112" s="427">
        <v>-99.040999999999997</v>
      </c>
      <c r="BR112" s="427">
        <v>-124.425</v>
      </c>
      <c r="BS112" s="427">
        <v>-152.16300000000001</v>
      </c>
      <c r="BT112" s="427">
        <v>-176.58</v>
      </c>
      <c r="BU112" s="427">
        <v>-176.58</v>
      </c>
      <c r="BV112" s="427">
        <v>-196.24</v>
      </c>
      <c r="BW112" s="427">
        <v>-217.797</v>
      </c>
      <c r="BX112" s="427">
        <v>-170.196</v>
      </c>
      <c r="BY112" s="427">
        <v>0</v>
      </c>
      <c r="BZ112" s="427">
        <v>0</v>
      </c>
      <c r="CC112" s="21"/>
      <c r="CD112" s="437" t="s">
        <v>234</v>
      </c>
      <c r="CE112" s="433">
        <f t="shared" si="15"/>
        <v>0</v>
      </c>
      <c r="CF112" s="433">
        <f t="shared" si="16"/>
        <v>0</v>
      </c>
      <c r="CG112" s="433">
        <f t="shared" si="17"/>
        <v>0</v>
      </c>
      <c r="CH112" s="433">
        <f t="shared" si="18"/>
        <v>0</v>
      </c>
      <c r="CI112" s="433">
        <f t="shared" si="19"/>
        <v>0</v>
      </c>
      <c r="CJ112" s="433">
        <f t="shared" si="20"/>
        <v>0</v>
      </c>
      <c r="CK112" s="433">
        <f t="shared" si="21"/>
        <v>0</v>
      </c>
      <c r="CL112" s="433">
        <f t="shared" si="22"/>
        <v>0</v>
      </c>
      <c r="CM112" s="433">
        <f t="shared" si="23"/>
        <v>0</v>
      </c>
      <c r="CN112" s="433">
        <f t="shared" si="24"/>
        <v>0</v>
      </c>
      <c r="CO112" s="433">
        <f t="shared" si="25"/>
        <v>-13.244</v>
      </c>
      <c r="CP112" s="433">
        <f t="shared" si="26"/>
        <v>-29.506</v>
      </c>
      <c r="CQ112" s="433">
        <f t="shared" si="27"/>
        <v>-73.159000000000006</v>
      </c>
      <c r="CR112" s="433">
        <f t="shared" si="28"/>
        <v>-176.58</v>
      </c>
      <c r="CS112" s="433">
        <f t="shared" si="29"/>
        <v>0</v>
      </c>
      <c r="CT112" s="21"/>
    </row>
    <row r="113" spans="3:98" ht="24.75" hidden="1" customHeight="1" outlineLevel="2">
      <c r="C113" s="437" t="s">
        <v>233</v>
      </c>
      <c r="D113" s="427">
        <v>0</v>
      </c>
      <c r="E113" s="427">
        <v>0</v>
      </c>
      <c r="F113" s="427">
        <v>0</v>
      </c>
      <c r="G113" s="427">
        <v>0</v>
      </c>
      <c r="H113" s="434">
        <v>0</v>
      </c>
      <c r="I113" s="434">
        <v>0</v>
      </c>
      <c r="J113" s="434">
        <v>0</v>
      </c>
      <c r="K113" s="434">
        <v>0</v>
      </c>
      <c r="L113" s="434">
        <v>0</v>
      </c>
      <c r="M113" s="434">
        <v>0</v>
      </c>
      <c r="N113" s="434">
        <v>0</v>
      </c>
      <c r="O113" s="434">
        <v>0</v>
      </c>
      <c r="P113" s="434">
        <v>0</v>
      </c>
      <c r="Q113" s="434">
        <v>0</v>
      </c>
      <c r="R113" s="434">
        <v>0</v>
      </c>
      <c r="S113" s="434">
        <v>0</v>
      </c>
      <c r="T113" s="434">
        <v>0</v>
      </c>
      <c r="U113" s="434">
        <v>0</v>
      </c>
      <c r="V113" s="434">
        <v>0</v>
      </c>
      <c r="W113" s="434">
        <v>0</v>
      </c>
      <c r="X113" s="434">
        <v>0</v>
      </c>
      <c r="Y113" s="434">
        <v>0</v>
      </c>
      <c r="Z113" s="434">
        <v>0</v>
      </c>
      <c r="AA113" s="434">
        <v>0</v>
      </c>
      <c r="AB113" s="434">
        <v>0</v>
      </c>
      <c r="AC113" s="434">
        <v>0</v>
      </c>
      <c r="AD113" s="434">
        <v>0</v>
      </c>
      <c r="AE113" s="434">
        <v>0</v>
      </c>
      <c r="AF113" s="434">
        <v>0</v>
      </c>
      <c r="AG113" s="434">
        <v>0</v>
      </c>
      <c r="AH113" s="434">
        <v>0</v>
      </c>
      <c r="AI113" s="434">
        <v>0</v>
      </c>
      <c r="AJ113" s="434">
        <v>0</v>
      </c>
      <c r="AK113" s="434">
        <v>0</v>
      </c>
      <c r="AL113" s="434">
        <v>0</v>
      </c>
      <c r="AM113" s="434">
        <v>0</v>
      </c>
      <c r="AN113" s="434">
        <v>0</v>
      </c>
      <c r="AO113" s="434">
        <v>0</v>
      </c>
      <c r="AP113" s="434">
        <v>0</v>
      </c>
      <c r="AQ113" s="434">
        <v>0</v>
      </c>
      <c r="AR113" s="434">
        <v>0</v>
      </c>
      <c r="AS113" s="434">
        <v>0</v>
      </c>
      <c r="AT113" s="434">
        <v>0</v>
      </c>
      <c r="AU113" s="434">
        <v>0</v>
      </c>
      <c r="AV113" s="434">
        <v>0</v>
      </c>
      <c r="AW113" s="434">
        <v>0</v>
      </c>
      <c r="AX113" s="434">
        <v>0</v>
      </c>
      <c r="AY113" s="434">
        <v>0</v>
      </c>
      <c r="AZ113" s="434">
        <v>0</v>
      </c>
      <c r="BA113" s="434">
        <v>0</v>
      </c>
      <c r="BB113" s="434">
        <v>0</v>
      </c>
      <c r="BC113" s="434">
        <v>0</v>
      </c>
      <c r="BD113" s="434">
        <v>0</v>
      </c>
      <c r="BE113" s="434">
        <v>0</v>
      </c>
      <c r="BF113" s="434">
        <v>0</v>
      </c>
      <c r="BG113" s="434">
        <v>0</v>
      </c>
      <c r="BH113" s="434">
        <v>0</v>
      </c>
      <c r="BI113" s="434">
        <v>0</v>
      </c>
      <c r="BJ113" s="434">
        <v>0</v>
      </c>
      <c r="BK113" s="434">
        <v>0</v>
      </c>
      <c r="BL113" s="434">
        <v>0</v>
      </c>
      <c r="BM113" s="434">
        <v>0</v>
      </c>
      <c r="BN113" s="434">
        <v>0</v>
      </c>
      <c r="BO113" s="434">
        <v>0</v>
      </c>
      <c r="BP113" s="434">
        <v>0</v>
      </c>
      <c r="BQ113" s="434">
        <v>0</v>
      </c>
      <c r="BR113" s="434">
        <v>0</v>
      </c>
      <c r="BS113" s="434">
        <v>0</v>
      </c>
      <c r="BT113" s="434">
        <v>0</v>
      </c>
      <c r="BU113" s="434">
        <v>0</v>
      </c>
      <c r="BV113" s="434">
        <v>0</v>
      </c>
      <c r="BW113" s="434">
        <v>0</v>
      </c>
      <c r="BX113" s="434">
        <v>0</v>
      </c>
      <c r="BY113" s="434">
        <v>0</v>
      </c>
      <c r="BZ113" s="434">
        <v>0</v>
      </c>
      <c r="CC113" s="21"/>
      <c r="CD113" s="437" t="s">
        <v>233</v>
      </c>
      <c r="CE113" s="433">
        <f t="shared" si="15"/>
        <v>0</v>
      </c>
      <c r="CF113" s="433">
        <f t="shared" si="16"/>
        <v>0</v>
      </c>
      <c r="CG113" s="433">
        <f t="shared" si="17"/>
        <v>0</v>
      </c>
      <c r="CH113" s="433">
        <f t="shared" si="18"/>
        <v>0</v>
      </c>
      <c r="CI113" s="433">
        <f t="shared" si="19"/>
        <v>0</v>
      </c>
      <c r="CJ113" s="433">
        <f t="shared" si="20"/>
        <v>0</v>
      </c>
      <c r="CK113" s="433">
        <f t="shared" si="21"/>
        <v>0</v>
      </c>
      <c r="CL113" s="433">
        <f t="shared" si="22"/>
        <v>0</v>
      </c>
      <c r="CM113" s="433">
        <f t="shared" si="23"/>
        <v>0</v>
      </c>
      <c r="CN113" s="433">
        <f t="shared" si="24"/>
        <v>0</v>
      </c>
      <c r="CO113" s="433">
        <f t="shared" si="25"/>
        <v>0</v>
      </c>
      <c r="CP113" s="433">
        <f t="shared" si="26"/>
        <v>0</v>
      </c>
      <c r="CQ113" s="433">
        <f t="shared" si="27"/>
        <v>0</v>
      </c>
      <c r="CR113" s="433">
        <f t="shared" si="28"/>
        <v>0</v>
      </c>
      <c r="CS113" s="433">
        <f t="shared" si="29"/>
        <v>0</v>
      </c>
      <c r="CT113" s="21"/>
    </row>
    <row r="114" spans="3:98" ht="24.75" hidden="1" customHeight="1" outlineLevel="2" collapsed="1">
      <c r="C114" s="426" t="s">
        <v>232</v>
      </c>
      <c r="D114" s="427">
        <v>0</v>
      </c>
      <c r="E114" s="427">
        <v>0</v>
      </c>
      <c r="F114" s="427">
        <v>0</v>
      </c>
      <c r="G114" s="427">
        <v>0</v>
      </c>
      <c r="H114" s="427">
        <v>0</v>
      </c>
      <c r="I114" s="427">
        <v>0</v>
      </c>
      <c r="J114" s="427">
        <v>0</v>
      </c>
      <c r="K114" s="427">
        <v>0</v>
      </c>
      <c r="L114" s="427">
        <v>0</v>
      </c>
      <c r="M114" s="427">
        <v>0</v>
      </c>
      <c r="N114" s="427">
        <v>0</v>
      </c>
      <c r="O114" s="427">
        <v>0</v>
      </c>
      <c r="P114" s="427">
        <v>0</v>
      </c>
      <c r="Q114" s="427">
        <v>0</v>
      </c>
      <c r="R114" s="427">
        <v>0</v>
      </c>
      <c r="S114" s="427">
        <v>0</v>
      </c>
      <c r="T114" s="427">
        <v>0</v>
      </c>
      <c r="U114" s="427">
        <v>0</v>
      </c>
      <c r="V114" s="427">
        <v>0</v>
      </c>
      <c r="W114" s="427">
        <v>0</v>
      </c>
      <c r="X114" s="427">
        <v>0</v>
      </c>
      <c r="Y114" s="427">
        <v>0</v>
      </c>
      <c r="Z114" s="427">
        <v>0</v>
      </c>
      <c r="AA114" s="427">
        <v>0</v>
      </c>
      <c r="AB114" s="427">
        <v>0</v>
      </c>
      <c r="AC114" s="427">
        <v>0</v>
      </c>
      <c r="AD114" s="427">
        <v>0</v>
      </c>
      <c r="AE114" s="427">
        <v>0</v>
      </c>
      <c r="AF114" s="427">
        <v>0</v>
      </c>
      <c r="AG114" s="427">
        <v>0</v>
      </c>
      <c r="AH114" s="427">
        <v>0</v>
      </c>
      <c r="AI114" s="427">
        <v>0</v>
      </c>
      <c r="AJ114" s="427">
        <v>0</v>
      </c>
      <c r="AK114" s="427">
        <v>0</v>
      </c>
      <c r="AL114" s="427">
        <v>0</v>
      </c>
      <c r="AM114" s="427">
        <v>0</v>
      </c>
      <c r="AN114" s="427">
        <v>0</v>
      </c>
      <c r="AO114" s="427">
        <v>0</v>
      </c>
      <c r="AP114" s="427">
        <v>0</v>
      </c>
      <c r="AQ114" s="427">
        <v>0</v>
      </c>
      <c r="AR114" s="427">
        <v>0</v>
      </c>
      <c r="AS114" s="427">
        <v>0</v>
      </c>
      <c r="AT114" s="427">
        <v>0</v>
      </c>
      <c r="AU114" s="427">
        <v>0</v>
      </c>
      <c r="AV114" s="427">
        <v>0</v>
      </c>
      <c r="AW114" s="427">
        <v>0</v>
      </c>
      <c r="AX114" s="427">
        <v>0</v>
      </c>
      <c r="AY114" s="427">
        <v>0</v>
      </c>
      <c r="AZ114" s="427">
        <v>0</v>
      </c>
      <c r="BA114" s="427">
        <v>0</v>
      </c>
      <c r="BB114" s="427">
        <v>0</v>
      </c>
      <c r="BC114" s="427">
        <v>0</v>
      </c>
      <c r="BD114" s="427">
        <v>0</v>
      </c>
      <c r="BE114" s="427">
        <v>0</v>
      </c>
      <c r="BF114" s="427">
        <v>-13.244</v>
      </c>
      <c r="BG114" s="427">
        <v>0</v>
      </c>
      <c r="BH114" s="427">
        <v>0</v>
      </c>
      <c r="BI114" s="427">
        <v>0</v>
      </c>
      <c r="BJ114" s="427">
        <v>-29.506</v>
      </c>
      <c r="BK114" s="427">
        <v>-29.506</v>
      </c>
      <c r="BL114" s="427">
        <v>0</v>
      </c>
      <c r="BM114" s="427">
        <v>-43.109000000000002</v>
      </c>
      <c r="BN114" s="427">
        <v>-55.365000000000002</v>
      </c>
      <c r="BO114" s="427">
        <v>-73.159000000000006</v>
      </c>
      <c r="BP114" s="427">
        <v>-73.159000000000006</v>
      </c>
      <c r="BQ114" s="427">
        <v>-99.040999999999997</v>
      </c>
      <c r="BR114" s="427">
        <v>-124.425</v>
      </c>
      <c r="BS114" s="427">
        <v>-152.16300000000001</v>
      </c>
      <c r="BT114" s="427">
        <v>-176.58</v>
      </c>
      <c r="BU114" s="427">
        <v>-176.58</v>
      </c>
      <c r="BV114" s="427">
        <v>-196.24</v>
      </c>
      <c r="BW114" s="427">
        <v>-217.797</v>
      </c>
      <c r="BX114" s="427">
        <v>-170.196</v>
      </c>
      <c r="BY114" s="427">
        <v>0</v>
      </c>
      <c r="BZ114" s="427">
        <v>0</v>
      </c>
      <c r="CC114" s="21"/>
      <c r="CD114" s="426" t="s">
        <v>232</v>
      </c>
      <c r="CE114" s="433">
        <f t="shared" si="15"/>
        <v>0</v>
      </c>
      <c r="CF114" s="433">
        <f t="shared" si="16"/>
        <v>0</v>
      </c>
      <c r="CG114" s="433">
        <f t="shared" si="17"/>
        <v>0</v>
      </c>
      <c r="CH114" s="433">
        <f t="shared" si="18"/>
        <v>0</v>
      </c>
      <c r="CI114" s="433">
        <f t="shared" si="19"/>
        <v>0</v>
      </c>
      <c r="CJ114" s="433">
        <f t="shared" si="20"/>
        <v>0</v>
      </c>
      <c r="CK114" s="433">
        <f t="shared" si="21"/>
        <v>0</v>
      </c>
      <c r="CL114" s="433">
        <f t="shared" si="22"/>
        <v>0</v>
      </c>
      <c r="CM114" s="433">
        <f t="shared" si="23"/>
        <v>0</v>
      </c>
      <c r="CN114" s="433">
        <f t="shared" si="24"/>
        <v>0</v>
      </c>
      <c r="CO114" s="433">
        <f t="shared" si="25"/>
        <v>-13.244</v>
      </c>
      <c r="CP114" s="433">
        <f t="shared" si="26"/>
        <v>-29.506</v>
      </c>
      <c r="CQ114" s="433">
        <f t="shared" si="27"/>
        <v>-73.159000000000006</v>
      </c>
      <c r="CR114" s="433">
        <f t="shared" si="28"/>
        <v>-176.58</v>
      </c>
      <c r="CS114" s="433">
        <f t="shared" si="29"/>
        <v>0</v>
      </c>
      <c r="CT114" s="21"/>
    </row>
    <row r="115" spans="3:98" ht="24.75" hidden="1" customHeight="1" outlineLevel="3">
      <c r="C115" s="437" t="s">
        <v>242</v>
      </c>
      <c r="D115" s="427">
        <v>0</v>
      </c>
      <c r="E115" s="427">
        <v>0</v>
      </c>
      <c r="F115" s="427">
        <v>0</v>
      </c>
      <c r="G115" s="427">
        <v>0</v>
      </c>
      <c r="H115" s="427">
        <v>0</v>
      </c>
      <c r="I115" s="427">
        <v>0</v>
      </c>
      <c r="J115" s="427">
        <v>0</v>
      </c>
      <c r="K115" s="427">
        <v>0</v>
      </c>
      <c r="L115" s="427">
        <v>0</v>
      </c>
      <c r="M115" s="427">
        <v>0</v>
      </c>
      <c r="N115" s="427">
        <v>0</v>
      </c>
      <c r="O115" s="427">
        <v>0</v>
      </c>
      <c r="P115" s="427">
        <v>0</v>
      </c>
      <c r="Q115" s="427">
        <v>0</v>
      </c>
      <c r="R115" s="427">
        <v>0</v>
      </c>
      <c r="S115" s="427">
        <v>0</v>
      </c>
      <c r="T115" s="427">
        <v>0</v>
      </c>
      <c r="U115" s="427">
        <v>0</v>
      </c>
      <c r="V115" s="427">
        <v>0</v>
      </c>
      <c r="W115" s="427">
        <v>0</v>
      </c>
      <c r="X115" s="427">
        <v>0</v>
      </c>
      <c r="Y115" s="427">
        <v>0</v>
      </c>
      <c r="Z115" s="427">
        <v>0</v>
      </c>
      <c r="AA115" s="427">
        <v>0</v>
      </c>
      <c r="AB115" s="427">
        <v>0</v>
      </c>
      <c r="AC115" s="427">
        <v>0</v>
      </c>
      <c r="AD115" s="427">
        <v>0</v>
      </c>
      <c r="AE115" s="427">
        <v>0</v>
      </c>
      <c r="AF115" s="427">
        <v>0</v>
      </c>
      <c r="AG115" s="427">
        <v>0</v>
      </c>
      <c r="AH115" s="427">
        <v>0</v>
      </c>
      <c r="AI115" s="427">
        <v>0</v>
      </c>
      <c r="AJ115" s="427">
        <v>0</v>
      </c>
      <c r="AK115" s="427">
        <v>0</v>
      </c>
      <c r="AL115" s="427">
        <v>0</v>
      </c>
      <c r="AM115" s="427">
        <v>0</v>
      </c>
      <c r="AN115" s="427">
        <v>0</v>
      </c>
      <c r="AO115" s="427">
        <v>0</v>
      </c>
      <c r="AP115" s="427">
        <v>0</v>
      </c>
      <c r="AQ115" s="427">
        <v>0</v>
      </c>
      <c r="AR115" s="427">
        <v>0</v>
      </c>
      <c r="AS115" s="427">
        <v>0</v>
      </c>
      <c r="AT115" s="427">
        <v>0</v>
      </c>
      <c r="AU115" s="427">
        <v>0</v>
      </c>
      <c r="AV115" s="427">
        <v>0</v>
      </c>
      <c r="AW115" s="427">
        <v>0</v>
      </c>
      <c r="AX115" s="427">
        <v>0</v>
      </c>
      <c r="AY115" s="427">
        <v>0</v>
      </c>
      <c r="AZ115" s="427">
        <v>0</v>
      </c>
      <c r="BA115" s="427">
        <v>0</v>
      </c>
      <c r="BB115" s="427">
        <v>0</v>
      </c>
      <c r="BC115" s="427">
        <v>0</v>
      </c>
      <c r="BD115" s="427">
        <v>0</v>
      </c>
      <c r="BE115" s="427">
        <v>0</v>
      </c>
      <c r="BF115" s="427">
        <v>0</v>
      </c>
      <c r="BG115" s="427">
        <v>0</v>
      </c>
      <c r="BH115" s="427">
        <v>0</v>
      </c>
      <c r="BI115" s="427">
        <v>0</v>
      </c>
      <c r="BJ115" s="427">
        <v>0</v>
      </c>
      <c r="BK115" s="427">
        <v>0</v>
      </c>
      <c r="BL115" s="427">
        <v>0</v>
      </c>
      <c r="BM115" s="427">
        <v>0</v>
      </c>
      <c r="BN115" s="427">
        <v>0</v>
      </c>
      <c r="BO115" s="427">
        <v>0</v>
      </c>
      <c r="BP115" s="427">
        <v>0</v>
      </c>
      <c r="BQ115" s="427">
        <v>0</v>
      </c>
      <c r="BR115" s="427">
        <v>0</v>
      </c>
      <c r="BS115" s="427">
        <v>0</v>
      </c>
      <c r="BT115" s="427">
        <v>0</v>
      </c>
      <c r="BU115" s="427">
        <v>0</v>
      </c>
      <c r="BV115" s="427">
        <v>0</v>
      </c>
      <c r="BW115" s="427">
        <v>0</v>
      </c>
      <c r="BX115" s="427">
        <v>0</v>
      </c>
      <c r="BY115" s="427">
        <v>0</v>
      </c>
      <c r="BZ115" s="427">
        <v>0</v>
      </c>
      <c r="CC115" s="21"/>
      <c r="CD115" s="437" t="s">
        <v>242</v>
      </c>
      <c r="CE115" s="433">
        <f t="shared" si="15"/>
        <v>0</v>
      </c>
      <c r="CF115" s="433">
        <f t="shared" si="16"/>
        <v>0</v>
      </c>
      <c r="CG115" s="433">
        <f t="shared" si="17"/>
        <v>0</v>
      </c>
      <c r="CH115" s="433">
        <f t="shared" si="18"/>
        <v>0</v>
      </c>
      <c r="CI115" s="433">
        <f t="shared" si="19"/>
        <v>0</v>
      </c>
      <c r="CJ115" s="433">
        <f t="shared" si="20"/>
        <v>0</v>
      </c>
      <c r="CK115" s="433">
        <f t="shared" si="21"/>
        <v>0</v>
      </c>
      <c r="CL115" s="433">
        <f t="shared" si="22"/>
        <v>0</v>
      </c>
      <c r="CM115" s="433">
        <f t="shared" si="23"/>
        <v>0</v>
      </c>
      <c r="CN115" s="433">
        <f t="shared" si="24"/>
        <v>0</v>
      </c>
      <c r="CO115" s="433">
        <f t="shared" si="25"/>
        <v>0</v>
      </c>
      <c r="CP115" s="433">
        <f t="shared" si="26"/>
        <v>0</v>
      </c>
      <c r="CQ115" s="433">
        <f t="shared" si="27"/>
        <v>0</v>
      </c>
      <c r="CR115" s="433">
        <f t="shared" si="28"/>
        <v>0</v>
      </c>
      <c r="CS115" s="433">
        <f t="shared" si="29"/>
        <v>0</v>
      </c>
      <c r="CT115" s="21"/>
    </row>
    <row r="116" spans="3:98" ht="24.75" hidden="1" customHeight="1" outlineLevel="3">
      <c r="C116" s="437" t="s">
        <v>243</v>
      </c>
      <c r="D116" s="427">
        <v>0</v>
      </c>
      <c r="E116" s="427">
        <v>0</v>
      </c>
      <c r="F116" s="427">
        <v>0</v>
      </c>
      <c r="G116" s="427">
        <v>0</v>
      </c>
      <c r="H116" s="427">
        <v>0</v>
      </c>
      <c r="I116" s="427">
        <v>0</v>
      </c>
      <c r="J116" s="427">
        <v>0</v>
      </c>
      <c r="K116" s="427">
        <v>0</v>
      </c>
      <c r="L116" s="427">
        <v>0</v>
      </c>
      <c r="M116" s="427">
        <v>0</v>
      </c>
      <c r="N116" s="427">
        <v>0</v>
      </c>
      <c r="O116" s="427">
        <v>0</v>
      </c>
      <c r="P116" s="427">
        <v>0</v>
      </c>
      <c r="Q116" s="427">
        <v>0</v>
      </c>
      <c r="R116" s="427">
        <v>0</v>
      </c>
      <c r="S116" s="427">
        <v>0</v>
      </c>
      <c r="T116" s="427">
        <v>0</v>
      </c>
      <c r="U116" s="427">
        <v>0</v>
      </c>
      <c r="V116" s="427">
        <v>0</v>
      </c>
      <c r="W116" s="427">
        <v>0</v>
      </c>
      <c r="X116" s="427">
        <v>0</v>
      </c>
      <c r="Y116" s="427">
        <v>0</v>
      </c>
      <c r="Z116" s="427">
        <v>0</v>
      </c>
      <c r="AA116" s="427">
        <v>0</v>
      </c>
      <c r="AB116" s="427">
        <v>0</v>
      </c>
      <c r="AC116" s="427">
        <v>0</v>
      </c>
      <c r="AD116" s="427">
        <v>0</v>
      </c>
      <c r="AE116" s="427">
        <v>0</v>
      </c>
      <c r="AF116" s="427">
        <v>0</v>
      </c>
      <c r="AG116" s="427">
        <v>0</v>
      </c>
      <c r="AH116" s="427">
        <v>0</v>
      </c>
      <c r="AI116" s="427">
        <v>0</v>
      </c>
      <c r="AJ116" s="427">
        <v>0</v>
      </c>
      <c r="AK116" s="427">
        <v>0</v>
      </c>
      <c r="AL116" s="427">
        <v>0</v>
      </c>
      <c r="AM116" s="427">
        <v>0</v>
      </c>
      <c r="AN116" s="427">
        <v>0</v>
      </c>
      <c r="AO116" s="427">
        <v>0</v>
      </c>
      <c r="AP116" s="427">
        <v>0</v>
      </c>
      <c r="AQ116" s="427">
        <v>0</v>
      </c>
      <c r="AR116" s="427">
        <v>0</v>
      </c>
      <c r="AS116" s="427">
        <v>0</v>
      </c>
      <c r="AT116" s="427">
        <v>0</v>
      </c>
      <c r="AU116" s="427">
        <v>0</v>
      </c>
      <c r="AV116" s="427">
        <v>0</v>
      </c>
      <c r="AW116" s="427">
        <v>0</v>
      </c>
      <c r="AX116" s="427">
        <v>0</v>
      </c>
      <c r="AY116" s="427">
        <v>0</v>
      </c>
      <c r="AZ116" s="427">
        <v>0</v>
      </c>
      <c r="BA116" s="427">
        <v>0</v>
      </c>
      <c r="BB116" s="427">
        <v>0</v>
      </c>
      <c r="BC116" s="427">
        <v>0</v>
      </c>
      <c r="BD116" s="427">
        <v>0</v>
      </c>
      <c r="BE116" s="427">
        <v>0</v>
      </c>
      <c r="BF116" s="427">
        <v>0</v>
      </c>
      <c r="BG116" s="427">
        <v>0</v>
      </c>
      <c r="BH116" s="427">
        <v>0</v>
      </c>
      <c r="BI116" s="427">
        <v>0</v>
      </c>
      <c r="BJ116" s="427">
        <v>0</v>
      </c>
      <c r="BK116" s="427">
        <v>0</v>
      </c>
      <c r="BL116" s="427">
        <v>0</v>
      </c>
      <c r="BM116" s="427">
        <v>0</v>
      </c>
      <c r="BN116" s="427">
        <v>0</v>
      </c>
      <c r="BO116" s="427">
        <v>0</v>
      </c>
      <c r="BP116" s="427">
        <v>0</v>
      </c>
      <c r="BQ116" s="427">
        <v>0</v>
      </c>
      <c r="BR116" s="427">
        <v>0</v>
      </c>
      <c r="BS116" s="427">
        <v>0</v>
      </c>
      <c r="BT116" s="427">
        <v>0</v>
      </c>
      <c r="BU116" s="427">
        <v>0</v>
      </c>
      <c r="BV116" s="427">
        <v>0</v>
      </c>
      <c r="BW116" s="427">
        <v>0</v>
      </c>
      <c r="BX116" s="427">
        <v>0</v>
      </c>
      <c r="BY116" s="427">
        <v>0</v>
      </c>
      <c r="BZ116" s="427">
        <v>0</v>
      </c>
      <c r="CC116" s="21"/>
      <c r="CD116" s="437" t="s">
        <v>243</v>
      </c>
      <c r="CE116" s="433">
        <f t="shared" si="15"/>
        <v>0</v>
      </c>
      <c r="CF116" s="433">
        <f t="shared" si="16"/>
        <v>0</v>
      </c>
      <c r="CG116" s="433">
        <f t="shared" si="17"/>
        <v>0</v>
      </c>
      <c r="CH116" s="433">
        <f t="shared" si="18"/>
        <v>0</v>
      </c>
      <c r="CI116" s="433">
        <f t="shared" si="19"/>
        <v>0</v>
      </c>
      <c r="CJ116" s="433">
        <f t="shared" si="20"/>
        <v>0</v>
      </c>
      <c r="CK116" s="433">
        <f t="shared" si="21"/>
        <v>0</v>
      </c>
      <c r="CL116" s="433">
        <f t="shared" si="22"/>
        <v>0</v>
      </c>
      <c r="CM116" s="433">
        <f t="shared" si="23"/>
        <v>0</v>
      </c>
      <c r="CN116" s="433">
        <f t="shared" si="24"/>
        <v>0</v>
      </c>
      <c r="CO116" s="433">
        <f t="shared" si="25"/>
        <v>0</v>
      </c>
      <c r="CP116" s="433">
        <f t="shared" si="26"/>
        <v>0</v>
      </c>
      <c r="CQ116" s="433">
        <f t="shared" si="27"/>
        <v>0</v>
      </c>
      <c r="CR116" s="433">
        <f t="shared" si="28"/>
        <v>0</v>
      </c>
      <c r="CS116" s="433">
        <f t="shared" si="29"/>
        <v>0</v>
      </c>
      <c r="CT116" s="21"/>
    </row>
    <row r="117" spans="3:98" ht="24.75" hidden="1" customHeight="1" outlineLevel="2">
      <c r="C117" s="426" t="s">
        <v>241</v>
      </c>
      <c r="D117" s="427">
        <v>0</v>
      </c>
      <c r="E117" s="427">
        <v>0</v>
      </c>
      <c r="F117" s="427">
        <v>0</v>
      </c>
      <c r="G117" s="427">
        <v>0</v>
      </c>
      <c r="H117" s="427">
        <v>0</v>
      </c>
      <c r="I117" s="427">
        <v>0</v>
      </c>
      <c r="J117" s="427">
        <v>0</v>
      </c>
      <c r="K117" s="427">
        <v>0</v>
      </c>
      <c r="L117" s="427">
        <v>0</v>
      </c>
      <c r="M117" s="427">
        <v>0</v>
      </c>
      <c r="N117" s="427">
        <v>0</v>
      </c>
      <c r="O117" s="427">
        <v>0</v>
      </c>
      <c r="P117" s="427">
        <v>0</v>
      </c>
      <c r="Q117" s="427">
        <v>0</v>
      </c>
      <c r="R117" s="427">
        <v>0</v>
      </c>
      <c r="S117" s="427">
        <v>0</v>
      </c>
      <c r="T117" s="427">
        <v>0</v>
      </c>
      <c r="U117" s="427">
        <v>0</v>
      </c>
      <c r="V117" s="427">
        <v>0</v>
      </c>
      <c r="W117" s="427">
        <v>0</v>
      </c>
      <c r="X117" s="427">
        <v>0</v>
      </c>
      <c r="Y117" s="427">
        <v>0</v>
      </c>
      <c r="Z117" s="427">
        <v>0</v>
      </c>
      <c r="AA117" s="427">
        <v>0</v>
      </c>
      <c r="AB117" s="427">
        <v>0</v>
      </c>
      <c r="AC117" s="427">
        <v>0</v>
      </c>
      <c r="AD117" s="427">
        <v>0</v>
      </c>
      <c r="AE117" s="427">
        <v>0</v>
      </c>
      <c r="AF117" s="427">
        <v>0</v>
      </c>
      <c r="AG117" s="427">
        <v>0</v>
      </c>
      <c r="AH117" s="427">
        <v>0</v>
      </c>
      <c r="AI117" s="427">
        <v>0</v>
      </c>
      <c r="AJ117" s="427">
        <v>0</v>
      </c>
      <c r="AK117" s="427">
        <v>0</v>
      </c>
      <c r="AL117" s="427">
        <v>0</v>
      </c>
      <c r="AM117" s="427">
        <v>0</v>
      </c>
      <c r="AN117" s="427">
        <v>0</v>
      </c>
      <c r="AO117" s="427">
        <v>0</v>
      </c>
      <c r="AP117" s="427">
        <v>0</v>
      </c>
      <c r="AQ117" s="427">
        <v>0</v>
      </c>
      <c r="AR117" s="427">
        <v>0</v>
      </c>
      <c r="AS117" s="427">
        <v>0</v>
      </c>
      <c r="AT117" s="427">
        <v>0</v>
      </c>
      <c r="AU117" s="427">
        <v>0</v>
      </c>
      <c r="AV117" s="427">
        <v>0</v>
      </c>
      <c r="AW117" s="427">
        <v>0</v>
      </c>
      <c r="AX117" s="427">
        <v>0</v>
      </c>
      <c r="AY117" s="427">
        <v>0</v>
      </c>
      <c r="AZ117" s="427">
        <v>0</v>
      </c>
      <c r="BA117" s="427">
        <v>0</v>
      </c>
      <c r="BB117" s="427">
        <v>0</v>
      </c>
      <c r="BC117" s="427">
        <v>0</v>
      </c>
      <c r="BD117" s="427">
        <v>0</v>
      </c>
      <c r="BE117" s="427">
        <v>0</v>
      </c>
      <c r="BF117" s="427">
        <v>0</v>
      </c>
      <c r="BG117" s="427">
        <v>0</v>
      </c>
      <c r="BH117" s="427">
        <v>0</v>
      </c>
      <c r="BI117" s="427">
        <v>0</v>
      </c>
      <c r="BJ117" s="427">
        <v>0</v>
      </c>
      <c r="BK117" s="427">
        <v>0</v>
      </c>
      <c r="BL117" s="427">
        <v>0</v>
      </c>
      <c r="BM117" s="427">
        <v>0</v>
      </c>
      <c r="BN117" s="427">
        <v>0</v>
      </c>
      <c r="BO117" s="427">
        <v>0</v>
      </c>
      <c r="BP117" s="427">
        <v>0</v>
      </c>
      <c r="BQ117" s="427">
        <v>0</v>
      </c>
      <c r="BR117" s="427">
        <v>0</v>
      </c>
      <c r="BS117" s="427">
        <v>0</v>
      </c>
      <c r="BT117" s="427">
        <v>0</v>
      </c>
      <c r="BU117" s="427">
        <v>0</v>
      </c>
      <c r="BV117" s="427">
        <v>0</v>
      </c>
      <c r="BW117" s="427">
        <v>0</v>
      </c>
      <c r="BX117" s="427">
        <v>0</v>
      </c>
      <c r="BY117" s="427">
        <v>0</v>
      </c>
      <c r="BZ117" s="427">
        <v>0</v>
      </c>
      <c r="CC117" s="21"/>
      <c r="CD117" s="426" t="s">
        <v>241</v>
      </c>
      <c r="CE117" s="433">
        <f t="shared" si="15"/>
        <v>0</v>
      </c>
      <c r="CF117" s="433">
        <f t="shared" si="16"/>
        <v>0</v>
      </c>
      <c r="CG117" s="433">
        <f t="shared" si="17"/>
        <v>0</v>
      </c>
      <c r="CH117" s="433">
        <f t="shared" si="18"/>
        <v>0</v>
      </c>
      <c r="CI117" s="433">
        <f t="shared" si="19"/>
        <v>0</v>
      </c>
      <c r="CJ117" s="433">
        <f t="shared" si="20"/>
        <v>0</v>
      </c>
      <c r="CK117" s="433">
        <f t="shared" si="21"/>
        <v>0</v>
      </c>
      <c r="CL117" s="433">
        <f t="shared" si="22"/>
        <v>0</v>
      </c>
      <c r="CM117" s="433">
        <f t="shared" si="23"/>
        <v>0</v>
      </c>
      <c r="CN117" s="433">
        <f t="shared" si="24"/>
        <v>0</v>
      </c>
      <c r="CO117" s="433">
        <f t="shared" si="25"/>
        <v>0</v>
      </c>
      <c r="CP117" s="433">
        <f t="shared" si="26"/>
        <v>0</v>
      </c>
      <c r="CQ117" s="433">
        <f t="shared" si="27"/>
        <v>0</v>
      </c>
      <c r="CR117" s="433">
        <f t="shared" si="28"/>
        <v>0</v>
      </c>
      <c r="CS117" s="433">
        <f t="shared" si="29"/>
        <v>0</v>
      </c>
      <c r="CT117" s="21"/>
    </row>
    <row r="118" spans="3:98" ht="24.75" hidden="1" customHeight="1" outlineLevel="1">
      <c r="C118" s="424" t="s">
        <v>231</v>
      </c>
      <c r="D118" s="427">
        <v>0</v>
      </c>
      <c r="E118" s="427">
        <v>0</v>
      </c>
      <c r="F118" s="427">
        <v>0</v>
      </c>
      <c r="G118" s="427">
        <v>0</v>
      </c>
      <c r="H118" s="427">
        <v>0</v>
      </c>
      <c r="I118" s="427">
        <v>0</v>
      </c>
      <c r="J118" s="427">
        <v>0</v>
      </c>
      <c r="K118" s="427">
        <v>0</v>
      </c>
      <c r="L118" s="427">
        <v>0</v>
      </c>
      <c r="M118" s="427">
        <v>0</v>
      </c>
      <c r="N118" s="427">
        <v>0</v>
      </c>
      <c r="O118" s="427">
        <v>0</v>
      </c>
      <c r="P118" s="427">
        <v>0</v>
      </c>
      <c r="Q118" s="427">
        <v>0</v>
      </c>
      <c r="R118" s="427">
        <v>0</v>
      </c>
      <c r="S118" s="427">
        <v>0</v>
      </c>
      <c r="T118" s="427">
        <v>0</v>
      </c>
      <c r="U118" s="427">
        <v>0</v>
      </c>
      <c r="V118" s="427">
        <v>0</v>
      </c>
      <c r="W118" s="427">
        <v>0</v>
      </c>
      <c r="X118" s="427">
        <v>0</v>
      </c>
      <c r="Y118" s="427">
        <v>0</v>
      </c>
      <c r="Z118" s="427">
        <v>0</v>
      </c>
      <c r="AA118" s="427">
        <v>0</v>
      </c>
      <c r="AB118" s="427">
        <v>0</v>
      </c>
      <c r="AC118" s="427">
        <v>0</v>
      </c>
      <c r="AD118" s="427">
        <v>0</v>
      </c>
      <c r="AE118" s="427">
        <v>0</v>
      </c>
      <c r="AF118" s="427">
        <v>0</v>
      </c>
      <c r="AG118" s="427">
        <v>0</v>
      </c>
      <c r="AH118" s="427">
        <v>0</v>
      </c>
      <c r="AI118" s="427">
        <v>0</v>
      </c>
      <c r="AJ118" s="427">
        <v>0</v>
      </c>
      <c r="AK118" s="427">
        <v>0</v>
      </c>
      <c r="AL118" s="427">
        <v>0</v>
      </c>
      <c r="AM118" s="427">
        <v>0</v>
      </c>
      <c r="AN118" s="427">
        <v>0</v>
      </c>
      <c r="AO118" s="427">
        <v>0</v>
      </c>
      <c r="AP118" s="427">
        <v>0</v>
      </c>
      <c r="AQ118" s="427">
        <v>0</v>
      </c>
      <c r="AR118" s="427">
        <v>0</v>
      </c>
      <c r="AS118" s="427">
        <v>0</v>
      </c>
      <c r="AT118" s="427">
        <v>0</v>
      </c>
      <c r="AU118" s="427">
        <v>0</v>
      </c>
      <c r="AV118" s="427">
        <v>0</v>
      </c>
      <c r="AW118" s="427">
        <v>0</v>
      </c>
      <c r="AX118" s="427">
        <v>0</v>
      </c>
      <c r="AY118" s="427">
        <v>0</v>
      </c>
      <c r="AZ118" s="427">
        <v>0</v>
      </c>
      <c r="BA118" s="427">
        <v>0</v>
      </c>
      <c r="BB118" s="427">
        <v>0</v>
      </c>
      <c r="BC118" s="427">
        <v>0</v>
      </c>
      <c r="BD118" s="427">
        <v>0</v>
      </c>
      <c r="BE118" s="427">
        <v>0</v>
      </c>
      <c r="BF118" s="427">
        <v>-13.244</v>
      </c>
      <c r="BG118" s="427">
        <v>0</v>
      </c>
      <c r="BH118" s="427">
        <v>0</v>
      </c>
      <c r="BI118" s="427">
        <v>0</v>
      </c>
      <c r="BJ118" s="427">
        <v>-29.506</v>
      </c>
      <c r="BK118" s="427">
        <v>-29.506</v>
      </c>
      <c r="BL118" s="427">
        <v>0</v>
      </c>
      <c r="BM118" s="427">
        <v>-43.109000000000002</v>
      </c>
      <c r="BN118" s="427">
        <v>-55.365000000000002</v>
      </c>
      <c r="BO118" s="427">
        <v>-73.159000000000006</v>
      </c>
      <c r="BP118" s="427">
        <v>-73.159000000000006</v>
      </c>
      <c r="BQ118" s="427">
        <v>-99.040999999999997</v>
      </c>
      <c r="BR118" s="427">
        <v>-124.425</v>
      </c>
      <c r="BS118" s="427">
        <v>-152.16300000000001</v>
      </c>
      <c r="BT118" s="427">
        <v>-176.58</v>
      </c>
      <c r="BU118" s="427">
        <v>-176.58</v>
      </c>
      <c r="BV118" s="427">
        <v>-196.24</v>
      </c>
      <c r="BW118" s="427">
        <v>-217.797</v>
      </c>
      <c r="BX118" s="427">
        <v>-170.196</v>
      </c>
      <c r="BY118" s="427">
        <v>0</v>
      </c>
      <c r="BZ118" s="427">
        <v>0</v>
      </c>
      <c r="CC118" s="21"/>
      <c r="CD118" s="424" t="s">
        <v>231</v>
      </c>
      <c r="CE118" s="433">
        <f t="shared" si="15"/>
        <v>0</v>
      </c>
      <c r="CF118" s="433">
        <f t="shared" si="16"/>
        <v>0</v>
      </c>
      <c r="CG118" s="433">
        <f t="shared" si="17"/>
        <v>0</v>
      </c>
      <c r="CH118" s="433">
        <f t="shared" si="18"/>
        <v>0</v>
      </c>
      <c r="CI118" s="433">
        <f t="shared" si="19"/>
        <v>0</v>
      </c>
      <c r="CJ118" s="433">
        <f t="shared" si="20"/>
        <v>0</v>
      </c>
      <c r="CK118" s="433">
        <f t="shared" si="21"/>
        <v>0</v>
      </c>
      <c r="CL118" s="433">
        <f t="shared" si="22"/>
        <v>0</v>
      </c>
      <c r="CM118" s="433">
        <f t="shared" si="23"/>
        <v>0</v>
      </c>
      <c r="CN118" s="433">
        <f t="shared" si="24"/>
        <v>0</v>
      </c>
      <c r="CO118" s="433">
        <f t="shared" si="25"/>
        <v>-13.244</v>
      </c>
      <c r="CP118" s="433">
        <f t="shared" si="26"/>
        <v>-29.506</v>
      </c>
      <c r="CQ118" s="433">
        <f t="shared" si="27"/>
        <v>-73.159000000000006</v>
      </c>
      <c r="CR118" s="433">
        <f t="shared" si="28"/>
        <v>-176.58</v>
      </c>
      <c r="CS118" s="433">
        <f t="shared" si="29"/>
        <v>0</v>
      </c>
      <c r="CT118" s="21"/>
    </row>
    <row r="119" spans="3:98" ht="24.75" customHeight="1" collapsed="1">
      <c r="C119" s="415" t="s">
        <v>223</v>
      </c>
      <c r="D119" s="427">
        <v>0</v>
      </c>
      <c r="E119" s="427">
        <v>0</v>
      </c>
      <c r="F119" s="427">
        <v>0</v>
      </c>
      <c r="G119" s="427">
        <v>0</v>
      </c>
      <c r="H119" s="427">
        <v>0</v>
      </c>
      <c r="I119" s="427">
        <v>0</v>
      </c>
      <c r="J119" s="427">
        <v>0</v>
      </c>
      <c r="K119" s="427">
        <v>0</v>
      </c>
      <c r="L119" s="427">
        <v>0</v>
      </c>
      <c r="M119" s="427">
        <v>0</v>
      </c>
      <c r="N119" s="427">
        <v>0</v>
      </c>
      <c r="O119" s="427">
        <v>0</v>
      </c>
      <c r="P119" s="427">
        <v>0</v>
      </c>
      <c r="Q119" s="427">
        <v>0</v>
      </c>
      <c r="R119" s="427">
        <v>0</v>
      </c>
      <c r="S119" s="427">
        <v>0</v>
      </c>
      <c r="T119" s="427">
        <v>0</v>
      </c>
      <c r="U119" s="427">
        <v>0</v>
      </c>
      <c r="V119" s="427">
        <v>0</v>
      </c>
      <c r="W119" s="427">
        <v>0</v>
      </c>
      <c r="X119" s="427">
        <v>0</v>
      </c>
      <c r="Y119" s="427">
        <v>0</v>
      </c>
      <c r="Z119" s="427">
        <v>0</v>
      </c>
      <c r="AA119" s="427">
        <v>0</v>
      </c>
      <c r="AB119" s="427">
        <v>0</v>
      </c>
      <c r="AC119" s="427">
        <v>0</v>
      </c>
      <c r="AD119" s="427">
        <v>0</v>
      </c>
      <c r="AE119" s="427">
        <v>0</v>
      </c>
      <c r="AF119" s="427">
        <v>0</v>
      </c>
      <c r="AG119" s="427">
        <v>0</v>
      </c>
      <c r="AH119" s="427">
        <v>0</v>
      </c>
      <c r="AI119" s="427">
        <v>0</v>
      </c>
      <c r="AJ119" s="427">
        <v>0</v>
      </c>
      <c r="AK119" s="427">
        <v>0</v>
      </c>
      <c r="AL119" s="427">
        <v>0</v>
      </c>
      <c r="AM119" s="427">
        <v>0</v>
      </c>
      <c r="AN119" s="427">
        <v>0</v>
      </c>
      <c r="AO119" s="427">
        <v>0</v>
      </c>
      <c r="AP119" s="427">
        <v>0</v>
      </c>
      <c r="AQ119" s="427">
        <v>0</v>
      </c>
      <c r="AR119" s="427">
        <v>0</v>
      </c>
      <c r="AS119" s="427">
        <v>0</v>
      </c>
      <c r="AT119" s="427">
        <v>0</v>
      </c>
      <c r="AU119" s="427">
        <v>0</v>
      </c>
      <c r="AV119" s="427">
        <v>0</v>
      </c>
      <c r="AW119" s="427">
        <v>0</v>
      </c>
      <c r="AX119" s="427">
        <v>0</v>
      </c>
      <c r="AY119" s="427">
        <v>0</v>
      </c>
      <c r="AZ119" s="427">
        <v>0</v>
      </c>
      <c r="BA119" s="427">
        <v>0</v>
      </c>
      <c r="BB119" s="427">
        <v>0</v>
      </c>
      <c r="BC119" s="427">
        <v>0</v>
      </c>
      <c r="BD119" s="427">
        <v>0</v>
      </c>
      <c r="BE119" s="427">
        <v>0</v>
      </c>
      <c r="BF119" s="427">
        <v>124.833</v>
      </c>
      <c r="BG119" s="427">
        <v>0</v>
      </c>
      <c r="BH119" s="427">
        <v>0</v>
      </c>
      <c r="BI119" s="427">
        <v>0</v>
      </c>
      <c r="BJ119" s="427">
        <v>454.13099999999997</v>
      </c>
      <c r="BK119" s="427">
        <v>454.13099999999997</v>
      </c>
      <c r="BL119" s="427">
        <v>574.41099999999994</v>
      </c>
      <c r="BM119" s="427">
        <v>621.14800000000002</v>
      </c>
      <c r="BN119" s="427">
        <v>709.60299999999995</v>
      </c>
      <c r="BO119" s="427">
        <v>802.447</v>
      </c>
      <c r="BP119" s="427">
        <v>802.447</v>
      </c>
      <c r="BQ119" s="427">
        <v>1299.3040000000001</v>
      </c>
      <c r="BR119" s="427">
        <v>1263.414</v>
      </c>
      <c r="BS119" s="427">
        <v>1858.6479999999999</v>
      </c>
      <c r="BT119" s="427">
        <v>1209.335</v>
      </c>
      <c r="BU119" s="427">
        <v>1209.335</v>
      </c>
      <c r="BV119" s="427">
        <v>1269.3620000000001</v>
      </c>
      <c r="BW119" s="427">
        <v>1247.8040000000001</v>
      </c>
      <c r="BX119" s="427">
        <v>1234.605</v>
      </c>
      <c r="BY119" s="427">
        <v>0</v>
      </c>
      <c r="BZ119" s="427">
        <v>0</v>
      </c>
      <c r="CC119" s="21"/>
      <c r="CD119" s="415" t="s">
        <v>223</v>
      </c>
      <c r="CE119" s="433">
        <f t="shared" si="15"/>
        <v>0</v>
      </c>
      <c r="CF119" s="433">
        <f t="shared" si="16"/>
        <v>0</v>
      </c>
      <c r="CG119" s="433">
        <f t="shared" si="17"/>
        <v>0</v>
      </c>
      <c r="CH119" s="433">
        <f t="shared" si="18"/>
        <v>0</v>
      </c>
      <c r="CI119" s="433">
        <f t="shared" si="19"/>
        <v>0</v>
      </c>
      <c r="CJ119" s="433">
        <f t="shared" si="20"/>
        <v>0</v>
      </c>
      <c r="CK119" s="433">
        <f t="shared" si="21"/>
        <v>0</v>
      </c>
      <c r="CL119" s="433">
        <f t="shared" si="22"/>
        <v>0</v>
      </c>
      <c r="CM119" s="433">
        <f t="shared" si="23"/>
        <v>0</v>
      </c>
      <c r="CN119" s="433">
        <f t="shared" si="24"/>
        <v>0</v>
      </c>
      <c r="CO119" s="433">
        <f t="shared" si="25"/>
        <v>124.833</v>
      </c>
      <c r="CP119" s="433">
        <f t="shared" si="26"/>
        <v>454.13099999999997</v>
      </c>
      <c r="CQ119" s="433">
        <f t="shared" si="27"/>
        <v>802.447</v>
      </c>
      <c r="CR119" s="433">
        <f t="shared" si="28"/>
        <v>1209.335</v>
      </c>
      <c r="CS119" s="433">
        <f t="shared" si="29"/>
        <v>0</v>
      </c>
      <c r="CT119" s="21"/>
    </row>
    <row r="120" spans="3:98" ht="24.75" hidden="1" customHeight="1" outlineLevel="1" collapsed="1">
      <c r="C120" s="424" t="s">
        <v>245</v>
      </c>
      <c r="D120" s="427">
        <v>0</v>
      </c>
      <c r="E120" s="427">
        <v>0</v>
      </c>
      <c r="F120" s="427">
        <v>0</v>
      </c>
      <c r="G120" s="427">
        <v>0</v>
      </c>
      <c r="H120" s="427">
        <v>0</v>
      </c>
      <c r="I120" s="427">
        <v>0</v>
      </c>
      <c r="J120" s="427">
        <v>0</v>
      </c>
      <c r="K120" s="427">
        <v>0</v>
      </c>
      <c r="L120" s="427">
        <v>0</v>
      </c>
      <c r="M120" s="427">
        <v>0</v>
      </c>
      <c r="N120" s="427">
        <v>0</v>
      </c>
      <c r="O120" s="427">
        <v>0</v>
      </c>
      <c r="P120" s="427">
        <v>0</v>
      </c>
      <c r="Q120" s="427">
        <v>0</v>
      </c>
      <c r="R120" s="427">
        <v>0</v>
      </c>
      <c r="S120" s="427">
        <v>0</v>
      </c>
      <c r="T120" s="427">
        <v>0</v>
      </c>
      <c r="U120" s="427">
        <v>0</v>
      </c>
      <c r="V120" s="427">
        <v>0</v>
      </c>
      <c r="W120" s="427">
        <v>0</v>
      </c>
      <c r="X120" s="427">
        <v>0</v>
      </c>
      <c r="Y120" s="427">
        <v>0</v>
      </c>
      <c r="Z120" s="427">
        <v>0</v>
      </c>
      <c r="AA120" s="427">
        <v>0</v>
      </c>
      <c r="AB120" s="427">
        <v>0</v>
      </c>
      <c r="AC120" s="427">
        <v>0</v>
      </c>
      <c r="AD120" s="427">
        <v>0</v>
      </c>
      <c r="AE120" s="427">
        <v>0</v>
      </c>
      <c r="AF120" s="427">
        <v>0</v>
      </c>
      <c r="AG120" s="427">
        <v>0</v>
      </c>
      <c r="AH120" s="427">
        <v>0</v>
      </c>
      <c r="AI120" s="427">
        <v>0</v>
      </c>
      <c r="AJ120" s="427">
        <v>0</v>
      </c>
      <c r="AK120" s="427">
        <v>0</v>
      </c>
      <c r="AL120" s="427">
        <v>0</v>
      </c>
      <c r="AM120" s="427">
        <v>0</v>
      </c>
      <c r="AN120" s="427">
        <v>0</v>
      </c>
      <c r="AO120" s="427">
        <v>0</v>
      </c>
      <c r="AP120" s="427">
        <v>0</v>
      </c>
      <c r="AQ120" s="427">
        <v>0</v>
      </c>
      <c r="AR120" s="427">
        <v>0</v>
      </c>
      <c r="AS120" s="427">
        <v>0</v>
      </c>
      <c r="AT120" s="427">
        <v>0</v>
      </c>
      <c r="AU120" s="427">
        <v>0</v>
      </c>
      <c r="AV120" s="427">
        <v>0</v>
      </c>
      <c r="AW120" s="427">
        <v>0</v>
      </c>
      <c r="AX120" s="427">
        <v>0</v>
      </c>
      <c r="AY120" s="427">
        <v>0</v>
      </c>
      <c r="AZ120" s="427">
        <v>0</v>
      </c>
      <c r="BA120" s="427">
        <v>0</v>
      </c>
      <c r="BB120" s="427">
        <v>0</v>
      </c>
      <c r="BC120" s="427">
        <v>0</v>
      </c>
      <c r="BD120" s="427">
        <v>0</v>
      </c>
      <c r="BE120" s="427">
        <v>0</v>
      </c>
      <c r="BF120" s="427">
        <v>0</v>
      </c>
      <c r="BG120" s="427">
        <v>0</v>
      </c>
      <c r="BH120" s="427">
        <v>0</v>
      </c>
      <c r="BI120" s="427">
        <v>0</v>
      </c>
      <c r="BJ120" s="427">
        <v>0</v>
      </c>
      <c r="BK120" s="427">
        <v>0</v>
      </c>
      <c r="BL120" s="427">
        <v>0</v>
      </c>
      <c r="BM120" s="427">
        <v>0</v>
      </c>
      <c r="BN120" s="427">
        <v>0</v>
      </c>
      <c r="BO120" s="427">
        <v>0</v>
      </c>
      <c r="BP120" s="427">
        <v>0</v>
      </c>
      <c r="BQ120" s="427">
        <v>0</v>
      </c>
      <c r="BR120" s="427">
        <v>0</v>
      </c>
      <c r="BS120" s="427">
        <v>0</v>
      </c>
      <c r="BT120" s="427">
        <v>0</v>
      </c>
      <c r="BU120" s="427">
        <v>0</v>
      </c>
      <c r="BV120" s="427">
        <v>0</v>
      </c>
      <c r="BW120" s="427">
        <v>0</v>
      </c>
      <c r="BX120" s="427">
        <v>0</v>
      </c>
      <c r="BY120" s="427">
        <v>0</v>
      </c>
      <c r="BZ120" s="427">
        <v>0</v>
      </c>
      <c r="CC120" s="21"/>
      <c r="CD120" s="424" t="s">
        <v>245</v>
      </c>
      <c r="CE120" s="433">
        <f t="shared" si="15"/>
        <v>0</v>
      </c>
      <c r="CF120" s="433">
        <f t="shared" si="16"/>
        <v>0</v>
      </c>
      <c r="CG120" s="433">
        <f t="shared" si="17"/>
        <v>0</v>
      </c>
      <c r="CH120" s="433">
        <f t="shared" si="18"/>
        <v>0</v>
      </c>
      <c r="CI120" s="433">
        <f t="shared" si="19"/>
        <v>0</v>
      </c>
      <c r="CJ120" s="433">
        <f t="shared" si="20"/>
        <v>0</v>
      </c>
      <c r="CK120" s="433">
        <f t="shared" si="21"/>
        <v>0</v>
      </c>
      <c r="CL120" s="433">
        <f t="shared" si="22"/>
        <v>0</v>
      </c>
      <c r="CM120" s="433">
        <f t="shared" si="23"/>
        <v>0</v>
      </c>
      <c r="CN120" s="433">
        <f t="shared" si="24"/>
        <v>0</v>
      </c>
      <c r="CO120" s="433">
        <f t="shared" si="25"/>
        <v>0</v>
      </c>
      <c r="CP120" s="433">
        <f t="shared" si="26"/>
        <v>0</v>
      </c>
      <c r="CQ120" s="433">
        <f t="shared" si="27"/>
        <v>0</v>
      </c>
      <c r="CR120" s="433">
        <f t="shared" si="28"/>
        <v>0</v>
      </c>
      <c r="CS120" s="433">
        <f t="shared" si="29"/>
        <v>0</v>
      </c>
      <c r="CT120" s="21"/>
    </row>
    <row r="121" spans="3:98" ht="24.75" hidden="1" customHeight="1" outlineLevel="1">
      <c r="C121" s="424" t="s">
        <v>246</v>
      </c>
      <c r="D121" s="427">
        <v>0</v>
      </c>
      <c r="E121" s="427">
        <v>0</v>
      </c>
      <c r="F121" s="427">
        <v>0</v>
      </c>
      <c r="G121" s="427">
        <v>0</v>
      </c>
      <c r="H121" s="427">
        <v>0</v>
      </c>
      <c r="I121" s="427">
        <v>0</v>
      </c>
      <c r="J121" s="427">
        <v>0</v>
      </c>
      <c r="K121" s="427">
        <v>0</v>
      </c>
      <c r="L121" s="427">
        <v>0</v>
      </c>
      <c r="M121" s="427">
        <v>0</v>
      </c>
      <c r="N121" s="427">
        <v>0</v>
      </c>
      <c r="O121" s="427">
        <v>0</v>
      </c>
      <c r="P121" s="427">
        <v>0</v>
      </c>
      <c r="Q121" s="427">
        <v>0</v>
      </c>
      <c r="R121" s="427">
        <v>0</v>
      </c>
      <c r="S121" s="427">
        <v>0</v>
      </c>
      <c r="T121" s="427">
        <v>0</v>
      </c>
      <c r="U121" s="427">
        <v>0</v>
      </c>
      <c r="V121" s="427">
        <v>0</v>
      </c>
      <c r="W121" s="427">
        <v>0</v>
      </c>
      <c r="X121" s="427">
        <v>0</v>
      </c>
      <c r="Y121" s="427">
        <v>0</v>
      </c>
      <c r="Z121" s="427">
        <v>0</v>
      </c>
      <c r="AA121" s="427">
        <v>0</v>
      </c>
      <c r="AB121" s="427">
        <v>0</v>
      </c>
      <c r="AC121" s="427">
        <v>0</v>
      </c>
      <c r="AD121" s="427">
        <v>0</v>
      </c>
      <c r="AE121" s="427">
        <v>0</v>
      </c>
      <c r="AF121" s="427">
        <v>0</v>
      </c>
      <c r="AG121" s="427">
        <v>0</v>
      </c>
      <c r="AH121" s="427">
        <v>0</v>
      </c>
      <c r="AI121" s="427">
        <v>0</v>
      </c>
      <c r="AJ121" s="427">
        <v>0</v>
      </c>
      <c r="AK121" s="427">
        <v>0</v>
      </c>
      <c r="AL121" s="427">
        <v>0</v>
      </c>
      <c r="AM121" s="427">
        <v>0</v>
      </c>
      <c r="AN121" s="427">
        <v>0</v>
      </c>
      <c r="AO121" s="427">
        <v>0</v>
      </c>
      <c r="AP121" s="427">
        <v>0</v>
      </c>
      <c r="AQ121" s="427">
        <v>0</v>
      </c>
      <c r="AR121" s="427">
        <v>0</v>
      </c>
      <c r="AS121" s="427">
        <v>0</v>
      </c>
      <c r="AT121" s="427">
        <v>0</v>
      </c>
      <c r="AU121" s="427">
        <v>0</v>
      </c>
      <c r="AV121" s="427">
        <v>0</v>
      </c>
      <c r="AW121" s="427">
        <v>0</v>
      </c>
      <c r="AX121" s="427">
        <v>0</v>
      </c>
      <c r="AY121" s="427">
        <v>0</v>
      </c>
      <c r="AZ121" s="427">
        <v>0</v>
      </c>
      <c r="BA121" s="427">
        <v>0</v>
      </c>
      <c r="BB121" s="427">
        <v>0</v>
      </c>
      <c r="BC121" s="427">
        <v>0</v>
      </c>
      <c r="BD121" s="427">
        <v>0</v>
      </c>
      <c r="BE121" s="427">
        <v>0</v>
      </c>
      <c r="BF121" s="427">
        <v>0</v>
      </c>
      <c r="BG121" s="427">
        <v>0</v>
      </c>
      <c r="BH121" s="427">
        <v>0</v>
      </c>
      <c r="BI121" s="427">
        <v>0</v>
      </c>
      <c r="BJ121" s="427">
        <v>0</v>
      </c>
      <c r="BK121" s="427">
        <v>0</v>
      </c>
      <c r="BL121" s="427">
        <v>0</v>
      </c>
      <c r="BM121" s="427">
        <v>0</v>
      </c>
      <c r="BN121" s="427">
        <v>0</v>
      </c>
      <c r="BO121" s="427">
        <v>0</v>
      </c>
      <c r="BP121" s="427">
        <v>0</v>
      </c>
      <c r="BQ121" s="427">
        <v>0</v>
      </c>
      <c r="BR121" s="427">
        <v>0</v>
      </c>
      <c r="BS121" s="427">
        <v>0</v>
      </c>
      <c r="BT121" s="427">
        <v>0</v>
      </c>
      <c r="BU121" s="427">
        <v>0</v>
      </c>
      <c r="BV121" s="427">
        <v>0</v>
      </c>
      <c r="BW121" s="427">
        <v>0</v>
      </c>
      <c r="BX121" s="427">
        <v>0</v>
      </c>
      <c r="BY121" s="427">
        <v>0</v>
      </c>
      <c r="BZ121" s="427">
        <v>0</v>
      </c>
      <c r="CC121" s="21"/>
      <c r="CD121" s="424" t="s">
        <v>246</v>
      </c>
      <c r="CE121" s="433">
        <f t="shared" si="15"/>
        <v>0</v>
      </c>
      <c r="CF121" s="433">
        <f t="shared" si="16"/>
        <v>0</v>
      </c>
      <c r="CG121" s="433">
        <f t="shared" si="17"/>
        <v>0</v>
      </c>
      <c r="CH121" s="433">
        <f t="shared" si="18"/>
        <v>0</v>
      </c>
      <c r="CI121" s="433">
        <f t="shared" si="19"/>
        <v>0</v>
      </c>
      <c r="CJ121" s="433">
        <f t="shared" si="20"/>
        <v>0</v>
      </c>
      <c r="CK121" s="433">
        <f t="shared" si="21"/>
        <v>0</v>
      </c>
      <c r="CL121" s="433">
        <f t="shared" si="22"/>
        <v>0</v>
      </c>
      <c r="CM121" s="433">
        <f t="shared" si="23"/>
        <v>0</v>
      </c>
      <c r="CN121" s="433">
        <f t="shared" si="24"/>
        <v>0</v>
      </c>
      <c r="CO121" s="433">
        <f t="shared" si="25"/>
        <v>0</v>
      </c>
      <c r="CP121" s="433">
        <f t="shared" si="26"/>
        <v>0</v>
      </c>
      <c r="CQ121" s="433">
        <f t="shared" si="27"/>
        <v>0</v>
      </c>
      <c r="CR121" s="433">
        <f t="shared" si="28"/>
        <v>0</v>
      </c>
      <c r="CS121" s="433">
        <f t="shared" si="29"/>
        <v>0</v>
      </c>
      <c r="CT121" s="21"/>
    </row>
    <row r="122" spans="3:98" ht="24.75" customHeight="1" collapsed="1">
      <c r="C122" s="415" t="s">
        <v>244</v>
      </c>
      <c r="D122" s="427">
        <v>0</v>
      </c>
      <c r="E122" s="427">
        <v>0</v>
      </c>
      <c r="F122" s="427">
        <v>0</v>
      </c>
      <c r="G122" s="427">
        <v>0</v>
      </c>
      <c r="H122" s="434">
        <v>0</v>
      </c>
      <c r="I122" s="434">
        <v>0</v>
      </c>
      <c r="J122" s="434">
        <v>0</v>
      </c>
      <c r="K122" s="434">
        <v>0</v>
      </c>
      <c r="L122" s="434">
        <v>0</v>
      </c>
      <c r="M122" s="434">
        <v>0</v>
      </c>
      <c r="N122" s="434">
        <v>0</v>
      </c>
      <c r="O122" s="434">
        <v>0</v>
      </c>
      <c r="P122" s="434">
        <v>0</v>
      </c>
      <c r="Q122" s="434">
        <v>0</v>
      </c>
      <c r="R122" s="434">
        <v>0</v>
      </c>
      <c r="S122" s="434">
        <v>0</v>
      </c>
      <c r="T122" s="434">
        <v>0</v>
      </c>
      <c r="U122" s="434">
        <v>0</v>
      </c>
      <c r="V122" s="434">
        <v>0</v>
      </c>
      <c r="W122" s="434">
        <v>0</v>
      </c>
      <c r="X122" s="434">
        <v>0</v>
      </c>
      <c r="Y122" s="434">
        <v>0</v>
      </c>
      <c r="Z122" s="434">
        <v>0</v>
      </c>
      <c r="AA122" s="434">
        <v>0</v>
      </c>
      <c r="AB122" s="434">
        <v>0</v>
      </c>
      <c r="AC122" s="434">
        <v>0</v>
      </c>
      <c r="AD122" s="434">
        <v>0</v>
      </c>
      <c r="AE122" s="434">
        <v>0</v>
      </c>
      <c r="AF122" s="434">
        <v>0</v>
      </c>
      <c r="AG122" s="434">
        <v>0</v>
      </c>
      <c r="AH122" s="434">
        <v>0</v>
      </c>
      <c r="AI122" s="434">
        <v>0</v>
      </c>
      <c r="AJ122" s="434">
        <v>0</v>
      </c>
      <c r="AK122" s="434">
        <v>0</v>
      </c>
      <c r="AL122" s="434">
        <v>0</v>
      </c>
      <c r="AM122" s="434">
        <v>0</v>
      </c>
      <c r="AN122" s="434">
        <v>0</v>
      </c>
      <c r="AO122" s="434">
        <v>0</v>
      </c>
      <c r="AP122" s="434">
        <v>0</v>
      </c>
      <c r="AQ122" s="434">
        <v>0</v>
      </c>
      <c r="AR122" s="434">
        <v>0</v>
      </c>
      <c r="AS122" s="434">
        <v>0</v>
      </c>
      <c r="AT122" s="434">
        <v>0</v>
      </c>
      <c r="AU122" s="434">
        <v>0</v>
      </c>
      <c r="AV122" s="434">
        <v>0</v>
      </c>
      <c r="AW122" s="434">
        <v>0</v>
      </c>
      <c r="AX122" s="434">
        <v>0</v>
      </c>
      <c r="AY122" s="434">
        <v>0</v>
      </c>
      <c r="AZ122" s="434">
        <v>0</v>
      </c>
      <c r="BA122" s="434">
        <v>0</v>
      </c>
      <c r="BB122" s="434">
        <v>0</v>
      </c>
      <c r="BC122" s="434">
        <v>0</v>
      </c>
      <c r="BD122" s="434">
        <v>0</v>
      </c>
      <c r="BE122" s="434">
        <v>0</v>
      </c>
      <c r="BF122" s="434">
        <v>0</v>
      </c>
      <c r="BG122" s="434">
        <v>0</v>
      </c>
      <c r="BH122" s="434">
        <v>0</v>
      </c>
      <c r="BI122" s="434">
        <v>0</v>
      </c>
      <c r="BJ122" s="434">
        <v>0</v>
      </c>
      <c r="BK122" s="434">
        <v>0</v>
      </c>
      <c r="BL122" s="434">
        <v>0</v>
      </c>
      <c r="BM122" s="434">
        <v>0</v>
      </c>
      <c r="BN122" s="434">
        <v>0</v>
      </c>
      <c r="BO122" s="434">
        <v>0</v>
      </c>
      <c r="BP122" s="434">
        <v>0</v>
      </c>
      <c r="BQ122" s="434">
        <v>0</v>
      </c>
      <c r="BR122" s="434">
        <v>0</v>
      </c>
      <c r="BS122" s="434">
        <v>0</v>
      </c>
      <c r="BT122" s="434">
        <v>0</v>
      </c>
      <c r="BU122" s="434">
        <v>0</v>
      </c>
      <c r="BV122" s="434">
        <v>0</v>
      </c>
      <c r="BW122" s="434">
        <v>0</v>
      </c>
      <c r="BX122" s="434">
        <v>0</v>
      </c>
      <c r="BY122" s="434">
        <v>0</v>
      </c>
      <c r="BZ122" s="434">
        <v>0</v>
      </c>
      <c r="CC122" s="21"/>
      <c r="CD122" s="415" t="s">
        <v>244</v>
      </c>
      <c r="CE122" s="433">
        <f t="shared" si="15"/>
        <v>0</v>
      </c>
      <c r="CF122" s="433">
        <f t="shared" si="16"/>
        <v>0</v>
      </c>
      <c r="CG122" s="433">
        <f t="shared" si="17"/>
        <v>0</v>
      </c>
      <c r="CH122" s="433">
        <f t="shared" si="18"/>
        <v>0</v>
      </c>
      <c r="CI122" s="433">
        <f t="shared" si="19"/>
        <v>0</v>
      </c>
      <c r="CJ122" s="433">
        <f t="shared" si="20"/>
        <v>0</v>
      </c>
      <c r="CK122" s="433">
        <f t="shared" si="21"/>
        <v>0</v>
      </c>
      <c r="CL122" s="433">
        <f t="shared" si="22"/>
        <v>0</v>
      </c>
      <c r="CM122" s="433">
        <f t="shared" si="23"/>
        <v>0</v>
      </c>
      <c r="CN122" s="433">
        <f t="shared" si="24"/>
        <v>0</v>
      </c>
      <c r="CO122" s="433">
        <f t="shared" si="25"/>
        <v>0</v>
      </c>
      <c r="CP122" s="433">
        <f t="shared" si="26"/>
        <v>0</v>
      </c>
      <c r="CQ122" s="433">
        <f t="shared" si="27"/>
        <v>0</v>
      </c>
      <c r="CR122" s="433">
        <f t="shared" si="28"/>
        <v>0</v>
      </c>
      <c r="CS122" s="433">
        <f t="shared" si="29"/>
        <v>0</v>
      </c>
      <c r="CT122" s="21"/>
    </row>
    <row r="123" spans="3:98" ht="24.75" hidden="1" customHeight="1" outlineLevel="2">
      <c r="C123" s="426" t="s">
        <v>249</v>
      </c>
      <c r="D123" s="427">
        <v>0</v>
      </c>
      <c r="E123" s="427">
        <v>0</v>
      </c>
      <c r="F123" s="427">
        <v>0</v>
      </c>
      <c r="G123" s="427">
        <v>0</v>
      </c>
      <c r="H123" s="427">
        <v>0</v>
      </c>
      <c r="I123" s="427">
        <v>0</v>
      </c>
      <c r="J123" s="427">
        <v>0</v>
      </c>
      <c r="K123" s="427">
        <v>0</v>
      </c>
      <c r="L123" s="427">
        <v>0</v>
      </c>
      <c r="M123" s="427">
        <v>0</v>
      </c>
      <c r="N123" s="427">
        <v>0</v>
      </c>
      <c r="O123" s="427">
        <v>0</v>
      </c>
      <c r="P123" s="427">
        <v>0</v>
      </c>
      <c r="Q123" s="427">
        <v>0</v>
      </c>
      <c r="R123" s="427">
        <v>0</v>
      </c>
      <c r="S123" s="427">
        <v>0</v>
      </c>
      <c r="T123" s="427">
        <v>0</v>
      </c>
      <c r="U123" s="427">
        <v>0</v>
      </c>
      <c r="V123" s="427">
        <v>0</v>
      </c>
      <c r="W123" s="427">
        <v>0</v>
      </c>
      <c r="X123" s="427">
        <v>0</v>
      </c>
      <c r="Y123" s="427">
        <v>0</v>
      </c>
      <c r="Z123" s="427">
        <v>0</v>
      </c>
      <c r="AA123" s="427">
        <v>0</v>
      </c>
      <c r="AB123" s="427">
        <v>0</v>
      </c>
      <c r="AC123" s="427">
        <v>0</v>
      </c>
      <c r="AD123" s="427">
        <v>0</v>
      </c>
      <c r="AE123" s="427">
        <v>0</v>
      </c>
      <c r="AF123" s="427">
        <v>0</v>
      </c>
      <c r="AG123" s="427">
        <v>0</v>
      </c>
      <c r="AH123" s="427">
        <v>0</v>
      </c>
      <c r="AI123" s="427">
        <v>0</v>
      </c>
      <c r="AJ123" s="427">
        <v>0</v>
      </c>
      <c r="AK123" s="427">
        <v>0</v>
      </c>
      <c r="AL123" s="427">
        <v>0</v>
      </c>
      <c r="AM123" s="427">
        <v>0</v>
      </c>
      <c r="AN123" s="427">
        <v>0</v>
      </c>
      <c r="AO123" s="427">
        <v>0</v>
      </c>
      <c r="AP123" s="427">
        <v>0</v>
      </c>
      <c r="AQ123" s="427">
        <v>0</v>
      </c>
      <c r="AR123" s="427">
        <v>0</v>
      </c>
      <c r="AS123" s="427">
        <v>0</v>
      </c>
      <c r="AT123" s="427">
        <v>0</v>
      </c>
      <c r="AU123" s="427">
        <v>0</v>
      </c>
      <c r="AV123" s="427">
        <v>0</v>
      </c>
      <c r="AW123" s="427">
        <v>0</v>
      </c>
      <c r="AX123" s="427">
        <v>0</v>
      </c>
      <c r="AY123" s="427">
        <v>0</v>
      </c>
      <c r="AZ123" s="427">
        <v>0</v>
      </c>
      <c r="BA123" s="427">
        <v>0</v>
      </c>
      <c r="BB123" s="427">
        <v>0</v>
      </c>
      <c r="BC123" s="427">
        <v>0</v>
      </c>
      <c r="BD123" s="427">
        <v>0</v>
      </c>
      <c r="BE123" s="427">
        <v>0</v>
      </c>
      <c r="BF123" s="427">
        <v>0</v>
      </c>
      <c r="BG123" s="427">
        <v>0</v>
      </c>
      <c r="BH123" s="427">
        <v>0</v>
      </c>
      <c r="BI123" s="427">
        <v>0</v>
      </c>
      <c r="BJ123" s="427">
        <v>0</v>
      </c>
      <c r="BK123" s="427">
        <v>0</v>
      </c>
      <c r="BL123" s="427">
        <v>0</v>
      </c>
      <c r="BM123" s="427">
        <v>0</v>
      </c>
      <c r="BN123" s="427">
        <v>0</v>
      </c>
      <c r="BO123" s="427">
        <v>0</v>
      </c>
      <c r="BP123" s="427">
        <v>0</v>
      </c>
      <c r="BQ123" s="427">
        <v>0</v>
      </c>
      <c r="BR123" s="427">
        <v>0</v>
      </c>
      <c r="BS123" s="427">
        <v>0</v>
      </c>
      <c r="BT123" s="427">
        <v>0</v>
      </c>
      <c r="BU123" s="427">
        <v>0</v>
      </c>
      <c r="BV123" s="427">
        <v>0</v>
      </c>
      <c r="BW123" s="427">
        <v>0</v>
      </c>
      <c r="BX123" s="427">
        <v>0</v>
      </c>
      <c r="BY123" s="427">
        <v>0</v>
      </c>
      <c r="BZ123" s="427">
        <v>0</v>
      </c>
      <c r="CC123" s="21"/>
      <c r="CD123" s="426" t="s">
        <v>249</v>
      </c>
      <c r="CE123" s="433">
        <f t="shared" si="15"/>
        <v>0</v>
      </c>
      <c r="CF123" s="433">
        <f t="shared" si="16"/>
        <v>0</v>
      </c>
      <c r="CG123" s="433">
        <f t="shared" si="17"/>
        <v>0</v>
      </c>
      <c r="CH123" s="433">
        <f t="shared" si="18"/>
        <v>0</v>
      </c>
      <c r="CI123" s="433">
        <f t="shared" si="19"/>
        <v>0</v>
      </c>
      <c r="CJ123" s="433">
        <f t="shared" si="20"/>
        <v>0</v>
      </c>
      <c r="CK123" s="433">
        <f t="shared" si="21"/>
        <v>0</v>
      </c>
      <c r="CL123" s="433">
        <f t="shared" si="22"/>
        <v>0</v>
      </c>
      <c r="CM123" s="433">
        <f t="shared" si="23"/>
        <v>0</v>
      </c>
      <c r="CN123" s="433">
        <f t="shared" si="24"/>
        <v>0</v>
      </c>
      <c r="CO123" s="433">
        <f t="shared" si="25"/>
        <v>0</v>
      </c>
      <c r="CP123" s="433">
        <f t="shared" si="26"/>
        <v>0</v>
      </c>
      <c r="CQ123" s="433">
        <f t="shared" si="27"/>
        <v>0</v>
      </c>
      <c r="CR123" s="433">
        <f t="shared" si="28"/>
        <v>0</v>
      </c>
      <c r="CS123" s="433">
        <f t="shared" si="29"/>
        <v>0</v>
      </c>
      <c r="CT123" s="21"/>
    </row>
    <row r="124" spans="3:98" ht="24.75" hidden="1" customHeight="1" outlineLevel="2">
      <c r="C124" s="426" t="s">
        <v>250</v>
      </c>
      <c r="D124" s="427">
        <v>0</v>
      </c>
      <c r="E124" s="427">
        <v>0</v>
      </c>
      <c r="F124" s="427">
        <v>0</v>
      </c>
      <c r="G124" s="427">
        <v>0</v>
      </c>
      <c r="H124" s="427">
        <v>0</v>
      </c>
      <c r="I124" s="427">
        <v>0</v>
      </c>
      <c r="J124" s="427">
        <v>0</v>
      </c>
      <c r="K124" s="427">
        <v>0</v>
      </c>
      <c r="L124" s="427">
        <v>0</v>
      </c>
      <c r="M124" s="427">
        <v>0</v>
      </c>
      <c r="N124" s="427">
        <v>0</v>
      </c>
      <c r="O124" s="427">
        <v>0</v>
      </c>
      <c r="P124" s="427">
        <v>0</v>
      </c>
      <c r="Q124" s="427">
        <v>0</v>
      </c>
      <c r="R124" s="427">
        <v>0</v>
      </c>
      <c r="S124" s="427">
        <v>0</v>
      </c>
      <c r="T124" s="427">
        <v>0</v>
      </c>
      <c r="U124" s="427">
        <v>0</v>
      </c>
      <c r="V124" s="427">
        <v>0</v>
      </c>
      <c r="W124" s="427">
        <v>0</v>
      </c>
      <c r="X124" s="427">
        <v>0</v>
      </c>
      <c r="Y124" s="427">
        <v>0</v>
      </c>
      <c r="Z124" s="427">
        <v>0</v>
      </c>
      <c r="AA124" s="427">
        <v>0</v>
      </c>
      <c r="AB124" s="427">
        <v>0</v>
      </c>
      <c r="AC124" s="427">
        <v>0</v>
      </c>
      <c r="AD124" s="427">
        <v>0</v>
      </c>
      <c r="AE124" s="427">
        <v>0</v>
      </c>
      <c r="AF124" s="427">
        <v>0</v>
      </c>
      <c r="AG124" s="427">
        <v>0</v>
      </c>
      <c r="AH124" s="427">
        <v>0</v>
      </c>
      <c r="AI124" s="427">
        <v>0</v>
      </c>
      <c r="AJ124" s="427">
        <v>0</v>
      </c>
      <c r="AK124" s="427">
        <v>0</v>
      </c>
      <c r="AL124" s="427">
        <v>0</v>
      </c>
      <c r="AM124" s="427">
        <v>0</v>
      </c>
      <c r="AN124" s="427">
        <v>0</v>
      </c>
      <c r="AO124" s="427">
        <v>0</v>
      </c>
      <c r="AP124" s="427">
        <v>0</v>
      </c>
      <c r="AQ124" s="427">
        <v>0</v>
      </c>
      <c r="AR124" s="427">
        <v>0</v>
      </c>
      <c r="AS124" s="427">
        <v>0</v>
      </c>
      <c r="AT124" s="427">
        <v>0</v>
      </c>
      <c r="AU124" s="427">
        <v>0</v>
      </c>
      <c r="AV124" s="427">
        <v>0</v>
      </c>
      <c r="AW124" s="427">
        <v>0</v>
      </c>
      <c r="AX124" s="427">
        <v>0</v>
      </c>
      <c r="AY124" s="427">
        <v>0</v>
      </c>
      <c r="AZ124" s="427">
        <v>0</v>
      </c>
      <c r="BA124" s="427">
        <v>0</v>
      </c>
      <c r="BB124" s="427">
        <v>0</v>
      </c>
      <c r="BC124" s="427">
        <v>0</v>
      </c>
      <c r="BD124" s="427">
        <v>0</v>
      </c>
      <c r="BE124" s="427">
        <v>0</v>
      </c>
      <c r="BF124" s="427">
        <v>0</v>
      </c>
      <c r="BG124" s="427">
        <v>0</v>
      </c>
      <c r="BH124" s="427">
        <v>0</v>
      </c>
      <c r="BI124" s="427">
        <v>0</v>
      </c>
      <c r="BJ124" s="427">
        <v>0</v>
      </c>
      <c r="BK124" s="427">
        <v>0</v>
      </c>
      <c r="BL124" s="427">
        <v>0</v>
      </c>
      <c r="BM124" s="427">
        <v>0</v>
      </c>
      <c r="BN124" s="427">
        <v>0</v>
      </c>
      <c r="BO124" s="427">
        <v>0</v>
      </c>
      <c r="BP124" s="427">
        <v>0</v>
      </c>
      <c r="BQ124" s="427">
        <v>0</v>
      </c>
      <c r="BR124" s="427">
        <v>0</v>
      </c>
      <c r="BS124" s="427">
        <v>0</v>
      </c>
      <c r="BT124" s="427">
        <v>0</v>
      </c>
      <c r="BU124" s="427">
        <v>0</v>
      </c>
      <c r="BV124" s="427">
        <v>0</v>
      </c>
      <c r="BW124" s="427">
        <v>0</v>
      </c>
      <c r="BX124" s="427">
        <v>0</v>
      </c>
      <c r="BY124" s="427">
        <v>0</v>
      </c>
      <c r="BZ124" s="427">
        <v>0</v>
      </c>
      <c r="CC124" s="21"/>
      <c r="CD124" s="426" t="s">
        <v>250</v>
      </c>
      <c r="CE124" s="433">
        <f t="shared" si="15"/>
        <v>0</v>
      </c>
      <c r="CF124" s="433">
        <f t="shared" si="16"/>
        <v>0</v>
      </c>
      <c r="CG124" s="433">
        <f t="shared" si="17"/>
        <v>0</v>
      </c>
      <c r="CH124" s="433">
        <f t="shared" si="18"/>
        <v>0</v>
      </c>
      <c r="CI124" s="433">
        <f t="shared" si="19"/>
        <v>0</v>
      </c>
      <c r="CJ124" s="433">
        <f t="shared" si="20"/>
        <v>0</v>
      </c>
      <c r="CK124" s="433">
        <f t="shared" si="21"/>
        <v>0</v>
      </c>
      <c r="CL124" s="433">
        <f t="shared" si="22"/>
        <v>0</v>
      </c>
      <c r="CM124" s="433">
        <f t="shared" si="23"/>
        <v>0</v>
      </c>
      <c r="CN124" s="433">
        <f t="shared" si="24"/>
        <v>0</v>
      </c>
      <c r="CO124" s="433">
        <f t="shared" si="25"/>
        <v>0</v>
      </c>
      <c r="CP124" s="433">
        <f t="shared" si="26"/>
        <v>0</v>
      </c>
      <c r="CQ124" s="433">
        <f t="shared" si="27"/>
        <v>0</v>
      </c>
      <c r="CR124" s="433">
        <f t="shared" si="28"/>
        <v>0</v>
      </c>
      <c r="CS124" s="433">
        <f t="shared" si="29"/>
        <v>0</v>
      </c>
      <c r="CT124" s="21"/>
    </row>
    <row r="125" spans="3:98" ht="24.75" hidden="1" customHeight="1" outlineLevel="2">
      <c r="C125" s="426" t="s">
        <v>251</v>
      </c>
      <c r="D125" s="427">
        <v>0</v>
      </c>
      <c r="E125" s="427">
        <v>0</v>
      </c>
      <c r="F125" s="427">
        <v>0</v>
      </c>
      <c r="G125" s="427">
        <v>0</v>
      </c>
      <c r="H125" s="427">
        <v>0</v>
      </c>
      <c r="I125" s="427">
        <v>0</v>
      </c>
      <c r="J125" s="427">
        <v>0</v>
      </c>
      <c r="K125" s="427">
        <v>0</v>
      </c>
      <c r="L125" s="427">
        <v>0</v>
      </c>
      <c r="M125" s="427">
        <v>0</v>
      </c>
      <c r="N125" s="427">
        <v>0</v>
      </c>
      <c r="O125" s="427">
        <v>0</v>
      </c>
      <c r="P125" s="427">
        <v>0</v>
      </c>
      <c r="Q125" s="427">
        <v>0</v>
      </c>
      <c r="R125" s="427">
        <v>0</v>
      </c>
      <c r="S125" s="427">
        <v>0</v>
      </c>
      <c r="T125" s="427">
        <v>0</v>
      </c>
      <c r="U125" s="427">
        <v>0</v>
      </c>
      <c r="V125" s="427">
        <v>0</v>
      </c>
      <c r="W125" s="427">
        <v>0</v>
      </c>
      <c r="X125" s="427">
        <v>0</v>
      </c>
      <c r="Y125" s="427">
        <v>0</v>
      </c>
      <c r="Z125" s="427">
        <v>0</v>
      </c>
      <c r="AA125" s="427">
        <v>0</v>
      </c>
      <c r="AB125" s="427">
        <v>0</v>
      </c>
      <c r="AC125" s="427">
        <v>0</v>
      </c>
      <c r="AD125" s="427">
        <v>0</v>
      </c>
      <c r="AE125" s="427">
        <v>0</v>
      </c>
      <c r="AF125" s="427">
        <v>0</v>
      </c>
      <c r="AG125" s="427">
        <v>0</v>
      </c>
      <c r="AH125" s="427">
        <v>0</v>
      </c>
      <c r="AI125" s="427">
        <v>0</v>
      </c>
      <c r="AJ125" s="427">
        <v>0</v>
      </c>
      <c r="AK125" s="427">
        <v>0</v>
      </c>
      <c r="AL125" s="427">
        <v>0</v>
      </c>
      <c r="AM125" s="427">
        <v>0</v>
      </c>
      <c r="AN125" s="427">
        <v>0</v>
      </c>
      <c r="AO125" s="427">
        <v>0</v>
      </c>
      <c r="AP125" s="427">
        <v>0</v>
      </c>
      <c r="AQ125" s="427">
        <v>0</v>
      </c>
      <c r="AR125" s="427">
        <v>0</v>
      </c>
      <c r="AS125" s="427">
        <v>0</v>
      </c>
      <c r="AT125" s="427">
        <v>0</v>
      </c>
      <c r="AU125" s="427">
        <v>0</v>
      </c>
      <c r="AV125" s="427">
        <v>0</v>
      </c>
      <c r="AW125" s="427">
        <v>0</v>
      </c>
      <c r="AX125" s="427">
        <v>0</v>
      </c>
      <c r="AY125" s="427">
        <v>0</v>
      </c>
      <c r="AZ125" s="427">
        <v>0</v>
      </c>
      <c r="BA125" s="427">
        <v>0</v>
      </c>
      <c r="BB125" s="427">
        <v>0</v>
      </c>
      <c r="BC125" s="427">
        <v>0</v>
      </c>
      <c r="BD125" s="427">
        <v>0</v>
      </c>
      <c r="BE125" s="427">
        <v>0</v>
      </c>
      <c r="BF125" s="427">
        <v>0</v>
      </c>
      <c r="BG125" s="427">
        <v>0</v>
      </c>
      <c r="BH125" s="427">
        <v>0</v>
      </c>
      <c r="BI125" s="427">
        <v>0</v>
      </c>
      <c r="BJ125" s="427">
        <v>0</v>
      </c>
      <c r="BK125" s="427">
        <v>0</v>
      </c>
      <c r="BL125" s="427">
        <v>0</v>
      </c>
      <c r="BM125" s="427">
        <v>0</v>
      </c>
      <c r="BN125" s="427">
        <v>0</v>
      </c>
      <c r="BO125" s="427">
        <v>0</v>
      </c>
      <c r="BP125" s="427">
        <v>0</v>
      </c>
      <c r="BQ125" s="427">
        <v>0</v>
      </c>
      <c r="BR125" s="427">
        <v>0</v>
      </c>
      <c r="BS125" s="427">
        <v>0</v>
      </c>
      <c r="BT125" s="427">
        <v>0</v>
      </c>
      <c r="BU125" s="427">
        <v>0</v>
      </c>
      <c r="BV125" s="427">
        <v>0</v>
      </c>
      <c r="BW125" s="427">
        <v>0</v>
      </c>
      <c r="BX125" s="427">
        <v>0</v>
      </c>
      <c r="BY125" s="427">
        <v>0</v>
      </c>
      <c r="BZ125" s="427">
        <v>0</v>
      </c>
      <c r="CC125" s="21"/>
      <c r="CD125" s="426" t="s">
        <v>251</v>
      </c>
      <c r="CE125" s="433">
        <f t="shared" si="15"/>
        <v>0</v>
      </c>
      <c r="CF125" s="433">
        <f t="shared" si="16"/>
        <v>0</v>
      </c>
      <c r="CG125" s="433">
        <f t="shared" si="17"/>
        <v>0</v>
      </c>
      <c r="CH125" s="433">
        <f t="shared" si="18"/>
        <v>0</v>
      </c>
      <c r="CI125" s="433">
        <f t="shared" si="19"/>
        <v>0</v>
      </c>
      <c r="CJ125" s="433">
        <f t="shared" si="20"/>
        <v>0</v>
      </c>
      <c r="CK125" s="433">
        <f t="shared" si="21"/>
        <v>0</v>
      </c>
      <c r="CL125" s="433">
        <f t="shared" si="22"/>
        <v>0</v>
      </c>
      <c r="CM125" s="433">
        <f t="shared" si="23"/>
        <v>0</v>
      </c>
      <c r="CN125" s="433">
        <f t="shared" si="24"/>
        <v>0</v>
      </c>
      <c r="CO125" s="433">
        <f t="shared" si="25"/>
        <v>0</v>
      </c>
      <c r="CP125" s="433">
        <f t="shared" si="26"/>
        <v>0</v>
      </c>
      <c r="CQ125" s="433">
        <f t="shared" si="27"/>
        <v>0</v>
      </c>
      <c r="CR125" s="433">
        <f t="shared" si="28"/>
        <v>0</v>
      </c>
      <c r="CS125" s="433">
        <f t="shared" si="29"/>
        <v>0</v>
      </c>
      <c r="CT125" s="21"/>
    </row>
    <row r="126" spans="3:98" ht="24.75" hidden="1" customHeight="1" outlineLevel="2">
      <c r="C126" s="426" t="s">
        <v>252</v>
      </c>
      <c r="D126" s="427">
        <v>0</v>
      </c>
      <c r="E126" s="427">
        <v>0</v>
      </c>
      <c r="F126" s="427">
        <v>0</v>
      </c>
      <c r="G126" s="427">
        <v>0</v>
      </c>
      <c r="H126" s="427">
        <v>0</v>
      </c>
      <c r="I126" s="427">
        <v>0</v>
      </c>
      <c r="J126" s="427">
        <v>0</v>
      </c>
      <c r="K126" s="427">
        <v>0</v>
      </c>
      <c r="L126" s="427">
        <v>0</v>
      </c>
      <c r="M126" s="427">
        <v>0</v>
      </c>
      <c r="N126" s="427">
        <v>0</v>
      </c>
      <c r="O126" s="427">
        <v>0</v>
      </c>
      <c r="P126" s="427">
        <v>0</v>
      </c>
      <c r="Q126" s="427">
        <v>0</v>
      </c>
      <c r="R126" s="427">
        <v>0</v>
      </c>
      <c r="S126" s="427">
        <v>0</v>
      </c>
      <c r="T126" s="427">
        <v>0</v>
      </c>
      <c r="U126" s="427">
        <v>0</v>
      </c>
      <c r="V126" s="427">
        <v>0</v>
      </c>
      <c r="W126" s="427">
        <v>0</v>
      </c>
      <c r="X126" s="427">
        <v>0</v>
      </c>
      <c r="Y126" s="427">
        <v>0</v>
      </c>
      <c r="Z126" s="427">
        <v>0</v>
      </c>
      <c r="AA126" s="427">
        <v>0</v>
      </c>
      <c r="AB126" s="427">
        <v>0</v>
      </c>
      <c r="AC126" s="427">
        <v>0</v>
      </c>
      <c r="AD126" s="427">
        <v>0</v>
      </c>
      <c r="AE126" s="427">
        <v>0</v>
      </c>
      <c r="AF126" s="427">
        <v>0</v>
      </c>
      <c r="AG126" s="427">
        <v>0</v>
      </c>
      <c r="AH126" s="427">
        <v>0</v>
      </c>
      <c r="AI126" s="427">
        <v>0</v>
      </c>
      <c r="AJ126" s="427">
        <v>0</v>
      </c>
      <c r="AK126" s="427">
        <v>0</v>
      </c>
      <c r="AL126" s="427">
        <v>0</v>
      </c>
      <c r="AM126" s="427">
        <v>0</v>
      </c>
      <c r="AN126" s="427">
        <v>0</v>
      </c>
      <c r="AO126" s="427">
        <v>0</v>
      </c>
      <c r="AP126" s="427">
        <v>0</v>
      </c>
      <c r="AQ126" s="427">
        <v>0</v>
      </c>
      <c r="AR126" s="427">
        <v>0</v>
      </c>
      <c r="AS126" s="427">
        <v>0</v>
      </c>
      <c r="AT126" s="427">
        <v>0</v>
      </c>
      <c r="AU126" s="427">
        <v>0</v>
      </c>
      <c r="AV126" s="427">
        <v>0</v>
      </c>
      <c r="AW126" s="427">
        <v>0</v>
      </c>
      <c r="AX126" s="427">
        <v>0</v>
      </c>
      <c r="AY126" s="427">
        <v>0</v>
      </c>
      <c r="AZ126" s="427">
        <v>0</v>
      </c>
      <c r="BA126" s="427">
        <v>0</v>
      </c>
      <c r="BB126" s="427">
        <v>0</v>
      </c>
      <c r="BC126" s="427">
        <v>0</v>
      </c>
      <c r="BD126" s="427">
        <v>0</v>
      </c>
      <c r="BE126" s="427">
        <v>0</v>
      </c>
      <c r="BF126" s="427">
        <v>0</v>
      </c>
      <c r="BG126" s="427">
        <v>0</v>
      </c>
      <c r="BH126" s="427">
        <v>0</v>
      </c>
      <c r="BI126" s="427">
        <v>0</v>
      </c>
      <c r="BJ126" s="427">
        <v>0</v>
      </c>
      <c r="BK126" s="427">
        <v>0</v>
      </c>
      <c r="BL126" s="427">
        <v>0</v>
      </c>
      <c r="BM126" s="427">
        <v>0</v>
      </c>
      <c r="BN126" s="427">
        <v>0</v>
      </c>
      <c r="BO126" s="427">
        <v>0</v>
      </c>
      <c r="BP126" s="427">
        <v>0</v>
      </c>
      <c r="BQ126" s="427">
        <v>0</v>
      </c>
      <c r="BR126" s="427">
        <v>0</v>
      </c>
      <c r="BS126" s="427">
        <v>0</v>
      </c>
      <c r="BT126" s="427">
        <v>0</v>
      </c>
      <c r="BU126" s="427">
        <v>0</v>
      </c>
      <c r="BV126" s="427">
        <v>0</v>
      </c>
      <c r="BW126" s="427">
        <v>0</v>
      </c>
      <c r="BX126" s="427">
        <v>0</v>
      </c>
      <c r="BY126" s="427">
        <v>0</v>
      </c>
      <c r="BZ126" s="427">
        <v>0</v>
      </c>
      <c r="CC126" s="21"/>
      <c r="CD126" s="426" t="s">
        <v>252</v>
      </c>
      <c r="CE126" s="433">
        <f t="shared" si="15"/>
        <v>0</v>
      </c>
      <c r="CF126" s="433">
        <f t="shared" si="16"/>
        <v>0</v>
      </c>
      <c r="CG126" s="433">
        <f t="shared" si="17"/>
        <v>0</v>
      </c>
      <c r="CH126" s="433">
        <f t="shared" si="18"/>
        <v>0</v>
      </c>
      <c r="CI126" s="433">
        <f t="shared" si="19"/>
        <v>0</v>
      </c>
      <c r="CJ126" s="433">
        <f t="shared" si="20"/>
        <v>0</v>
      </c>
      <c r="CK126" s="433">
        <f t="shared" si="21"/>
        <v>0</v>
      </c>
      <c r="CL126" s="433">
        <f t="shared" si="22"/>
        <v>0</v>
      </c>
      <c r="CM126" s="433">
        <f t="shared" si="23"/>
        <v>0</v>
      </c>
      <c r="CN126" s="433">
        <f t="shared" si="24"/>
        <v>0</v>
      </c>
      <c r="CO126" s="433">
        <f t="shared" si="25"/>
        <v>0</v>
      </c>
      <c r="CP126" s="433">
        <f t="shared" si="26"/>
        <v>0</v>
      </c>
      <c r="CQ126" s="433">
        <f t="shared" si="27"/>
        <v>0</v>
      </c>
      <c r="CR126" s="433">
        <f t="shared" si="28"/>
        <v>0</v>
      </c>
      <c r="CS126" s="433">
        <f t="shared" si="29"/>
        <v>0</v>
      </c>
      <c r="CT126" s="21"/>
    </row>
    <row r="127" spans="3:98" ht="24.75" hidden="1" customHeight="1" outlineLevel="1">
      <c r="C127" s="424" t="s">
        <v>248</v>
      </c>
      <c r="D127" s="427">
        <v>0</v>
      </c>
      <c r="E127" s="427">
        <v>0</v>
      </c>
      <c r="F127" s="427">
        <v>0</v>
      </c>
      <c r="G127" s="427">
        <v>0</v>
      </c>
      <c r="H127" s="434">
        <v>0</v>
      </c>
      <c r="I127" s="434">
        <v>0</v>
      </c>
      <c r="J127" s="434">
        <v>0</v>
      </c>
      <c r="K127" s="434">
        <v>0</v>
      </c>
      <c r="L127" s="434">
        <v>0</v>
      </c>
      <c r="M127" s="434">
        <v>0</v>
      </c>
      <c r="N127" s="434">
        <v>0</v>
      </c>
      <c r="O127" s="434">
        <v>0</v>
      </c>
      <c r="P127" s="434">
        <v>0</v>
      </c>
      <c r="Q127" s="434">
        <v>0</v>
      </c>
      <c r="R127" s="434">
        <v>0</v>
      </c>
      <c r="S127" s="434">
        <v>0</v>
      </c>
      <c r="T127" s="434">
        <v>0</v>
      </c>
      <c r="U127" s="434">
        <v>0</v>
      </c>
      <c r="V127" s="434">
        <v>0</v>
      </c>
      <c r="W127" s="434">
        <v>0</v>
      </c>
      <c r="X127" s="434">
        <v>0</v>
      </c>
      <c r="Y127" s="434">
        <v>0</v>
      </c>
      <c r="Z127" s="434">
        <v>0</v>
      </c>
      <c r="AA127" s="434">
        <v>0</v>
      </c>
      <c r="AB127" s="434">
        <v>0</v>
      </c>
      <c r="AC127" s="434">
        <v>0</v>
      </c>
      <c r="AD127" s="434">
        <v>0</v>
      </c>
      <c r="AE127" s="434">
        <v>0</v>
      </c>
      <c r="AF127" s="434">
        <v>0</v>
      </c>
      <c r="AG127" s="434">
        <v>0</v>
      </c>
      <c r="AH127" s="434">
        <v>0</v>
      </c>
      <c r="AI127" s="434">
        <v>0</v>
      </c>
      <c r="AJ127" s="434">
        <v>0</v>
      </c>
      <c r="AK127" s="434">
        <v>0</v>
      </c>
      <c r="AL127" s="434">
        <v>0</v>
      </c>
      <c r="AM127" s="434">
        <v>0</v>
      </c>
      <c r="AN127" s="434">
        <v>0</v>
      </c>
      <c r="AO127" s="434">
        <v>0</v>
      </c>
      <c r="AP127" s="434">
        <v>0</v>
      </c>
      <c r="AQ127" s="434">
        <v>0</v>
      </c>
      <c r="AR127" s="434">
        <v>0</v>
      </c>
      <c r="AS127" s="434">
        <v>0</v>
      </c>
      <c r="AT127" s="434">
        <v>0</v>
      </c>
      <c r="AU127" s="434">
        <v>0</v>
      </c>
      <c r="AV127" s="434">
        <v>0</v>
      </c>
      <c r="AW127" s="434">
        <v>0</v>
      </c>
      <c r="AX127" s="434">
        <v>0</v>
      </c>
      <c r="AY127" s="434">
        <v>0</v>
      </c>
      <c r="AZ127" s="434">
        <v>0</v>
      </c>
      <c r="BA127" s="434">
        <v>0</v>
      </c>
      <c r="BB127" s="434">
        <v>0</v>
      </c>
      <c r="BC127" s="434">
        <v>0</v>
      </c>
      <c r="BD127" s="434">
        <v>0</v>
      </c>
      <c r="BE127" s="434">
        <v>0</v>
      </c>
      <c r="BF127" s="434">
        <v>2</v>
      </c>
      <c r="BG127" s="434">
        <v>0</v>
      </c>
      <c r="BH127" s="434">
        <v>0</v>
      </c>
      <c r="BI127" s="434">
        <v>0</v>
      </c>
      <c r="BJ127" s="434">
        <v>2</v>
      </c>
      <c r="BK127" s="434">
        <v>2</v>
      </c>
      <c r="BL127" s="434">
        <v>1.056</v>
      </c>
      <c r="BM127" s="434">
        <v>1.056</v>
      </c>
      <c r="BN127" s="434">
        <v>1.056</v>
      </c>
      <c r="BO127" s="434">
        <v>0</v>
      </c>
      <c r="BP127" s="434">
        <v>0</v>
      </c>
      <c r="BQ127" s="434">
        <v>0.628</v>
      </c>
      <c r="BR127" s="434">
        <v>0</v>
      </c>
      <c r="BS127" s="434">
        <v>0</v>
      </c>
      <c r="BT127" s="434">
        <v>0</v>
      </c>
      <c r="BU127" s="434">
        <v>0</v>
      </c>
      <c r="BV127" s="434">
        <v>11.192</v>
      </c>
      <c r="BW127" s="434">
        <v>0</v>
      </c>
      <c r="BX127" s="434">
        <v>0</v>
      </c>
      <c r="BY127" s="434">
        <v>0</v>
      </c>
      <c r="BZ127" s="434">
        <v>0</v>
      </c>
      <c r="CC127" s="21"/>
      <c r="CD127" s="424" t="s">
        <v>248</v>
      </c>
      <c r="CE127" s="433">
        <f t="shared" si="15"/>
        <v>0</v>
      </c>
      <c r="CF127" s="433">
        <f t="shared" si="16"/>
        <v>0</v>
      </c>
      <c r="CG127" s="433">
        <f t="shared" si="17"/>
        <v>0</v>
      </c>
      <c r="CH127" s="433">
        <f t="shared" si="18"/>
        <v>0</v>
      </c>
      <c r="CI127" s="433">
        <f t="shared" si="19"/>
        <v>0</v>
      </c>
      <c r="CJ127" s="433">
        <f t="shared" si="20"/>
        <v>0</v>
      </c>
      <c r="CK127" s="433">
        <f t="shared" si="21"/>
        <v>0</v>
      </c>
      <c r="CL127" s="433">
        <f t="shared" si="22"/>
        <v>0</v>
      </c>
      <c r="CM127" s="433">
        <f t="shared" si="23"/>
        <v>0</v>
      </c>
      <c r="CN127" s="433">
        <f t="shared" si="24"/>
        <v>0</v>
      </c>
      <c r="CO127" s="433">
        <f t="shared" si="25"/>
        <v>2</v>
      </c>
      <c r="CP127" s="433">
        <f t="shared" si="26"/>
        <v>2</v>
      </c>
      <c r="CQ127" s="433">
        <f t="shared" si="27"/>
        <v>0</v>
      </c>
      <c r="CR127" s="433">
        <f t="shared" si="28"/>
        <v>0</v>
      </c>
      <c r="CS127" s="433">
        <f t="shared" si="29"/>
        <v>0</v>
      </c>
      <c r="CT127" s="21"/>
    </row>
    <row r="128" spans="3:98" ht="24.75" hidden="1" customHeight="1" outlineLevel="2">
      <c r="C128" s="426" t="s">
        <v>254</v>
      </c>
      <c r="D128" s="427">
        <v>0</v>
      </c>
      <c r="E128" s="427">
        <v>0</v>
      </c>
      <c r="F128" s="427">
        <v>0</v>
      </c>
      <c r="G128" s="427">
        <v>0</v>
      </c>
      <c r="H128" s="427">
        <v>0</v>
      </c>
      <c r="I128" s="427">
        <v>0</v>
      </c>
      <c r="J128" s="427">
        <v>0</v>
      </c>
      <c r="K128" s="427">
        <v>0</v>
      </c>
      <c r="L128" s="427">
        <v>0</v>
      </c>
      <c r="M128" s="427">
        <v>0</v>
      </c>
      <c r="N128" s="427">
        <v>0</v>
      </c>
      <c r="O128" s="427">
        <v>0</v>
      </c>
      <c r="P128" s="427">
        <v>0</v>
      </c>
      <c r="Q128" s="427">
        <v>0</v>
      </c>
      <c r="R128" s="427">
        <v>0</v>
      </c>
      <c r="S128" s="427">
        <v>0</v>
      </c>
      <c r="T128" s="427">
        <v>0</v>
      </c>
      <c r="U128" s="427">
        <v>0</v>
      </c>
      <c r="V128" s="427">
        <v>0</v>
      </c>
      <c r="W128" s="427">
        <v>0</v>
      </c>
      <c r="X128" s="427">
        <v>0</v>
      </c>
      <c r="Y128" s="427">
        <v>0</v>
      </c>
      <c r="Z128" s="427">
        <v>0</v>
      </c>
      <c r="AA128" s="427">
        <v>0</v>
      </c>
      <c r="AB128" s="427">
        <v>0</v>
      </c>
      <c r="AC128" s="427">
        <v>0</v>
      </c>
      <c r="AD128" s="427">
        <v>0</v>
      </c>
      <c r="AE128" s="427">
        <v>0</v>
      </c>
      <c r="AF128" s="427">
        <v>0</v>
      </c>
      <c r="AG128" s="427">
        <v>0</v>
      </c>
      <c r="AH128" s="427">
        <v>0</v>
      </c>
      <c r="AI128" s="427">
        <v>0</v>
      </c>
      <c r="AJ128" s="427">
        <v>0</v>
      </c>
      <c r="AK128" s="427">
        <v>0</v>
      </c>
      <c r="AL128" s="427">
        <v>0</v>
      </c>
      <c r="AM128" s="427">
        <v>0</v>
      </c>
      <c r="AN128" s="427">
        <v>0</v>
      </c>
      <c r="AO128" s="427">
        <v>0</v>
      </c>
      <c r="AP128" s="427">
        <v>0</v>
      </c>
      <c r="AQ128" s="427">
        <v>0</v>
      </c>
      <c r="AR128" s="427">
        <v>0</v>
      </c>
      <c r="AS128" s="427">
        <v>0</v>
      </c>
      <c r="AT128" s="427">
        <v>0</v>
      </c>
      <c r="AU128" s="427">
        <v>0</v>
      </c>
      <c r="AV128" s="427">
        <v>0</v>
      </c>
      <c r="AW128" s="427">
        <v>0</v>
      </c>
      <c r="AX128" s="427">
        <v>0</v>
      </c>
      <c r="AY128" s="427">
        <v>0</v>
      </c>
      <c r="AZ128" s="427">
        <v>0</v>
      </c>
      <c r="BA128" s="427">
        <v>0</v>
      </c>
      <c r="BB128" s="427">
        <v>0</v>
      </c>
      <c r="BC128" s="427">
        <v>0</v>
      </c>
      <c r="BD128" s="427">
        <v>0</v>
      </c>
      <c r="BE128" s="427">
        <v>0</v>
      </c>
      <c r="BF128" s="427">
        <v>0</v>
      </c>
      <c r="BG128" s="427">
        <v>0</v>
      </c>
      <c r="BH128" s="427">
        <v>0</v>
      </c>
      <c r="BI128" s="427">
        <v>0</v>
      </c>
      <c r="BJ128" s="427">
        <v>0</v>
      </c>
      <c r="BK128" s="427">
        <v>0</v>
      </c>
      <c r="BL128" s="427">
        <v>0</v>
      </c>
      <c r="BM128" s="427">
        <v>0</v>
      </c>
      <c r="BN128" s="427">
        <v>0</v>
      </c>
      <c r="BO128" s="427">
        <v>0</v>
      </c>
      <c r="BP128" s="427">
        <v>0</v>
      </c>
      <c r="BQ128" s="427">
        <v>0</v>
      </c>
      <c r="BR128" s="427">
        <v>0</v>
      </c>
      <c r="BS128" s="427">
        <v>0</v>
      </c>
      <c r="BT128" s="427">
        <v>0</v>
      </c>
      <c r="BU128" s="427">
        <v>0</v>
      </c>
      <c r="BV128" s="427">
        <v>0</v>
      </c>
      <c r="BW128" s="427">
        <v>0</v>
      </c>
      <c r="BX128" s="427">
        <v>0</v>
      </c>
      <c r="BY128" s="427">
        <v>0</v>
      </c>
      <c r="BZ128" s="427">
        <v>0</v>
      </c>
      <c r="CC128" s="21"/>
      <c r="CD128" s="426" t="s">
        <v>254</v>
      </c>
      <c r="CE128" s="433">
        <f t="shared" si="15"/>
        <v>0</v>
      </c>
      <c r="CF128" s="433">
        <f t="shared" si="16"/>
        <v>0</v>
      </c>
      <c r="CG128" s="433">
        <f t="shared" si="17"/>
        <v>0</v>
      </c>
      <c r="CH128" s="433">
        <f t="shared" si="18"/>
        <v>0</v>
      </c>
      <c r="CI128" s="433">
        <f t="shared" si="19"/>
        <v>0</v>
      </c>
      <c r="CJ128" s="433">
        <f t="shared" si="20"/>
        <v>0</v>
      </c>
      <c r="CK128" s="433">
        <f t="shared" si="21"/>
        <v>0</v>
      </c>
      <c r="CL128" s="433">
        <f t="shared" si="22"/>
        <v>0</v>
      </c>
      <c r="CM128" s="433">
        <f t="shared" si="23"/>
        <v>0</v>
      </c>
      <c r="CN128" s="433">
        <f t="shared" si="24"/>
        <v>0</v>
      </c>
      <c r="CO128" s="433">
        <f t="shared" si="25"/>
        <v>0</v>
      </c>
      <c r="CP128" s="433">
        <f t="shared" si="26"/>
        <v>0</v>
      </c>
      <c r="CQ128" s="433">
        <f t="shared" si="27"/>
        <v>0</v>
      </c>
      <c r="CR128" s="433">
        <f t="shared" si="28"/>
        <v>0</v>
      </c>
      <c r="CS128" s="433">
        <f t="shared" si="29"/>
        <v>0</v>
      </c>
      <c r="CT128" s="21"/>
    </row>
    <row r="129" spans="3:98" ht="24.75" hidden="1" customHeight="1" outlineLevel="2">
      <c r="C129" s="426" t="s">
        <v>255</v>
      </c>
      <c r="D129" s="427">
        <v>0</v>
      </c>
      <c r="E129" s="427">
        <v>0</v>
      </c>
      <c r="F129" s="427">
        <v>0</v>
      </c>
      <c r="G129" s="427">
        <v>0</v>
      </c>
      <c r="H129" s="427">
        <v>0</v>
      </c>
      <c r="I129" s="427">
        <v>0</v>
      </c>
      <c r="J129" s="427">
        <v>0</v>
      </c>
      <c r="K129" s="427">
        <v>0</v>
      </c>
      <c r="L129" s="427">
        <v>0</v>
      </c>
      <c r="M129" s="427">
        <v>0</v>
      </c>
      <c r="N129" s="427">
        <v>0</v>
      </c>
      <c r="O129" s="427">
        <v>0</v>
      </c>
      <c r="P129" s="427">
        <v>0</v>
      </c>
      <c r="Q129" s="427">
        <v>0</v>
      </c>
      <c r="R129" s="427">
        <v>0</v>
      </c>
      <c r="S129" s="427">
        <v>0</v>
      </c>
      <c r="T129" s="427">
        <v>0</v>
      </c>
      <c r="U129" s="427">
        <v>0</v>
      </c>
      <c r="V129" s="427">
        <v>0</v>
      </c>
      <c r="W129" s="427">
        <v>0</v>
      </c>
      <c r="X129" s="427">
        <v>0</v>
      </c>
      <c r="Y129" s="427">
        <v>0</v>
      </c>
      <c r="Z129" s="427">
        <v>0</v>
      </c>
      <c r="AA129" s="427">
        <v>0</v>
      </c>
      <c r="AB129" s="427">
        <v>0</v>
      </c>
      <c r="AC129" s="427">
        <v>0</v>
      </c>
      <c r="AD129" s="427">
        <v>0</v>
      </c>
      <c r="AE129" s="427">
        <v>0</v>
      </c>
      <c r="AF129" s="427">
        <v>0</v>
      </c>
      <c r="AG129" s="427">
        <v>0</v>
      </c>
      <c r="AH129" s="427">
        <v>0</v>
      </c>
      <c r="AI129" s="427">
        <v>0</v>
      </c>
      <c r="AJ129" s="427">
        <v>0</v>
      </c>
      <c r="AK129" s="427">
        <v>0</v>
      </c>
      <c r="AL129" s="427">
        <v>0</v>
      </c>
      <c r="AM129" s="427">
        <v>0</v>
      </c>
      <c r="AN129" s="427">
        <v>0</v>
      </c>
      <c r="AO129" s="427">
        <v>0</v>
      </c>
      <c r="AP129" s="427">
        <v>0</v>
      </c>
      <c r="AQ129" s="427">
        <v>0</v>
      </c>
      <c r="AR129" s="427">
        <v>0</v>
      </c>
      <c r="AS129" s="427">
        <v>0</v>
      </c>
      <c r="AT129" s="427">
        <v>0</v>
      </c>
      <c r="AU129" s="427">
        <v>0</v>
      </c>
      <c r="AV129" s="427">
        <v>0</v>
      </c>
      <c r="AW129" s="427">
        <v>0</v>
      </c>
      <c r="AX129" s="427">
        <v>0</v>
      </c>
      <c r="AY129" s="427">
        <v>0</v>
      </c>
      <c r="AZ129" s="427">
        <v>0</v>
      </c>
      <c r="BA129" s="427">
        <v>0</v>
      </c>
      <c r="BB129" s="427">
        <v>0</v>
      </c>
      <c r="BC129" s="427">
        <v>0</v>
      </c>
      <c r="BD129" s="427">
        <v>0</v>
      </c>
      <c r="BE129" s="427">
        <v>0</v>
      </c>
      <c r="BF129" s="427">
        <v>0</v>
      </c>
      <c r="BG129" s="427">
        <v>0</v>
      </c>
      <c r="BH129" s="427">
        <v>0</v>
      </c>
      <c r="BI129" s="427">
        <v>0</v>
      </c>
      <c r="BJ129" s="427">
        <v>0</v>
      </c>
      <c r="BK129" s="427">
        <v>0</v>
      </c>
      <c r="BL129" s="427">
        <v>0</v>
      </c>
      <c r="BM129" s="427">
        <v>0</v>
      </c>
      <c r="BN129" s="427">
        <v>0</v>
      </c>
      <c r="BO129" s="427">
        <v>0</v>
      </c>
      <c r="BP129" s="427">
        <v>0</v>
      </c>
      <c r="BQ129" s="427">
        <v>0</v>
      </c>
      <c r="BR129" s="427">
        <v>0</v>
      </c>
      <c r="BS129" s="427">
        <v>0</v>
      </c>
      <c r="BT129" s="427">
        <v>0</v>
      </c>
      <c r="BU129" s="427">
        <v>0</v>
      </c>
      <c r="BV129" s="427">
        <v>0</v>
      </c>
      <c r="BW129" s="427">
        <v>0</v>
      </c>
      <c r="BX129" s="427">
        <v>0</v>
      </c>
      <c r="BY129" s="427">
        <v>0</v>
      </c>
      <c r="BZ129" s="427">
        <v>0</v>
      </c>
      <c r="CC129" s="21"/>
      <c r="CD129" s="426" t="s">
        <v>255</v>
      </c>
      <c r="CE129" s="433">
        <f t="shared" si="15"/>
        <v>0</v>
      </c>
      <c r="CF129" s="433">
        <f t="shared" si="16"/>
        <v>0</v>
      </c>
      <c r="CG129" s="433">
        <f t="shared" si="17"/>
        <v>0</v>
      </c>
      <c r="CH129" s="433">
        <f t="shared" si="18"/>
        <v>0</v>
      </c>
      <c r="CI129" s="433">
        <f t="shared" si="19"/>
        <v>0</v>
      </c>
      <c r="CJ129" s="433">
        <f t="shared" si="20"/>
        <v>0</v>
      </c>
      <c r="CK129" s="433">
        <f t="shared" si="21"/>
        <v>0</v>
      </c>
      <c r="CL129" s="433">
        <f t="shared" si="22"/>
        <v>0</v>
      </c>
      <c r="CM129" s="433">
        <f t="shared" si="23"/>
        <v>0</v>
      </c>
      <c r="CN129" s="433">
        <f t="shared" si="24"/>
        <v>0</v>
      </c>
      <c r="CO129" s="433">
        <f t="shared" si="25"/>
        <v>0</v>
      </c>
      <c r="CP129" s="433">
        <f t="shared" si="26"/>
        <v>0</v>
      </c>
      <c r="CQ129" s="433">
        <f t="shared" si="27"/>
        <v>0</v>
      </c>
      <c r="CR129" s="433">
        <f t="shared" si="28"/>
        <v>0</v>
      </c>
      <c r="CS129" s="433">
        <f t="shared" si="29"/>
        <v>0</v>
      </c>
      <c r="CT129" s="21"/>
    </row>
    <row r="130" spans="3:98" ht="24.75" hidden="1" customHeight="1" outlineLevel="2">
      <c r="C130" s="426" t="s">
        <v>256</v>
      </c>
      <c r="D130" s="427">
        <v>0</v>
      </c>
      <c r="E130" s="427">
        <v>0</v>
      </c>
      <c r="F130" s="427">
        <v>0</v>
      </c>
      <c r="G130" s="427">
        <v>0</v>
      </c>
      <c r="H130" s="434">
        <v>0</v>
      </c>
      <c r="I130" s="434">
        <v>0</v>
      </c>
      <c r="J130" s="434">
        <v>0</v>
      </c>
      <c r="K130" s="434">
        <v>0</v>
      </c>
      <c r="L130" s="434">
        <v>0</v>
      </c>
      <c r="M130" s="434">
        <v>0</v>
      </c>
      <c r="N130" s="434">
        <v>0</v>
      </c>
      <c r="O130" s="434">
        <v>0</v>
      </c>
      <c r="P130" s="434">
        <v>0</v>
      </c>
      <c r="Q130" s="434">
        <v>0</v>
      </c>
      <c r="R130" s="434">
        <v>0</v>
      </c>
      <c r="S130" s="434">
        <v>0</v>
      </c>
      <c r="T130" s="434">
        <v>0</v>
      </c>
      <c r="U130" s="434">
        <v>0</v>
      </c>
      <c r="V130" s="434">
        <v>0</v>
      </c>
      <c r="W130" s="434">
        <v>0</v>
      </c>
      <c r="X130" s="434">
        <v>0</v>
      </c>
      <c r="Y130" s="434">
        <v>0</v>
      </c>
      <c r="Z130" s="434">
        <v>0</v>
      </c>
      <c r="AA130" s="434">
        <v>0</v>
      </c>
      <c r="AB130" s="434">
        <v>0</v>
      </c>
      <c r="AC130" s="434">
        <v>0</v>
      </c>
      <c r="AD130" s="434">
        <v>0</v>
      </c>
      <c r="AE130" s="434">
        <v>0</v>
      </c>
      <c r="AF130" s="434">
        <v>0</v>
      </c>
      <c r="AG130" s="434">
        <v>0</v>
      </c>
      <c r="AH130" s="434">
        <v>0</v>
      </c>
      <c r="AI130" s="434">
        <v>0</v>
      </c>
      <c r="AJ130" s="434">
        <v>0</v>
      </c>
      <c r="AK130" s="434">
        <v>0</v>
      </c>
      <c r="AL130" s="434">
        <v>0</v>
      </c>
      <c r="AM130" s="434">
        <v>0</v>
      </c>
      <c r="AN130" s="434">
        <v>0</v>
      </c>
      <c r="AO130" s="434">
        <v>0</v>
      </c>
      <c r="AP130" s="434">
        <v>0</v>
      </c>
      <c r="AQ130" s="434">
        <v>0</v>
      </c>
      <c r="AR130" s="434">
        <v>0</v>
      </c>
      <c r="AS130" s="434">
        <v>0</v>
      </c>
      <c r="AT130" s="434">
        <v>0</v>
      </c>
      <c r="AU130" s="434">
        <v>0</v>
      </c>
      <c r="AV130" s="434">
        <v>0</v>
      </c>
      <c r="AW130" s="434">
        <v>0</v>
      </c>
      <c r="AX130" s="434">
        <v>0</v>
      </c>
      <c r="AY130" s="434">
        <v>0</v>
      </c>
      <c r="AZ130" s="434">
        <v>0</v>
      </c>
      <c r="BA130" s="434">
        <v>0</v>
      </c>
      <c r="BB130" s="434">
        <v>0</v>
      </c>
      <c r="BC130" s="434">
        <v>0</v>
      </c>
      <c r="BD130" s="434">
        <v>0</v>
      </c>
      <c r="BE130" s="434">
        <v>0</v>
      </c>
      <c r="BF130" s="434">
        <v>0</v>
      </c>
      <c r="BG130" s="434">
        <v>0</v>
      </c>
      <c r="BH130" s="434">
        <v>0</v>
      </c>
      <c r="BI130" s="434">
        <v>0</v>
      </c>
      <c r="BJ130" s="434">
        <v>0</v>
      </c>
      <c r="BK130" s="434">
        <v>0</v>
      </c>
      <c r="BL130" s="434">
        <v>0</v>
      </c>
      <c r="BM130" s="434">
        <v>0</v>
      </c>
      <c r="BN130" s="434">
        <v>0</v>
      </c>
      <c r="BO130" s="434">
        <v>0</v>
      </c>
      <c r="BP130" s="434">
        <v>0</v>
      </c>
      <c r="BQ130" s="434">
        <v>0</v>
      </c>
      <c r="BR130" s="434">
        <v>0</v>
      </c>
      <c r="BS130" s="434">
        <v>0</v>
      </c>
      <c r="BT130" s="434">
        <v>0</v>
      </c>
      <c r="BU130" s="434">
        <v>0</v>
      </c>
      <c r="BV130" s="434">
        <v>0</v>
      </c>
      <c r="BW130" s="434">
        <v>0</v>
      </c>
      <c r="BX130" s="434">
        <v>0</v>
      </c>
      <c r="BY130" s="434">
        <v>0</v>
      </c>
      <c r="BZ130" s="434">
        <v>0</v>
      </c>
      <c r="CC130" s="21"/>
      <c r="CD130" s="426" t="s">
        <v>256</v>
      </c>
      <c r="CE130" s="433">
        <f t="shared" si="15"/>
        <v>0</v>
      </c>
      <c r="CF130" s="433">
        <f t="shared" si="16"/>
        <v>0</v>
      </c>
      <c r="CG130" s="433">
        <f t="shared" si="17"/>
        <v>0</v>
      </c>
      <c r="CH130" s="433">
        <f t="shared" si="18"/>
        <v>0</v>
      </c>
      <c r="CI130" s="433">
        <f t="shared" si="19"/>
        <v>0</v>
      </c>
      <c r="CJ130" s="433">
        <f t="shared" si="20"/>
        <v>0</v>
      </c>
      <c r="CK130" s="433">
        <f t="shared" si="21"/>
        <v>0</v>
      </c>
      <c r="CL130" s="433">
        <f t="shared" si="22"/>
        <v>0</v>
      </c>
      <c r="CM130" s="433">
        <f t="shared" si="23"/>
        <v>0</v>
      </c>
      <c r="CN130" s="433">
        <f t="shared" si="24"/>
        <v>0</v>
      </c>
      <c r="CO130" s="433">
        <f t="shared" si="25"/>
        <v>0</v>
      </c>
      <c r="CP130" s="433">
        <f t="shared" si="26"/>
        <v>0</v>
      </c>
      <c r="CQ130" s="433">
        <f t="shared" si="27"/>
        <v>0</v>
      </c>
      <c r="CR130" s="433">
        <f t="shared" si="28"/>
        <v>0</v>
      </c>
      <c r="CS130" s="433">
        <f t="shared" si="29"/>
        <v>0</v>
      </c>
      <c r="CT130" s="21"/>
    </row>
    <row r="131" spans="3:98" ht="24.75" hidden="1" customHeight="1" outlineLevel="2">
      <c r="C131" s="426" t="s">
        <v>257</v>
      </c>
      <c r="D131" s="427">
        <v>0</v>
      </c>
      <c r="E131" s="427">
        <v>0</v>
      </c>
      <c r="F131" s="427">
        <v>0</v>
      </c>
      <c r="G131" s="427">
        <v>0</v>
      </c>
      <c r="H131" s="427">
        <v>0</v>
      </c>
      <c r="I131" s="427">
        <v>0</v>
      </c>
      <c r="J131" s="427">
        <v>0</v>
      </c>
      <c r="K131" s="427">
        <v>0</v>
      </c>
      <c r="L131" s="427">
        <v>0</v>
      </c>
      <c r="M131" s="427">
        <v>0</v>
      </c>
      <c r="N131" s="427">
        <v>0</v>
      </c>
      <c r="O131" s="427">
        <v>0</v>
      </c>
      <c r="P131" s="427">
        <v>0</v>
      </c>
      <c r="Q131" s="427">
        <v>0</v>
      </c>
      <c r="R131" s="427">
        <v>0</v>
      </c>
      <c r="S131" s="427">
        <v>0</v>
      </c>
      <c r="T131" s="427">
        <v>0</v>
      </c>
      <c r="U131" s="427">
        <v>0</v>
      </c>
      <c r="V131" s="427">
        <v>0</v>
      </c>
      <c r="W131" s="427">
        <v>0</v>
      </c>
      <c r="X131" s="427">
        <v>0</v>
      </c>
      <c r="Y131" s="427">
        <v>0</v>
      </c>
      <c r="Z131" s="427">
        <v>0</v>
      </c>
      <c r="AA131" s="427">
        <v>0</v>
      </c>
      <c r="AB131" s="427">
        <v>0</v>
      </c>
      <c r="AC131" s="427">
        <v>0</v>
      </c>
      <c r="AD131" s="427">
        <v>0</v>
      </c>
      <c r="AE131" s="427">
        <v>0</v>
      </c>
      <c r="AF131" s="427">
        <v>0</v>
      </c>
      <c r="AG131" s="427">
        <v>0</v>
      </c>
      <c r="AH131" s="427">
        <v>0</v>
      </c>
      <c r="AI131" s="427">
        <v>0</v>
      </c>
      <c r="AJ131" s="427">
        <v>0</v>
      </c>
      <c r="AK131" s="427">
        <v>0</v>
      </c>
      <c r="AL131" s="427">
        <v>0</v>
      </c>
      <c r="AM131" s="427">
        <v>0</v>
      </c>
      <c r="AN131" s="427">
        <v>0</v>
      </c>
      <c r="AO131" s="427">
        <v>0</v>
      </c>
      <c r="AP131" s="427">
        <v>0</v>
      </c>
      <c r="AQ131" s="427">
        <v>0</v>
      </c>
      <c r="AR131" s="427">
        <v>0</v>
      </c>
      <c r="AS131" s="427">
        <v>0</v>
      </c>
      <c r="AT131" s="427">
        <v>0</v>
      </c>
      <c r="AU131" s="427">
        <v>0</v>
      </c>
      <c r="AV131" s="427">
        <v>0</v>
      </c>
      <c r="AW131" s="427">
        <v>0</v>
      </c>
      <c r="AX131" s="427">
        <v>0</v>
      </c>
      <c r="AY131" s="427">
        <v>0</v>
      </c>
      <c r="AZ131" s="427">
        <v>0</v>
      </c>
      <c r="BA131" s="427">
        <v>0</v>
      </c>
      <c r="BB131" s="427">
        <v>0</v>
      </c>
      <c r="BC131" s="427">
        <v>0</v>
      </c>
      <c r="BD131" s="427">
        <v>0</v>
      </c>
      <c r="BE131" s="427">
        <v>0</v>
      </c>
      <c r="BF131" s="427">
        <v>0</v>
      </c>
      <c r="BG131" s="427">
        <v>0</v>
      </c>
      <c r="BH131" s="427">
        <v>0</v>
      </c>
      <c r="BI131" s="427">
        <v>0</v>
      </c>
      <c r="BJ131" s="427">
        <v>0</v>
      </c>
      <c r="BK131" s="427">
        <v>0</v>
      </c>
      <c r="BL131" s="427">
        <v>0</v>
      </c>
      <c r="BM131" s="427">
        <v>0</v>
      </c>
      <c r="BN131" s="427">
        <v>0</v>
      </c>
      <c r="BO131" s="427">
        <v>0</v>
      </c>
      <c r="BP131" s="427">
        <v>0</v>
      </c>
      <c r="BQ131" s="427">
        <v>0</v>
      </c>
      <c r="BR131" s="427">
        <v>0</v>
      </c>
      <c r="BS131" s="427">
        <v>0</v>
      </c>
      <c r="BT131" s="427">
        <v>0</v>
      </c>
      <c r="BU131" s="427">
        <v>0</v>
      </c>
      <c r="BV131" s="427">
        <v>0</v>
      </c>
      <c r="BW131" s="427">
        <v>0</v>
      </c>
      <c r="BX131" s="427">
        <v>0</v>
      </c>
      <c r="BY131" s="427">
        <v>0</v>
      </c>
      <c r="BZ131" s="427">
        <v>0</v>
      </c>
      <c r="CC131" s="21"/>
      <c r="CD131" s="426" t="s">
        <v>257</v>
      </c>
      <c r="CE131" s="433">
        <f t="shared" si="15"/>
        <v>0</v>
      </c>
      <c r="CF131" s="433">
        <f t="shared" si="16"/>
        <v>0</v>
      </c>
      <c r="CG131" s="433">
        <f t="shared" si="17"/>
        <v>0</v>
      </c>
      <c r="CH131" s="433">
        <f t="shared" si="18"/>
        <v>0</v>
      </c>
      <c r="CI131" s="433">
        <f t="shared" si="19"/>
        <v>0</v>
      </c>
      <c r="CJ131" s="433">
        <f t="shared" si="20"/>
        <v>0</v>
      </c>
      <c r="CK131" s="433">
        <f t="shared" si="21"/>
        <v>0</v>
      </c>
      <c r="CL131" s="433">
        <f t="shared" si="22"/>
        <v>0</v>
      </c>
      <c r="CM131" s="433">
        <f t="shared" si="23"/>
        <v>0</v>
      </c>
      <c r="CN131" s="433">
        <f t="shared" si="24"/>
        <v>0</v>
      </c>
      <c r="CO131" s="433">
        <f t="shared" si="25"/>
        <v>0</v>
      </c>
      <c r="CP131" s="433">
        <f t="shared" si="26"/>
        <v>0</v>
      </c>
      <c r="CQ131" s="433">
        <f t="shared" si="27"/>
        <v>0</v>
      </c>
      <c r="CR131" s="433">
        <f t="shared" si="28"/>
        <v>0</v>
      </c>
      <c r="CS131" s="433">
        <f t="shared" si="29"/>
        <v>0</v>
      </c>
      <c r="CT131" s="21"/>
    </row>
    <row r="132" spans="3:98" ht="24.75" hidden="1" customHeight="1" outlineLevel="2">
      <c r="C132" s="426" t="s">
        <v>258</v>
      </c>
      <c r="D132" s="427">
        <v>0</v>
      </c>
      <c r="E132" s="427">
        <v>0</v>
      </c>
      <c r="F132" s="427">
        <v>0</v>
      </c>
      <c r="G132" s="427">
        <v>0</v>
      </c>
      <c r="H132" s="427">
        <v>0</v>
      </c>
      <c r="I132" s="427">
        <v>0</v>
      </c>
      <c r="J132" s="427">
        <v>0</v>
      </c>
      <c r="K132" s="427">
        <v>0</v>
      </c>
      <c r="L132" s="427">
        <v>0</v>
      </c>
      <c r="M132" s="427">
        <v>0</v>
      </c>
      <c r="N132" s="427">
        <v>0</v>
      </c>
      <c r="O132" s="427">
        <v>0</v>
      </c>
      <c r="P132" s="427">
        <v>0</v>
      </c>
      <c r="Q132" s="427">
        <v>0</v>
      </c>
      <c r="R132" s="427">
        <v>0</v>
      </c>
      <c r="S132" s="427">
        <v>0</v>
      </c>
      <c r="T132" s="427">
        <v>0</v>
      </c>
      <c r="U132" s="427">
        <v>0</v>
      </c>
      <c r="V132" s="427">
        <v>0</v>
      </c>
      <c r="W132" s="427">
        <v>0</v>
      </c>
      <c r="X132" s="427">
        <v>0</v>
      </c>
      <c r="Y132" s="427">
        <v>0</v>
      </c>
      <c r="Z132" s="427">
        <v>0</v>
      </c>
      <c r="AA132" s="427">
        <v>0</v>
      </c>
      <c r="AB132" s="427">
        <v>0</v>
      </c>
      <c r="AC132" s="427">
        <v>0</v>
      </c>
      <c r="AD132" s="427">
        <v>0</v>
      </c>
      <c r="AE132" s="427">
        <v>0</v>
      </c>
      <c r="AF132" s="427">
        <v>0</v>
      </c>
      <c r="AG132" s="427">
        <v>0</v>
      </c>
      <c r="AH132" s="427">
        <v>0</v>
      </c>
      <c r="AI132" s="427">
        <v>0</v>
      </c>
      <c r="AJ132" s="427">
        <v>0</v>
      </c>
      <c r="AK132" s="427">
        <v>0</v>
      </c>
      <c r="AL132" s="427">
        <v>0</v>
      </c>
      <c r="AM132" s="427">
        <v>0</v>
      </c>
      <c r="AN132" s="427">
        <v>0</v>
      </c>
      <c r="AO132" s="427">
        <v>0</v>
      </c>
      <c r="AP132" s="427">
        <v>0</v>
      </c>
      <c r="AQ132" s="427">
        <v>0</v>
      </c>
      <c r="AR132" s="427">
        <v>0</v>
      </c>
      <c r="AS132" s="427">
        <v>0</v>
      </c>
      <c r="AT132" s="427">
        <v>0</v>
      </c>
      <c r="AU132" s="427">
        <v>0</v>
      </c>
      <c r="AV132" s="427">
        <v>0</v>
      </c>
      <c r="AW132" s="427">
        <v>0</v>
      </c>
      <c r="AX132" s="427">
        <v>0</v>
      </c>
      <c r="AY132" s="427">
        <v>0</v>
      </c>
      <c r="AZ132" s="427">
        <v>0</v>
      </c>
      <c r="BA132" s="427">
        <v>0</v>
      </c>
      <c r="BB132" s="427">
        <v>0</v>
      </c>
      <c r="BC132" s="427">
        <v>0</v>
      </c>
      <c r="BD132" s="427">
        <v>0</v>
      </c>
      <c r="BE132" s="427">
        <v>0</v>
      </c>
      <c r="BF132" s="427">
        <v>0</v>
      </c>
      <c r="BG132" s="427">
        <v>0</v>
      </c>
      <c r="BH132" s="427">
        <v>0</v>
      </c>
      <c r="BI132" s="427">
        <v>0</v>
      </c>
      <c r="BJ132" s="427">
        <v>0</v>
      </c>
      <c r="BK132" s="427">
        <v>0</v>
      </c>
      <c r="BL132" s="427">
        <v>0</v>
      </c>
      <c r="BM132" s="427">
        <v>0</v>
      </c>
      <c r="BN132" s="427">
        <v>0</v>
      </c>
      <c r="BO132" s="427">
        <v>0</v>
      </c>
      <c r="BP132" s="427">
        <v>0</v>
      </c>
      <c r="BQ132" s="427">
        <v>0</v>
      </c>
      <c r="BR132" s="427">
        <v>0</v>
      </c>
      <c r="BS132" s="427">
        <v>0</v>
      </c>
      <c r="BT132" s="427">
        <v>0</v>
      </c>
      <c r="BU132" s="427">
        <v>0</v>
      </c>
      <c r="BV132" s="427">
        <v>0</v>
      </c>
      <c r="BW132" s="427">
        <v>0</v>
      </c>
      <c r="BX132" s="427">
        <v>0</v>
      </c>
      <c r="BY132" s="427">
        <v>0</v>
      </c>
      <c r="BZ132" s="427">
        <v>0</v>
      </c>
      <c r="CC132" s="21"/>
      <c r="CD132" s="426" t="s">
        <v>258</v>
      </c>
      <c r="CE132" s="433">
        <f t="shared" si="15"/>
        <v>0</v>
      </c>
      <c r="CF132" s="433">
        <f t="shared" si="16"/>
        <v>0</v>
      </c>
      <c r="CG132" s="433">
        <f t="shared" si="17"/>
        <v>0</v>
      </c>
      <c r="CH132" s="433">
        <f t="shared" si="18"/>
        <v>0</v>
      </c>
      <c r="CI132" s="433">
        <f t="shared" si="19"/>
        <v>0</v>
      </c>
      <c r="CJ132" s="433">
        <f t="shared" si="20"/>
        <v>0</v>
      </c>
      <c r="CK132" s="433">
        <f t="shared" si="21"/>
        <v>0</v>
      </c>
      <c r="CL132" s="433">
        <f t="shared" si="22"/>
        <v>0</v>
      </c>
      <c r="CM132" s="433">
        <f t="shared" si="23"/>
        <v>0</v>
      </c>
      <c r="CN132" s="433">
        <f t="shared" si="24"/>
        <v>0</v>
      </c>
      <c r="CO132" s="433">
        <f t="shared" si="25"/>
        <v>0</v>
      </c>
      <c r="CP132" s="433">
        <f t="shared" si="26"/>
        <v>0</v>
      </c>
      <c r="CQ132" s="433">
        <f t="shared" si="27"/>
        <v>0</v>
      </c>
      <c r="CR132" s="433">
        <f t="shared" si="28"/>
        <v>0</v>
      </c>
      <c r="CS132" s="433">
        <f t="shared" si="29"/>
        <v>0</v>
      </c>
      <c r="CT132" s="21"/>
    </row>
    <row r="133" spans="3:98" ht="24.75" hidden="1" customHeight="1" outlineLevel="3">
      <c r="C133" s="437" t="s">
        <v>259</v>
      </c>
      <c r="D133" s="427">
        <v>0</v>
      </c>
      <c r="E133" s="427">
        <v>0</v>
      </c>
      <c r="F133" s="427">
        <v>0</v>
      </c>
      <c r="G133" s="427">
        <v>0</v>
      </c>
      <c r="H133" s="427">
        <v>0</v>
      </c>
      <c r="I133" s="427">
        <v>0</v>
      </c>
      <c r="J133" s="427">
        <v>0</v>
      </c>
      <c r="K133" s="427">
        <v>0</v>
      </c>
      <c r="L133" s="427">
        <v>0</v>
      </c>
      <c r="M133" s="427">
        <v>0</v>
      </c>
      <c r="N133" s="427">
        <v>0</v>
      </c>
      <c r="O133" s="427">
        <v>0</v>
      </c>
      <c r="P133" s="427">
        <v>0</v>
      </c>
      <c r="Q133" s="427">
        <v>0</v>
      </c>
      <c r="R133" s="427">
        <v>0</v>
      </c>
      <c r="S133" s="427">
        <v>0</v>
      </c>
      <c r="T133" s="427">
        <v>0</v>
      </c>
      <c r="U133" s="427">
        <v>0</v>
      </c>
      <c r="V133" s="427">
        <v>0</v>
      </c>
      <c r="W133" s="427">
        <v>0</v>
      </c>
      <c r="X133" s="427">
        <v>0</v>
      </c>
      <c r="Y133" s="427">
        <v>0</v>
      </c>
      <c r="Z133" s="427">
        <v>0</v>
      </c>
      <c r="AA133" s="427">
        <v>0</v>
      </c>
      <c r="AB133" s="427">
        <v>0</v>
      </c>
      <c r="AC133" s="427">
        <v>0</v>
      </c>
      <c r="AD133" s="427">
        <v>0</v>
      </c>
      <c r="AE133" s="427">
        <v>0</v>
      </c>
      <c r="AF133" s="427">
        <v>0</v>
      </c>
      <c r="AG133" s="427">
        <v>0</v>
      </c>
      <c r="AH133" s="427">
        <v>0</v>
      </c>
      <c r="AI133" s="427">
        <v>0</v>
      </c>
      <c r="AJ133" s="427">
        <v>0</v>
      </c>
      <c r="AK133" s="427">
        <v>0</v>
      </c>
      <c r="AL133" s="427">
        <v>0</v>
      </c>
      <c r="AM133" s="427">
        <v>0</v>
      </c>
      <c r="AN133" s="427">
        <v>0</v>
      </c>
      <c r="AO133" s="427">
        <v>0</v>
      </c>
      <c r="AP133" s="427">
        <v>0</v>
      </c>
      <c r="AQ133" s="427">
        <v>0</v>
      </c>
      <c r="AR133" s="427">
        <v>0</v>
      </c>
      <c r="AS133" s="427">
        <v>0</v>
      </c>
      <c r="AT133" s="427">
        <v>0</v>
      </c>
      <c r="AU133" s="427">
        <v>0</v>
      </c>
      <c r="AV133" s="427">
        <v>0</v>
      </c>
      <c r="AW133" s="427">
        <v>0</v>
      </c>
      <c r="AX133" s="427">
        <v>0</v>
      </c>
      <c r="AY133" s="427">
        <v>0</v>
      </c>
      <c r="AZ133" s="427">
        <v>0</v>
      </c>
      <c r="BA133" s="427">
        <v>0</v>
      </c>
      <c r="BB133" s="427">
        <v>0</v>
      </c>
      <c r="BC133" s="427">
        <v>0</v>
      </c>
      <c r="BD133" s="427">
        <v>0</v>
      </c>
      <c r="BE133" s="427">
        <v>0</v>
      </c>
      <c r="BF133" s="427">
        <v>0</v>
      </c>
      <c r="BG133" s="427">
        <v>0</v>
      </c>
      <c r="BH133" s="427">
        <v>0</v>
      </c>
      <c r="BI133" s="427">
        <v>0</v>
      </c>
      <c r="BJ133" s="427">
        <v>0</v>
      </c>
      <c r="BK133" s="427">
        <v>0</v>
      </c>
      <c r="BL133" s="427">
        <v>0</v>
      </c>
      <c r="BM133" s="427">
        <v>0</v>
      </c>
      <c r="BN133" s="427">
        <v>0</v>
      </c>
      <c r="BO133" s="427">
        <v>0</v>
      </c>
      <c r="BP133" s="427">
        <v>0</v>
      </c>
      <c r="BQ133" s="427">
        <v>0</v>
      </c>
      <c r="BR133" s="427">
        <v>0</v>
      </c>
      <c r="BS133" s="427">
        <v>0</v>
      </c>
      <c r="BT133" s="427">
        <v>0</v>
      </c>
      <c r="BU133" s="427">
        <v>0</v>
      </c>
      <c r="BV133" s="427">
        <v>0</v>
      </c>
      <c r="BW133" s="427">
        <v>0</v>
      </c>
      <c r="BX133" s="427">
        <v>0</v>
      </c>
      <c r="BY133" s="427">
        <v>0</v>
      </c>
      <c r="BZ133" s="427">
        <v>0</v>
      </c>
      <c r="CC133" s="21"/>
      <c r="CD133" s="437" t="s">
        <v>259</v>
      </c>
      <c r="CE133" s="433">
        <f t="shared" si="15"/>
        <v>0</v>
      </c>
      <c r="CF133" s="433">
        <f t="shared" si="16"/>
        <v>0</v>
      </c>
      <c r="CG133" s="433">
        <f t="shared" si="17"/>
        <v>0</v>
      </c>
      <c r="CH133" s="433">
        <f t="shared" si="18"/>
        <v>0</v>
      </c>
      <c r="CI133" s="433">
        <f t="shared" si="19"/>
        <v>0</v>
      </c>
      <c r="CJ133" s="433">
        <f t="shared" si="20"/>
        <v>0</v>
      </c>
      <c r="CK133" s="433">
        <f t="shared" si="21"/>
        <v>0</v>
      </c>
      <c r="CL133" s="433">
        <f t="shared" si="22"/>
        <v>0</v>
      </c>
      <c r="CM133" s="433">
        <f t="shared" si="23"/>
        <v>0</v>
      </c>
      <c r="CN133" s="433">
        <f t="shared" si="24"/>
        <v>0</v>
      </c>
      <c r="CO133" s="433">
        <f t="shared" si="25"/>
        <v>0</v>
      </c>
      <c r="CP133" s="433">
        <f t="shared" si="26"/>
        <v>0</v>
      </c>
      <c r="CQ133" s="433">
        <f t="shared" si="27"/>
        <v>0</v>
      </c>
      <c r="CR133" s="433">
        <f t="shared" si="28"/>
        <v>0</v>
      </c>
      <c r="CS133" s="433">
        <f t="shared" si="29"/>
        <v>0</v>
      </c>
      <c r="CT133" s="21"/>
    </row>
    <row r="134" spans="3:98" ht="24.75" hidden="1" customHeight="1" outlineLevel="3">
      <c r="C134" s="437" t="s">
        <v>260</v>
      </c>
      <c r="D134" s="427">
        <v>0</v>
      </c>
      <c r="E134" s="427">
        <v>0</v>
      </c>
      <c r="F134" s="427">
        <v>0</v>
      </c>
      <c r="G134" s="427">
        <v>0</v>
      </c>
      <c r="H134" s="427">
        <v>0</v>
      </c>
      <c r="I134" s="427">
        <v>0</v>
      </c>
      <c r="J134" s="427">
        <v>0</v>
      </c>
      <c r="K134" s="427">
        <v>0</v>
      </c>
      <c r="L134" s="427">
        <v>0</v>
      </c>
      <c r="M134" s="427">
        <v>0</v>
      </c>
      <c r="N134" s="427">
        <v>0</v>
      </c>
      <c r="O134" s="427">
        <v>0</v>
      </c>
      <c r="P134" s="427">
        <v>0</v>
      </c>
      <c r="Q134" s="427">
        <v>0</v>
      </c>
      <c r="R134" s="427">
        <v>0</v>
      </c>
      <c r="S134" s="427">
        <v>0</v>
      </c>
      <c r="T134" s="427">
        <v>0</v>
      </c>
      <c r="U134" s="427">
        <v>0</v>
      </c>
      <c r="V134" s="427">
        <v>0</v>
      </c>
      <c r="W134" s="427">
        <v>0</v>
      </c>
      <c r="X134" s="427">
        <v>0</v>
      </c>
      <c r="Y134" s="427">
        <v>0</v>
      </c>
      <c r="Z134" s="427">
        <v>0</v>
      </c>
      <c r="AA134" s="427">
        <v>0</v>
      </c>
      <c r="AB134" s="427">
        <v>0</v>
      </c>
      <c r="AC134" s="427">
        <v>0</v>
      </c>
      <c r="AD134" s="427">
        <v>0</v>
      </c>
      <c r="AE134" s="427">
        <v>0</v>
      </c>
      <c r="AF134" s="427">
        <v>0</v>
      </c>
      <c r="AG134" s="427">
        <v>0</v>
      </c>
      <c r="AH134" s="427">
        <v>0</v>
      </c>
      <c r="AI134" s="427">
        <v>0</v>
      </c>
      <c r="AJ134" s="427">
        <v>0</v>
      </c>
      <c r="AK134" s="427">
        <v>0</v>
      </c>
      <c r="AL134" s="427">
        <v>0</v>
      </c>
      <c r="AM134" s="427">
        <v>0</v>
      </c>
      <c r="AN134" s="427">
        <v>0</v>
      </c>
      <c r="AO134" s="427">
        <v>0</v>
      </c>
      <c r="AP134" s="427">
        <v>0</v>
      </c>
      <c r="AQ134" s="427">
        <v>0</v>
      </c>
      <c r="AR134" s="427">
        <v>0</v>
      </c>
      <c r="AS134" s="427">
        <v>0</v>
      </c>
      <c r="AT134" s="427">
        <v>0</v>
      </c>
      <c r="AU134" s="427">
        <v>0</v>
      </c>
      <c r="AV134" s="427">
        <v>0</v>
      </c>
      <c r="AW134" s="427">
        <v>0</v>
      </c>
      <c r="AX134" s="427">
        <v>0</v>
      </c>
      <c r="AY134" s="427">
        <v>0</v>
      </c>
      <c r="AZ134" s="427">
        <v>0</v>
      </c>
      <c r="BA134" s="427">
        <v>0</v>
      </c>
      <c r="BB134" s="427">
        <v>0</v>
      </c>
      <c r="BC134" s="427">
        <v>0</v>
      </c>
      <c r="BD134" s="427">
        <v>0</v>
      </c>
      <c r="BE134" s="427">
        <v>0</v>
      </c>
      <c r="BF134" s="427">
        <v>0</v>
      </c>
      <c r="BG134" s="427">
        <v>0</v>
      </c>
      <c r="BH134" s="427">
        <v>0</v>
      </c>
      <c r="BI134" s="427">
        <v>0</v>
      </c>
      <c r="BJ134" s="427">
        <v>0</v>
      </c>
      <c r="BK134" s="427">
        <v>0</v>
      </c>
      <c r="BL134" s="427">
        <v>0</v>
      </c>
      <c r="BM134" s="427">
        <v>0</v>
      </c>
      <c r="BN134" s="427">
        <v>0</v>
      </c>
      <c r="BO134" s="427">
        <v>0</v>
      </c>
      <c r="BP134" s="427">
        <v>0</v>
      </c>
      <c r="BQ134" s="427">
        <v>0</v>
      </c>
      <c r="BR134" s="427">
        <v>0</v>
      </c>
      <c r="BS134" s="427">
        <v>0</v>
      </c>
      <c r="BT134" s="427">
        <v>0</v>
      </c>
      <c r="BU134" s="427">
        <v>0</v>
      </c>
      <c r="BV134" s="427">
        <v>0</v>
      </c>
      <c r="BW134" s="427">
        <v>0</v>
      </c>
      <c r="BX134" s="427">
        <v>0</v>
      </c>
      <c r="BY134" s="427">
        <v>0</v>
      </c>
      <c r="BZ134" s="427">
        <v>0</v>
      </c>
      <c r="CC134" s="21"/>
      <c r="CD134" s="437" t="s">
        <v>260</v>
      </c>
      <c r="CE134" s="433">
        <f t="shared" si="15"/>
        <v>0</v>
      </c>
      <c r="CF134" s="433">
        <f t="shared" si="16"/>
        <v>0</v>
      </c>
      <c r="CG134" s="433">
        <f t="shared" si="17"/>
        <v>0</v>
      </c>
      <c r="CH134" s="433">
        <f t="shared" si="18"/>
        <v>0</v>
      </c>
      <c r="CI134" s="433">
        <f t="shared" si="19"/>
        <v>0</v>
      </c>
      <c r="CJ134" s="433">
        <f t="shared" si="20"/>
        <v>0</v>
      </c>
      <c r="CK134" s="433">
        <f t="shared" si="21"/>
        <v>0</v>
      </c>
      <c r="CL134" s="433">
        <f t="shared" si="22"/>
        <v>0</v>
      </c>
      <c r="CM134" s="433">
        <f t="shared" si="23"/>
        <v>0</v>
      </c>
      <c r="CN134" s="433">
        <f t="shared" si="24"/>
        <v>0</v>
      </c>
      <c r="CO134" s="433">
        <f t="shared" si="25"/>
        <v>0</v>
      </c>
      <c r="CP134" s="433">
        <f t="shared" si="26"/>
        <v>0</v>
      </c>
      <c r="CQ134" s="433">
        <f t="shared" si="27"/>
        <v>0</v>
      </c>
      <c r="CR134" s="433">
        <f t="shared" si="28"/>
        <v>0</v>
      </c>
      <c r="CS134" s="433">
        <f t="shared" si="29"/>
        <v>0</v>
      </c>
      <c r="CT134" s="21"/>
    </row>
    <row r="135" spans="3:98" ht="24.75" hidden="1" customHeight="1" outlineLevel="2">
      <c r="C135" s="426" t="s">
        <v>261</v>
      </c>
      <c r="D135" s="427">
        <v>0</v>
      </c>
      <c r="E135" s="427">
        <v>0</v>
      </c>
      <c r="F135" s="427">
        <v>0</v>
      </c>
      <c r="G135" s="427">
        <v>0</v>
      </c>
      <c r="H135" s="427">
        <v>0</v>
      </c>
      <c r="I135" s="427">
        <v>0</v>
      </c>
      <c r="J135" s="427">
        <v>0</v>
      </c>
      <c r="K135" s="427">
        <v>0</v>
      </c>
      <c r="L135" s="427">
        <v>0</v>
      </c>
      <c r="M135" s="427">
        <v>0</v>
      </c>
      <c r="N135" s="427">
        <v>0</v>
      </c>
      <c r="O135" s="427">
        <v>0</v>
      </c>
      <c r="P135" s="427">
        <v>0</v>
      </c>
      <c r="Q135" s="427">
        <v>0</v>
      </c>
      <c r="R135" s="427">
        <v>0</v>
      </c>
      <c r="S135" s="427">
        <v>0</v>
      </c>
      <c r="T135" s="427">
        <v>0</v>
      </c>
      <c r="U135" s="427">
        <v>0</v>
      </c>
      <c r="V135" s="427">
        <v>0</v>
      </c>
      <c r="W135" s="427">
        <v>0</v>
      </c>
      <c r="X135" s="427">
        <v>0</v>
      </c>
      <c r="Y135" s="427">
        <v>0</v>
      </c>
      <c r="Z135" s="427">
        <v>0</v>
      </c>
      <c r="AA135" s="427">
        <v>0</v>
      </c>
      <c r="AB135" s="427">
        <v>0</v>
      </c>
      <c r="AC135" s="427">
        <v>0</v>
      </c>
      <c r="AD135" s="427">
        <v>0</v>
      </c>
      <c r="AE135" s="427">
        <v>0</v>
      </c>
      <c r="AF135" s="427">
        <v>0</v>
      </c>
      <c r="AG135" s="427">
        <v>0</v>
      </c>
      <c r="AH135" s="427">
        <v>0</v>
      </c>
      <c r="AI135" s="427">
        <v>0</v>
      </c>
      <c r="AJ135" s="427">
        <v>0</v>
      </c>
      <c r="AK135" s="427">
        <v>0</v>
      </c>
      <c r="AL135" s="427">
        <v>0</v>
      </c>
      <c r="AM135" s="427">
        <v>0</v>
      </c>
      <c r="AN135" s="427">
        <v>0</v>
      </c>
      <c r="AO135" s="427">
        <v>0</v>
      </c>
      <c r="AP135" s="427">
        <v>0</v>
      </c>
      <c r="AQ135" s="427">
        <v>0</v>
      </c>
      <c r="AR135" s="427">
        <v>0</v>
      </c>
      <c r="AS135" s="427">
        <v>0</v>
      </c>
      <c r="AT135" s="427">
        <v>0</v>
      </c>
      <c r="AU135" s="427">
        <v>0</v>
      </c>
      <c r="AV135" s="427">
        <v>0</v>
      </c>
      <c r="AW135" s="427">
        <v>0</v>
      </c>
      <c r="AX135" s="427">
        <v>0</v>
      </c>
      <c r="AY135" s="427">
        <v>0</v>
      </c>
      <c r="AZ135" s="427">
        <v>0</v>
      </c>
      <c r="BA135" s="427">
        <v>0</v>
      </c>
      <c r="BB135" s="427">
        <v>0</v>
      </c>
      <c r="BC135" s="427">
        <v>0</v>
      </c>
      <c r="BD135" s="427">
        <v>0</v>
      </c>
      <c r="BE135" s="427">
        <v>0</v>
      </c>
      <c r="BF135" s="427">
        <v>0</v>
      </c>
      <c r="BG135" s="427">
        <v>0</v>
      </c>
      <c r="BH135" s="427">
        <v>0</v>
      </c>
      <c r="BI135" s="427">
        <v>0</v>
      </c>
      <c r="BJ135" s="427">
        <v>0</v>
      </c>
      <c r="BK135" s="427">
        <v>0</v>
      </c>
      <c r="BL135" s="427">
        <v>0</v>
      </c>
      <c r="BM135" s="427">
        <v>0</v>
      </c>
      <c r="BN135" s="427">
        <v>0</v>
      </c>
      <c r="BO135" s="427">
        <v>0</v>
      </c>
      <c r="BP135" s="427">
        <v>0</v>
      </c>
      <c r="BQ135" s="427">
        <v>0</v>
      </c>
      <c r="BR135" s="427">
        <v>0</v>
      </c>
      <c r="BS135" s="427">
        <v>0</v>
      </c>
      <c r="BT135" s="427">
        <v>0</v>
      </c>
      <c r="BU135" s="427">
        <v>0</v>
      </c>
      <c r="BV135" s="427">
        <v>0</v>
      </c>
      <c r="BW135" s="427">
        <v>0</v>
      </c>
      <c r="BX135" s="427">
        <v>0</v>
      </c>
      <c r="BY135" s="427">
        <v>0</v>
      </c>
      <c r="BZ135" s="427">
        <v>0</v>
      </c>
      <c r="CC135" s="21"/>
      <c r="CD135" s="426" t="s">
        <v>261</v>
      </c>
      <c r="CE135" s="433">
        <f t="shared" si="15"/>
        <v>0</v>
      </c>
      <c r="CF135" s="433">
        <f t="shared" si="16"/>
        <v>0</v>
      </c>
      <c r="CG135" s="433">
        <f t="shared" si="17"/>
        <v>0</v>
      </c>
      <c r="CH135" s="433">
        <f t="shared" si="18"/>
        <v>0</v>
      </c>
      <c r="CI135" s="433">
        <f t="shared" si="19"/>
        <v>0</v>
      </c>
      <c r="CJ135" s="433">
        <f t="shared" si="20"/>
        <v>0</v>
      </c>
      <c r="CK135" s="433">
        <f t="shared" si="21"/>
        <v>0</v>
      </c>
      <c r="CL135" s="433">
        <f t="shared" si="22"/>
        <v>0</v>
      </c>
      <c r="CM135" s="433">
        <f t="shared" si="23"/>
        <v>0</v>
      </c>
      <c r="CN135" s="433">
        <f t="shared" si="24"/>
        <v>0</v>
      </c>
      <c r="CO135" s="433">
        <f t="shared" si="25"/>
        <v>0</v>
      </c>
      <c r="CP135" s="433">
        <f t="shared" si="26"/>
        <v>0</v>
      </c>
      <c r="CQ135" s="433">
        <f t="shared" si="27"/>
        <v>0</v>
      </c>
      <c r="CR135" s="433">
        <f t="shared" si="28"/>
        <v>0</v>
      </c>
      <c r="CS135" s="433">
        <f t="shared" si="29"/>
        <v>0</v>
      </c>
      <c r="CT135" s="21"/>
    </row>
    <row r="136" spans="3:98" ht="24.75" hidden="1" customHeight="1" outlineLevel="1">
      <c r="C136" s="424" t="s">
        <v>253</v>
      </c>
      <c r="D136" s="427">
        <v>0</v>
      </c>
      <c r="E136" s="427">
        <v>0</v>
      </c>
      <c r="F136" s="427">
        <v>0</v>
      </c>
      <c r="G136" s="427">
        <v>0</v>
      </c>
      <c r="H136" s="427">
        <v>0</v>
      </c>
      <c r="I136" s="427">
        <v>0</v>
      </c>
      <c r="J136" s="427">
        <v>0</v>
      </c>
      <c r="K136" s="427">
        <v>0</v>
      </c>
      <c r="L136" s="427">
        <v>0</v>
      </c>
      <c r="M136" s="427">
        <v>0</v>
      </c>
      <c r="N136" s="427">
        <v>0</v>
      </c>
      <c r="O136" s="427">
        <v>0</v>
      </c>
      <c r="P136" s="427">
        <v>0</v>
      </c>
      <c r="Q136" s="427">
        <v>0</v>
      </c>
      <c r="R136" s="427">
        <v>0</v>
      </c>
      <c r="S136" s="427">
        <v>0</v>
      </c>
      <c r="T136" s="427">
        <v>0</v>
      </c>
      <c r="U136" s="427">
        <v>0</v>
      </c>
      <c r="V136" s="427">
        <v>0</v>
      </c>
      <c r="W136" s="427">
        <v>0</v>
      </c>
      <c r="X136" s="427">
        <v>0</v>
      </c>
      <c r="Y136" s="427">
        <v>0</v>
      </c>
      <c r="Z136" s="427">
        <v>0</v>
      </c>
      <c r="AA136" s="427">
        <v>0</v>
      </c>
      <c r="AB136" s="427">
        <v>0</v>
      </c>
      <c r="AC136" s="427">
        <v>0</v>
      </c>
      <c r="AD136" s="427">
        <v>0</v>
      </c>
      <c r="AE136" s="427">
        <v>0</v>
      </c>
      <c r="AF136" s="427">
        <v>0</v>
      </c>
      <c r="AG136" s="427">
        <v>0</v>
      </c>
      <c r="AH136" s="427">
        <v>0</v>
      </c>
      <c r="AI136" s="427">
        <v>0</v>
      </c>
      <c r="AJ136" s="427">
        <v>0</v>
      </c>
      <c r="AK136" s="427">
        <v>0</v>
      </c>
      <c r="AL136" s="427">
        <v>0</v>
      </c>
      <c r="AM136" s="427">
        <v>0</v>
      </c>
      <c r="AN136" s="427">
        <v>0</v>
      </c>
      <c r="AO136" s="427">
        <v>0</v>
      </c>
      <c r="AP136" s="427">
        <v>0</v>
      </c>
      <c r="AQ136" s="427">
        <v>0</v>
      </c>
      <c r="AR136" s="427">
        <v>0</v>
      </c>
      <c r="AS136" s="427">
        <v>0</v>
      </c>
      <c r="AT136" s="427">
        <v>0</v>
      </c>
      <c r="AU136" s="427">
        <v>0</v>
      </c>
      <c r="AV136" s="427">
        <v>0</v>
      </c>
      <c r="AW136" s="427">
        <v>0</v>
      </c>
      <c r="AX136" s="427">
        <v>0</v>
      </c>
      <c r="AY136" s="427">
        <v>0</v>
      </c>
      <c r="AZ136" s="427">
        <v>0</v>
      </c>
      <c r="BA136" s="427">
        <v>0</v>
      </c>
      <c r="BB136" s="427">
        <v>0</v>
      </c>
      <c r="BC136" s="427">
        <v>0</v>
      </c>
      <c r="BD136" s="427">
        <v>0</v>
      </c>
      <c r="BE136" s="427">
        <v>0</v>
      </c>
      <c r="BF136" s="427">
        <v>0</v>
      </c>
      <c r="BG136" s="427">
        <v>0</v>
      </c>
      <c r="BH136" s="427">
        <v>0</v>
      </c>
      <c r="BI136" s="427">
        <v>0</v>
      </c>
      <c r="BJ136" s="427">
        <v>0</v>
      </c>
      <c r="BK136" s="427">
        <v>0</v>
      </c>
      <c r="BL136" s="427">
        <v>0</v>
      </c>
      <c r="BM136" s="427">
        <v>0</v>
      </c>
      <c r="BN136" s="427">
        <v>0</v>
      </c>
      <c r="BO136" s="427">
        <v>0</v>
      </c>
      <c r="BP136" s="427">
        <v>0</v>
      </c>
      <c r="BQ136" s="427">
        <v>0</v>
      </c>
      <c r="BR136" s="427">
        <v>0</v>
      </c>
      <c r="BS136" s="427">
        <v>0</v>
      </c>
      <c r="BT136" s="427">
        <v>0</v>
      </c>
      <c r="BU136" s="427">
        <v>0</v>
      </c>
      <c r="BV136" s="427">
        <v>0</v>
      </c>
      <c r="BW136" s="427">
        <v>0</v>
      </c>
      <c r="BX136" s="427">
        <v>0</v>
      </c>
      <c r="BY136" s="427">
        <v>0</v>
      </c>
      <c r="BZ136" s="427">
        <v>0</v>
      </c>
      <c r="CC136" s="21"/>
      <c r="CD136" s="424" t="s">
        <v>253</v>
      </c>
      <c r="CE136" s="433">
        <f t="shared" ref="CE136:CE199" si="30">H136</f>
        <v>0</v>
      </c>
      <c r="CF136" s="433">
        <f t="shared" ref="CF136:CF199" si="31">M136</f>
        <v>0</v>
      </c>
      <c r="CG136" s="433">
        <f t="shared" ref="CG136:CG199" si="32">R136</f>
        <v>0</v>
      </c>
      <c r="CH136" s="433">
        <f t="shared" ref="CH136:CH199" si="33">W136</f>
        <v>0</v>
      </c>
      <c r="CI136" s="433">
        <f t="shared" ref="CI136:CI199" si="34">AB136</f>
        <v>0</v>
      </c>
      <c r="CJ136" s="433">
        <f t="shared" ref="CJ136:CJ199" si="35">AG136</f>
        <v>0</v>
      </c>
      <c r="CK136" s="433">
        <f t="shared" ref="CK136:CK199" si="36">AL136</f>
        <v>0</v>
      </c>
      <c r="CL136" s="433">
        <f t="shared" ref="CL136:CL199" si="37">AQ136</f>
        <v>0</v>
      </c>
      <c r="CM136" s="433">
        <f t="shared" ref="CM136:CM199" si="38">AV136</f>
        <v>0</v>
      </c>
      <c r="CN136" s="433">
        <f t="shared" ref="CN136:CN199" si="39">BA136</f>
        <v>0</v>
      </c>
      <c r="CO136" s="433">
        <f t="shared" ref="CO136:CO199" si="40">BF136</f>
        <v>0</v>
      </c>
      <c r="CP136" s="433">
        <f t="shared" ref="CP136:CP199" si="41">BK136</f>
        <v>0</v>
      </c>
      <c r="CQ136" s="433">
        <f t="shared" ref="CQ136:CQ199" si="42">BP136</f>
        <v>0</v>
      </c>
      <c r="CR136" s="433">
        <f t="shared" ref="CR136:CR199" si="43">BU136</f>
        <v>0</v>
      </c>
      <c r="CS136" s="433">
        <f t="shared" ref="CS136:CS199" si="44">BZ136</f>
        <v>0</v>
      </c>
      <c r="CT136" s="21"/>
    </row>
    <row r="137" spans="3:98" ht="24.75" hidden="1" customHeight="1" outlineLevel="1">
      <c r="C137" s="424" t="s">
        <v>262</v>
      </c>
      <c r="D137" s="427">
        <v>0</v>
      </c>
      <c r="E137" s="427">
        <v>0</v>
      </c>
      <c r="F137" s="427">
        <v>0</v>
      </c>
      <c r="G137" s="427">
        <v>0</v>
      </c>
      <c r="H137" s="434">
        <v>0</v>
      </c>
      <c r="I137" s="434">
        <v>0</v>
      </c>
      <c r="J137" s="434">
        <v>0</v>
      </c>
      <c r="K137" s="434">
        <v>0</v>
      </c>
      <c r="L137" s="434">
        <v>0</v>
      </c>
      <c r="M137" s="434">
        <v>0</v>
      </c>
      <c r="N137" s="434">
        <v>0</v>
      </c>
      <c r="O137" s="434">
        <v>0</v>
      </c>
      <c r="P137" s="434">
        <v>0</v>
      </c>
      <c r="Q137" s="434">
        <v>0</v>
      </c>
      <c r="R137" s="434">
        <v>0</v>
      </c>
      <c r="S137" s="434">
        <v>0</v>
      </c>
      <c r="T137" s="434">
        <v>0</v>
      </c>
      <c r="U137" s="434">
        <v>0</v>
      </c>
      <c r="V137" s="434">
        <v>0</v>
      </c>
      <c r="W137" s="434">
        <v>0</v>
      </c>
      <c r="X137" s="434">
        <v>0</v>
      </c>
      <c r="Y137" s="434">
        <v>0</v>
      </c>
      <c r="Z137" s="434">
        <v>0</v>
      </c>
      <c r="AA137" s="434">
        <v>0</v>
      </c>
      <c r="AB137" s="434">
        <v>0</v>
      </c>
      <c r="AC137" s="434">
        <v>0</v>
      </c>
      <c r="AD137" s="434">
        <v>0</v>
      </c>
      <c r="AE137" s="434">
        <v>0</v>
      </c>
      <c r="AF137" s="434">
        <v>0</v>
      </c>
      <c r="AG137" s="434">
        <v>0</v>
      </c>
      <c r="AH137" s="434">
        <v>0</v>
      </c>
      <c r="AI137" s="434">
        <v>0</v>
      </c>
      <c r="AJ137" s="434">
        <v>0</v>
      </c>
      <c r="AK137" s="434">
        <v>0</v>
      </c>
      <c r="AL137" s="434">
        <v>0</v>
      </c>
      <c r="AM137" s="434">
        <v>0</v>
      </c>
      <c r="AN137" s="434">
        <v>0</v>
      </c>
      <c r="AO137" s="434">
        <v>0</v>
      </c>
      <c r="AP137" s="434">
        <v>0</v>
      </c>
      <c r="AQ137" s="434">
        <v>0</v>
      </c>
      <c r="AR137" s="434">
        <v>0</v>
      </c>
      <c r="AS137" s="434">
        <v>0</v>
      </c>
      <c r="AT137" s="434">
        <v>0</v>
      </c>
      <c r="AU137" s="434">
        <v>0</v>
      </c>
      <c r="AV137" s="434">
        <v>0</v>
      </c>
      <c r="AW137" s="434">
        <v>0</v>
      </c>
      <c r="AX137" s="434">
        <v>0</v>
      </c>
      <c r="AY137" s="434">
        <v>0</v>
      </c>
      <c r="AZ137" s="434">
        <v>0</v>
      </c>
      <c r="BA137" s="434">
        <v>0</v>
      </c>
      <c r="BB137" s="434">
        <v>0</v>
      </c>
      <c r="BC137" s="434">
        <v>0</v>
      </c>
      <c r="BD137" s="434">
        <v>0</v>
      </c>
      <c r="BE137" s="434">
        <v>0</v>
      </c>
      <c r="BF137" s="434">
        <v>15.599</v>
      </c>
      <c r="BG137" s="434">
        <v>0</v>
      </c>
      <c r="BH137" s="434">
        <v>0</v>
      </c>
      <c r="BI137" s="434">
        <v>0</v>
      </c>
      <c r="BJ137" s="434">
        <v>26.146000000000001</v>
      </c>
      <c r="BK137" s="434">
        <v>26.146000000000001</v>
      </c>
      <c r="BL137" s="434">
        <v>34.920999999999999</v>
      </c>
      <c r="BM137" s="434">
        <v>66.546000000000006</v>
      </c>
      <c r="BN137" s="434">
        <v>279.839</v>
      </c>
      <c r="BO137" s="434">
        <v>1352.143</v>
      </c>
      <c r="BP137" s="434">
        <v>1352.143</v>
      </c>
      <c r="BQ137" s="434">
        <v>400.495</v>
      </c>
      <c r="BR137" s="434">
        <v>350.91</v>
      </c>
      <c r="BS137" s="434">
        <v>357.04199999999997</v>
      </c>
      <c r="BT137" s="434">
        <v>751.07600000000002</v>
      </c>
      <c r="BU137" s="434">
        <v>751.07600000000002</v>
      </c>
      <c r="BV137" s="434">
        <v>817.66899999999998</v>
      </c>
      <c r="BW137" s="434">
        <v>790.13300000000004</v>
      </c>
      <c r="BX137" s="434">
        <v>813.06100000000004</v>
      </c>
      <c r="BY137" s="434">
        <v>0</v>
      </c>
      <c r="BZ137" s="434">
        <v>0</v>
      </c>
      <c r="CC137" s="21"/>
      <c r="CD137" s="424" t="s">
        <v>262</v>
      </c>
      <c r="CE137" s="433">
        <f t="shared" si="30"/>
        <v>0</v>
      </c>
      <c r="CF137" s="433">
        <f t="shared" si="31"/>
        <v>0</v>
      </c>
      <c r="CG137" s="433">
        <f t="shared" si="32"/>
        <v>0</v>
      </c>
      <c r="CH137" s="433">
        <f t="shared" si="33"/>
        <v>0</v>
      </c>
      <c r="CI137" s="433">
        <f t="shared" si="34"/>
        <v>0</v>
      </c>
      <c r="CJ137" s="433">
        <f t="shared" si="35"/>
        <v>0</v>
      </c>
      <c r="CK137" s="433">
        <f t="shared" si="36"/>
        <v>0</v>
      </c>
      <c r="CL137" s="433">
        <f t="shared" si="37"/>
        <v>0</v>
      </c>
      <c r="CM137" s="433">
        <f t="shared" si="38"/>
        <v>0</v>
      </c>
      <c r="CN137" s="433">
        <f t="shared" si="39"/>
        <v>0</v>
      </c>
      <c r="CO137" s="433">
        <f t="shared" si="40"/>
        <v>15.599</v>
      </c>
      <c r="CP137" s="433">
        <f t="shared" si="41"/>
        <v>26.146000000000001</v>
      </c>
      <c r="CQ137" s="433">
        <f t="shared" si="42"/>
        <v>1352.143</v>
      </c>
      <c r="CR137" s="433">
        <f t="shared" si="43"/>
        <v>751.07600000000002</v>
      </c>
      <c r="CS137" s="433">
        <f t="shared" si="44"/>
        <v>0</v>
      </c>
      <c r="CT137" s="21"/>
    </row>
    <row r="138" spans="3:98" ht="24.75" customHeight="1" collapsed="1">
      <c r="C138" s="415" t="s">
        <v>247</v>
      </c>
      <c r="D138" s="427">
        <v>0</v>
      </c>
      <c r="E138" s="427">
        <v>0</v>
      </c>
      <c r="F138" s="427">
        <v>0</v>
      </c>
      <c r="G138" s="427">
        <v>0</v>
      </c>
      <c r="H138" s="427">
        <v>0</v>
      </c>
      <c r="I138" s="427">
        <v>0</v>
      </c>
      <c r="J138" s="427">
        <v>0</v>
      </c>
      <c r="K138" s="427">
        <v>0</v>
      </c>
      <c r="L138" s="427">
        <v>0</v>
      </c>
      <c r="M138" s="427">
        <v>0</v>
      </c>
      <c r="N138" s="427">
        <v>0</v>
      </c>
      <c r="O138" s="427">
        <v>0</v>
      </c>
      <c r="P138" s="427">
        <v>0</v>
      </c>
      <c r="Q138" s="427">
        <v>0</v>
      </c>
      <c r="R138" s="427">
        <v>0</v>
      </c>
      <c r="S138" s="427">
        <v>0</v>
      </c>
      <c r="T138" s="427">
        <v>0</v>
      </c>
      <c r="U138" s="427">
        <v>0</v>
      </c>
      <c r="V138" s="427">
        <v>0</v>
      </c>
      <c r="W138" s="427">
        <v>0</v>
      </c>
      <c r="X138" s="427">
        <v>0</v>
      </c>
      <c r="Y138" s="427">
        <v>0</v>
      </c>
      <c r="Z138" s="427">
        <v>0</v>
      </c>
      <c r="AA138" s="427">
        <v>0</v>
      </c>
      <c r="AB138" s="427">
        <v>0</v>
      </c>
      <c r="AC138" s="427">
        <v>0</v>
      </c>
      <c r="AD138" s="427">
        <v>0</v>
      </c>
      <c r="AE138" s="427">
        <v>0</v>
      </c>
      <c r="AF138" s="427">
        <v>0</v>
      </c>
      <c r="AG138" s="427">
        <v>0</v>
      </c>
      <c r="AH138" s="427">
        <v>0</v>
      </c>
      <c r="AI138" s="427">
        <v>0</v>
      </c>
      <c r="AJ138" s="427">
        <v>0</v>
      </c>
      <c r="AK138" s="427">
        <v>0</v>
      </c>
      <c r="AL138" s="427">
        <v>0</v>
      </c>
      <c r="AM138" s="427">
        <v>0</v>
      </c>
      <c r="AN138" s="427">
        <v>0</v>
      </c>
      <c r="AO138" s="427">
        <v>0</v>
      </c>
      <c r="AP138" s="427">
        <v>0</v>
      </c>
      <c r="AQ138" s="427">
        <v>0</v>
      </c>
      <c r="AR138" s="427">
        <v>0</v>
      </c>
      <c r="AS138" s="427">
        <v>0</v>
      </c>
      <c r="AT138" s="427">
        <v>0</v>
      </c>
      <c r="AU138" s="427">
        <v>0</v>
      </c>
      <c r="AV138" s="427">
        <v>0</v>
      </c>
      <c r="AW138" s="427">
        <v>0</v>
      </c>
      <c r="AX138" s="427">
        <v>0</v>
      </c>
      <c r="AY138" s="427">
        <v>0</v>
      </c>
      <c r="AZ138" s="427">
        <v>0</v>
      </c>
      <c r="BA138" s="427">
        <v>0</v>
      </c>
      <c r="BB138" s="427">
        <v>0</v>
      </c>
      <c r="BC138" s="427">
        <v>0</v>
      </c>
      <c r="BD138" s="427">
        <v>0</v>
      </c>
      <c r="BE138" s="427">
        <v>0</v>
      </c>
      <c r="BF138" s="427">
        <v>17.599</v>
      </c>
      <c r="BG138" s="427">
        <v>0</v>
      </c>
      <c r="BH138" s="427">
        <v>0</v>
      </c>
      <c r="BI138" s="427">
        <v>0</v>
      </c>
      <c r="BJ138" s="427">
        <v>28.146000000000001</v>
      </c>
      <c r="BK138" s="427">
        <v>28.146000000000001</v>
      </c>
      <c r="BL138" s="427">
        <v>35.976999999999997</v>
      </c>
      <c r="BM138" s="427">
        <v>67.602000000000004</v>
      </c>
      <c r="BN138" s="427">
        <v>280.89499999999998</v>
      </c>
      <c r="BO138" s="427">
        <v>1352.143</v>
      </c>
      <c r="BP138" s="427">
        <v>1352.143</v>
      </c>
      <c r="BQ138" s="427">
        <v>401.12299999999999</v>
      </c>
      <c r="BR138" s="427">
        <v>350.91</v>
      </c>
      <c r="BS138" s="427">
        <v>357.04199999999997</v>
      </c>
      <c r="BT138" s="427">
        <v>751.07600000000002</v>
      </c>
      <c r="BU138" s="427">
        <v>751.07600000000002</v>
      </c>
      <c r="BV138" s="427">
        <v>828.86099999999999</v>
      </c>
      <c r="BW138" s="427">
        <v>790.13300000000004</v>
      </c>
      <c r="BX138" s="427">
        <v>813.06100000000004</v>
      </c>
      <c r="BY138" s="427">
        <v>0</v>
      </c>
      <c r="BZ138" s="427">
        <v>0</v>
      </c>
      <c r="CC138" s="21"/>
      <c r="CD138" s="415" t="s">
        <v>247</v>
      </c>
      <c r="CE138" s="433">
        <f t="shared" si="30"/>
        <v>0</v>
      </c>
      <c r="CF138" s="433">
        <f t="shared" si="31"/>
        <v>0</v>
      </c>
      <c r="CG138" s="433">
        <f t="shared" si="32"/>
        <v>0</v>
      </c>
      <c r="CH138" s="433">
        <f t="shared" si="33"/>
        <v>0</v>
      </c>
      <c r="CI138" s="433">
        <f t="shared" si="34"/>
        <v>0</v>
      </c>
      <c r="CJ138" s="433">
        <f t="shared" si="35"/>
        <v>0</v>
      </c>
      <c r="CK138" s="433">
        <f t="shared" si="36"/>
        <v>0</v>
      </c>
      <c r="CL138" s="433">
        <f t="shared" si="37"/>
        <v>0</v>
      </c>
      <c r="CM138" s="433">
        <f t="shared" si="38"/>
        <v>0</v>
      </c>
      <c r="CN138" s="433">
        <f t="shared" si="39"/>
        <v>0</v>
      </c>
      <c r="CO138" s="433">
        <f t="shared" si="40"/>
        <v>17.599</v>
      </c>
      <c r="CP138" s="433">
        <f t="shared" si="41"/>
        <v>28.146000000000001</v>
      </c>
      <c r="CQ138" s="433">
        <f t="shared" si="42"/>
        <v>1352.143</v>
      </c>
      <c r="CR138" s="433">
        <f t="shared" si="43"/>
        <v>751.07600000000002</v>
      </c>
      <c r="CS138" s="433">
        <f t="shared" si="44"/>
        <v>0</v>
      </c>
      <c r="CT138" s="21"/>
    </row>
    <row r="139" spans="3:98" ht="24.75" customHeight="1">
      <c r="C139" s="415" t="s">
        <v>263</v>
      </c>
      <c r="D139" s="427">
        <v>0</v>
      </c>
      <c r="E139" s="427">
        <v>0</v>
      </c>
      <c r="F139" s="427">
        <v>0</v>
      </c>
      <c r="G139" s="427">
        <v>0</v>
      </c>
      <c r="H139" s="427">
        <v>0</v>
      </c>
      <c r="I139" s="427">
        <v>0</v>
      </c>
      <c r="J139" s="427">
        <v>0</v>
      </c>
      <c r="K139" s="427">
        <v>0</v>
      </c>
      <c r="L139" s="427">
        <v>0</v>
      </c>
      <c r="M139" s="427">
        <v>0</v>
      </c>
      <c r="N139" s="427">
        <v>0</v>
      </c>
      <c r="O139" s="427">
        <v>0</v>
      </c>
      <c r="P139" s="427">
        <v>0</v>
      </c>
      <c r="Q139" s="427">
        <v>0</v>
      </c>
      <c r="R139" s="427">
        <v>0</v>
      </c>
      <c r="S139" s="427">
        <v>0</v>
      </c>
      <c r="T139" s="427">
        <v>0</v>
      </c>
      <c r="U139" s="427">
        <v>0</v>
      </c>
      <c r="V139" s="427">
        <v>0</v>
      </c>
      <c r="W139" s="427">
        <v>0</v>
      </c>
      <c r="X139" s="427">
        <v>0</v>
      </c>
      <c r="Y139" s="427">
        <v>0</v>
      </c>
      <c r="Z139" s="427">
        <v>0</v>
      </c>
      <c r="AA139" s="427">
        <v>0</v>
      </c>
      <c r="AB139" s="427">
        <v>0</v>
      </c>
      <c r="AC139" s="427">
        <v>0</v>
      </c>
      <c r="AD139" s="427">
        <v>0</v>
      </c>
      <c r="AE139" s="427">
        <v>0</v>
      </c>
      <c r="AF139" s="427">
        <v>0</v>
      </c>
      <c r="AG139" s="427">
        <v>0</v>
      </c>
      <c r="AH139" s="427">
        <v>0</v>
      </c>
      <c r="AI139" s="427">
        <v>0</v>
      </c>
      <c r="AJ139" s="427">
        <v>0</v>
      </c>
      <c r="AK139" s="427">
        <v>0</v>
      </c>
      <c r="AL139" s="427">
        <v>0</v>
      </c>
      <c r="AM139" s="427">
        <v>0</v>
      </c>
      <c r="AN139" s="427">
        <v>0</v>
      </c>
      <c r="AO139" s="427">
        <v>0</v>
      </c>
      <c r="AP139" s="427">
        <v>0</v>
      </c>
      <c r="AQ139" s="427">
        <v>0</v>
      </c>
      <c r="AR139" s="427">
        <v>0</v>
      </c>
      <c r="AS139" s="427">
        <v>0</v>
      </c>
      <c r="AT139" s="427">
        <v>0</v>
      </c>
      <c r="AU139" s="427">
        <v>0</v>
      </c>
      <c r="AV139" s="427">
        <v>0</v>
      </c>
      <c r="AW139" s="427">
        <v>0</v>
      </c>
      <c r="AX139" s="427">
        <v>0</v>
      </c>
      <c r="AY139" s="427">
        <v>0</v>
      </c>
      <c r="AZ139" s="427">
        <v>0</v>
      </c>
      <c r="BA139" s="427">
        <v>0</v>
      </c>
      <c r="BB139" s="427">
        <v>0</v>
      </c>
      <c r="BC139" s="427">
        <v>0</v>
      </c>
      <c r="BD139" s="427">
        <v>0</v>
      </c>
      <c r="BE139" s="427">
        <v>0</v>
      </c>
      <c r="BF139" s="427">
        <v>0</v>
      </c>
      <c r="BG139" s="427">
        <v>0</v>
      </c>
      <c r="BH139" s="427">
        <v>0</v>
      </c>
      <c r="BI139" s="427">
        <v>0</v>
      </c>
      <c r="BJ139" s="427">
        <v>0</v>
      </c>
      <c r="BK139" s="427">
        <v>0</v>
      </c>
      <c r="BL139" s="427">
        <v>0</v>
      </c>
      <c r="BM139" s="427">
        <v>0</v>
      </c>
      <c r="BN139" s="427">
        <v>0</v>
      </c>
      <c r="BO139" s="427">
        <v>0</v>
      </c>
      <c r="BP139" s="427">
        <v>0</v>
      </c>
      <c r="BQ139" s="427">
        <v>0</v>
      </c>
      <c r="BR139" s="427">
        <v>0</v>
      </c>
      <c r="BS139" s="427">
        <v>0</v>
      </c>
      <c r="BT139" s="427">
        <v>0</v>
      </c>
      <c r="BU139" s="427">
        <v>0</v>
      </c>
      <c r="BV139" s="427">
        <v>0</v>
      </c>
      <c r="BW139" s="427">
        <v>0</v>
      </c>
      <c r="BX139" s="427">
        <v>0</v>
      </c>
      <c r="BY139" s="427">
        <v>0</v>
      </c>
      <c r="BZ139" s="427">
        <v>0</v>
      </c>
      <c r="CC139" s="21"/>
      <c r="CD139" s="415" t="s">
        <v>263</v>
      </c>
      <c r="CE139" s="433">
        <f t="shared" si="30"/>
        <v>0</v>
      </c>
      <c r="CF139" s="433">
        <f t="shared" si="31"/>
        <v>0</v>
      </c>
      <c r="CG139" s="433">
        <f t="shared" si="32"/>
        <v>0</v>
      </c>
      <c r="CH139" s="433">
        <f t="shared" si="33"/>
        <v>0</v>
      </c>
      <c r="CI139" s="433">
        <f t="shared" si="34"/>
        <v>0</v>
      </c>
      <c r="CJ139" s="433">
        <f t="shared" si="35"/>
        <v>0</v>
      </c>
      <c r="CK139" s="433">
        <f t="shared" si="36"/>
        <v>0</v>
      </c>
      <c r="CL139" s="433">
        <f t="shared" si="37"/>
        <v>0</v>
      </c>
      <c r="CM139" s="433">
        <f t="shared" si="38"/>
        <v>0</v>
      </c>
      <c r="CN139" s="433">
        <f t="shared" si="39"/>
        <v>0</v>
      </c>
      <c r="CO139" s="433">
        <f t="shared" si="40"/>
        <v>0</v>
      </c>
      <c r="CP139" s="433">
        <f t="shared" si="41"/>
        <v>0</v>
      </c>
      <c r="CQ139" s="433">
        <f t="shared" si="42"/>
        <v>0</v>
      </c>
      <c r="CR139" s="433">
        <f t="shared" si="43"/>
        <v>0</v>
      </c>
      <c r="CS139" s="433">
        <f t="shared" si="44"/>
        <v>0</v>
      </c>
      <c r="CT139" s="21"/>
    </row>
    <row r="140" spans="3:98" ht="24.75" hidden="1" customHeight="1" outlineLevel="1">
      <c r="C140" s="424" t="s">
        <v>265</v>
      </c>
      <c r="D140" s="427">
        <v>0</v>
      </c>
      <c r="E140" s="427">
        <v>0</v>
      </c>
      <c r="F140" s="427">
        <v>0</v>
      </c>
      <c r="G140" s="427">
        <v>0</v>
      </c>
      <c r="H140" s="434">
        <v>0</v>
      </c>
      <c r="I140" s="434">
        <v>0</v>
      </c>
      <c r="J140" s="434">
        <v>0</v>
      </c>
      <c r="K140" s="434">
        <v>0</v>
      </c>
      <c r="L140" s="434">
        <v>0</v>
      </c>
      <c r="M140" s="434">
        <v>0</v>
      </c>
      <c r="N140" s="434">
        <v>0</v>
      </c>
      <c r="O140" s="434">
        <v>0</v>
      </c>
      <c r="P140" s="434">
        <v>0</v>
      </c>
      <c r="Q140" s="434">
        <v>0</v>
      </c>
      <c r="R140" s="434">
        <v>0</v>
      </c>
      <c r="S140" s="434">
        <v>0</v>
      </c>
      <c r="T140" s="434">
        <v>0</v>
      </c>
      <c r="U140" s="434">
        <v>0</v>
      </c>
      <c r="V140" s="434">
        <v>0</v>
      </c>
      <c r="W140" s="434">
        <v>0</v>
      </c>
      <c r="X140" s="434">
        <v>0</v>
      </c>
      <c r="Y140" s="434">
        <v>0</v>
      </c>
      <c r="Z140" s="434">
        <v>0</v>
      </c>
      <c r="AA140" s="434">
        <v>0</v>
      </c>
      <c r="AB140" s="434">
        <v>0</v>
      </c>
      <c r="AC140" s="434">
        <v>0</v>
      </c>
      <c r="AD140" s="434">
        <v>0</v>
      </c>
      <c r="AE140" s="434">
        <v>0</v>
      </c>
      <c r="AF140" s="434">
        <v>0</v>
      </c>
      <c r="AG140" s="434">
        <v>0</v>
      </c>
      <c r="AH140" s="434">
        <v>0</v>
      </c>
      <c r="AI140" s="434">
        <v>0</v>
      </c>
      <c r="AJ140" s="434">
        <v>0</v>
      </c>
      <c r="AK140" s="434">
        <v>0</v>
      </c>
      <c r="AL140" s="434">
        <v>0</v>
      </c>
      <c r="AM140" s="434">
        <v>0</v>
      </c>
      <c r="AN140" s="434">
        <v>0</v>
      </c>
      <c r="AO140" s="434">
        <v>0</v>
      </c>
      <c r="AP140" s="434">
        <v>0</v>
      </c>
      <c r="AQ140" s="434">
        <v>0</v>
      </c>
      <c r="AR140" s="434">
        <v>0</v>
      </c>
      <c r="AS140" s="434">
        <v>0</v>
      </c>
      <c r="AT140" s="434">
        <v>0</v>
      </c>
      <c r="AU140" s="434">
        <v>0</v>
      </c>
      <c r="AV140" s="434">
        <v>0</v>
      </c>
      <c r="AW140" s="434">
        <v>0</v>
      </c>
      <c r="AX140" s="434">
        <v>0</v>
      </c>
      <c r="AY140" s="434">
        <v>0</v>
      </c>
      <c r="AZ140" s="434">
        <v>0</v>
      </c>
      <c r="BA140" s="434">
        <v>0</v>
      </c>
      <c r="BB140" s="434">
        <v>0</v>
      </c>
      <c r="BC140" s="434">
        <v>0</v>
      </c>
      <c r="BD140" s="434">
        <v>0</v>
      </c>
      <c r="BE140" s="434">
        <v>0</v>
      </c>
      <c r="BF140" s="434">
        <v>0</v>
      </c>
      <c r="BG140" s="434">
        <v>0</v>
      </c>
      <c r="BH140" s="434">
        <v>0</v>
      </c>
      <c r="BI140" s="434">
        <v>0</v>
      </c>
      <c r="BJ140" s="434">
        <v>0</v>
      </c>
      <c r="BK140" s="434">
        <v>0</v>
      </c>
      <c r="BL140" s="434">
        <v>0</v>
      </c>
      <c r="BM140" s="434">
        <v>0</v>
      </c>
      <c r="BN140" s="434">
        <v>0</v>
      </c>
      <c r="BO140" s="434">
        <v>0</v>
      </c>
      <c r="BP140" s="434">
        <v>0</v>
      </c>
      <c r="BQ140" s="434">
        <v>0</v>
      </c>
      <c r="BR140" s="434">
        <v>0</v>
      </c>
      <c r="BS140" s="434">
        <v>0</v>
      </c>
      <c r="BT140" s="434">
        <v>0</v>
      </c>
      <c r="BU140" s="434">
        <v>0</v>
      </c>
      <c r="BV140" s="434">
        <v>0</v>
      </c>
      <c r="BW140" s="434">
        <v>0</v>
      </c>
      <c r="BX140" s="434">
        <v>0</v>
      </c>
      <c r="BY140" s="434">
        <v>0</v>
      </c>
      <c r="BZ140" s="434">
        <v>0</v>
      </c>
      <c r="CC140" s="21"/>
      <c r="CD140" s="424" t="s">
        <v>265</v>
      </c>
      <c r="CE140" s="433">
        <f t="shared" si="30"/>
        <v>0</v>
      </c>
      <c r="CF140" s="433">
        <f t="shared" si="31"/>
        <v>0</v>
      </c>
      <c r="CG140" s="433">
        <f t="shared" si="32"/>
        <v>0</v>
      </c>
      <c r="CH140" s="433">
        <f t="shared" si="33"/>
        <v>0</v>
      </c>
      <c r="CI140" s="433">
        <f t="shared" si="34"/>
        <v>0</v>
      </c>
      <c r="CJ140" s="433">
        <f t="shared" si="35"/>
        <v>0</v>
      </c>
      <c r="CK140" s="433">
        <f t="shared" si="36"/>
        <v>0</v>
      </c>
      <c r="CL140" s="433">
        <f t="shared" si="37"/>
        <v>0</v>
      </c>
      <c r="CM140" s="433">
        <f t="shared" si="38"/>
        <v>0</v>
      </c>
      <c r="CN140" s="433">
        <f t="shared" si="39"/>
        <v>0</v>
      </c>
      <c r="CO140" s="433">
        <f t="shared" si="40"/>
        <v>0</v>
      </c>
      <c r="CP140" s="433">
        <f t="shared" si="41"/>
        <v>0</v>
      </c>
      <c r="CQ140" s="433">
        <f t="shared" si="42"/>
        <v>0</v>
      </c>
      <c r="CR140" s="433">
        <f t="shared" si="43"/>
        <v>0</v>
      </c>
      <c r="CS140" s="433">
        <f t="shared" si="44"/>
        <v>0</v>
      </c>
      <c r="CT140" s="21"/>
    </row>
    <row r="141" spans="3:98" ht="24.75" hidden="1" customHeight="1" outlineLevel="1">
      <c r="C141" s="424" t="s">
        <v>266</v>
      </c>
      <c r="D141" s="427">
        <v>0</v>
      </c>
      <c r="E141" s="427">
        <v>0</v>
      </c>
      <c r="F141" s="427">
        <v>0</v>
      </c>
      <c r="G141" s="427">
        <v>0</v>
      </c>
      <c r="H141" s="427">
        <v>0</v>
      </c>
      <c r="I141" s="427">
        <v>0</v>
      </c>
      <c r="J141" s="427">
        <v>0</v>
      </c>
      <c r="K141" s="427">
        <v>0</v>
      </c>
      <c r="L141" s="427">
        <v>0</v>
      </c>
      <c r="M141" s="427">
        <v>0</v>
      </c>
      <c r="N141" s="427">
        <v>0</v>
      </c>
      <c r="O141" s="427">
        <v>0</v>
      </c>
      <c r="P141" s="427">
        <v>0</v>
      </c>
      <c r="Q141" s="427">
        <v>0</v>
      </c>
      <c r="R141" s="427">
        <v>0</v>
      </c>
      <c r="S141" s="427">
        <v>0</v>
      </c>
      <c r="T141" s="427">
        <v>0</v>
      </c>
      <c r="U141" s="427">
        <v>0</v>
      </c>
      <c r="V141" s="427">
        <v>0</v>
      </c>
      <c r="W141" s="427">
        <v>0</v>
      </c>
      <c r="X141" s="427">
        <v>0</v>
      </c>
      <c r="Y141" s="427">
        <v>0</v>
      </c>
      <c r="Z141" s="427">
        <v>0</v>
      </c>
      <c r="AA141" s="427">
        <v>0</v>
      </c>
      <c r="AB141" s="427">
        <v>0</v>
      </c>
      <c r="AC141" s="427">
        <v>0</v>
      </c>
      <c r="AD141" s="427">
        <v>0</v>
      </c>
      <c r="AE141" s="427">
        <v>0</v>
      </c>
      <c r="AF141" s="427">
        <v>0</v>
      </c>
      <c r="AG141" s="427">
        <v>0</v>
      </c>
      <c r="AH141" s="427">
        <v>0</v>
      </c>
      <c r="AI141" s="427">
        <v>0</v>
      </c>
      <c r="AJ141" s="427">
        <v>0</v>
      </c>
      <c r="AK141" s="427">
        <v>0</v>
      </c>
      <c r="AL141" s="427">
        <v>0</v>
      </c>
      <c r="AM141" s="427">
        <v>0</v>
      </c>
      <c r="AN141" s="427">
        <v>0</v>
      </c>
      <c r="AO141" s="427">
        <v>0</v>
      </c>
      <c r="AP141" s="427">
        <v>0</v>
      </c>
      <c r="AQ141" s="427">
        <v>0</v>
      </c>
      <c r="AR141" s="427">
        <v>0</v>
      </c>
      <c r="AS141" s="427">
        <v>0</v>
      </c>
      <c r="AT141" s="427">
        <v>0</v>
      </c>
      <c r="AU141" s="427">
        <v>0</v>
      </c>
      <c r="AV141" s="427">
        <v>0</v>
      </c>
      <c r="AW141" s="427">
        <v>0</v>
      </c>
      <c r="AX141" s="427">
        <v>0</v>
      </c>
      <c r="AY141" s="427">
        <v>0</v>
      </c>
      <c r="AZ141" s="427">
        <v>0</v>
      </c>
      <c r="BA141" s="427">
        <v>0</v>
      </c>
      <c r="BB141" s="427">
        <v>0</v>
      </c>
      <c r="BC141" s="427">
        <v>0</v>
      </c>
      <c r="BD141" s="427">
        <v>0</v>
      </c>
      <c r="BE141" s="427">
        <v>0</v>
      </c>
      <c r="BF141" s="427">
        <v>0</v>
      </c>
      <c r="BG141" s="427">
        <v>0</v>
      </c>
      <c r="BH141" s="427">
        <v>0</v>
      </c>
      <c r="BI141" s="427">
        <v>0</v>
      </c>
      <c r="BJ141" s="427">
        <v>0</v>
      </c>
      <c r="BK141" s="427">
        <v>0</v>
      </c>
      <c r="BL141" s="427">
        <v>0</v>
      </c>
      <c r="BM141" s="427">
        <v>0</v>
      </c>
      <c r="BN141" s="427">
        <v>0</v>
      </c>
      <c r="BO141" s="427">
        <v>0</v>
      </c>
      <c r="BP141" s="427">
        <v>0</v>
      </c>
      <c r="BQ141" s="427">
        <v>0</v>
      </c>
      <c r="BR141" s="427">
        <v>0</v>
      </c>
      <c r="BS141" s="427">
        <v>0</v>
      </c>
      <c r="BT141" s="427">
        <v>0</v>
      </c>
      <c r="BU141" s="427">
        <v>0</v>
      </c>
      <c r="BV141" s="427">
        <v>0</v>
      </c>
      <c r="BW141" s="427">
        <v>0</v>
      </c>
      <c r="BX141" s="427">
        <v>0</v>
      </c>
      <c r="BY141" s="427">
        <v>0</v>
      </c>
      <c r="BZ141" s="427">
        <v>0</v>
      </c>
      <c r="CC141" s="21"/>
      <c r="CD141" s="424" t="s">
        <v>266</v>
      </c>
      <c r="CE141" s="433">
        <f t="shared" si="30"/>
        <v>0</v>
      </c>
      <c r="CF141" s="433">
        <f t="shared" si="31"/>
        <v>0</v>
      </c>
      <c r="CG141" s="433">
        <f t="shared" si="32"/>
        <v>0</v>
      </c>
      <c r="CH141" s="433">
        <f t="shared" si="33"/>
        <v>0</v>
      </c>
      <c r="CI141" s="433">
        <f t="shared" si="34"/>
        <v>0</v>
      </c>
      <c r="CJ141" s="433">
        <f t="shared" si="35"/>
        <v>0</v>
      </c>
      <c r="CK141" s="433">
        <f t="shared" si="36"/>
        <v>0</v>
      </c>
      <c r="CL141" s="433">
        <f t="shared" si="37"/>
        <v>0</v>
      </c>
      <c r="CM141" s="433">
        <f t="shared" si="38"/>
        <v>0</v>
      </c>
      <c r="CN141" s="433">
        <f t="shared" si="39"/>
        <v>0</v>
      </c>
      <c r="CO141" s="433">
        <f t="shared" si="40"/>
        <v>0</v>
      </c>
      <c r="CP141" s="433">
        <f t="shared" si="41"/>
        <v>0</v>
      </c>
      <c r="CQ141" s="433">
        <f t="shared" si="42"/>
        <v>0</v>
      </c>
      <c r="CR141" s="433">
        <f t="shared" si="43"/>
        <v>0</v>
      </c>
      <c r="CS141" s="433">
        <f t="shared" si="44"/>
        <v>0</v>
      </c>
      <c r="CT141" s="21"/>
    </row>
    <row r="142" spans="3:98" ht="24.75" hidden="1" customHeight="1" outlineLevel="1">
      <c r="C142" s="424" t="s">
        <v>267</v>
      </c>
      <c r="D142" s="427">
        <v>0</v>
      </c>
      <c r="E142" s="427">
        <v>0</v>
      </c>
      <c r="F142" s="427">
        <v>0</v>
      </c>
      <c r="G142" s="427">
        <v>0</v>
      </c>
      <c r="H142" s="427">
        <v>0</v>
      </c>
      <c r="I142" s="427">
        <v>0</v>
      </c>
      <c r="J142" s="427">
        <v>0</v>
      </c>
      <c r="K142" s="427">
        <v>0</v>
      </c>
      <c r="L142" s="427">
        <v>0</v>
      </c>
      <c r="M142" s="427">
        <v>0</v>
      </c>
      <c r="N142" s="427">
        <v>0</v>
      </c>
      <c r="O142" s="427">
        <v>0</v>
      </c>
      <c r="P142" s="427">
        <v>0</v>
      </c>
      <c r="Q142" s="427">
        <v>0</v>
      </c>
      <c r="R142" s="427">
        <v>0</v>
      </c>
      <c r="S142" s="427">
        <v>0</v>
      </c>
      <c r="T142" s="427">
        <v>0</v>
      </c>
      <c r="U142" s="427">
        <v>0</v>
      </c>
      <c r="V142" s="427">
        <v>0</v>
      </c>
      <c r="W142" s="427">
        <v>0</v>
      </c>
      <c r="X142" s="427">
        <v>0</v>
      </c>
      <c r="Y142" s="427">
        <v>0</v>
      </c>
      <c r="Z142" s="427">
        <v>0</v>
      </c>
      <c r="AA142" s="427">
        <v>0</v>
      </c>
      <c r="AB142" s="427">
        <v>0</v>
      </c>
      <c r="AC142" s="427">
        <v>0</v>
      </c>
      <c r="AD142" s="427">
        <v>0</v>
      </c>
      <c r="AE142" s="427">
        <v>0</v>
      </c>
      <c r="AF142" s="427">
        <v>0</v>
      </c>
      <c r="AG142" s="427">
        <v>0</v>
      </c>
      <c r="AH142" s="427">
        <v>0</v>
      </c>
      <c r="AI142" s="427">
        <v>0</v>
      </c>
      <c r="AJ142" s="427">
        <v>0</v>
      </c>
      <c r="AK142" s="427">
        <v>0</v>
      </c>
      <c r="AL142" s="427">
        <v>0</v>
      </c>
      <c r="AM142" s="427">
        <v>0</v>
      </c>
      <c r="AN142" s="427">
        <v>0</v>
      </c>
      <c r="AO142" s="427">
        <v>0</v>
      </c>
      <c r="AP142" s="427">
        <v>0</v>
      </c>
      <c r="AQ142" s="427">
        <v>0</v>
      </c>
      <c r="AR142" s="427">
        <v>0</v>
      </c>
      <c r="AS142" s="427">
        <v>0</v>
      </c>
      <c r="AT142" s="427">
        <v>0</v>
      </c>
      <c r="AU142" s="427">
        <v>0</v>
      </c>
      <c r="AV142" s="427">
        <v>0</v>
      </c>
      <c r="AW142" s="427">
        <v>0</v>
      </c>
      <c r="AX142" s="427">
        <v>0</v>
      </c>
      <c r="AY142" s="427">
        <v>0</v>
      </c>
      <c r="AZ142" s="427">
        <v>0</v>
      </c>
      <c r="BA142" s="427">
        <v>0</v>
      </c>
      <c r="BB142" s="427">
        <v>0</v>
      </c>
      <c r="BC142" s="427">
        <v>0</v>
      </c>
      <c r="BD142" s="427">
        <v>0</v>
      </c>
      <c r="BE142" s="427">
        <v>0</v>
      </c>
      <c r="BF142" s="427">
        <v>0</v>
      </c>
      <c r="BG142" s="427">
        <v>0</v>
      </c>
      <c r="BH142" s="427">
        <v>0</v>
      </c>
      <c r="BI142" s="427">
        <v>0</v>
      </c>
      <c r="BJ142" s="427">
        <v>0</v>
      </c>
      <c r="BK142" s="427">
        <v>0</v>
      </c>
      <c r="BL142" s="427">
        <v>0</v>
      </c>
      <c r="BM142" s="427">
        <v>0</v>
      </c>
      <c r="BN142" s="427">
        <v>0</v>
      </c>
      <c r="BO142" s="427">
        <v>0</v>
      </c>
      <c r="BP142" s="427">
        <v>0</v>
      </c>
      <c r="BQ142" s="427">
        <v>0</v>
      </c>
      <c r="BR142" s="427">
        <v>0</v>
      </c>
      <c r="BS142" s="427">
        <v>0</v>
      </c>
      <c r="BT142" s="427">
        <v>0</v>
      </c>
      <c r="BU142" s="427">
        <v>0</v>
      </c>
      <c r="BV142" s="427">
        <v>0</v>
      </c>
      <c r="BW142" s="427">
        <v>0</v>
      </c>
      <c r="BX142" s="427">
        <v>0</v>
      </c>
      <c r="BY142" s="427">
        <v>0</v>
      </c>
      <c r="BZ142" s="427">
        <v>0</v>
      </c>
      <c r="CC142" s="21"/>
      <c r="CD142" s="424" t="s">
        <v>267</v>
      </c>
      <c r="CE142" s="433">
        <f t="shared" si="30"/>
        <v>0</v>
      </c>
      <c r="CF142" s="433">
        <f t="shared" si="31"/>
        <v>0</v>
      </c>
      <c r="CG142" s="433">
        <f t="shared" si="32"/>
        <v>0</v>
      </c>
      <c r="CH142" s="433">
        <f t="shared" si="33"/>
        <v>0</v>
      </c>
      <c r="CI142" s="433">
        <f t="shared" si="34"/>
        <v>0</v>
      </c>
      <c r="CJ142" s="433">
        <f t="shared" si="35"/>
        <v>0</v>
      </c>
      <c r="CK142" s="433">
        <f t="shared" si="36"/>
        <v>0</v>
      </c>
      <c r="CL142" s="433">
        <f t="shared" si="37"/>
        <v>0</v>
      </c>
      <c r="CM142" s="433">
        <f t="shared" si="38"/>
        <v>0</v>
      </c>
      <c r="CN142" s="433">
        <f t="shared" si="39"/>
        <v>0</v>
      </c>
      <c r="CO142" s="433">
        <f t="shared" si="40"/>
        <v>0</v>
      </c>
      <c r="CP142" s="433">
        <f t="shared" si="41"/>
        <v>0</v>
      </c>
      <c r="CQ142" s="433">
        <f t="shared" si="42"/>
        <v>0</v>
      </c>
      <c r="CR142" s="433">
        <f t="shared" si="43"/>
        <v>0</v>
      </c>
      <c r="CS142" s="433">
        <f t="shared" si="44"/>
        <v>0</v>
      </c>
      <c r="CT142" s="21"/>
    </row>
    <row r="143" spans="3:98" ht="24.75" hidden="1" customHeight="1" outlineLevel="1">
      <c r="C143" s="424" t="s">
        <v>268</v>
      </c>
      <c r="D143" s="427">
        <v>0</v>
      </c>
      <c r="E143" s="427">
        <v>0</v>
      </c>
      <c r="F143" s="427">
        <v>0</v>
      </c>
      <c r="G143" s="427">
        <v>0</v>
      </c>
      <c r="H143" s="427">
        <v>0</v>
      </c>
      <c r="I143" s="427">
        <v>0</v>
      </c>
      <c r="J143" s="427">
        <v>0</v>
      </c>
      <c r="K143" s="427">
        <v>0</v>
      </c>
      <c r="L143" s="427">
        <v>0</v>
      </c>
      <c r="M143" s="427">
        <v>0</v>
      </c>
      <c r="N143" s="427">
        <v>0</v>
      </c>
      <c r="O143" s="427">
        <v>0</v>
      </c>
      <c r="P143" s="427">
        <v>0</v>
      </c>
      <c r="Q143" s="427">
        <v>0</v>
      </c>
      <c r="R143" s="427">
        <v>0</v>
      </c>
      <c r="S143" s="427">
        <v>0</v>
      </c>
      <c r="T143" s="427">
        <v>0</v>
      </c>
      <c r="U143" s="427">
        <v>0</v>
      </c>
      <c r="V143" s="427">
        <v>0</v>
      </c>
      <c r="W143" s="427">
        <v>0</v>
      </c>
      <c r="X143" s="427">
        <v>0</v>
      </c>
      <c r="Y143" s="427">
        <v>0</v>
      </c>
      <c r="Z143" s="427">
        <v>0</v>
      </c>
      <c r="AA143" s="427">
        <v>0</v>
      </c>
      <c r="AB143" s="427">
        <v>0</v>
      </c>
      <c r="AC143" s="427">
        <v>0</v>
      </c>
      <c r="AD143" s="427">
        <v>0</v>
      </c>
      <c r="AE143" s="427">
        <v>0</v>
      </c>
      <c r="AF143" s="427">
        <v>0</v>
      </c>
      <c r="AG143" s="427">
        <v>0</v>
      </c>
      <c r="AH143" s="427">
        <v>0</v>
      </c>
      <c r="AI143" s="427">
        <v>0</v>
      </c>
      <c r="AJ143" s="427">
        <v>0</v>
      </c>
      <c r="AK143" s="427">
        <v>0</v>
      </c>
      <c r="AL143" s="427">
        <v>0</v>
      </c>
      <c r="AM143" s="427">
        <v>0</v>
      </c>
      <c r="AN143" s="427">
        <v>0</v>
      </c>
      <c r="AO143" s="427">
        <v>0</v>
      </c>
      <c r="AP143" s="427">
        <v>0</v>
      </c>
      <c r="AQ143" s="427">
        <v>0</v>
      </c>
      <c r="AR143" s="427">
        <v>0</v>
      </c>
      <c r="AS143" s="427">
        <v>0</v>
      </c>
      <c r="AT143" s="427">
        <v>0</v>
      </c>
      <c r="AU143" s="427">
        <v>0</v>
      </c>
      <c r="AV143" s="427">
        <v>0</v>
      </c>
      <c r="AW143" s="427">
        <v>0</v>
      </c>
      <c r="AX143" s="427">
        <v>0</v>
      </c>
      <c r="AY143" s="427">
        <v>0</v>
      </c>
      <c r="AZ143" s="427">
        <v>0</v>
      </c>
      <c r="BA143" s="427">
        <v>0</v>
      </c>
      <c r="BB143" s="427">
        <v>0</v>
      </c>
      <c r="BC143" s="427">
        <v>0</v>
      </c>
      <c r="BD143" s="427">
        <v>0</v>
      </c>
      <c r="BE143" s="427">
        <v>0</v>
      </c>
      <c r="BF143" s="427">
        <v>0</v>
      </c>
      <c r="BG143" s="427">
        <v>0</v>
      </c>
      <c r="BH143" s="427">
        <v>0</v>
      </c>
      <c r="BI143" s="427">
        <v>0</v>
      </c>
      <c r="BJ143" s="427">
        <v>0</v>
      </c>
      <c r="BK143" s="427">
        <v>0</v>
      </c>
      <c r="BL143" s="427">
        <v>0</v>
      </c>
      <c r="BM143" s="427">
        <v>0</v>
      </c>
      <c r="BN143" s="427">
        <v>0</v>
      </c>
      <c r="BO143" s="427">
        <v>0</v>
      </c>
      <c r="BP143" s="427">
        <v>0</v>
      </c>
      <c r="BQ143" s="427">
        <v>0</v>
      </c>
      <c r="BR143" s="427">
        <v>0</v>
      </c>
      <c r="BS143" s="427">
        <v>0</v>
      </c>
      <c r="BT143" s="427">
        <v>0</v>
      </c>
      <c r="BU143" s="427">
        <v>0</v>
      </c>
      <c r="BV143" s="427">
        <v>0</v>
      </c>
      <c r="BW143" s="427">
        <v>0</v>
      </c>
      <c r="BX143" s="427">
        <v>0</v>
      </c>
      <c r="BY143" s="427">
        <v>0</v>
      </c>
      <c r="BZ143" s="427">
        <v>0</v>
      </c>
      <c r="CC143" s="21"/>
      <c r="CD143" s="424" t="s">
        <v>268</v>
      </c>
      <c r="CE143" s="433">
        <f t="shared" si="30"/>
        <v>0</v>
      </c>
      <c r="CF143" s="433">
        <f t="shared" si="31"/>
        <v>0</v>
      </c>
      <c r="CG143" s="433">
        <f t="shared" si="32"/>
        <v>0</v>
      </c>
      <c r="CH143" s="433">
        <f t="shared" si="33"/>
        <v>0</v>
      </c>
      <c r="CI143" s="433">
        <f t="shared" si="34"/>
        <v>0</v>
      </c>
      <c r="CJ143" s="433">
        <f t="shared" si="35"/>
        <v>0</v>
      </c>
      <c r="CK143" s="433">
        <f t="shared" si="36"/>
        <v>0</v>
      </c>
      <c r="CL143" s="433">
        <f t="shared" si="37"/>
        <v>0</v>
      </c>
      <c r="CM143" s="433">
        <f t="shared" si="38"/>
        <v>0</v>
      </c>
      <c r="CN143" s="433">
        <f t="shared" si="39"/>
        <v>0</v>
      </c>
      <c r="CO143" s="433">
        <f t="shared" si="40"/>
        <v>0</v>
      </c>
      <c r="CP143" s="433">
        <f t="shared" si="41"/>
        <v>0</v>
      </c>
      <c r="CQ143" s="433">
        <f t="shared" si="42"/>
        <v>0</v>
      </c>
      <c r="CR143" s="433">
        <f t="shared" si="43"/>
        <v>0</v>
      </c>
      <c r="CS143" s="433">
        <f t="shared" si="44"/>
        <v>0</v>
      </c>
      <c r="CT143" s="21"/>
    </row>
    <row r="144" spans="3:98" ht="24.75" hidden="1" customHeight="1" outlineLevel="1">
      <c r="C144" s="424" t="s">
        <v>269</v>
      </c>
      <c r="D144" s="427">
        <v>0</v>
      </c>
      <c r="E144" s="427">
        <v>0</v>
      </c>
      <c r="F144" s="427">
        <v>0</v>
      </c>
      <c r="G144" s="427">
        <v>0</v>
      </c>
      <c r="H144" s="427">
        <v>0</v>
      </c>
      <c r="I144" s="427">
        <v>0</v>
      </c>
      <c r="J144" s="427">
        <v>0</v>
      </c>
      <c r="K144" s="427">
        <v>0</v>
      </c>
      <c r="L144" s="427">
        <v>0</v>
      </c>
      <c r="M144" s="427">
        <v>0</v>
      </c>
      <c r="N144" s="427">
        <v>0</v>
      </c>
      <c r="O144" s="427">
        <v>0</v>
      </c>
      <c r="P144" s="427">
        <v>0</v>
      </c>
      <c r="Q144" s="427">
        <v>0</v>
      </c>
      <c r="R144" s="427">
        <v>0</v>
      </c>
      <c r="S144" s="427">
        <v>0</v>
      </c>
      <c r="T144" s="427">
        <v>0</v>
      </c>
      <c r="U144" s="427">
        <v>0</v>
      </c>
      <c r="V144" s="427">
        <v>0</v>
      </c>
      <c r="W144" s="427">
        <v>0</v>
      </c>
      <c r="X144" s="427">
        <v>0</v>
      </c>
      <c r="Y144" s="427">
        <v>0</v>
      </c>
      <c r="Z144" s="427">
        <v>0</v>
      </c>
      <c r="AA144" s="427">
        <v>0</v>
      </c>
      <c r="AB144" s="427">
        <v>0</v>
      </c>
      <c r="AC144" s="427">
        <v>0</v>
      </c>
      <c r="AD144" s="427">
        <v>0</v>
      </c>
      <c r="AE144" s="427">
        <v>0</v>
      </c>
      <c r="AF144" s="427">
        <v>0</v>
      </c>
      <c r="AG144" s="427">
        <v>0</v>
      </c>
      <c r="AH144" s="427">
        <v>0</v>
      </c>
      <c r="AI144" s="427">
        <v>0</v>
      </c>
      <c r="AJ144" s="427">
        <v>0</v>
      </c>
      <c r="AK144" s="427">
        <v>0</v>
      </c>
      <c r="AL144" s="427">
        <v>0</v>
      </c>
      <c r="AM144" s="427">
        <v>0</v>
      </c>
      <c r="AN144" s="427">
        <v>0</v>
      </c>
      <c r="AO144" s="427">
        <v>0</v>
      </c>
      <c r="AP144" s="427">
        <v>0</v>
      </c>
      <c r="AQ144" s="427">
        <v>0</v>
      </c>
      <c r="AR144" s="427">
        <v>0</v>
      </c>
      <c r="AS144" s="427">
        <v>0</v>
      </c>
      <c r="AT144" s="427">
        <v>0</v>
      </c>
      <c r="AU144" s="427">
        <v>0</v>
      </c>
      <c r="AV144" s="427">
        <v>0</v>
      </c>
      <c r="AW144" s="427">
        <v>0</v>
      </c>
      <c r="AX144" s="427">
        <v>0</v>
      </c>
      <c r="AY144" s="427">
        <v>0</v>
      </c>
      <c r="AZ144" s="427">
        <v>0</v>
      </c>
      <c r="BA144" s="427">
        <v>0</v>
      </c>
      <c r="BB144" s="427">
        <v>0</v>
      </c>
      <c r="BC144" s="427">
        <v>0</v>
      </c>
      <c r="BD144" s="427">
        <v>0</v>
      </c>
      <c r="BE144" s="427">
        <v>0</v>
      </c>
      <c r="BF144" s="427">
        <v>0</v>
      </c>
      <c r="BG144" s="427">
        <v>0</v>
      </c>
      <c r="BH144" s="427">
        <v>0</v>
      </c>
      <c r="BI144" s="427">
        <v>0</v>
      </c>
      <c r="BJ144" s="427">
        <v>0</v>
      </c>
      <c r="BK144" s="427">
        <v>0</v>
      </c>
      <c r="BL144" s="427">
        <v>0</v>
      </c>
      <c r="BM144" s="427">
        <v>0</v>
      </c>
      <c r="BN144" s="427">
        <v>0</v>
      </c>
      <c r="BO144" s="427">
        <v>0</v>
      </c>
      <c r="BP144" s="427">
        <v>0</v>
      </c>
      <c r="BQ144" s="427">
        <v>0</v>
      </c>
      <c r="BR144" s="427">
        <v>0</v>
      </c>
      <c r="BS144" s="427">
        <v>0</v>
      </c>
      <c r="BT144" s="427">
        <v>0</v>
      </c>
      <c r="BU144" s="427">
        <v>0</v>
      </c>
      <c r="BV144" s="427">
        <v>0</v>
      </c>
      <c r="BW144" s="427">
        <v>0</v>
      </c>
      <c r="BX144" s="427">
        <v>0</v>
      </c>
      <c r="BY144" s="427">
        <v>0</v>
      </c>
      <c r="BZ144" s="427">
        <v>0</v>
      </c>
      <c r="CC144" s="21"/>
      <c r="CD144" s="424" t="s">
        <v>269</v>
      </c>
      <c r="CE144" s="433">
        <f t="shared" si="30"/>
        <v>0</v>
      </c>
      <c r="CF144" s="433">
        <f t="shared" si="31"/>
        <v>0</v>
      </c>
      <c r="CG144" s="433">
        <f t="shared" si="32"/>
        <v>0</v>
      </c>
      <c r="CH144" s="433">
        <f t="shared" si="33"/>
        <v>0</v>
      </c>
      <c r="CI144" s="433">
        <f t="shared" si="34"/>
        <v>0</v>
      </c>
      <c r="CJ144" s="433">
        <f t="shared" si="35"/>
        <v>0</v>
      </c>
      <c r="CK144" s="433">
        <f t="shared" si="36"/>
        <v>0</v>
      </c>
      <c r="CL144" s="433">
        <f t="shared" si="37"/>
        <v>0</v>
      </c>
      <c r="CM144" s="433">
        <f t="shared" si="38"/>
        <v>0</v>
      </c>
      <c r="CN144" s="433">
        <f t="shared" si="39"/>
        <v>0</v>
      </c>
      <c r="CO144" s="433">
        <f t="shared" si="40"/>
        <v>0</v>
      </c>
      <c r="CP144" s="433">
        <f t="shared" si="41"/>
        <v>0</v>
      </c>
      <c r="CQ144" s="433">
        <f t="shared" si="42"/>
        <v>0</v>
      </c>
      <c r="CR144" s="433">
        <f t="shared" si="43"/>
        <v>0</v>
      </c>
      <c r="CS144" s="433">
        <f t="shared" si="44"/>
        <v>0</v>
      </c>
      <c r="CT144" s="21"/>
    </row>
    <row r="145" spans="3:98" ht="24.75" hidden="1" customHeight="1" outlineLevel="1">
      <c r="C145" s="424" t="s">
        <v>270</v>
      </c>
      <c r="D145" s="427">
        <v>0</v>
      </c>
      <c r="E145" s="427">
        <v>0</v>
      </c>
      <c r="F145" s="427">
        <v>0</v>
      </c>
      <c r="G145" s="427">
        <v>0</v>
      </c>
      <c r="H145" s="427">
        <v>0</v>
      </c>
      <c r="I145" s="427">
        <v>0</v>
      </c>
      <c r="J145" s="427">
        <v>0</v>
      </c>
      <c r="K145" s="427">
        <v>0</v>
      </c>
      <c r="L145" s="427">
        <v>0</v>
      </c>
      <c r="M145" s="427">
        <v>0</v>
      </c>
      <c r="N145" s="427">
        <v>0</v>
      </c>
      <c r="O145" s="427">
        <v>0</v>
      </c>
      <c r="P145" s="427">
        <v>0</v>
      </c>
      <c r="Q145" s="427">
        <v>0</v>
      </c>
      <c r="R145" s="427">
        <v>0</v>
      </c>
      <c r="S145" s="427">
        <v>0</v>
      </c>
      <c r="T145" s="427">
        <v>0</v>
      </c>
      <c r="U145" s="427">
        <v>0</v>
      </c>
      <c r="V145" s="427">
        <v>0</v>
      </c>
      <c r="W145" s="427">
        <v>0</v>
      </c>
      <c r="X145" s="427">
        <v>0</v>
      </c>
      <c r="Y145" s="427">
        <v>0</v>
      </c>
      <c r="Z145" s="427">
        <v>0</v>
      </c>
      <c r="AA145" s="427">
        <v>0</v>
      </c>
      <c r="AB145" s="427">
        <v>0</v>
      </c>
      <c r="AC145" s="427">
        <v>0</v>
      </c>
      <c r="AD145" s="427">
        <v>0</v>
      </c>
      <c r="AE145" s="427">
        <v>0</v>
      </c>
      <c r="AF145" s="427">
        <v>0</v>
      </c>
      <c r="AG145" s="427">
        <v>0</v>
      </c>
      <c r="AH145" s="427">
        <v>0</v>
      </c>
      <c r="AI145" s="427">
        <v>0</v>
      </c>
      <c r="AJ145" s="427">
        <v>0</v>
      </c>
      <c r="AK145" s="427">
        <v>0</v>
      </c>
      <c r="AL145" s="427">
        <v>0</v>
      </c>
      <c r="AM145" s="427">
        <v>0</v>
      </c>
      <c r="AN145" s="427">
        <v>0</v>
      </c>
      <c r="AO145" s="427">
        <v>0</v>
      </c>
      <c r="AP145" s="427">
        <v>0</v>
      </c>
      <c r="AQ145" s="427">
        <v>0</v>
      </c>
      <c r="AR145" s="427">
        <v>0</v>
      </c>
      <c r="AS145" s="427">
        <v>0</v>
      </c>
      <c r="AT145" s="427">
        <v>0</v>
      </c>
      <c r="AU145" s="427">
        <v>0</v>
      </c>
      <c r="AV145" s="427">
        <v>0</v>
      </c>
      <c r="AW145" s="427">
        <v>0</v>
      </c>
      <c r="AX145" s="427">
        <v>0</v>
      </c>
      <c r="AY145" s="427">
        <v>0</v>
      </c>
      <c r="AZ145" s="427">
        <v>0</v>
      </c>
      <c r="BA145" s="427">
        <v>0</v>
      </c>
      <c r="BB145" s="427">
        <v>0</v>
      </c>
      <c r="BC145" s="427">
        <v>0</v>
      </c>
      <c r="BD145" s="427">
        <v>0</v>
      </c>
      <c r="BE145" s="427">
        <v>0</v>
      </c>
      <c r="BF145" s="427">
        <v>0</v>
      </c>
      <c r="BG145" s="427">
        <v>0</v>
      </c>
      <c r="BH145" s="427">
        <v>0</v>
      </c>
      <c r="BI145" s="427">
        <v>0</v>
      </c>
      <c r="BJ145" s="427">
        <v>0</v>
      </c>
      <c r="BK145" s="427">
        <v>0</v>
      </c>
      <c r="BL145" s="427">
        <v>0</v>
      </c>
      <c r="BM145" s="427">
        <v>0</v>
      </c>
      <c r="BN145" s="427">
        <v>0</v>
      </c>
      <c r="BO145" s="427">
        <v>0</v>
      </c>
      <c r="BP145" s="427">
        <v>0</v>
      </c>
      <c r="BQ145" s="427">
        <v>0</v>
      </c>
      <c r="BR145" s="427">
        <v>0</v>
      </c>
      <c r="BS145" s="427">
        <v>0</v>
      </c>
      <c r="BT145" s="427">
        <v>0</v>
      </c>
      <c r="BU145" s="427">
        <v>0</v>
      </c>
      <c r="BV145" s="427">
        <v>0</v>
      </c>
      <c r="BW145" s="427">
        <v>0</v>
      </c>
      <c r="BX145" s="427">
        <v>0</v>
      </c>
      <c r="BY145" s="427">
        <v>0</v>
      </c>
      <c r="BZ145" s="427">
        <v>0</v>
      </c>
      <c r="CC145" s="21"/>
      <c r="CD145" s="424" t="s">
        <v>270</v>
      </c>
      <c r="CE145" s="433">
        <f t="shared" si="30"/>
        <v>0</v>
      </c>
      <c r="CF145" s="433">
        <f t="shared" si="31"/>
        <v>0</v>
      </c>
      <c r="CG145" s="433">
        <f t="shared" si="32"/>
        <v>0</v>
      </c>
      <c r="CH145" s="433">
        <f t="shared" si="33"/>
        <v>0</v>
      </c>
      <c r="CI145" s="433">
        <f t="shared" si="34"/>
        <v>0</v>
      </c>
      <c r="CJ145" s="433">
        <f t="shared" si="35"/>
        <v>0</v>
      </c>
      <c r="CK145" s="433">
        <f t="shared" si="36"/>
        <v>0</v>
      </c>
      <c r="CL145" s="433">
        <f t="shared" si="37"/>
        <v>0</v>
      </c>
      <c r="CM145" s="433">
        <f t="shared" si="38"/>
        <v>0</v>
      </c>
      <c r="CN145" s="433">
        <f t="shared" si="39"/>
        <v>0</v>
      </c>
      <c r="CO145" s="433">
        <f t="shared" si="40"/>
        <v>0</v>
      </c>
      <c r="CP145" s="433">
        <f t="shared" si="41"/>
        <v>0</v>
      </c>
      <c r="CQ145" s="433">
        <f t="shared" si="42"/>
        <v>0</v>
      </c>
      <c r="CR145" s="433">
        <f t="shared" si="43"/>
        <v>0</v>
      </c>
      <c r="CS145" s="433">
        <f t="shared" si="44"/>
        <v>0</v>
      </c>
      <c r="CT145" s="21"/>
    </row>
    <row r="146" spans="3:98" ht="24.75" hidden="1" customHeight="1" outlineLevel="1" collapsed="1">
      <c r="C146" s="424" t="s">
        <v>271</v>
      </c>
      <c r="D146" s="427">
        <v>0</v>
      </c>
      <c r="E146" s="427">
        <v>0</v>
      </c>
      <c r="F146" s="427">
        <v>0</v>
      </c>
      <c r="G146" s="427">
        <v>0</v>
      </c>
      <c r="H146" s="427">
        <v>0</v>
      </c>
      <c r="I146" s="427">
        <v>0</v>
      </c>
      <c r="J146" s="427">
        <v>0</v>
      </c>
      <c r="K146" s="427">
        <v>0</v>
      </c>
      <c r="L146" s="427">
        <v>0</v>
      </c>
      <c r="M146" s="427">
        <v>0</v>
      </c>
      <c r="N146" s="427">
        <v>0</v>
      </c>
      <c r="O146" s="427">
        <v>0</v>
      </c>
      <c r="P146" s="427">
        <v>0</v>
      </c>
      <c r="Q146" s="427">
        <v>0</v>
      </c>
      <c r="R146" s="427">
        <v>0</v>
      </c>
      <c r="S146" s="427">
        <v>0</v>
      </c>
      <c r="T146" s="427">
        <v>0</v>
      </c>
      <c r="U146" s="427">
        <v>0</v>
      </c>
      <c r="V146" s="427">
        <v>0</v>
      </c>
      <c r="W146" s="427">
        <v>0</v>
      </c>
      <c r="X146" s="427">
        <v>0</v>
      </c>
      <c r="Y146" s="427">
        <v>0</v>
      </c>
      <c r="Z146" s="427">
        <v>0</v>
      </c>
      <c r="AA146" s="427">
        <v>0</v>
      </c>
      <c r="AB146" s="427">
        <v>0</v>
      </c>
      <c r="AC146" s="427">
        <v>0</v>
      </c>
      <c r="AD146" s="427">
        <v>0</v>
      </c>
      <c r="AE146" s="427">
        <v>0</v>
      </c>
      <c r="AF146" s="427">
        <v>0</v>
      </c>
      <c r="AG146" s="427">
        <v>0</v>
      </c>
      <c r="AH146" s="427">
        <v>0</v>
      </c>
      <c r="AI146" s="427">
        <v>0</v>
      </c>
      <c r="AJ146" s="427">
        <v>0</v>
      </c>
      <c r="AK146" s="427">
        <v>0</v>
      </c>
      <c r="AL146" s="427">
        <v>0</v>
      </c>
      <c r="AM146" s="427">
        <v>0</v>
      </c>
      <c r="AN146" s="427">
        <v>0</v>
      </c>
      <c r="AO146" s="427">
        <v>0</v>
      </c>
      <c r="AP146" s="427">
        <v>0</v>
      </c>
      <c r="AQ146" s="427">
        <v>0</v>
      </c>
      <c r="AR146" s="427">
        <v>0</v>
      </c>
      <c r="AS146" s="427">
        <v>0</v>
      </c>
      <c r="AT146" s="427">
        <v>0</v>
      </c>
      <c r="AU146" s="427">
        <v>0</v>
      </c>
      <c r="AV146" s="427">
        <v>0</v>
      </c>
      <c r="AW146" s="427">
        <v>0</v>
      </c>
      <c r="AX146" s="427">
        <v>0</v>
      </c>
      <c r="AY146" s="427">
        <v>0</v>
      </c>
      <c r="AZ146" s="427">
        <v>0</v>
      </c>
      <c r="BA146" s="427">
        <v>0</v>
      </c>
      <c r="BB146" s="427">
        <v>0</v>
      </c>
      <c r="BC146" s="427">
        <v>0</v>
      </c>
      <c r="BD146" s="427">
        <v>0</v>
      </c>
      <c r="BE146" s="427">
        <v>0</v>
      </c>
      <c r="BF146" s="427">
        <v>0</v>
      </c>
      <c r="BG146" s="427">
        <v>0</v>
      </c>
      <c r="BH146" s="427">
        <v>0</v>
      </c>
      <c r="BI146" s="427">
        <v>0</v>
      </c>
      <c r="BJ146" s="427">
        <v>0</v>
      </c>
      <c r="BK146" s="427">
        <v>0</v>
      </c>
      <c r="BL146" s="427">
        <v>0</v>
      </c>
      <c r="BM146" s="427">
        <v>0</v>
      </c>
      <c r="BN146" s="427">
        <v>0</v>
      </c>
      <c r="BO146" s="427">
        <v>0</v>
      </c>
      <c r="BP146" s="427">
        <v>0</v>
      </c>
      <c r="BQ146" s="427">
        <v>0</v>
      </c>
      <c r="BR146" s="427">
        <v>0</v>
      </c>
      <c r="BS146" s="427">
        <v>0</v>
      </c>
      <c r="BT146" s="427">
        <v>0</v>
      </c>
      <c r="BU146" s="427">
        <v>0</v>
      </c>
      <c r="BV146" s="427">
        <v>0</v>
      </c>
      <c r="BW146" s="427">
        <v>0</v>
      </c>
      <c r="BX146" s="427">
        <v>0</v>
      </c>
      <c r="BY146" s="427">
        <v>0</v>
      </c>
      <c r="BZ146" s="427">
        <v>0</v>
      </c>
      <c r="CC146" s="21"/>
      <c r="CD146" s="424" t="s">
        <v>271</v>
      </c>
      <c r="CE146" s="433">
        <f t="shared" si="30"/>
        <v>0</v>
      </c>
      <c r="CF146" s="433">
        <f t="shared" si="31"/>
        <v>0</v>
      </c>
      <c r="CG146" s="433">
        <f t="shared" si="32"/>
        <v>0</v>
      </c>
      <c r="CH146" s="433">
        <f t="shared" si="33"/>
        <v>0</v>
      </c>
      <c r="CI146" s="433">
        <f t="shared" si="34"/>
        <v>0</v>
      </c>
      <c r="CJ146" s="433">
        <f t="shared" si="35"/>
        <v>0</v>
      </c>
      <c r="CK146" s="433">
        <f t="shared" si="36"/>
        <v>0</v>
      </c>
      <c r="CL146" s="433">
        <f t="shared" si="37"/>
        <v>0</v>
      </c>
      <c r="CM146" s="433">
        <f t="shared" si="38"/>
        <v>0</v>
      </c>
      <c r="CN146" s="433">
        <f t="shared" si="39"/>
        <v>0</v>
      </c>
      <c r="CO146" s="433">
        <f t="shared" si="40"/>
        <v>0</v>
      </c>
      <c r="CP146" s="433">
        <f t="shared" si="41"/>
        <v>0</v>
      </c>
      <c r="CQ146" s="433">
        <f t="shared" si="42"/>
        <v>0</v>
      </c>
      <c r="CR146" s="433">
        <f t="shared" si="43"/>
        <v>0</v>
      </c>
      <c r="CS146" s="433">
        <f t="shared" si="44"/>
        <v>0</v>
      </c>
      <c r="CT146" s="21"/>
    </row>
    <row r="147" spans="3:98" ht="24.75" hidden="1" customHeight="1" outlineLevel="1">
      <c r="C147" s="424" t="s">
        <v>272</v>
      </c>
      <c r="D147" s="427">
        <v>0</v>
      </c>
      <c r="E147" s="427">
        <v>0</v>
      </c>
      <c r="F147" s="427">
        <v>0</v>
      </c>
      <c r="G147" s="427">
        <v>0</v>
      </c>
      <c r="H147" s="427">
        <v>0</v>
      </c>
      <c r="I147" s="427">
        <v>0</v>
      </c>
      <c r="J147" s="427">
        <v>0</v>
      </c>
      <c r="K147" s="427">
        <v>0</v>
      </c>
      <c r="L147" s="427">
        <v>0</v>
      </c>
      <c r="M147" s="427">
        <v>0</v>
      </c>
      <c r="N147" s="427">
        <v>0</v>
      </c>
      <c r="O147" s="427">
        <v>0</v>
      </c>
      <c r="P147" s="427">
        <v>0</v>
      </c>
      <c r="Q147" s="427">
        <v>0</v>
      </c>
      <c r="R147" s="427">
        <v>0</v>
      </c>
      <c r="S147" s="427">
        <v>0</v>
      </c>
      <c r="T147" s="427">
        <v>0</v>
      </c>
      <c r="U147" s="427">
        <v>0</v>
      </c>
      <c r="V147" s="427">
        <v>0</v>
      </c>
      <c r="W147" s="427">
        <v>0</v>
      </c>
      <c r="X147" s="427">
        <v>0</v>
      </c>
      <c r="Y147" s="427">
        <v>0</v>
      </c>
      <c r="Z147" s="427">
        <v>0</v>
      </c>
      <c r="AA147" s="427">
        <v>0</v>
      </c>
      <c r="AB147" s="427">
        <v>0</v>
      </c>
      <c r="AC147" s="427">
        <v>0</v>
      </c>
      <c r="AD147" s="427">
        <v>0</v>
      </c>
      <c r="AE147" s="427">
        <v>0</v>
      </c>
      <c r="AF147" s="427">
        <v>0</v>
      </c>
      <c r="AG147" s="427">
        <v>0</v>
      </c>
      <c r="AH147" s="427">
        <v>0</v>
      </c>
      <c r="AI147" s="427">
        <v>0</v>
      </c>
      <c r="AJ147" s="427">
        <v>0</v>
      </c>
      <c r="AK147" s="427">
        <v>0</v>
      </c>
      <c r="AL147" s="427">
        <v>0</v>
      </c>
      <c r="AM147" s="427">
        <v>0</v>
      </c>
      <c r="AN147" s="427">
        <v>0</v>
      </c>
      <c r="AO147" s="427">
        <v>0</v>
      </c>
      <c r="AP147" s="427">
        <v>0</v>
      </c>
      <c r="AQ147" s="427">
        <v>0</v>
      </c>
      <c r="AR147" s="427">
        <v>0</v>
      </c>
      <c r="AS147" s="427">
        <v>0</v>
      </c>
      <c r="AT147" s="427">
        <v>0</v>
      </c>
      <c r="AU147" s="427">
        <v>0</v>
      </c>
      <c r="AV147" s="427">
        <v>0</v>
      </c>
      <c r="AW147" s="427">
        <v>0</v>
      </c>
      <c r="AX147" s="427">
        <v>0</v>
      </c>
      <c r="AY147" s="427">
        <v>0</v>
      </c>
      <c r="AZ147" s="427">
        <v>0</v>
      </c>
      <c r="BA147" s="427">
        <v>0</v>
      </c>
      <c r="BB147" s="427">
        <v>0</v>
      </c>
      <c r="BC147" s="427">
        <v>0</v>
      </c>
      <c r="BD147" s="427">
        <v>0</v>
      </c>
      <c r="BE147" s="427">
        <v>0</v>
      </c>
      <c r="BF147" s="427">
        <v>0</v>
      </c>
      <c r="BG147" s="427">
        <v>0</v>
      </c>
      <c r="BH147" s="427">
        <v>0</v>
      </c>
      <c r="BI147" s="427">
        <v>0</v>
      </c>
      <c r="BJ147" s="427">
        <v>0</v>
      </c>
      <c r="BK147" s="427">
        <v>0</v>
      </c>
      <c r="BL147" s="427">
        <v>0</v>
      </c>
      <c r="BM147" s="427">
        <v>0</v>
      </c>
      <c r="BN147" s="427">
        <v>0</v>
      </c>
      <c r="BO147" s="427">
        <v>0</v>
      </c>
      <c r="BP147" s="427">
        <v>0</v>
      </c>
      <c r="BQ147" s="427">
        <v>0</v>
      </c>
      <c r="BR147" s="427">
        <v>0</v>
      </c>
      <c r="BS147" s="427">
        <v>0</v>
      </c>
      <c r="BT147" s="427">
        <v>0</v>
      </c>
      <c r="BU147" s="427">
        <v>0</v>
      </c>
      <c r="BV147" s="427">
        <v>0</v>
      </c>
      <c r="BW147" s="427">
        <v>0</v>
      </c>
      <c r="BX147" s="427">
        <v>0</v>
      </c>
      <c r="BY147" s="427">
        <v>0</v>
      </c>
      <c r="BZ147" s="427">
        <v>0</v>
      </c>
      <c r="CC147" s="21"/>
      <c r="CD147" s="424" t="s">
        <v>272</v>
      </c>
      <c r="CE147" s="433">
        <f t="shared" si="30"/>
        <v>0</v>
      </c>
      <c r="CF147" s="433">
        <f t="shared" si="31"/>
        <v>0</v>
      </c>
      <c r="CG147" s="433">
        <f t="shared" si="32"/>
        <v>0</v>
      </c>
      <c r="CH147" s="433">
        <f t="shared" si="33"/>
        <v>0</v>
      </c>
      <c r="CI147" s="433">
        <f t="shared" si="34"/>
        <v>0</v>
      </c>
      <c r="CJ147" s="433">
        <f t="shared" si="35"/>
        <v>0</v>
      </c>
      <c r="CK147" s="433">
        <f t="shared" si="36"/>
        <v>0</v>
      </c>
      <c r="CL147" s="433">
        <f t="shared" si="37"/>
        <v>0</v>
      </c>
      <c r="CM147" s="433">
        <f t="shared" si="38"/>
        <v>0</v>
      </c>
      <c r="CN147" s="433">
        <f t="shared" si="39"/>
        <v>0</v>
      </c>
      <c r="CO147" s="433">
        <f t="shared" si="40"/>
        <v>0</v>
      </c>
      <c r="CP147" s="433">
        <f t="shared" si="41"/>
        <v>0</v>
      </c>
      <c r="CQ147" s="433">
        <f t="shared" si="42"/>
        <v>0</v>
      </c>
      <c r="CR147" s="433">
        <f t="shared" si="43"/>
        <v>0</v>
      </c>
      <c r="CS147" s="433">
        <f t="shared" si="44"/>
        <v>0</v>
      </c>
      <c r="CT147" s="21"/>
    </row>
    <row r="148" spans="3:98" ht="24.75" hidden="1" customHeight="1" outlineLevel="1">
      <c r="C148" s="424" t="s">
        <v>273</v>
      </c>
      <c r="D148" s="427">
        <v>0</v>
      </c>
      <c r="E148" s="427">
        <v>0</v>
      </c>
      <c r="F148" s="427">
        <v>0</v>
      </c>
      <c r="G148" s="427">
        <v>0</v>
      </c>
      <c r="H148" s="427">
        <v>0</v>
      </c>
      <c r="I148" s="427">
        <v>0</v>
      </c>
      <c r="J148" s="427">
        <v>0</v>
      </c>
      <c r="K148" s="427">
        <v>0</v>
      </c>
      <c r="L148" s="427">
        <v>0</v>
      </c>
      <c r="M148" s="427">
        <v>0</v>
      </c>
      <c r="N148" s="427">
        <v>0</v>
      </c>
      <c r="O148" s="427">
        <v>0</v>
      </c>
      <c r="P148" s="427">
        <v>0</v>
      </c>
      <c r="Q148" s="427">
        <v>0</v>
      </c>
      <c r="R148" s="427">
        <v>0</v>
      </c>
      <c r="S148" s="427">
        <v>0</v>
      </c>
      <c r="T148" s="427">
        <v>0</v>
      </c>
      <c r="U148" s="427">
        <v>0</v>
      </c>
      <c r="V148" s="427">
        <v>0</v>
      </c>
      <c r="W148" s="427">
        <v>0</v>
      </c>
      <c r="X148" s="427">
        <v>0</v>
      </c>
      <c r="Y148" s="427">
        <v>0</v>
      </c>
      <c r="Z148" s="427">
        <v>0</v>
      </c>
      <c r="AA148" s="427">
        <v>0</v>
      </c>
      <c r="AB148" s="427">
        <v>0</v>
      </c>
      <c r="AC148" s="427">
        <v>0</v>
      </c>
      <c r="AD148" s="427">
        <v>0</v>
      </c>
      <c r="AE148" s="427">
        <v>0</v>
      </c>
      <c r="AF148" s="427">
        <v>0</v>
      </c>
      <c r="AG148" s="427">
        <v>0</v>
      </c>
      <c r="AH148" s="427">
        <v>0</v>
      </c>
      <c r="AI148" s="427">
        <v>0</v>
      </c>
      <c r="AJ148" s="427">
        <v>0</v>
      </c>
      <c r="AK148" s="427">
        <v>0</v>
      </c>
      <c r="AL148" s="427">
        <v>0</v>
      </c>
      <c r="AM148" s="427">
        <v>0</v>
      </c>
      <c r="AN148" s="427">
        <v>0</v>
      </c>
      <c r="AO148" s="427">
        <v>0</v>
      </c>
      <c r="AP148" s="427">
        <v>0</v>
      </c>
      <c r="AQ148" s="427">
        <v>0</v>
      </c>
      <c r="AR148" s="427">
        <v>0</v>
      </c>
      <c r="AS148" s="427">
        <v>0</v>
      </c>
      <c r="AT148" s="427">
        <v>0</v>
      </c>
      <c r="AU148" s="427">
        <v>0</v>
      </c>
      <c r="AV148" s="427">
        <v>0</v>
      </c>
      <c r="AW148" s="427">
        <v>0</v>
      </c>
      <c r="AX148" s="427">
        <v>0</v>
      </c>
      <c r="AY148" s="427">
        <v>0</v>
      </c>
      <c r="AZ148" s="427">
        <v>0</v>
      </c>
      <c r="BA148" s="427">
        <v>0</v>
      </c>
      <c r="BB148" s="427">
        <v>0</v>
      </c>
      <c r="BC148" s="427">
        <v>0</v>
      </c>
      <c r="BD148" s="427">
        <v>0</v>
      </c>
      <c r="BE148" s="427">
        <v>0</v>
      </c>
      <c r="BF148" s="427">
        <v>0</v>
      </c>
      <c r="BG148" s="427">
        <v>0</v>
      </c>
      <c r="BH148" s="427">
        <v>0</v>
      </c>
      <c r="BI148" s="427">
        <v>0</v>
      </c>
      <c r="BJ148" s="427">
        <v>0</v>
      </c>
      <c r="BK148" s="427">
        <v>0</v>
      </c>
      <c r="BL148" s="427">
        <v>0</v>
      </c>
      <c r="BM148" s="427">
        <v>0</v>
      </c>
      <c r="BN148" s="427">
        <v>0</v>
      </c>
      <c r="BO148" s="427">
        <v>0</v>
      </c>
      <c r="BP148" s="427">
        <v>0</v>
      </c>
      <c r="BQ148" s="427">
        <v>0</v>
      </c>
      <c r="BR148" s="427">
        <v>0</v>
      </c>
      <c r="BS148" s="427">
        <v>0</v>
      </c>
      <c r="BT148" s="427">
        <v>0</v>
      </c>
      <c r="BU148" s="427">
        <v>0</v>
      </c>
      <c r="BV148" s="427">
        <v>0</v>
      </c>
      <c r="BW148" s="427">
        <v>0</v>
      </c>
      <c r="BX148" s="427">
        <v>0</v>
      </c>
      <c r="BY148" s="427">
        <v>0</v>
      </c>
      <c r="BZ148" s="427">
        <v>0</v>
      </c>
      <c r="CC148" s="21"/>
      <c r="CD148" s="424" t="s">
        <v>273</v>
      </c>
      <c r="CE148" s="433">
        <f t="shared" si="30"/>
        <v>0</v>
      </c>
      <c r="CF148" s="433">
        <f t="shared" si="31"/>
        <v>0</v>
      </c>
      <c r="CG148" s="433">
        <f t="shared" si="32"/>
        <v>0</v>
      </c>
      <c r="CH148" s="433">
        <f t="shared" si="33"/>
        <v>0</v>
      </c>
      <c r="CI148" s="433">
        <f t="shared" si="34"/>
        <v>0</v>
      </c>
      <c r="CJ148" s="433">
        <f t="shared" si="35"/>
        <v>0</v>
      </c>
      <c r="CK148" s="433">
        <f t="shared" si="36"/>
        <v>0</v>
      </c>
      <c r="CL148" s="433">
        <f t="shared" si="37"/>
        <v>0</v>
      </c>
      <c r="CM148" s="433">
        <f t="shared" si="38"/>
        <v>0</v>
      </c>
      <c r="CN148" s="433">
        <f t="shared" si="39"/>
        <v>0</v>
      </c>
      <c r="CO148" s="433">
        <f t="shared" si="40"/>
        <v>0</v>
      </c>
      <c r="CP148" s="433">
        <f t="shared" si="41"/>
        <v>0</v>
      </c>
      <c r="CQ148" s="433">
        <f t="shared" si="42"/>
        <v>0</v>
      </c>
      <c r="CR148" s="433">
        <f t="shared" si="43"/>
        <v>0</v>
      </c>
      <c r="CS148" s="433">
        <f t="shared" si="44"/>
        <v>0</v>
      </c>
      <c r="CT148" s="21"/>
    </row>
    <row r="149" spans="3:98" ht="24.75" customHeight="1" collapsed="1">
      <c r="C149" s="415" t="s">
        <v>264</v>
      </c>
      <c r="D149" s="427">
        <v>0</v>
      </c>
      <c r="E149" s="427">
        <v>0</v>
      </c>
      <c r="F149" s="427">
        <v>0</v>
      </c>
      <c r="G149" s="427">
        <v>0</v>
      </c>
      <c r="H149" s="427">
        <v>0</v>
      </c>
      <c r="I149" s="427">
        <v>0</v>
      </c>
      <c r="J149" s="427">
        <v>0</v>
      </c>
      <c r="K149" s="427">
        <v>0</v>
      </c>
      <c r="L149" s="427">
        <v>0</v>
      </c>
      <c r="M149" s="427">
        <v>0</v>
      </c>
      <c r="N149" s="427">
        <v>0</v>
      </c>
      <c r="O149" s="427">
        <v>0</v>
      </c>
      <c r="P149" s="427">
        <v>0</v>
      </c>
      <c r="Q149" s="427">
        <v>0</v>
      </c>
      <c r="R149" s="427">
        <v>0</v>
      </c>
      <c r="S149" s="427">
        <v>0</v>
      </c>
      <c r="T149" s="427">
        <v>0</v>
      </c>
      <c r="U149" s="427">
        <v>0</v>
      </c>
      <c r="V149" s="427">
        <v>0</v>
      </c>
      <c r="W149" s="427">
        <v>0</v>
      </c>
      <c r="X149" s="427">
        <v>0</v>
      </c>
      <c r="Y149" s="427">
        <v>0</v>
      </c>
      <c r="Z149" s="427">
        <v>0</v>
      </c>
      <c r="AA149" s="427">
        <v>0</v>
      </c>
      <c r="AB149" s="427">
        <v>0</v>
      </c>
      <c r="AC149" s="427">
        <v>0</v>
      </c>
      <c r="AD149" s="427">
        <v>0</v>
      </c>
      <c r="AE149" s="427">
        <v>0</v>
      </c>
      <c r="AF149" s="427">
        <v>0</v>
      </c>
      <c r="AG149" s="427">
        <v>0</v>
      </c>
      <c r="AH149" s="427">
        <v>0</v>
      </c>
      <c r="AI149" s="427">
        <v>0</v>
      </c>
      <c r="AJ149" s="427">
        <v>0</v>
      </c>
      <c r="AK149" s="427">
        <v>0</v>
      </c>
      <c r="AL149" s="427">
        <v>0</v>
      </c>
      <c r="AM149" s="427">
        <v>0</v>
      </c>
      <c r="AN149" s="427">
        <v>0</v>
      </c>
      <c r="AO149" s="427">
        <v>0</v>
      </c>
      <c r="AP149" s="427">
        <v>0</v>
      </c>
      <c r="AQ149" s="427">
        <v>0</v>
      </c>
      <c r="AR149" s="427">
        <v>0</v>
      </c>
      <c r="AS149" s="427">
        <v>0</v>
      </c>
      <c r="AT149" s="427">
        <v>0</v>
      </c>
      <c r="AU149" s="427">
        <v>0</v>
      </c>
      <c r="AV149" s="427">
        <v>0</v>
      </c>
      <c r="AW149" s="427">
        <v>0</v>
      </c>
      <c r="AX149" s="427">
        <v>0</v>
      </c>
      <c r="AY149" s="427">
        <v>0</v>
      </c>
      <c r="AZ149" s="427">
        <v>0</v>
      </c>
      <c r="BA149" s="427">
        <v>0</v>
      </c>
      <c r="BB149" s="427">
        <v>0</v>
      </c>
      <c r="BC149" s="427">
        <v>0</v>
      </c>
      <c r="BD149" s="427">
        <v>0</v>
      </c>
      <c r="BE149" s="427">
        <v>0</v>
      </c>
      <c r="BF149" s="427">
        <v>0</v>
      </c>
      <c r="BG149" s="427">
        <v>0</v>
      </c>
      <c r="BH149" s="427">
        <v>0</v>
      </c>
      <c r="BI149" s="427">
        <v>0</v>
      </c>
      <c r="BJ149" s="427">
        <v>0</v>
      </c>
      <c r="BK149" s="427">
        <v>0</v>
      </c>
      <c r="BL149" s="427">
        <v>0</v>
      </c>
      <c r="BM149" s="427">
        <v>0</v>
      </c>
      <c r="BN149" s="427">
        <v>0</v>
      </c>
      <c r="BO149" s="427">
        <v>0</v>
      </c>
      <c r="BP149" s="427">
        <v>0</v>
      </c>
      <c r="BQ149" s="427">
        <v>0</v>
      </c>
      <c r="BR149" s="427">
        <v>0</v>
      </c>
      <c r="BS149" s="427">
        <v>0</v>
      </c>
      <c r="BT149" s="427">
        <v>0</v>
      </c>
      <c r="BU149" s="427">
        <v>0</v>
      </c>
      <c r="BV149" s="427">
        <v>0</v>
      </c>
      <c r="BW149" s="427">
        <v>0</v>
      </c>
      <c r="BX149" s="427">
        <v>0</v>
      </c>
      <c r="BY149" s="427">
        <v>0</v>
      </c>
      <c r="BZ149" s="427">
        <v>0</v>
      </c>
      <c r="CC149" s="21"/>
      <c r="CD149" s="415" t="s">
        <v>264</v>
      </c>
      <c r="CE149" s="433">
        <f t="shared" si="30"/>
        <v>0</v>
      </c>
      <c r="CF149" s="433">
        <f t="shared" si="31"/>
        <v>0</v>
      </c>
      <c r="CG149" s="433">
        <f t="shared" si="32"/>
        <v>0</v>
      </c>
      <c r="CH149" s="433">
        <f t="shared" si="33"/>
        <v>0</v>
      </c>
      <c r="CI149" s="433">
        <f t="shared" si="34"/>
        <v>0</v>
      </c>
      <c r="CJ149" s="433">
        <f t="shared" si="35"/>
        <v>0</v>
      </c>
      <c r="CK149" s="433">
        <f t="shared" si="36"/>
        <v>0</v>
      </c>
      <c r="CL149" s="433">
        <f t="shared" si="37"/>
        <v>0</v>
      </c>
      <c r="CM149" s="433">
        <f t="shared" si="38"/>
        <v>0</v>
      </c>
      <c r="CN149" s="433">
        <f t="shared" si="39"/>
        <v>0</v>
      </c>
      <c r="CO149" s="433">
        <f t="shared" si="40"/>
        <v>0</v>
      </c>
      <c r="CP149" s="433">
        <f t="shared" si="41"/>
        <v>0</v>
      </c>
      <c r="CQ149" s="433">
        <f t="shared" si="42"/>
        <v>0</v>
      </c>
      <c r="CR149" s="433">
        <f t="shared" si="43"/>
        <v>0</v>
      </c>
      <c r="CS149" s="433">
        <f t="shared" si="44"/>
        <v>0</v>
      </c>
      <c r="CT149" s="21"/>
    </row>
    <row r="150" spans="3:98" ht="24.75" hidden="1" customHeight="1" outlineLevel="1">
      <c r="C150" s="424" t="s">
        <v>275</v>
      </c>
      <c r="D150" s="427">
        <v>0</v>
      </c>
      <c r="E150" s="427">
        <v>0</v>
      </c>
      <c r="F150" s="427">
        <v>0</v>
      </c>
      <c r="G150" s="427">
        <v>0</v>
      </c>
      <c r="H150" s="427">
        <v>0</v>
      </c>
      <c r="I150" s="427">
        <v>0</v>
      </c>
      <c r="J150" s="427">
        <v>0</v>
      </c>
      <c r="K150" s="427">
        <v>0</v>
      </c>
      <c r="L150" s="427">
        <v>0</v>
      </c>
      <c r="M150" s="427">
        <v>0</v>
      </c>
      <c r="N150" s="427">
        <v>0</v>
      </c>
      <c r="O150" s="427">
        <v>0</v>
      </c>
      <c r="P150" s="427">
        <v>0</v>
      </c>
      <c r="Q150" s="427">
        <v>0</v>
      </c>
      <c r="R150" s="427">
        <v>0</v>
      </c>
      <c r="S150" s="427">
        <v>0</v>
      </c>
      <c r="T150" s="427">
        <v>0</v>
      </c>
      <c r="U150" s="427">
        <v>0</v>
      </c>
      <c r="V150" s="427">
        <v>0</v>
      </c>
      <c r="W150" s="427">
        <v>0</v>
      </c>
      <c r="X150" s="427">
        <v>0</v>
      </c>
      <c r="Y150" s="427">
        <v>0</v>
      </c>
      <c r="Z150" s="427">
        <v>0</v>
      </c>
      <c r="AA150" s="427">
        <v>0</v>
      </c>
      <c r="AB150" s="427">
        <v>0</v>
      </c>
      <c r="AC150" s="427">
        <v>0</v>
      </c>
      <c r="AD150" s="427">
        <v>0</v>
      </c>
      <c r="AE150" s="427">
        <v>0</v>
      </c>
      <c r="AF150" s="427">
        <v>0</v>
      </c>
      <c r="AG150" s="427">
        <v>0</v>
      </c>
      <c r="AH150" s="427">
        <v>0</v>
      </c>
      <c r="AI150" s="427">
        <v>0</v>
      </c>
      <c r="AJ150" s="427">
        <v>0</v>
      </c>
      <c r="AK150" s="427">
        <v>0</v>
      </c>
      <c r="AL150" s="427">
        <v>0</v>
      </c>
      <c r="AM150" s="427">
        <v>0</v>
      </c>
      <c r="AN150" s="427">
        <v>0</v>
      </c>
      <c r="AO150" s="427">
        <v>0</v>
      </c>
      <c r="AP150" s="427">
        <v>0</v>
      </c>
      <c r="AQ150" s="427">
        <v>0</v>
      </c>
      <c r="AR150" s="427">
        <v>0</v>
      </c>
      <c r="AS150" s="427">
        <v>0</v>
      </c>
      <c r="AT150" s="427">
        <v>0</v>
      </c>
      <c r="AU150" s="427">
        <v>0</v>
      </c>
      <c r="AV150" s="427">
        <v>0</v>
      </c>
      <c r="AW150" s="427">
        <v>0</v>
      </c>
      <c r="AX150" s="427">
        <v>0</v>
      </c>
      <c r="AY150" s="427">
        <v>0</v>
      </c>
      <c r="AZ150" s="427">
        <v>0</v>
      </c>
      <c r="BA150" s="427">
        <v>0</v>
      </c>
      <c r="BB150" s="427">
        <v>0</v>
      </c>
      <c r="BC150" s="427">
        <v>0</v>
      </c>
      <c r="BD150" s="427">
        <v>0</v>
      </c>
      <c r="BE150" s="427">
        <v>0</v>
      </c>
      <c r="BF150" s="427">
        <v>0</v>
      </c>
      <c r="BG150" s="427">
        <v>0</v>
      </c>
      <c r="BH150" s="427">
        <v>0</v>
      </c>
      <c r="BI150" s="427">
        <v>0</v>
      </c>
      <c r="BJ150" s="427">
        <v>0</v>
      </c>
      <c r="BK150" s="427">
        <v>0</v>
      </c>
      <c r="BL150" s="427">
        <v>0</v>
      </c>
      <c r="BM150" s="427">
        <v>0</v>
      </c>
      <c r="BN150" s="427">
        <v>0</v>
      </c>
      <c r="BO150" s="427">
        <v>0</v>
      </c>
      <c r="BP150" s="427">
        <v>0</v>
      </c>
      <c r="BQ150" s="427">
        <v>0</v>
      </c>
      <c r="BR150" s="427">
        <v>0</v>
      </c>
      <c r="BS150" s="427">
        <v>0</v>
      </c>
      <c r="BT150" s="427">
        <v>0</v>
      </c>
      <c r="BU150" s="427">
        <v>0</v>
      </c>
      <c r="BV150" s="427">
        <v>0</v>
      </c>
      <c r="BW150" s="427">
        <v>0</v>
      </c>
      <c r="BX150" s="427">
        <v>0</v>
      </c>
      <c r="BY150" s="427">
        <v>0</v>
      </c>
      <c r="BZ150" s="427">
        <v>0</v>
      </c>
      <c r="CC150" s="21"/>
      <c r="CD150" s="424" t="s">
        <v>275</v>
      </c>
      <c r="CE150" s="433">
        <f t="shared" si="30"/>
        <v>0</v>
      </c>
      <c r="CF150" s="433">
        <f t="shared" si="31"/>
        <v>0</v>
      </c>
      <c r="CG150" s="433">
        <f t="shared" si="32"/>
        <v>0</v>
      </c>
      <c r="CH150" s="433">
        <f t="shared" si="33"/>
        <v>0</v>
      </c>
      <c r="CI150" s="433">
        <f t="shared" si="34"/>
        <v>0</v>
      </c>
      <c r="CJ150" s="433">
        <f t="shared" si="35"/>
        <v>0</v>
      </c>
      <c r="CK150" s="433">
        <f t="shared" si="36"/>
        <v>0</v>
      </c>
      <c r="CL150" s="433">
        <f t="shared" si="37"/>
        <v>0</v>
      </c>
      <c r="CM150" s="433">
        <f t="shared" si="38"/>
        <v>0</v>
      </c>
      <c r="CN150" s="433">
        <f t="shared" si="39"/>
        <v>0</v>
      </c>
      <c r="CO150" s="433">
        <f t="shared" si="40"/>
        <v>0</v>
      </c>
      <c r="CP150" s="433">
        <f t="shared" si="41"/>
        <v>0</v>
      </c>
      <c r="CQ150" s="433">
        <f t="shared" si="42"/>
        <v>0</v>
      </c>
      <c r="CR150" s="433">
        <f t="shared" si="43"/>
        <v>0</v>
      </c>
      <c r="CS150" s="433">
        <f t="shared" si="44"/>
        <v>0</v>
      </c>
      <c r="CT150" s="21"/>
    </row>
    <row r="151" spans="3:98" ht="24.75" hidden="1" customHeight="1" outlineLevel="1">
      <c r="C151" s="424" t="s">
        <v>276</v>
      </c>
      <c r="D151" s="427">
        <v>0</v>
      </c>
      <c r="E151" s="427">
        <v>0</v>
      </c>
      <c r="F151" s="427">
        <v>0</v>
      </c>
      <c r="G151" s="427">
        <v>0</v>
      </c>
      <c r="H151" s="434">
        <v>0</v>
      </c>
      <c r="I151" s="434">
        <v>0</v>
      </c>
      <c r="J151" s="434">
        <v>0</v>
      </c>
      <c r="K151" s="434">
        <v>0</v>
      </c>
      <c r="L151" s="434">
        <v>0</v>
      </c>
      <c r="M151" s="434">
        <v>0</v>
      </c>
      <c r="N151" s="434">
        <v>0</v>
      </c>
      <c r="O151" s="434">
        <v>0</v>
      </c>
      <c r="P151" s="434">
        <v>0</v>
      </c>
      <c r="Q151" s="434">
        <v>0</v>
      </c>
      <c r="R151" s="434">
        <v>0</v>
      </c>
      <c r="S151" s="434">
        <v>0</v>
      </c>
      <c r="T151" s="434">
        <v>0</v>
      </c>
      <c r="U151" s="434">
        <v>0</v>
      </c>
      <c r="V151" s="434">
        <v>0</v>
      </c>
      <c r="W151" s="434">
        <v>0</v>
      </c>
      <c r="X151" s="434">
        <v>0</v>
      </c>
      <c r="Y151" s="434">
        <v>0</v>
      </c>
      <c r="Z151" s="434">
        <v>0</v>
      </c>
      <c r="AA151" s="434">
        <v>0</v>
      </c>
      <c r="AB151" s="434">
        <v>0</v>
      </c>
      <c r="AC151" s="434">
        <v>0</v>
      </c>
      <c r="AD151" s="434">
        <v>0</v>
      </c>
      <c r="AE151" s="434">
        <v>0</v>
      </c>
      <c r="AF151" s="434">
        <v>0</v>
      </c>
      <c r="AG151" s="434">
        <v>0</v>
      </c>
      <c r="AH151" s="434">
        <v>0</v>
      </c>
      <c r="AI151" s="434">
        <v>0</v>
      </c>
      <c r="AJ151" s="434">
        <v>0</v>
      </c>
      <c r="AK151" s="434">
        <v>0</v>
      </c>
      <c r="AL151" s="434">
        <v>0</v>
      </c>
      <c r="AM151" s="434">
        <v>0</v>
      </c>
      <c r="AN151" s="434">
        <v>0</v>
      </c>
      <c r="AO151" s="434">
        <v>0</v>
      </c>
      <c r="AP151" s="434">
        <v>0</v>
      </c>
      <c r="AQ151" s="434">
        <v>0</v>
      </c>
      <c r="AR151" s="434">
        <v>0</v>
      </c>
      <c r="AS151" s="434">
        <v>0</v>
      </c>
      <c r="AT151" s="434">
        <v>0</v>
      </c>
      <c r="AU151" s="434">
        <v>0</v>
      </c>
      <c r="AV151" s="434">
        <v>0</v>
      </c>
      <c r="AW151" s="434">
        <v>0</v>
      </c>
      <c r="AX151" s="434">
        <v>0</v>
      </c>
      <c r="AY151" s="434">
        <v>0</v>
      </c>
      <c r="AZ151" s="434">
        <v>0</v>
      </c>
      <c r="BA151" s="434">
        <v>0</v>
      </c>
      <c r="BB151" s="434">
        <v>0</v>
      </c>
      <c r="BC151" s="434">
        <v>0</v>
      </c>
      <c r="BD151" s="434">
        <v>0</v>
      </c>
      <c r="BE151" s="434">
        <v>0</v>
      </c>
      <c r="BF151" s="434">
        <v>28.681999999999999</v>
      </c>
      <c r="BG151" s="434">
        <v>0</v>
      </c>
      <c r="BH151" s="434">
        <v>0</v>
      </c>
      <c r="BI151" s="434">
        <v>0</v>
      </c>
      <c r="BJ151" s="434">
        <v>68.287000000000006</v>
      </c>
      <c r="BK151" s="434">
        <v>68.287000000000006</v>
      </c>
      <c r="BL151" s="434">
        <v>89.528000000000006</v>
      </c>
      <c r="BM151" s="434">
        <v>10.545999999999999</v>
      </c>
      <c r="BN151" s="434">
        <v>11.771000000000001</v>
      </c>
      <c r="BO151" s="434">
        <v>13.347</v>
      </c>
      <c r="BP151" s="434">
        <v>13.347</v>
      </c>
      <c r="BQ151" s="434">
        <v>12.728999999999999</v>
      </c>
      <c r="BR151" s="434">
        <v>12.425000000000001</v>
      </c>
      <c r="BS151" s="434">
        <v>10.542</v>
      </c>
      <c r="BT151" s="434">
        <v>10.989000000000001</v>
      </c>
      <c r="BU151" s="434">
        <v>10.989000000000001</v>
      </c>
      <c r="BV151" s="434">
        <v>9.452</v>
      </c>
      <c r="BW151" s="434">
        <v>11.523</v>
      </c>
      <c r="BX151" s="434">
        <v>12.238</v>
      </c>
      <c r="BY151" s="434">
        <v>0</v>
      </c>
      <c r="BZ151" s="434">
        <v>0</v>
      </c>
      <c r="CC151" s="21"/>
      <c r="CD151" s="424" t="s">
        <v>276</v>
      </c>
      <c r="CE151" s="433">
        <f t="shared" si="30"/>
        <v>0</v>
      </c>
      <c r="CF151" s="433">
        <f t="shared" si="31"/>
        <v>0</v>
      </c>
      <c r="CG151" s="433">
        <f t="shared" si="32"/>
        <v>0</v>
      </c>
      <c r="CH151" s="433">
        <f t="shared" si="33"/>
        <v>0</v>
      </c>
      <c r="CI151" s="433">
        <f t="shared" si="34"/>
        <v>0</v>
      </c>
      <c r="CJ151" s="433">
        <f t="shared" si="35"/>
        <v>0</v>
      </c>
      <c r="CK151" s="433">
        <f t="shared" si="36"/>
        <v>0</v>
      </c>
      <c r="CL151" s="433">
        <f t="shared" si="37"/>
        <v>0</v>
      </c>
      <c r="CM151" s="433">
        <f t="shared" si="38"/>
        <v>0</v>
      </c>
      <c r="CN151" s="433">
        <f t="shared" si="39"/>
        <v>0</v>
      </c>
      <c r="CO151" s="433">
        <f t="shared" si="40"/>
        <v>28.681999999999999</v>
      </c>
      <c r="CP151" s="433">
        <f t="shared" si="41"/>
        <v>68.287000000000006</v>
      </c>
      <c r="CQ151" s="433">
        <f t="shared" si="42"/>
        <v>13.347</v>
      </c>
      <c r="CR151" s="433">
        <f t="shared" si="43"/>
        <v>10.989000000000001</v>
      </c>
      <c r="CS151" s="433">
        <f t="shared" si="44"/>
        <v>0</v>
      </c>
      <c r="CT151" s="21"/>
    </row>
    <row r="152" spans="3:98" ht="24.75" customHeight="1" collapsed="1">
      <c r="C152" s="415" t="s">
        <v>274</v>
      </c>
      <c r="D152" s="427">
        <v>0</v>
      </c>
      <c r="E152" s="427">
        <v>0</v>
      </c>
      <c r="F152" s="427">
        <v>0</v>
      </c>
      <c r="G152" s="427">
        <v>0</v>
      </c>
      <c r="H152" s="427">
        <v>0</v>
      </c>
      <c r="I152" s="427">
        <v>0</v>
      </c>
      <c r="J152" s="427">
        <v>0</v>
      </c>
      <c r="K152" s="427">
        <v>0</v>
      </c>
      <c r="L152" s="427">
        <v>0</v>
      </c>
      <c r="M152" s="427">
        <v>0</v>
      </c>
      <c r="N152" s="427">
        <v>0</v>
      </c>
      <c r="O152" s="427">
        <v>0</v>
      </c>
      <c r="P152" s="427">
        <v>0</v>
      </c>
      <c r="Q152" s="427">
        <v>0</v>
      </c>
      <c r="R152" s="427">
        <v>0</v>
      </c>
      <c r="S152" s="427">
        <v>0</v>
      </c>
      <c r="T152" s="427">
        <v>0</v>
      </c>
      <c r="U152" s="427">
        <v>0</v>
      </c>
      <c r="V152" s="427">
        <v>0</v>
      </c>
      <c r="W152" s="427">
        <v>0</v>
      </c>
      <c r="X152" s="427">
        <v>0</v>
      </c>
      <c r="Y152" s="427">
        <v>0</v>
      </c>
      <c r="Z152" s="427">
        <v>0</v>
      </c>
      <c r="AA152" s="427">
        <v>0</v>
      </c>
      <c r="AB152" s="427">
        <v>0</v>
      </c>
      <c r="AC152" s="427">
        <v>0</v>
      </c>
      <c r="AD152" s="427">
        <v>0</v>
      </c>
      <c r="AE152" s="427">
        <v>0</v>
      </c>
      <c r="AF152" s="427">
        <v>0</v>
      </c>
      <c r="AG152" s="427">
        <v>0</v>
      </c>
      <c r="AH152" s="427">
        <v>0</v>
      </c>
      <c r="AI152" s="427">
        <v>0</v>
      </c>
      <c r="AJ152" s="427">
        <v>0</v>
      </c>
      <c r="AK152" s="427">
        <v>0</v>
      </c>
      <c r="AL152" s="427">
        <v>0</v>
      </c>
      <c r="AM152" s="427">
        <v>0</v>
      </c>
      <c r="AN152" s="427">
        <v>0</v>
      </c>
      <c r="AO152" s="427">
        <v>0</v>
      </c>
      <c r="AP152" s="427">
        <v>0</v>
      </c>
      <c r="AQ152" s="427">
        <v>0</v>
      </c>
      <c r="AR152" s="427">
        <v>0</v>
      </c>
      <c r="AS152" s="427">
        <v>0</v>
      </c>
      <c r="AT152" s="427">
        <v>0</v>
      </c>
      <c r="AU152" s="427">
        <v>0</v>
      </c>
      <c r="AV152" s="427">
        <v>0</v>
      </c>
      <c r="AW152" s="427">
        <v>0</v>
      </c>
      <c r="AX152" s="427">
        <v>0</v>
      </c>
      <c r="AY152" s="427">
        <v>0</v>
      </c>
      <c r="AZ152" s="427">
        <v>0</v>
      </c>
      <c r="BA152" s="427">
        <v>0</v>
      </c>
      <c r="BB152" s="427">
        <v>0</v>
      </c>
      <c r="BC152" s="427">
        <v>0</v>
      </c>
      <c r="BD152" s="427">
        <v>0</v>
      </c>
      <c r="BE152" s="427">
        <v>0</v>
      </c>
      <c r="BF152" s="427">
        <v>28.681999999999999</v>
      </c>
      <c r="BG152" s="427">
        <v>0</v>
      </c>
      <c r="BH152" s="427">
        <v>0</v>
      </c>
      <c r="BI152" s="427">
        <v>0</v>
      </c>
      <c r="BJ152" s="427">
        <v>68.287000000000006</v>
      </c>
      <c r="BK152" s="427">
        <v>68.287000000000006</v>
      </c>
      <c r="BL152" s="427">
        <v>89.528000000000006</v>
      </c>
      <c r="BM152" s="427">
        <v>10.545999999999999</v>
      </c>
      <c r="BN152" s="427">
        <v>11.771000000000001</v>
      </c>
      <c r="BO152" s="427">
        <v>13.347</v>
      </c>
      <c r="BP152" s="427">
        <v>13.347</v>
      </c>
      <c r="BQ152" s="427">
        <v>12.728999999999999</v>
      </c>
      <c r="BR152" s="427">
        <v>12.425000000000001</v>
      </c>
      <c r="BS152" s="427">
        <v>10.542</v>
      </c>
      <c r="BT152" s="427">
        <v>10.989000000000001</v>
      </c>
      <c r="BU152" s="427">
        <v>10.989000000000001</v>
      </c>
      <c r="BV152" s="427">
        <v>9.452</v>
      </c>
      <c r="BW152" s="427">
        <v>11.523</v>
      </c>
      <c r="BX152" s="427">
        <v>12.238</v>
      </c>
      <c r="BY152" s="427">
        <v>0</v>
      </c>
      <c r="BZ152" s="427">
        <v>0</v>
      </c>
      <c r="CC152" s="21"/>
      <c r="CD152" s="415" t="s">
        <v>274</v>
      </c>
      <c r="CE152" s="433">
        <f t="shared" si="30"/>
        <v>0</v>
      </c>
      <c r="CF152" s="433">
        <f t="shared" si="31"/>
        <v>0</v>
      </c>
      <c r="CG152" s="433">
        <f t="shared" si="32"/>
        <v>0</v>
      </c>
      <c r="CH152" s="433">
        <f t="shared" si="33"/>
        <v>0</v>
      </c>
      <c r="CI152" s="433">
        <f t="shared" si="34"/>
        <v>0</v>
      </c>
      <c r="CJ152" s="433">
        <f t="shared" si="35"/>
        <v>0</v>
      </c>
      <c r="CK152" s="433">
        <f t="shared" si="36"/>
        <v>0</v>
      </c>
      <c r="CL152" s="433">
        <f t="shared" si="37"/>
        <v>0</v>
      </c>
      <c r="CM152" s="433">
        <f t="shared" si="38"/>
        <v>0</v>
      </c>
      <c r="CN152" s="433">
        <f t="shared" si="39"/>
        <v>0</v>
      </c>
      <c r="CO152" s="433">
        <f t="shared" si="40"/>
        <v>28.681999999999999</v>
      </c>
      <c r="CP152" s="433">
        <f t="shared" si="41"/>
        <v>68.287000000000006</v>
      </c>
      <c r="CQ152" s="433">
        <f t="shared" si="42"/>
        <v>13.347</v>
      </c>
      <c r="CR152" s="433">
        <f t="shared" si="43"/>
        <v>10.989000000000001</v>
      </c>
      <c r="CS152" s="433">
        <f t="shared" si="44"/>
        <v>0</v>
      </c>
      <c r="CT152" s="21"/>
    </row>
    <row r="153" spans="3:98" ht="24.75" customHeight="1">
      <c r="C153" s="415" t="s">
        <v>277</v>
      </c>
      <c r="D153" s="427">
        <v>0</v>
      </c>
      <c r="E153" s="427">
        <v>0</v>
      </c>
      <c r="F153" s="427">
        <v>0</v>
      </c>
      <c r="G153" s="427">
        <v>0</v>
      </c>
      <c r="H153" s="427">
        <v>0</v>
      </c>
      <c r="I153" s="427">
        <v>0</v>
      </c>
      <c r="J153" s="427">
        <v>0</v>
      </c>
      <c r="K153" s="427">
        <v>0</v>
      </c>
      <c r="L153" s="427">
        <v>0</v>
      </c>
      <c r="M153" s="427">
        <v>0</v>
      </c>
      <c r="N153" s="427">
        <v>0</v>
      </c>
      <c r="O153" s="427">
        <v>0</v>
      </c>
      <c r="P153" s="427">
        <v>0</v>
      </c>
      <c r="Q153" s="427">
        <v>0</v>
      </c>
      <c r="R153" s="427">
        <v>0</v>
      </c>
      <c r="S153" s="427">
        <v>0</v>
      </c>
      <c r="T153" s="427">
        <v>0</v>
      </c>
      <c r="U153" s="427">
        <v>0</v>
      </c>
      <c r="V153" s="427">
        <v>0</v>
      </c>
      <c r="W153" s="427">
        <v>0</v>
      </c>
      <c r="X153" s="427">
        <v>0</v>
      </c>
      <c r="Y153" s="427">
        <v>0</v>
      </c>
      <c r="Z153" s="427">
        <v>0</v>
      </c>
      <c r="AA153" s="427">
        <v>0</v>
      </c>
      <c r="AB153" s="427">
        <v>0</v>
      </c>
      <c r="AC153" s="427">
        <v>0</v>
      </c>
      <c r="AD153" s="427">
        <v>0</v>
      </c>
      <c r="AE153" s="427">
        <v>0</v>
      </c>
      <c r="AF153" s="427">
        <v>0</v>
      </c>
      <c r="AG153" s="427">
        <v>0</v>
      </c>
      <c r="AH153" s="427">
        <v>0</v>
      </c>
      <c r="AI153" s="427">
        <v>0</v>
      </c>
      <c r="AJ153" s="427">
        <v>0</v>
      </c>
      <c r="AK153" s="427">
        <v>0</v>
      </c>
      <c r="AL153" s="427">
        <v>0</v>
      </c>
      <c r="AM153" s="427">
        <v>0</v>
      </c>
      <c r="AN153" s="427">
        <v>0</v>
      </c>
      <c r="AO153" s="427">
        <v>0</v>
      </c>
      <c r="AP153" s="427">
        <v>0</v>
      </c>
      <c r="AQ153" s="427">
        <v>0</v>
      </c>
      <c r="AR153" s="427">
        <v>0</v>
      </c>
      <c r="AS153" s="427">
        <v>0</v>
      </c>
      <c r="AT153" s="427">
        <v>0</v>
      </c>
      <c r="AU153" s="427">
        <v>0</v>
      </c>
      <c r="AV153" s="427">
        <v>0</v>
      </c>
      <c r="AW153" s="427">
        <v>0</v>
      </c>
      <c r="AX153" s="427">
        <v>0</v>
      </c>
      <c r="AY153" s="427">
        <v>0</v>
      </c>
      <c r="AZ153" s="427">
        <v>0</v>
      </c>
      <c r="BA153" s="427">
        <v>0</v>
      </c>
      <c r="BB153" s="427">
        <v>0</v>
      </c>
      <c r="BC153" s="427">
        <v>0</v>
      </c>
      <c r="BD153" s="427">
        <v>0</v>
      </c>
      <c r="BE153" s="427">
        <v>0</v>
      </c>
      <c r="BF153" s="427">
        <v>0</v>
      </c>
      <c r="BG153" s="427">
        <v>0</v>
      </c>
      <c r="BH153" s="427">
        <v>0</v>
      </c>
      <c r="BI153" s="427">
        <v>0</v>
      </c>
      <c r="BJ153" s="427">
        <v>0</v>
      </c>
      <c r="BK153" s="427">
        <v>0</v>
      </c>
      <c r="BL153" s="427">
        <v>0</v>
      </c>
      <c r="BM153" s="427">
        <v>0</v>
      </c>
      <c r="BN153" s="427">
        <v>0</v>
      </c>
      <c r="BO153" s="427">
        <v>0</v>
      </c>
      <c r="BP153" s="427">
        <v>0</v>
      </c>
      <c r="BQ153" s="427">
        <v>1333.3330000000001</v>
      </c>
      <c r="BR153" s="427">
        <v>539.68299999999999</v>
      </c>
      <c r="BS153" s="427">
        <v>0</v>
      </c>
      <c r="BT153" s="427">
        <v>0</v>
      </c>
      <c r="BU153" s="427">
        <v>0</v>
      </c>
      <c r="BV153" s="427">
        <v>0</v>
      </c>
      <c r="BW153" s="427">
        <v>0</v>
      </c>
      <c r="BX153" s="427">
        <v>0</v>
      </c>
      <c r="BY153" s="427">
        <v>0</v>
      </c>
      <c r="BZ153" s="427">
        <v>0</v>
      </c>
      <c r="CC153" s="21"/>
      <c r="CD153" s="415" t="s">
        <v>277</v>
      </c>
      <c r="CE153" s="433">
        <f t="shared" si="30"/>
        <v>0</v>
      </c>
      <c r="CF153" s="433">
        <f t="shared" si="31"/>
        <v>0</v>
      </c>
      <c r="CG153" s="433">
        <f t="shared" si="32"/>
        <v>0</v>
      </c>
      <c r="CH153" s="433">
        <f t="shared" si="33"/>
        <v>0</v>
      </c>
      <c r="CI153" s="433">
        <f t="shared" si="34"/>
        <v>0</v>
      </c>
      <c r="CJ153" s="433">
        <f t="shared" si="35"/>
        <v>0</v>
      </c>
      <c r="CK153" s="433">
        <f t="shared" si="36"/>
        <v>0</v>
      </c>
      <c r="CL153" s="433">
        <f t="shared" si="37"/>
        <v>0</v>
      </c>
      <c r="CM153" s="433">
        <f t="shared" si="38"/>
        <v>0</v>
      </c>
      <c r="CN153" s="433">
        <f t="shared" si="39"/>
        <v>0</v>
      </c>
      <c r="CO153" s="433">
        <f t="shared" si="40"/>
        <v>0</v>
      </c>
      <c r="CP153" s="433">
        <f t="shared" si="41"/>
        <v>0</v>
      </c>
      <c r="CQ153" s="433">
        <f t="shared" si="42"/>
        <v>0</v>
      </c>
      <c r="CR153" s="433">
        <f t="shared" si="43"/>
        <v>0</v>
      </c>
      <c r="CS153" s="433">
        <f t="shared" si="44"/>
        <v>0</v>
      </c>
      <c r="CT153" s="21"/>
    </row>
    <row r="154" spans="3:98" ht="24.75" customHeight="1">
      <c r="C154" s="415" t="s">
        <v>278</v>
      </c>
      <c r="D154" s="427">
        <v>0</v>
      </c>
      <c r="E154" s="427">
        <v>0</v>
      </c>
      <c r="F154" s="427">
        <v>0</v>
      </c>
      <c r="G154" s="427">
        <v>0</v>
      </c>
      <c r="H154" s="427">
        <v>0</v>
      </c>
      <c r="I154" s="427">
        <v>0</v>
      </c>
      <c r="J154" s="427">
        <v>0</v>
      </c>
      <c r="K154" s="427">
        <v>0</v>
      </c>
      <c r="L154" s="427">
        <v>0</v>
      </c>
      <c r="M154" s="427">
        <v>0</v>
      </c>
      <c r="N154" s="427">
        <v>0</v>
      </c>
      <c r="O154" s="427">
        <v>0</v>
      </c>
      <c r="P154" s="427">
        <v>0</v>
      </c>
      <c r="Q154" s="427">
        <v>0</v>
      </c>
      <c r="R154" s="427">
        <v>0</v>
      </c>
      <c r="S154" s="427">
        <v>0</v>
      </c>
      <c r="T154" s="427">
        <v>0</v>
      </c>
      <c r="U154" s="427">
        <v>0</v>
      </c>
      <c r="V154" s="427">
        <v>0</v>
      </c>
      <c r="W154" s="427">
        <v>0</v>
      </c>
      <c r="X154" s="427">
        <v>0</v>
      </c>
      <c r="Y154" s="427">
        <v>0</v>
      </c>
      <c r="Z154" s="427">
        <v>0</v>
      </c>
      <c r="AA154" s="427">
        <v>0</v>
      </c>
      <c r="AB154" s="427">
        <v>0</v>
      </c>
      <c r="AC154" s="427">
        <v>0</v>
      </c>
      <c r="AD154" s="427">
        <v>0</v>
      </c>
      <c r="AE154" s="427">
        <v>0</v>
      </c>
      <c r="AF154" s="427">
        <v>0</v>
      </c>
      <c r="AG154" s="427">
        <v>0</v>
      </c>
      <c r="AH154" s="427">
        <v>0</v>
      </c>
      <c r="AI154" s="427">
        <v>0</v>
      </c>
      <c r="AJ154" s="427">
        <v>0</v>
      </c>
      <c r="AK154" s="427">
        <v>0</v>
      </c>
      <c r="AL154" s="427">
        <v>0</v>
      </c>
      <c r="AM154" s="427">
        <v>0</v>
      </c>
      <c r="AN154" s="427">
        <v>0</v>
      </c>
      <c r="AO154" s="427">
        <v>0</v>
      </c>
      <c r="AP154" s="427">
        <v>0</v>
      </c>
      <c r="AQ154" s="427">
        <v>0</v>
      </c>
      <c r="AR154" s="427">
        <v>0</v>
      </c>
      <c r="AS154" s="427">
        <v>0</v>
      </c>
      <c r="AT154" s="427">
        <v>0</v>
      </c>
      <c r="AU154" s="427">
        <v>0</v>
      </c>
      <c r="AV154" s="427">
        <v>0</v>
      </c>
      <c r="AW154" s="427">
        <v>0</v>
      </c>
      <c r="AX154" s="427">
        <v>0</v>
      </c>
      <c r="AY154" s="427">
        <v>0</v>
      </c>
      <c r="AZ154" s="427">
        <v>0</v>
      </c>
      <c r="BA154" s="427">
        <v>0</v>
      </c>
      <c r="BB154" s="427">
        <v>0</v>
      </c>
      <c r="BC154" s="427">
        <v>0</v>
      </c>
      <c r="BD154" s="427">
        <v>0</v>
      </c>
      <c r="BE154" s="427">
        <v>0</v>
      </c>
      <c r="BF154" s="427">
        <v>0</v>
      </c>
      <c r="BG154" s="427">
        <v>0</v>
      </c>
      <c r="BH154" s="427">
        <v>0</v>
      </c>
      <c r="BI154" s="427">
        <v>0</v>
      </c>
      <c r="BJ154" s="427">
        <v>0</v>
      </c>
      <c r="BK154" s="427">
        <v>0</v>
      </c>
      <c r="BL154" s="427">
        <v>0</v>
      </c>
      <c r="BM154" s="427">
        <v>0</v>
      </c>
      <c r="BN154" s="427">
        <v>0</v>
      </c>
      <c r="BO154" s="427">
        <v>0</v>
      </c>
      <c r="BP154" s="427">
        <v>0</v>
      </c>
      <c r="BQ154" s="427">
        <v>0</v>
      </c>
      <c r="BR154" s="427">
        <v>0</v>
      </c>
      <c r="BS154" s="427">
        <v>0</v>
      </c>
      <c r="BT154" s="427">
        <v>0</v>
      </c>
      <c r="BU154" s="427">
        <v>0</v>
      </c>
      <c r="BV154" s="427">
        <v>0</v>
      </c>
      <c r="BW154" s="427">
        <v>0</v>
      </c>
      <c r="BX154" s="427">
        <v>0</v>
      </c>
      <c r="BY154" s="427">
        <v>0</v>
      </c>
      <c r="BZ154" s="427">
        <v>0</v>
      </c>
      <c r="CC154" s="21"/>
      <c r="CD154" s="415" t="s">
        <v>278</v>
      </c>
      <c r="CE154" s="433">
        <f t="shared" si="30"/>
        <v>0</v>
      </c>
      <c r="CF154" s="433">
        <f t="shared" si="31"/>
        <v>0</v>
      </c>
      <c r="CG154" s="433">
        <f t="shared" si="32"/>
        <v>0</v>
      </c>
      <c r="CH154" s="433">
        <f t="shared" si="33"/>
        <v>0</v>
      </c>
      <c r="CI154" s="433">
        <f t="shared" si="34"/>
        <v>0</v>
      </c>
      <c r="CJ154" s="433">
        <f t="shared" si="35"/>
        <v>0</v>
      </c>
      <c r="CK154" s="433">
        <f t="shared" si="36"/>
        <v>0</v>
      </c>
      <c r="CL154" s="433">
        <f t="shared" si="37"/>
        <v>0</v>
      </c>
      <c r="CM154" s="433">
        <f t="shared" si="38"/>
        <v>0</v>
      </c>
      <c r="CN154" s="433">
        <f t="shared" si="39"/>
        <v>0</v>
      </c>
      <c r="CO154" s="433">
        <f t="shared" si="40"/>
        <v>0</v>
      </c>
      <c r="CP154" s="433">
        <f t="shared" si="41"/>
        <v>0</v>
      </c>
      <c r="CQ154" s="433">
        <f t="shared" si="42"/>
        <v>0</v>
      </c>
      <c r="CR154" s="433">
        <f t="shared" si="43"/>
        <v>0</v>
      </c>
      <c r="CS154" s="433">
        <f t="shared" si="44"/>
        <v>0</v>
      </c>
      <c r="CT154" s="21"/>
    </row>
    <row r="155" spans="3:98" ht="24.75" customHeight="1">
      <c r="C155" s="415" t="s">
        <v>279</v>
      </c>
      <c r="D155" s="427">
        <v>0</v>
      </c>
      <c r="E155" s="427">
        <v>0</v>
      </c>
      <c r="F155" s="427">
        <v>0</v>
      </c>
      <c r="G155" s="427">
        <v>0</v>
      </c>
      <c r="H155" s="427">
        <v>0</v>
      </c>
      <c r="I155" s="427">
        <v>0</v>
      </c>
      <c r="J155" s="427">
        <v>0</v>
      </c>
      <c r="K155" s="427">
        <v>0</v>
      </c>
      <c r="L155" s="427">
        <v>0</v>
      </c>
      <c r="M155" s="427">
        <v>0</v>
      </c>
      <c r="N155" s="427">
        <v>0</v>
      </c>
      <c r="O155" s="427">
        <v>0</v>
      </c>
      <c r="P155" s="427">
        <v>0</v>
      </c>
      <c r="Q155" s="427">
        <v>0</v>
      </c>
      <c r="R155" s="427">
        <v>0</v>
      </c>
      <c r="S155" s="427">
        <v>0</v>
      </c>
      <c r="T155" s="427">
        <v>0</v>
      </c>
      <c r="U155" s="427">
        <v>0</v>
      </c>
      <c r="V155" s="427">
        <v>0</v>
      </c>
      <c r="W155" s="427">
        <v>0</v>
      </c>
      <c r="X155" s="427">
        <v>0</v>
      </c>
      <c r="Y155" s="427">
        <v>0</v>
      </c>
      <c r="Z155" s="427">
        <v>0</v>
      </c>
      <c r="AA155" s="427">
        <v>0</v>
      </c>
      <c r="AB155" s="427">
        <v>0</v>
      </c>
      <c r="AC155" s="427">
        <v>0</v>
      </c>
      <c r="AD155" s="427">
        <v>0</v>
      </c>
      <c r="AE155" s="427">
        <v>0</v>
      </c>
      <c r="AF155" s="427">
        <v>0</v>
      </c>
      <c r="AG155" s="427">
        <v>0</v>
      </c>
      <c r="AH155" s="427">
        <v>0</v>
      </c>
      <c r="AI155" s="427">
        <v>0</v>
      </c>
      <c r="AJ155" s="427">
        <v>0</v>
      </c>
      <c r="AK155" s="427">
        <v>0</v>
      </c>
      <c r="AL155" s="427">
        <v>0</v>
      </c>
      <c r="AM155" s="427">
        <v>0</v>
      </c>
      <c r="AN155" s="427">
        <v>0</v>
      </c>
      <c r="AO155" s="427">
        <v>0</v>
      </c>
      <c r="AP155" s="427">
        <v>0</v>
      </c>
      <c r="AQ155" s="427">
        <v>0</v>
      </c>
      <c r="AR155" s="427">
        <v>0</v>
      </c>
      <c r="AS155" s="427">
        <v>0</v>
      </c>
      <c r="AT155" s="427">
        <v>0</v>
      </c>
      <c r="AU155" s="427">
        <v>0</v>
      </c>
      <c r="AV155" s="427">
        <v>0</v>
      </c>
      <c r="AW155" s="427">
        <v>0</v>
      </c>
      <c r="AX155" s="427">
        <v>0</v>
      </c>
      <c r="AY155" s="427">
        <v>0</v>
      </c>
      <c r="AZ155" s="427">
        <v>0</v>
      </c>
      <c r="BA155" s="427">
        <v>0</v>
      </c>
      <c r="BB155" s="427">
        <v>0</v>
      </c>
      <c r="BC155" s="427">
        <v>0</v>
      </c>
      <c r="BD155" s="427">
        <v>0</v>
      </c>
      <c r="BE155" s="427">
        <v>0</v>
      </c>
      <c r="BF155" s="427">
        <v>29.274000000000001</v>
      </c>
      <c r="BG155" s="427">
        <v>0</v>
      </c>
      <c r="BH155" s="427">
        <v>0</v>
      </c>
      <c r="BI155" s="427">
        <v>0</v>
      </c>
      <c r="BJ155" s="427">
        <v>20.806999999999999</v>
      </c>
      <c r="BK155" s="427">
        <v>20.806999999999999</v>
      </c>
      <c r="BL155" s="427">
        <v>16.175000000000001</v>
      </c>
      <c r="BM155" s="427">
        <v>109.54</v>
      </c>
      <c r="BN155" s="427">
        <v>587.30700000000002</v>
      </c>
      <c r="BO155" s="427">
        <v>573.54700000000003</v>
      </c>
      <c r="BP155" s="427">
        <v>573.54700000000003</v>
      </c>
      <c r="BQ155" s="427">
        <v>750.56600000000003</v>
      </c>
      <c r="BR155" s="427">
        <v>909.55700000000002</v>
      </c>
      <c r="BS155" s="427">
        <v>1014.736</v>
      </c>
      <c r="BT155" s="427">
        <v>1046.7909999999999</v>
      </c>
      <c r="BU155" s="427">
        <v>1046.7909999999999</v>
      </c>
      <c r="BV155" s="427">
        <v>1138.5319999999999</v>
      </c>
      <c r="BW155" s="427">
        <v>1127.318</v>
      </c>
      <c r="BX155" s="427">
        <v>1105.992</v>
      </c>
      <c r="BY155" s="427">
        <v>0</v>
      </c>
      <c r="BZ155" s="427">
        <v>0</v>
      </c>
      <c r="CC155" s="21"/>
      <c r="CD155" s="415" t="s">
        <v>279</v>
      </c>
      <c r="CE155" s="433">
        <f t="shared" si="30"/>
        <v>0</v>
      </c>
      <c r="CF155" s="433">
        <f t="shared" si="31"/>
        <v>0</v>
      </c>
      <c r="CG155" s="433">
        <f t="shared" si="32"/>
        <v>0</v>
      </c>
      <c r="CH155" s="433">
        <f t="shared" si="33"/>
        <v>0</v>
      </c>
      <c r="CI155" s="433">
        <f t="shared" si="34"/>
        <v>0</v>
      </c>
      <c r="CJ155" s="433">
        <f t="shared" si="35"/>
        <v>0</v>
      </c>
      <c r="CK155" s="433">
        <f t="shared" si="36"/>
        <v>0</v>
      </c>
      <c r="CL155" s="433">
        <f t="shared" si="37"/>
        <v>0</v>
      </c>
      <c r="CM155" s="433">
        <f t="shared" si="38"/>
        <v>0</v>
      </c>
      <c r="CN155" s="433">
        <f t="shared" si="39"/>
        <v>0</v>
      </c>
      <c r="CO155" s="433">
        <f t="shared" si="40"/>
        <v>29.274000000000001</v>
      </c>
      <c r="CP155" s="433">
        <f t="shared" si="41"/>
        <v>20.806999999999999</v>
      </c>
      <c r="CQ155" s="433">
        <f t="shared" si="42"/>
        <v>573.54700000000003</v>
      </c>
      <c r="CR155" s="433">
        <f t="shared" si="43"/>
        <v>1046.7909999999999</v>
      </c>
      <c r="CS155" s="433">
        <f t="shared" si="44"/>
        <v>0</v>
      </c>
      <c r="CT155" s="21"/>
    </row>
    <row r="156" spans="3:98" ht="24.75" customHeight="1">
      <c r="C156" s="415" t="s">
        <v>280</v>
      </c>
      <c r="D156" s="427">
        <v>0</v>
      </c>
      <c r="E156" s="427">
        <v>0</v>
      </c>
      <c r="F156" s="427">
        <v>0</v>
      </c>
      <c r="G156" s="427">
        <v>0</v>
      </c>
      <c r="H156" s="427">
        <v>0</v>
      </c>
      <c r="I156" s="427">
        <v>0</v>
      </c>
      <c r="J156" s="427">
        <v>0</v>
      </c>
      <c r="K156" s="427">
        <v>0</v>
      </c>
      <c r="L156" s="427">
        <v>0</v>
      </c>
      <c r="M156" s="427">
        <v>0</v>
      </c>
      <c r="N156" s="427">
        <v>0</v>
      </c>
      <c r="O156" s="427">
        <v>0</v>
      </c>
      <c r="P156" s="427">
        <v>0</v>
      </c>
      <c r="Q156" s="427">
        <v>0</v>
      </c>
      <c r="R156" s="427">
        <v>0</v>
      </c>
      <c r="S156" s="427">
        <v>0</v>
      </c>
      <c r="T156" s="427">
        <v>0</v>
      </c>
      <c r="U156" s="427">
        <v>0</v>
      </c>
      <c r="V156" s="427">
        <v>0</v>
      </c>
      <c r="W156" s="427">
        <v>0</v>
      </c>
      <c r="X156" s="427">
        <v>0</v>
      </c>
      <c r="Y156" s="427">
        <v>0</v>
      </c>
      <c r="Z156" s="427">
        <v>0</v>
      </c>
      <c r="AA156" s="427">
        <v>0</v>
      </c>
      <c r="AB156" s="427">
        <v>0</v>
      </c>
      <c r="AC156" s="427">
        <v>0</v>
      </c>
      <c r="AD156" s="427">
        <v>0</v>
      </c>
      <c r="AE156" s="427">
        <v>0</v>
      </c>
      <c r="AF156" s="427">
        <v>0</v>
      </c>
      <c r="AG156" s="427">
        <v>0</v>
      </c>
      <c r="AH156" s="427">
        <v>0</v>
      </c>
      <c r="AI156" s="427">
        <v>0</v>
      </c>
      <c r="AJ156" s="427">
        <v>0</v>
      </c>
      <c r="AK156" s="427">
        <v>0</v>
      </c>
      <c r="AL156" s="427">
        <v>0</v>
      </c>
      <c r="AM156" s="427">
        <v>0</v>
      </c>
      <c r="AN156" s="427">
        <v>0</v>
      </c>
      <c r="AO156" s="427">
        <v>0</v>
      </c>
      <c r="AP156" s="427">
        <v>0</v>
      </c>
      <c r="AQ156" s="427">
        <v>0</v>
      </c>
      <c r="AR156" s="427">
        <v>0</v>
      </c>
      <c r="AS156" s="427">
        <v>0</v>
      </c>
      <c r="AT156" s="427">
        <v>0</v>
      </c>
      <c r="AU156" s="427">
        <v>0</v>
      </c>
      <c r="AV156" s="427">
        <v>0</v>
      </c>
      <c r="AW156" s="427">
        <v>0</v>
      </c>
      <c r="AX156" s="427">
        <v>0</v>
      </c>
      <c r="AY156" s="427">
        <v>0</v>
      </c>
      <c r="AZ156" s="427">
        <v>0</v>
      </c>
      <c r="BA156" s="427">
        <v>0</v>
      </c>
      <c r="BB156" s="427">
        <v>0</v>
      </c>
      <c r="BC156" s="427">
        <v>0</v>
      </c>
      <c r="BD156" s="427">
        <v>0</v>
      </c>
      <c r="BE156" s="427">
        <v>0</v>
      </c>
      <c r="BF156" s="427">
        <v>0</v>
      </c>
      <c r="BG156" s="427">
        <v>0</v>
      </c>
      <c r="BH156" s="427">
        <v>0</v>
      </c>
      <c r="BI156" s="427">
        <v>0</v>
      </c>
      <c r="BJ156" s="427">
        <v>0</v>
      </c>
      <c r="BK156" s="427">
        <v>0</v>
      </c>
      <c r="BL156" s="427">
        <v>0</v>
      </c>
      <c r="BM156" s="427">
        <v>0</v>
      </c>
      <c r="BN156" s="427">
        <v>0</v>
      </c>
      <c r="BO156" s="427">
        <v>0</v>
      </c>
      <c r="BP156" s="427">
        <v>0</v>
      </c>
      <c r="BQ156" s="427">
        <v>0</v>
      </c>
      <c r="BR156" s="427">
        <v>0</v>
      </c>
      <c r="BS156" s="427">
        <v>0</v>
      </c>
      <c r="BT156" s="427">
        <v>0</v>
      </c>
      <c r="BU156" s="427">
        <v>0</v>
      </c>
      <c r="BV156" s="427">
        <v>0</v>
      </c>
      <c r="BW156" s="427">
        <v>0</v>
      </c>
      <c r="BX156" s="427">
        <v>0</v>
      </c>
      <c r="BY156" s="427">
        <v>0</v>
      </c>
      <c r="BZ156" s="427">
        <v>0</v>
      </c>
      <c r="CC156" s="21"/>
      <c r="CD156" s="415" t="s">
        <v>280</v>
      </c>
      <c r="CE156" s="433">
        <f t="shared" si="30"/>
        <v>0</v>
      </c>
      <c r="CF156" s="433">
        <f t="shared" si="31"/>
        <v>0</v>
      </c>
      <c r="CG156" s="433">
        <f t="shared" si="32"/>
        <v>0</v>
      </c>
      <c r="CH156" s="433">
        <f t="shared" si="33"/>
        <v>0</v>
      </c>
      <c r="CI156" s="433">
        <f t="shared" si="34"/>
        <v>0</v>
      </c>
      <c r="CJ156" s="433">
        <f t="shared" si="35"/>
        <v>0</v>
      </c>
      <c r="CK156" s="433">
        <f t="shared" si="36"/>
        <v>0</v>
      </c>
      <c r="CL156" s="433">
        <f t="shared" si="37"/>
        <v>0</v>
      </c>
      <c r="CM156" s="433">
        <f t="shared" si="38"/>
        <v>0</v>
      </c>
      <c r="CN156" s="433">
        <f t="shared" si="39"/>
        <v>0</v>
      </c>
      <c r="CO156" s="433">
        <f t="shared" si="40"/>
        <v>0</v>
      </c>
      <c r="CP156" s="433">
        <f t="shared" si="41"/>
        <v>0</v>
      </c>
      <c r="CQ156" s="433">
        <f t="shared" si="42"/>
        <v>0</v>
      </c>
      <c r="CR156" s="433">
        <f t="shared" si="43"/>
        <v>0</v>
      </c>
      <c r="CS156" s="433">
        <f t="shared" si="44"/>
        <v>0</v>
      </c>
      <c r="CT156" s="21"/>
    </row>
    <row r="157" spans="3:98" ht="24.75" customHeight="1">
      <c r="C157" s="415" t="s">
        <v>281</v>
      </c>
      <c r="D157" s="427">
        <v>0</v>
      </c>
      <c r="E157" s="427">
        <v>0</v>
      </c>
      <c r="F157" s="427">
        <v>0</v>
      </c>
      <c r="G157" s="427">
        <v>0</v>
      </c>
      <c r="H157" s="427">
        <v>0</v>
      </c>
      <c r="I157" s="427">
        <v>0</v>
      </c>
      <c r="J157" s="427">
        <v>0</v>
      </c>
      <c r="K157" s="427">
        <v>0</v>
      </c>
      <c r="L157" s="427">
        <v>0</v>
      </c>
      <c r="M157" s="427">
        <v>0</v>
      </c>
      <c r="N157" s="427">
        <v>0</v>
      </c>
      <c r="O157" s="427">
        <v>0</v>
      </c>
      <c r="P157" s="427">
        <v>0</v>
      </c>
      <c r="Q157" s="427">
        <v>0</v>
      </c>
      <c r="R157" s="427">
        <v>0</v>
      </c>
      <c r="S157" s="427">
        <v>0</v>
      </c>
      <c r="T157" s="427">
        <v>0</v>
      </c>
      <c r="U157" s="427">
        <v>0</v>
      </c>
      <c r="V157" s="427">
        <v>0</v>
      </c>
      <c r="W157" s="427">
        <v>0</v>
      </c>
      <c r="X157" s="427">
        <v>0</v>
      </c>
      <c r="Y157" s="427">
        <v>0</v>
      </c>
      <c r="Z157" s="427">
        <v>0</v>
      </c>
      <c r="AA157" s="427">
        <v>0</v>
      </c>
      <c r="AB157" s="427">
        <v>0</v>
      </c>
      <c r="AC157" s="427">
        <v>0</v>
      </c>
      <c r="AD157" s="427">
        <v>0</v>
      </c>
      <c r="AE157" s="427">
        <v>0</v>
      </c>
      <c r="AF157" s="427">
        <v>0</v>
      </c>
      <c r="AG157" s="427">
        <v>0</v>
      </c>
      <c r="AH157" s="427">
        <v>0</v>
      </c>
      <c r="AI157" s="427">
        <v>0</v>
      </c>
      <c r="AJ157" s="427">
        <v>0</v>
      </c>
      <c r="AK157" s="427">
        <v>0</v>
      </c>
      <c r="AL157" s="427">
        <v>0</v>
      </c>
      <c r="AM157" s="427">
        <v>0</v>
      </c>
      <c r="AN157" s="427">
        <v>0</v>
      </c>
      <c r="AO157" s="427">
        <v>0</v>
      </c>
      <c r="AP157" s="427">
        <v>0</v>
      </c>
      <c r="AQ157" s="427">
        <v>0</v>
      </c>
      <c r="AR157" s="427">
        <v>0</v>
      </c>
      <c r="AS157" s="427">
        <v>0</v>
      </c>
      <c r="AT157" s="427">
        <v>0</v>
      </c>
      <c r="AU157" s="427">
        <v>0</v>
      </c>
      <c r="AV157" s="427">
        <v>0</v>
      </c>
      <c r="AW157" s="427">
        <v>0</v>
      </c>
      <c r="AX157" s="427">
        <v>0</v>
      </c>
      <c r="AY157" s="427">
        <v>0</v>
      </c>
      <c r="AZ157" s="427">
        <v>0</v>
      </c>
      <c r="BA157" s="427">
        <v>0</v>
      </c>
      <c r="BB157" s="427">
        <v>0</v>
      </c>
      <c r="BC157" s="427">
        <v>0</v>
      </c>
      <c r="BD157" s="427">
        <v>0</v>
      </c>
      <c r="BE157" s="427">
        <v>0</v>
      </c>
      <c r="BF157" s="427">
        <v>0</v>
      </c>
      <c r="BG157" s="427">
        <v>0</v>
      </c>
      <c r="BH157" s="427">
        <v>0</v>
      </c>
      <c r="BI157" s="427">
        <v>0</v>
      </c>
      <c r="BJ157" s="427">
        <v>0</v>
      </c>
      <c r="BK157" s="427">
        <v>0</v>
      </c>
      <c r="BL157" s="427">
        <v>0</v>
      </c>
      <c r="BM157" s="427">
        <v>0</v>
      </c>
      <c r="BN157" s="427">
        <v>0</v>
      </c>
      <c r="BO157" s="427">
        <v>0</v>
      </c>
      <c r="BP157" s="427">
        <v>0</v>
      </c>
      <c r="BQ157" s="427">
        <v>0</v>
      </c>
      <c r="BR157" s="427">
        <v>0</v>
      </c>
      <c r="BS157" s="427">
        <v>0</v>
      </c>
      <c r="BT157" s="427">
        <v>0</v>
      </c>
      <c r="BU157" s="427">
        <v>0</v>
      </c>
      <c r="BV157" s="427">
        <v>0</v>
      </c>
      <c r="BW157" s="427">
        <v>0</v>
      </c>
      <c r="BX157" s="427">
        <v>0</v>
      </c>
      <c r="BY157" s="427">
        <v>0</v>
      </c>
      <c r="BZ157" s="427">
        <v>0</v>
      </c>
      <c r="CC157" s="21"/>
      <c r="CD157" s="415" t="s">
        <v>281</v>
      </c>
      <c r="CE157" s="433">
        <f t="shared" si="30"/>
        <v>0</v>
      </c>
      <c r="CF157" s="433">
        <f t="shared" si="31"/>
        <v>0</v>
      </c>
      <c r="CG157" s="433">
        <f t="shared" si="32"/>
        <v>0</v>
      </c>
      <c r="CH157" s="433">
        <f t="shared" si="33"/>
        <v>0</v>
      </c>
      <c r="CI157" s="433">
        <f t="shared" si="34"/>
        <v>0</v>
      </c>
      <c r="CJ157" s="433">
        <f t="shared" si="35"/>
        <v>0</v>
      </c>
      <c r="CK157" s="433">
        <f t="shared" si="36"/>
        <v>0</v>
      </c>
      <c r="CL157" s="433">
        <f t="shared" si="37"/>
        <v>0</v>
      </c>
      <c r="CM157" s="433">
        <f t="shared" si="38"/>
        <v>0</v>
      </c>
      <c r="CN157" s="433">
        <f t="shared" si="39"/>
        <v>0</v>
      </c>
      <c r="CO157" s="433">
        <f t="shared" si="40"/>
        <v>0</v>
      </c>
      <c r="CP157" s="433">
        <f t="shared" si="41"/>
        <v>0</v>
      </c>
      <c r="CQ157" s="433">
        <f t="shared" si="42"/>
        <v>0</v>
      </c>
      <c r="CR157" s="433">
        <f t="shared" si="43"/>
        <v>0</v>
      </c>
      <c r="CS157" s="433">
        <f t="shared" si="44"/>
        <v>0</v>
      </c>
      <c r="CT157" s="21"/>
    </row>
    <row r="158" spans="3:98" ht="24.75" customHeight="1" collapsed="1">
      <c r="C158" s="415" t="s">
        <v>282</v>
      </c>
      <c r="D158" s="427">
        <v>0</v>
      </c>
      <c r="E158" s="427">
        <v>0</v>
      </c>
      <c r="F158" s="427">
        <v>0</v>
      </c>
      <c r="G158" s="427">
        <v>0</v>
      </c>
      <c r="H158" s="427">
        <v>0</v>
      </c>
      <c r="I158" s="427">
        <v>0</v>
      </c>
      <c r="J158" s="427">
        <v>0</v>
      </c>
      <c r="K158" s="427">
        <v>0</v>
      </c>
      <c r="L158" s="427">
        <v>0</v>
      </c>
      <c r="M158" s="427">
        <v>0</v>
      </c>
      <c r="N158" s="427">
        <v>0</v>
      </c>
      <c r="O158" s="427">
        <v>0</v>
      </c>
      <c r="P158" s="427">
        <v>0</v>
      </c>
      <c r="Q158" s="427">
        <v>0</v>
      </c>
      <c r="R158" s="427">
        <v>0</v>
      </c>
      <c r="S158" s="427">
        <v>0</v>
      </c>
      <c r="T158" s="427">
        <v>0</v>
      </c>
      <c r="U158" s="427">
        <v>0</v>
      </c>
      <c r="V158" s="427">
        <v>0</v>
      </c>
      <c r="W158" s="427">
        <v>0</v>
      </c>
      <c r="X158" s="427">
        <v>0</v>
      </c>
      <c r="Y158" s="427">
        <v>0</v>
      </c>
      <c r="Z158" s="427">
        <v>0</v>
      </c>
      <c r="AA158" s="427">
        <v>0</v>
      </c>
      <c r="AB158" s="427">
        <v>0</v>
      </c>
      <c r="AC158" s="427">
        <v>0</v>
      </c>
      <c r="AD158" s="427">
        <v>0</v>
      </c>
      <c r="AE158" s="427">
        <v>0</v>
      </c>
      <c r="AF158" s="427">
        <v>0</v>
      </c>
      <c r="AG158" s="427">
        <v>0</v>
      </c>
      <c r="AH158" s="427">
        <v>0</v>
      </c>
      <c r="AI158" s="427">
        <v>0</v>
      </c>
      <c r="AJ158" s="427">
        <v>0</v>
      </c>
      <c r="AK158" s="427">
        <v>0</v>
      </c>
      <c r="AL158" s="427">
        <v>0</v>
      </c>
      <c r="AM158" s="427">
        <v>0</v>
      </c>
      <c r="AN158" s="427">
        <v>0</v>
      </c>
      <c r="AO158" s="427">
        <v>0</v>
      </c>
      <c r="AP158" s="427">
        <v>0</v>
      </c>
      <c r="AQ158" s="427">
        <v>0</v>
      </c>
      <c r="AR158" s="427">
        <v>0</v>
      </c>
      <c r="AS158" s="427">
        <v>0</v>
      </c>
      <c r="AT158" s="427">
        <v>0</v>
      </c>
      <c r="AU158" s="427">
        <v>0</v>
      </c>
      <c r="AV158" s="427">
        <v>0</v>
      </c>
      <c r="AW158" s="427">
        <v>0</v>
      </c>
      <c r="AX158" s="427">
        <v>0</v>
      </c>
      <c r="AY158" s="427">
        <v>0</v>
      </c>
      <c r="AZ158" s="427">
        <v>0</v>
      </c>
      <c r="BA158" s="427">
        <v>0</v>
      </c>
      <c r="BB158" s="427">
        <v>0</v>
      </c>
      <c r="BC158" s="427">
        <v>0</v>
      </c>
      <c r="BD158" s="427">
        <v>0</v>
      </c>
      <c r="BE158" s="427">
        <v>0</v>
      </c>
      <c r="BF158" s="427">
        <v>0</v>
      </c>
      <c r="BG158" s="427">
        <v>0</v>
      </c>
      <c r="BH158" s="427">
        <v>0</v>
      </c>
      <c r="BI158" s="427">
        <v>0</v>
      </c>
      <c r="BJ158" s="427">
        <v>0</v>
      </c>
      <c r="BK158" s="427">
        <v>0</v>
      </c>
      <c r="BL158" s="427">
        <v>0</v>
      </c>
      <c r="BM158" s="427">
        <v>0</v>
      </c>
      <c r="BN158" s="427">
        <v>0</v>
      </c>
      <c r="BO158" s="427">
        <v>0</v>
      </c>
      <c r="BP158" s="427">
        <v>0</v>
      </c>
      <c r="BQ158" s="427">
        <v>0</v>
      </c>
      <c r="BR158" s="427">
        <v>0</v>
      </c>
      <c r="BS158" s="427">
        <v>0</v>
      </c>
      <c r="BT158" s="427">
        <v>0</v>
      </c>
      <c r="BU158" s="427">
        <v>0</v>
      </c>
      <c r="BV158" s="427">
        <v>0</v>
      </c>
      <c r="BW158" s="427">
        <v>0</v>
      </c>
      <c r="BX158" s="427">
        <v>0</v>
      </c>
      <c r="BY158" s="427">
        <v>0</v>
      </c>
      <c r="BZ158" s="427">
        <v>0</v>
      </c>
      <c r="CC158" s="21"/>
      <c r="CD158" s="415" t="s">
        <v>282</v>
      </c>
      <c r="CE158" s="433">
        <f t="shared" si="30"/>
        <v>0</v>
      </c>
      <c r="CF158" s="433">
        <f t="shared" si="31"/>
        <v>0</v>
      </c>
      <c r="CG158" s="433">
        <f t="shared" si="32"/>
        <v>0</v>
      </c>
      <c r="CH158" s="433">
        <f t="shared" si="33"/>
        <v>0</v>
      </c>
      <c r="CI158" s="433">
        <f t="shared" si="34"/>
        <v>0</v>
      </c>
      <c r="CJ158" s="433">
        <f t="shared" si="35"/>
        <v>0</v>
      </c>
      <c r="CK158" s="433">
        <f t="shared" si="36"/>
        <v>0</v>
      </c>
      <c r="CL158" s="433">
        <f t="shared" si="37"/>
        <v>0</v>
      </c>
      <c r="CM158" s="433">
        <f t="shared" si="38"/>
        <v>0</v>
      </c>
      <c r="CN158" s="433">
        <f t="shared" si="39"/>
        <v>0</v>
      </c>
      <c r="CO158" s="433">
        <f t="shared" si="40"/>
        <v>0</v>
      </c>
      <c r="CP158" s="433">
        <f t="shared" si="41"/>
        <v>0</v>
      </c>
      <c r="CQ158" s="433">
        <f t="shared" si="42"/>
        <v>0</v>
      </c>
      <c r="CR158" s="433">
        <f t="shared" si="43"/>
        <v>0</v>
      </c>
      <c r="CS158" s="433">
        <f t="shared" si="44"/>
        <v>0</v>
      </c>
      <c r="CT158" s="21"/>
    </row>
    <row r="159" spans="3:98" ht="24.75" customHeight="1">
      <c r="C159" s="415" t="s">
        <v>283</v>
      </c>
      <c r="D159" s="427">
        <v>0</v>
      </c>
      <c r="E159" s="427">
        <v>0</v>
      </c>
      <c r="F159" s="427">
        <v>0</v>
      </c>
      <c r="G159" s="427">
        <v>0</v>
      </c>
      <c r="H159" s="427">
        <v>0</v>
      </c>
      <c r="I159" s="427">
        <v>0</v>
      </c>
      <c r="J159" s="427">
        <v>0</v>
      </c>
      <c r="K159" s="427">
        <v>0</v>
      </c>
      <c r="L159" s="427">
        <v>0</v>
      </c>
      <c r="M159" s="427">
        <v>0</v>
      </c>
      <c r="N159" s="427">
        <v>0</v>
      </c>
      <c r="O159" s="427">
        <v>0</v>
      </c>
      <c r="P159" s="427">
        <v>0</v>
      </c>
      <c r="Q159" s="427">
        <v>0</v>
      </c>
      <c r="R159" s="427">
        <v>0</v>
      </c>
      <c r="S159" s="427">
        <v>0</v>
      </c>
      <c r="T159" s="427">
        <v>0</v>
      </c>
      <c r="U159" s="427">
        <v>0</v>
      </c>
      <c r="V159" s="427">
        <v>0</v>
      </c>
      <c r="W159" s="427">
        <v>0</v>
      </c>
      <c r="X159" s="427">
        <v>0</v>
      </c>
      <c r="Y159" s="427">
        <v>0</v>
      </c>
      <c r="Z159" s="427">
        <v>0</v>
      </c>
      <c r="AA159" s="427">
        <v>0</v>
      </c>
      <c r="AB159" s="427">
        <v>0</v>
      </c>
      <c r="AC159" s="427">
        <v>0</v>
      </c>
      <c r="AD159" s="427">
        <v>0</v>
      </c>
      <c r="AE159" s="427">
        <v>0</v>
      </c>
      <c r="AF159" s="427">
        <v>0</v>
      </c>
      <c r="AG159" s="427">
        <v>0</v>
      </c>
      <c r="AH159" s="427">
        <v>0</v>
      </c>
      <c r="AI159" s="427">
        <v>0</v>
      </c>
      <c r="AJ159" s="427">
        <v>0</v>
      </c>
      <c r="AK159" s="427">
        <v>0</v>
      </c>
      <c r="AL159" s="427">
        <v>0</v>
      </c>
      <c r="AM159" s="427">
        <v>0</v>
      </c>
      <c r="AN159" s="427">
        <v>0</v>
      </c>
      <c r="AO159" s="427">
        <v>0</v>
      </c>
      <c r="AP159" s="427">
        <v>0</v>
      </c>
      <c r="AQ159" s="427">
        <v>0</v>
      </c>
      <c r="AR159" s="427">
        <v>0</v>
      </c>
      <c r="AS159" s="427">
        <v>0</v>
      </c>
      <c r="AT159" s="427">
        <v>0</v>
      </c>
      <c r="AU159" s="427">
        <v>0</v>
      </c>
      <c r="AV159" s="427">
        <v>0</v>
      </c>
      <c r="AW159" s="427">
        <v>0</v>
      </c>
      <c r="AX159" s="427">
        <v>0</v>
      </c>
      <c r="AY159" s="427">
        <v>0</v>
      </c>
      <c r="AZ159" s="427">
        <v>0</v>
      </c>
      <c r="BA159" s="427">
        <v>0</v>
      </c>
      <c r="BB159" s="427">
        <v>0</v>
      </c>
      <c r="BC159" s="427">
        <v>0</v>
      </c>
      <c r="BD159" s="427">
        <v>0</v>
      </c>
      <c r="BE159" s="427">
        <v>0</v>
      </c>
      <c r="BF159" s="427">
        <v>0</v>
      </c>
      <c r="BG159" s="427">
        <v>0</v>
      </c>
      <c r="BH159" s="427">
        <v>0</v>
      </c>
      <c r="BI159" s="427">
        <v>0</v>
      </c>
      <c r="BJ159" s="427">
        <v>0</v>
      </c>
      <c r="BK159" s="427">
        <v>0</v>
      </c>
      <c r="BL159" s="427">
        <v>0</v>
      </c>
      <c r="BM159" s="427">
        <v>0</v>
      </c>
      <c r="BN159" s="427">
        <v>0</v>
      </c>
      <c r="BO159" s="427">
        <v>0</v>
      </c>
      <c r="BP159" s="427">
        <v>0</v>
      </c>
      <c r="BQ159" s="427">
        <v>0</v>
      </c>
      <c r="BR159" s="427">
        <v>0</v>
      </c>
      <c r="BS159" s="427">
        <v>0</v>
      </c>
      <c r="BT159" s="427">
        <v>0</v>
      </c>
      <c r="BU159" s="427">
        <v>0</v>
      </c>
      <c r="BV159" s="427">
        <v>0</v>
      </c>
      <c r="BW159" s="427">
        <v>0</v>
      </c>
      <c r="BX159" s="427">
        <v>0</v>
      </c>
      <c r="BY159" s="427">
        <v>0</v>
      </c>
      <c r="BZ159" s="427">
        <v>0</v>
      </c>
      <c r="CC159" s="21"/>
      <c r="CD159" s="415" t="s">
        <v>283</v>
      </c>
      <c r="CE159" s="433">
        <f t="shared" si="30"/>
        <v>0</v>
      </c>
      <c r="CF159" s="433">
        <f t="shared" si="31"/>
        <v>0</v>
      </c>
      <c r="CG159" s="433">
        <f t="shared" si="32"/>
        <v>0</v>
      </c>
      <c r="CH159" s="433">
        <f t="shared" si="33"/>
        <v>0</v>
      </c>
      <c r="CI159" s="433">
        <f t="shared" si="34"/>
        <v>0</v>
      </c>
      <c r="CJ159" s="433">
        <f t="shared" si="35"/>
        <v>0</v>
      </c>
      <c r="CK159" s="433">
        <f t="shared" si="36"/>
        <v>0</v>
      </c>
      <c r="CL159" s="433">
        <f t="shared" si="37"/>
        <v>0</v>
      </c>
      <c r="CM159" s="433">
        <f t="shared" si="38"/>
        <v>0</v>
      </c>
      <c r="CN159" s="433">
        <f t="shared" si="39"/>
        <v>0</v>
      </c>
      <c r="CO159" s="433">
        <f t="shared" si="40"/>
        <v>0</v>
      </c>
      <c r="CP159" s="433">
        <f t="shared" si="41"/>
        <v>0</v>
      </c>
      <c r="CQ159" s="433">
        <f t="shared" si="42"/>
        <v>0</v>
      </c>
      <c r="CR159" s="433">
        <f t="shared" si="43"/>
        <v>0</v>
      </c>
      <c r="CS159" s="433">
        <f t="shared" si="44"/>
        <v>0</v>
      </c>
      <c r="CT159" s="21"/>
    </row>
    <row r="160" spans="3:98" ht="24.75" customHeight="1">
      <c r="C160" s="415" t="s">
        <v>284</v>
      </c>
      <c r="D160" s="427">
        <v>0</v>
      </c>
      <c r="E160" s="427">
        <v>0</v>
      </c>
      <c r="F160" s="427">
        <v>0</v>
      </c>
      <c r="G160" s="427">
        <v>0</v>
      </c>
      <c r="H160" s="427">
        <v>0</v>
      </c>
      <c r="I160" s="427">
        <v>0</v>
      </c>
      <c r="J160" s="427">
        <v>0</v>
      </c>
      <c r="K160" s="427">
        <v>0</v>
      </c>
      <c r="L160" s="427">
        <v>0</v>
      </c>
      <c r="M160" s="427">
        <v>0</v>
      </c>
      <c r="N160" s="427">
        <v>0</v>
      </c>
      <c r="O160" s="427">
        <v>0</v>
      </c>
      <c r="P160" s="427">
        <v>0</v>
      </c>
      <c r="Q160" s="427">
        <v>0</v>
      </c>
      <c r="R160" s="427">
        <v>0</v>
      </c>
      <c r="S160" s="427">
        <v>0</v>
      </c>
      <c r="T160" s="427">
        <v>0</v>
      </c>
      <c r="U160" s="427">
        <v>0</v>
      </c>
      <c r="V160" s="427">
        <v>0</v>
      </c>
      <c r="W160" s="427">
        <v>0</v>
      </c>
      <c r="X160" s="427">
        <v>0</v>
      </c>
      <c r="Y160" s="427">
        <v>0</v>
      </c>
      <c r="Z160" s="427">
        <v>0</v>
      </c>
      <c r="AA160" s="427">
        <v>0</v>
      </c>
      <c r="AB160" s="427">
        <v>0</v>
      </c>
      <c r="AC160" s="427">
        <v>0</v>
      </c>
      <c r="AD160" s="427">
        <v>0</v>
      </c>
      <c r="AE160" s="427">
        <v>0</v>
      </c>
      <c r="AF160" s="427">
        <v>0</v>
      </c>
      <c r="AG160" s="427">
        <v>0</v>
      </c>
      <c r="AH160" s="427">
        <v>0</v>
      </c>
      <c r="AI160" s="427">
        <v>0</v>
      </c>
      <c r="AJ160" s="427">
        <v>0</v>
      </c>
      <c r="AK160" s="427">
        <v>0</v>
      </c>
      <c r="AL160" s="427">
        <v>0</v>
      </c>
      <c r="AM160" s="427">
        <v>0</v>
      </c>
      <c r="AN160" s="427">
        <v>0</v>
      </c>
      <c r="AO160" s="427">
        <v>0</v>
      </c>
      <c r="AP160" s="427">
        <v>0</v>
      </c>
      <c r="AQ160" s="427">
        <v>0</v>
      </c>
      <c r="AR160" s="427">
        <v>0</v>
      </c>
      <c r="AS160" s="427">
        <v>0</v>
      </c>
      <c r="AT160" s="427">
        <v>0</v>
      </c>
      <c r="AU160" s="427">
        <v>0</v>
      </c>
      <c r="AV160" s="427">
        <v>0</v>
      </c>
      <c r="AW160" s="427">
        <v>0</v>
      </c>
      <c r="AX160" s="427">
        <v>0</v>
      </c>
      <c r="AY160" s="427">
        <v>0</v>
      </c>
      <c r="AZ160" s="427">
        <v>0</v>
      </c>
      <c r="BA160" s="427">
        <v>0</v>
      </c>
      <c r="BB160" s="427">
        <v>0</v>
      </c>
      <c r="BC160" s="427">
        <v>0</v>
      </c>
      <c r="BD160" s="427">
        <v>0</v>
      </c>
      <c r="BE160" s="427">
        <v>0</v>
      </c>
      <c r="BF160" s="427">
        <v>33.932000000000002</v>
      </c>
      <c r="BG160" s="427">
        <v>0</v>
      </c>
      <c r="BH160" s="427">
        <v>0</v>
      </c>
      <c r="BI160" s="427">
        <v>0</v>
      </c>
      <c r="BJ160" s="427">
        <v>0</v>
      </c>
      <c r="BK160" s="427">
        <v>0</v>
      </c>
      <c r="BL160" s="427">
        <v>651.35599999999999</v>
      </c>
      <c r="BM160" s="427">
        <v>585.846</v>
      </c>
      <c r="BN160" s="427">
        <v>833.76300000000003</v>
      </c>
      <c r="BO160" s="427">
        <v>1.4630000000000001</v>
      </c>
      <c r="BP160" s="427">
        <v>1.4630000000000001</v>
      </c>
      <c r="BQ160" s="427">
        <v>0.19500000000000001</v>
      </c>
      <c r="BR160" s="427">
        <v>1.823</v>
      </c>
      <c r="BS160" s="427">
        <v>4.1000000000000002E-2</v>
      </c>
      <c r="BT160" s="427">
        <v>17.257000000000001</v>
      </c>
      <c r="BU160" s="427">
        <v>17.257000000000001</v>
      </c>
      <c r="BV160" s="427">
        <v>0</v>
      </c>
      <c r="BW160" s="427">
        <v>7.57</v>
      </c>
      <c r="BX160" s="427">
        <v>2.7909999999999999</v>
      </c>
      <c r="BY160" s="427">
        <v>0</v>
      </c>
      <c r="BZ160" s="427">
        <v>0</v>
      </c>
      <c r="CC160" s="21"/>
      <c r="CD160" s="415" t="s">
        <v>284</v>
      </c>
      <c r="CE160" s="433">
        <f t="shared" si="30"/>
        <v>0</v>
      </c>
      <c r="CF160" s="433">
        <f t="shared" si="31"/>
        <v>0</v>
      </c>
      <c r="CG160" s="433">
        <f t="shared" si="32"/>
        <v>0</v>
      </c>
      <c r="CH160" s="433">
        <f t="shared" si="33"/>
        <v>0</v>
      </c>
      <c r="CI160" s="433">
        <f t="shared" si="34"/>
        <v>0</v>
      </c>
      <c r="CJ160" s="433">
        <f t="shared" si="35"/>
        <v>0</v>
      </c>
      <c r="CK160" s="433">
        <f t="shared" si="36"/>
        <v>0</v>
      </c>
      <c r="CL160" s="433">
        <f t="shared" si="37"/>
        <v>0</v>
      </c>
      <c r="CM160" s="433">
        <f t="shared" si="38"/>
        <v>0</v>
      </c>
      <c r="CN160" s="433">
        <f t="shared" si="39"/>
        <v>0</v>
      </c>
      <c r="CO160" s="433">
        <f t="shared" si="40"/>
        <v>33.932000000000002</v>
      </c>
      <c r="CP160" s="433">
        <f t="shared" si="41"/>
        <v>0</v>
      </c>
      <c r="CQ160" s="433">
        <f t="shared" si="42"/>
        <v>1.4630000000000001</v>
      </c>
      <c r="CR160" s="433">
        <f t="shared" si="43"/>
        <v>17.257000000000001</v>
      </c>
      <c r="CS160" s="433">
        <f t="shared" si="44"/>
        <v>0</v>
      </c>
      <c r="CT160" s="21"/>
    </row>
    <row r="161" spans="1:98" s="439" customFormat="1" ht="24.75" customHeight="1" collapsed="1">
      <c r="A161" s="51"/>
      <c r="B161" s="7"/>
      <c r="C161" s="435" t="s">
        <v>176</v>
      </c>
      <c r="D161" s="422">
        <v>0</v>
      </c>
      <c r="E161" s="422">
        <v>0</v>
      </c>
      <c r="F161" s="422">
        <v>0</v>
      </c>
      <c r="G161" s="422">
        <v>0</v>
      </c>
      <c r="H161" s="422">
        <v>0</v>
      </c>
      <c r="I161" s="422">
        <v>0</v>
      </c>
      <c r="J161" s="422">
        <v>0</v>
      </c>
      <c r="K161" s="422">
        <v>0</v>
      </c>
      <c r="L161" s="422">
        <v>0</v>
      </c>
      <c r="M161" s="422">
        <v>0</v>
      </c>
      <c r="N161" s="422">
        <v>0</v>
      </c>
      <c r="O161" s="422">
        <v>0</v>
      </c>
      <c r="P161" s="422">
        <v>0</v>
      </c>
      <c r="Q161" s="422">
        <v>0</v>
      </c>
      <c r="R161" s="422">
        <v>0</v>
      </c>
      <c r="S161" s="422">
        <v>0</v>
      </c>
      <c r="T161" s="422">
        <v>0</v>
      </c>
      <c r="U161" s="422">
        <v>0</v>
      </c>
      <c r="V161" s="422">
        <v>0</v>
      </c>
      <c r="W161" s="422">
        <v>0</v>
      </c>
      <c r="X161" s="422">
        <v>0</v>
      </c>
      <c r="Y161" s="422">
        <v>0</v>
      </c>
      <c r="Z161" s="422">
        <v>0</v>
      </c>
      <c r="AA161" s="422">
        <v>0</v>
      </c>
      <c r="AB161" s="422">
        <v>0</v>
      </c>
      <c r="AC161" s="422">
        <v>0</v>
      </c>
      <c r="AD161" s="422">
        <v>0</v>
      </c>
      <c r="AE161" s="422">
        <v>0</v>
      </c>
      <c r="AF161" s="422">
        <v>0</v>
      </c>
      <c r="AG161" s="422">
        <v>0</v>
      </c>
      <c r="AH161" s="422">
        <v>0</v>
      </c>
      <c r="AI161" s="422">
        <v>0</v>
      </c>
      <c r="AJ161" s="422">
        <v>0</v>
      </c>
      <c r="AK161" s="422">
        <v>0</v>
      </c>
      <c r="AL161" s="422">
        <v>0</v>
      </c>
      <c r="AM161" s="422">
        <v>0</v>
      </c>
      <c r="AN161" s="422">
        <v>0</v>
      </c>
      <c r="AO161" s="422">
        <v>0</v>
      </c>
      <c r="AP161" s="422">
        <v>0</v>
      </c>
      <c r="AQ161" s="422">
        <v>0</v>
      </c>
      <c r="AR161" s="422">
        <v>0</v>
      </c>
      <c r="AS161" s="422">
        <v>0</v>
      </c>
      <c r="AT161" s="422">
        <v>0</v>
      </c>
      <c r="AU161" s="422">
        <v>0</v>
      </c>
      <c r="AV161" s="422">
        <v>0</v>
      </c>
      <c r="AW161" s="422">
        <v>0</v>
      </c>
      <c r="AX161" s="422">
        <v>0</v>
      </c>
      <c r="AY161" s="422">
        <v>0</v>
      </c>
      <c r="AZ161" s="422">
        <v>0</v>
      </c>
      <c r="BA161" s="422">
        <v>0</v>
      </c>
      <c r="BB161" s="422">
        <v>0</v>
      </c>
      <c r="BC161" s="422">
        <v>0</v>
      </c>
      <c r="BD161" s="422">
        <v>0</v>
      </c>
      <c r="BE161" s="422">
        <v>0</v>
      </c>
      <c r="BF161" s="422">
        <v>404.82299999999998</v>
      </c>
      <c r="BG161" s="422">
        <v>0</v>
      </c>
      <c r="BH161" s="422">
        <v>0</v>
      </c>
      <c r="BI161" s="422">
        <v>0</v>
      </c>
      <c r="BJ161" s="422">
        <v>721.46600000000001</v>
      </c>
      <c r="BK161" s="422">
        <v>721.46600000000001</v>
      </c>
      <c r="BL161" s="422">
        <v>1528.569</v>
      </c>
      <c r="BM161" s="422">
        <v>1552.153</v>
      </c>
      <c r="BN161" s="422">
        <v>2584.5540000000001</v>
      </c>
      <c r="BO161" s="422">
        <v>2900.5619999999999</v>
      </c>
      <c r="BP161" s="422">
        <v>2900.5619999999999</v>
      </c>
      <c r="BQ161" s="422">
        <v>3954.5419999999999</v>
      </c>
      <c r="BR161" s="422">
        <v>3305.9929999999999</v>
      </c>
      <c r="BS161" s="422">
        <v>3488.3960000000002</v>
      </c>
      <c r="BT161" s="422">
        <v>3276.6579999999999</v>
      </c>
      <c r="BU161" s="422">
        <v>3276.6579999999999</v>
      </c>
      <c r="BV161" s="422">
        <v>3457.9140000000002</v>
      </c>
      <c r="BW161" s="422">
        <v>3388.6039999999998</v>
      </c>
      <c r="BX161" s="422">
        <v>3386.373</v>
      </c>
      <c r="BY161" s="422">
        <v>0</v>
      </c>
      <c r="BZ161" s="422">
        <v>0</v>
      </c>
      <c r="CA161" s="227"/>
      <c r="CC161" s="46"/>
      <c r="CD161" s="435" t="s">
        <v>176</v>
      </c>
      <c r="CE161" s="436">
        <f t="shared" si="30"/>
        <v>0</v>
      </c>
      <c r="CF161" s="436">
        <f t="shared" si="31"/>
        <v>0</v>
      </c>
      <c r="CG161" s="436">
        <f t="shared" si="32"/>
        <v>0</v>
      </c>
      <c r="CH161" s="436">
        <f t="shared" si="33"/>
        <v>0</v>
      </c>
      <c r="CI161" s="436">
        <f t="shared" si="34"/>
        <v>0</v>
      </c>
      <c r="CJ161" s="436">
        <f t="shared" si="35"/>
        <v>0</v>
      </c>
      <c r="CK161" s="436">
        <f t="shared" si="36"/>
        <v>0</v>
      </c>
      <c r="CL161" s="436">
        <f t="shared" si="37"/>
        <v>0</v>
      </c>
      <c r="CM161" s="436">
        <f t="shared" si="38"/>
        <v>0</v>
      </c>
      <c r="CN161" s="436">
        <f t="shared" si="39"/>
        <v>0</v>
      </c>
      <c r="CO161" s="436">
        <f t="shared" si="40"/>
        <v>404.82299999999998</v>
      </c>
      <c r="CP161" s="436">
        <f t="shared" si="41"/>
        <v>721.46600000000001</v>
      </c>
      <c r="CQ161" s="436">
        <f t="shared" si="42"/>
        <v>2900.5619999999999</v>
      </c>
      <c r="CR161" s="436">
        <f t="shared" si="43"/>
        <v>3276.6579999999999</v>
      </c>
      <c r="CS161" s="436">
        <f t="shared" si="44"/>
        <v>0</v>
      </c>
      <c r="CT161" s="46"/>
    </row>
    <row r="162" spans="1:98" ht="4.5" customHeight="1">
      <c r="D162" s="427">
        <v>0</v>
      </c>
      <c r="E162" s="427">
        <v>0</v>
      </c>
      <c r="F162" s="427">
        <v>0</v>
      </c>
      <c r="G162" s="427">
        <v>0</v>
      </c>
      <c r="H162" s="427">
        <v>0</v>
      </c>
      <c r="I162" s="427">
        <v>0</v>
      </c>
      <c r="J162" s="427">
        <v>0</v>
      </c>
      <c r="K162" s="427">
        <v>0</v>
      </c>
      <c r="L162" s="427">
        <v>0</v>
      </c>
      <c r="M162" s="427">
        <v>0</v>
      </c>
      <c r="N162" s="427">
        <v>0</v>
      </c>
      <c r="O162" s="427">
        <v>0</v>
      </c>
      <c r="P162" s="427">
        <v>0</v>
      </c>
      <c r="Q162" s="427">
        <v>0</v>
      </c>
      <c r="R162" s="427">
        <v>0</v>
      </c>
      <c r="S162" s="427">
        <v>0</v>
      </c>
      <c r="T162" s="427">
        <v>0</v>
      </c>
      <c r="U162" s="427">
        <v>0</v>
      </c>
      <c r="V162" s="427">
        <v>0</v>
      </c>
      <c r="W162" s="427">
        <v>0</v>
      </c>
      <c r="X162" s="427">
        <v>0</v>
      </c>
      <c r="Y162" s="427">
        <v>0</v>
      </c>
      <c r="Z162" s="427">
        <v>0</v>
      </c>
      <c r="AA162" s="427">
        <v>0</v>
      </c>
      <c r="AB162" s="427">
        <v>0</v>
      </c>
      <c r="AC162" s="427">
        <v>0</v>
      </c>
      <c r="AD162" s="427">
        <v>0</v>
      </c>
      <c r="AE162" s="427">
        <v>0</v>
      </c>
      <c r="AF162" s="427">
        <v>0</v>
      </c>
      <c r="AG162" s="427">
        <v>0</v>
      </c>
      <c r="AH162" s="427">
        <v>0</v>
      </c>
      <c r="AI162" s="427">
        <v>0</v>
      </c>
      <c r="AJ162" s="427">
        <v>0</v>
      </c>
      <c r="AK162" s="427">
        <v>0</v>
      </c>
      <c r="AL162" s="427">
        <v>0</v>
      </c>
      <c r="AM162" s="427">
        <v>0</v>
      </c>
      <c r="AN162" s="427">
        <v>0</v>
      </c>
      <c r="AO162" s="427">
        <v>0</v>
      </c>
      <c r="AP162" s="427">
        <v>0</v>
      </c>
      <c r="AQ162" s="427">
        <v>0</v>
      </c>
      <c r="AR162" s="427">
        <v>0</v>
      </c>
      <c r="AS162" s="427">
        <v>0</v>
      </c>
      <c r="AT162" s="427">
        <v>0</v>
      </c>
      <c r="AU162" s="427">
        <v>0</v>
      </c>
      <c r="AV162" s="427">
        <v>0</v>
      </c>
      <c r="AW162" s="427">
        <v>0</v>
      </c>
      <c r="AX162" s="427">
        <v>0</v>
      </c>
      <c r="AY162" s="427">
        <v>0</v>
      </c>
      <c r="AZ162" s="427">
        <v>0</v>
      </c>
      <c r="BA162" s="427">
        <v>0</v>
      </c>
      <c r="BB162" s="427">
        <v>0</v>
      </c>
      <c r="BC162" s="427">
        <v>0</v>
      </c>
      <c r="BD162" s="427">
        <v>0</v>
      </c>
      <c r="BE162" s="427">
        <v>0</v>
      </c>
      <c r="BF162" s="427">
        <v>0</v>
      </c>
      <c r="BG162" s="427">
        <v>0</v>
      </c>
      <c r="BH162" s="427">
        <v>0</v>
      </c>
      <c r="BI162" s="427">
        <v>0</v>
      </c>
      <c r="BJ162" s="427">
        <v>0</v>
      </c>
      <c r="BK162" s="427">
        <v>0</v>
      </c>
      <c r="BL162" s="427">
        <v>0</v>
      </c>
      <c r="BM162" s="427">
        <v>0</v>
      </c>
      <c r="BN162" s="427">
        <v>0</v>
      </c>
      <c r="BO162" s="427">
        <v>0</v>
      </c>
      <c r="BP162" s="427">
        <v>0</v>
      </c>
      <c r="BQ162" s="427">
        <v>0</v>
      </c>
      <c r="BR162" s="427">
        <v>0</v>
      </c>
      <c r="BS162" s="427">
        <v>0</v>
      </c>
      <c r="BT162" s="427">
        <v>0</v>
      </c>
      <c r="BU162" s="427">
        <v>0</v>
      </c>
      <c r="BV162" s="427">
        <v>0</v>
      </c>
      <c r="BW162" s="427">
        <v>0</v>
      </c>
      <c r="BX162" s="427">
        <v>0</v>
      </c>
      <c r="BY162" s="427">
        <v>0</v>
      </c>
      <c r="BZ162" s="427">
        <v>0</v>
      </c>
      <c r="CC162" s="21"/>
      <c r="CD162" s="58"/>
      <c r="CE162" s="440">
        <f t="shared" si="30"/>
        <v>0</v>
      </c>
      <c r="CF162" s="440">
        <f t="shared" si="31"/>
        <v>0</v>
      </c>
      <c r="CG162" s="440">
        <f t="shared" si="32"/>
        <v>0</v>
      </c>
      <c r="CH162" s="440">
        <f t="shared" si="33"/>
        <v>0</v>
      </c>
      <c r="CI162" s="440">
        <f t="shared" si="34"/>
        <v>0</v>
      </c>
      <c r="CJ162" s="440">
        <f t="shared" si="35"/>
        <v>0</v>
      </c>
      <c r="CK162" s="440">
        <f t="shared" si="36"/>
        <v>0</v>
      </c>
      <c r="CL162" s="440">
        <f t="shared" si="37"/>
        <v>0</v>
      </c>
      <c r="CM162" s="440">
        <f t="shared" si="38"/>
        <v>0</v>
      </c>
      <c r="CN162" s="440">
        <f t="shared" si="39"/>
        <v>0</v>
      </c>
      <c r="CO162" s="440">
        <f t="shared" si="40"/>
        <v>0</v>
      </c>
      <c r="CP162" s="440">
        <f t="shared" si="41"/>
        <v>0</v>
      </c>
      <c r="CQ162" s="440">
        <f t="shared" si="42"/>
        <v>0</v>
      </c>
      <c r="CR162" s="440">
        <f t="shared" si="43"/>
        <v>0</v>
      </c>
      <c r="CS162" s="440">
        <f t="shared" si="44"/>
        <v>0</v>
      </c>
      <c r="CT162" s="21"/>
    </row>
    <row r="163" spans="1:98" s="442" customFormat="1" ht="24.75" customHeight="1">
      <c r="A163" s="50"/>
      <c r="B163" s="2"/>
      <c r="C163" s="421" t="s">
        <v>136</v>
      </c>
      <c r="D163" s="422">
        <v>0</v>
      </c>
      <c r="E163" s="422">
        <v>0</v>
      </c>
      <c r="F163" s="422">
        <v>0</v>
      </c>
      <c r="G163" s="422">
        <v>0</v>
      </c>
      <c r="H163" s="422">
        <v>0</v>
      </c>
      <c r="I163" s="422">
        <v>0</v>
      </c>
      <c r="J163" s="422">
        <v>0</v>
      </c>
      <c r="K163" s="422">
        <v>0</v>
      </c>
      <c r="L163" s="422">
        <v>0</v>
      </c>
      <c r="M163" s="422">
        <v>0</v>
      </c>
      <c r="N163" s="422">
        <v>0</v>
      </c>
      <c r="O163" s="422">
        <v>0</v>
      </c>
      <c r="P163" s="422">
        <v>0</v>
      </c>
      <c r="Q163" s="422">
        <v>0</v>
      </c>
      <c r="R163" s="422">
        <v>0</v>
      </c>
      <c r="S163" s="422">
        <v>0</v>
      </c>
      <c r="T163" s="422">
        <v>0</v>
      </c>
      <c r="U163" s="422">
        <v>0</v>
      </c>
      <c r="V163" s="422">
        <v>0</v>
      </c>
      <c r="W163" s="422">
        <v>0</v>
      </c>
      <c r="X163" s="422">
        <v>0</v>
      </c>
      <c r="Y163" s="422">
        <v>0</v>
      </c>
      <c r="Z163" s="422">
        <v>0</v>
      </c>
      <c r="AA163" s="422">
        <v>0</v>
      </c>
      <c r="AB163" s="422">
        <v>0</v>
      </c>
      <c r="AC163" s="422">
        <v>0</v>
      </c>
      <c r="AD163" s="422">
        <v>0</v>
      </c>
      <c r="AE163" s="422">
        <v>0</v>
      </c>
      <c r="AF163" s="422">
        <v>0</v>
      </c>
      <c r="AG163" s="422">
        <v>0</v>
      </c>
      <c r="AH163" s="422">
        <v>0</v>
      </c>
      <c r="AI163" s="422">
        <v>0</v>
      </c>
      <c r="AJ163" s="422">
        <v>0</v>
      </c>
      <c r="AK163" s="422">
        <v>0</v>
      </c>
      <c r="AL163" s="422">
        <v>0</v>
      </c>
      <c r="AM163" s="422">
        <v>0</v>
      </c>
      <c r="AN163" s="422">
        <v>0</v>
      </c>
      <c r="AO163" s="422">
        <v>0</v>
      </c>
      <c r="AP163" s="422">
        <v>0</v>
      </c>
      <c r="AQ163" s="422">
        <v>0</v>
      </c>
      <c r="AR163" s="422">
        <v>0</v>
      </c>
      <c r="AS163" s="422">
        <v>0</v>
      </c>
      <c r="AT163" s="422">
        <v>0</v>
      </c>
      <c r="AU163" s="422">
        <v>0</v>
      </c>
      <c r="AV163" s="422">
        <v>0</v>
      </c>
      <c r="AW163" s="422">
        <v>0</v>
      </c>
      <c r="AX163" s="422">
        <v>0</v>
      </c>
      <c r="AY163" s="422">
        <v>0</v>
      </c>
      <c r="AZ163" s="422">
        <v>0</v>
      </c>
      <c r="BA163" s="422">
        <v>0</v>
      </c>
      <c r="BB163" s="422">
        <v>0</v>
      </c>
      <c r="BC163" s="422">
        <v>0</v>
      </c>
      <c r="BD163" s="422">
        <v>0</v>
      </c>
      <c r="BE163" s="422">
        <v>0</v>
      </c>
      <c r="BF163" s="422">
        <v>2391.7689999999998</v>
      </c>
      <c r="BG163" s="422">
        <v>0</v>
      </c>
      <c r="BH163" s="422">
        <v>0</v>
      </c>
      <c r="BI163" s="422">
        <v>0</v>
      </c>
      <c r="BJ163" s="422">
        <v>5855.4139999999998</v>
      </c>
      <c r="BK163" s="422">
        <v>5855.4139999999998</v>
      </c>
      <c r="BL163" s="422">
        <v>10201.111999999999</v>
      </c>
      <c r="BM163" s="422">
        <v>15790.208000000001</v>
      </c>
      <c r="BN163" s="422">
        <v>18454.271000000001</v>
      </c>
      <c r="BO163" s="422">
        <v>21274.424999999999</v>
      </c>
      <c r="BP163" s="422">
        <v>21274.424999999999</v>
      </c>
      <c r="BQ163" s="422">
        <v>20895.194</v>
      </c>
      <c r="BR163" s="422">
        <v>105468.243</v>
      </c>
      <c r="BS163" s="422">
        <v>111168.363</v>
      </c>
      <c r="BT163" s="422">
        <v>89724.873000000007</v>
      </c>
      <c r="BU163" s="422">
        <v>89724.873000000007</v>
      </c>
      <c r="BV163" s="422">
        <v>139301.859</v>
      </c>
      <c r="BW163" s="422">
        <v>137650.57500000001</v>
      </c>
      <c r="BX163" s="422">
        <v>127305.595</v>
      </c>
      <c r="BY163" s="422">
        <v>0</v>
      </c>
      <c r="BZ163" s="422">
        <v>0</v>
      </c>
      <c r="CA163" s="441"/>
      <c r="CC163" s="443"/>
      <c r="CD163" s="421" t="s">
        <v>136</v>
      </c>
      <c r="CE163" s="436">
        <f t="shared" si="30"/>
        <v>0</v>
      </c>
      <c r="CF163" s="436">
        <f t="shared" si="31"/>
        <v>0</v>
      </c>
      <c r="CG163" s="436">
        <f t="shared" si="32"/>
        <v>0</v>
      </c>
      <c r="CH163" s="436">
        <f t="shared" si="33"/>
        <v>0</v>
      </c>
      <c r="CI163" s="436">
        <f t="shared" si="34"/>
        <v>0</v>
      </c>
      <c r="CJ163" s="436">
        <f t="shared" si="35"/>
        <v>0</v>
      </c>
      <c r="CK163" s="436">
        <f t="shared" si="36"/>
        <v>0</v>
      </c>
      <c r="CL163" s="436">
        <f t="shared" si="37"/>
        <v>0</v>
      </c>
      <c r="CM163" s="436">
        <f t="shared" si="38"/>
        <v>0</v>
      </c>
      <c r="CN163" s="436">
        <f t="shared" si="39"/>
        <v>0</v>
      </c>
      <c r="CO163" s="436">
        <f t="shared" si="40"/>
        <v>2391.7689999999998</v>
      </c>
      <c r="CP163" s="436">
        <f t="shared" si="41"/>
        <v>5855.4139999999998</v>
      </c>
      <c r="CQ163" s="436">
        <f t="shared" si="42"/>
        <v>21274.424999999999</v>
      </c>
      <c r="CR163" s="436">
        <f t="shared" si="43"/>
        <v>89724.873000000007</v>
      </c>
      <c r="CS163" s="436">
        <f t="shared" si="44"/>
        <v>0</v>
      </c>
      <c r="CT163" s="443"/>
    </row>
    <row r="164" spans="1:98" ht="24.75" customHeight="1">
      <c r="C164" s="430"/>
      <c r="D164" s="416"/>
      <c r="E164" s="416"/>
      <c r="F164" s="416"/>
      <c r="G164" s="416"/>
      <c r="H164" s="427"/>
      <c r="I164" s="416"/>
      <c r="J164" s="416"/>
      <c r="K164" s="416"/>
      <c r="L164" s="416"/>
      <c r="M164" s="416"/>
      <c r="N164" s="416"/>
      <c r="O164" s="416"/>
      <c r="P164" s="416"/>
      <c r="Q164" s="416"/>
      <c r="R164" s="416"/>
      <c r="S164" s="416"/>
      <c r="T164" s="416"/>
      <c r="U164" s="416"/>
      <c r="V164" s="416"/>
      <c r="W164" s="416"/>
      <c r="X164" s="416"/>
      <c r="Y164" s="416"/>
      <c r="Z164" s="416"/>
      <c r="AA164" s="416"/>
      <c r="AB164" s="416"/>
      <c r="AC164" s="416"/>
      <c r="AD164" s="416"/>
      <c r="AE164" s="416"/>
      <c r="AF164" s="416"/>
      <c r="AG164" s="416"/>
      <c r="AH164" s="416"/>
      <c r="AI164" s="416"/>
      <c r="AJ164" s="416"/>
      <c r="AK164" s="416"/>
      <c r="AL164" s="416"/>
      <c r="AM164" s="416"/>
      <c r="AN164" s="416"/>
      <c r="AO164" s="416"/>
      <c r="AP164" s="416"/>
      <c r="AQ164" s="416"/>
      <c r="AR164" s="416"/>
      <c r="AS164" s="416"/>
      <c r="AT164" s="416"/>
      <c r="AU164" s="416"/>
      <c r="AV164" s="416"/>
      <c r="AW164" s="416"/>
      <c r="AX164" s="416"/>
      <c r="AY164" s="416"/>
      <c r="AZ164" s="416"/>
      <c r="BA164" s="416"/>
      <c r="BB164" s="416"/>
      <c r="BC164" s="416"/>
      <c r="BD164" s="416"/>
      <c r="BE164" s="416"/>
      <c r="BF164" s="416"/>
      <c r="BG164" s="416"/>
      <c r="BH164" s="416"/>
      <c r="BI164" s="416"/>
      <c r="BJ164" s="416"/>
      <c r="BK164" s="416"/>
      <c r="BL164" s="416"/>
      <c r="BM164" s="416"/>
      <c r="BN164" s="416"/>
      <c r="BO164" s="416"/>
      <c r="BP164" s="416"/>
      <c r="BQ164" s="416"/>
      <c r="BR164" s="416"/>
      <c r="BS164" s="416"/>
      <c r="BT164" s="416"/>
      <c r="BU164" s="416"/>
      <c r="BV164" s="416"/>
      <c r="BW164" s="416"/>
      <c r="BX164" s="416"/>
      <c r="BY164" s="416"/>
      <c r="BZ164" s="416"/>
      <c r="CC164" s="21"/>
      <c r="CD164" s="430"/>
      <c r="CE164" s="433"/>
      <c r="CF164" s="433"/>
      <c r="CG164" s="433"/>
      <c r="CH164" s="433"/>
      <c r="CI164" s="433"/>
      <c r="CJ164" s="433"/>
      <c r="CK164" s="433"/>
      <c r="CL164" s="433"/>
      <c r="CM164" s="433"/>
      <c r="CN164" s="433"/>
      <c r="CO164" s="433"/>
      <c r="CP164" s="433"/>
      <c r="CQ164" s="433"/>
      <c r="CR164" s="433"/>
      <c r="CS164" s="433"/>
      <c r="CT164" s="21"/>
    </row>
    <row r="165" spans="1:98" ht="24.75" hidden="1" customHeight="1" outlineLevel="2">
      <c r="C165" s="426" t="s">
        <v>289</v>
      </c>
      <c r="D165" s="416">
        <v>0</v>
      </c>
      <c r="E165" s="416">
        <v>0</v>
      </c>
      <c r="F165" s="416">
        <v>0</v>
      </c>
      <c r="G165" s="416">
        <v>0</v>
      </c>
      <c r="H165" s="427">
        <v>0</v>
      </c>
      <c r="I165" s="416">
        <v>0</v>
      </c>
      <c r="J165" s="416">
        <v>0</v>
      </c>
      <c r="K165" s="416">
        <v>0</v>
      </c>
      <c r="L165" s="416">
        <v>0</v>
      </c>
      <c r="M165" s="416">
        <v>0</v>
      </c>
      <c r="N165" s="416">
        <v>0</v>
      </c>
      <c r="O165" s="416">
        <v>0</v>
      </c>
      <c r="P165" s="416">
        <v>0</v>
      </c>
      <c r="Q165" s="416">
        <v>0</v>
      </c>
      <c r="R165" s="416">
        <v>0</v>
      </c>
      <c r="S165" s="416">
        <v>0</v>
      </c>
      <c r="T165" s="416">
        <v>0</v>
      </c>
      <c r="U165" s="416">
        <v>0</v>
      </c>
      <c r="V165" s="416">
        <v>0</v>
      </c>
      <c r="W165" s="416">
        <v>0</v>
      </c>
      <c r="X165" s="416">
        <v>0</v>
      </c>
      <c r="Y165" s="416">
        <v>0</v>
      </c>
      <c r="Z165" s="416">
        <v>0</v>
      </c>
      <c r="AA165" s="416">
        <v>0</v>
      </c>
      <c r="AB165" s="416">
        <v>0</v>
      </c>
      <c r="AC165" s="416">
        <v>0</v>
      </c>
      <c r="AD165" s="416">
        <v>0</v>
      </c>
      <c r="AE165" s="416">
        <v>0</v>
      </c>
      <c r="AF165" s="416">
        <v>0</v>
      </c>
      <c r="AG165" s="416">
        <v>0</v>
      </c>
      <c r="AH165" s="416">
        <v>0</v>
      </c>
      <c r="AI165" s="416">
        <v>0</v>
      </c>
      <c r="AJ165" s="416">
        <v>0</v>
      </c>
      <c r="AK165" s="416">
        <v>0</v>
      </c>
      <c r="AL165" s="416">
        <v>0</v>
      </c>
      <c r="AM165" s="416">
        <v>0</v>
      </c>
      <c r="AN165" s="416">
        <v>0</v>
      </c>
      <c r="AO165" s="416">
        <v>0</v>
      </c>
      <c r="AP165" s="416">
        <v>0</v>
      </c>
      <c r="AQ165" s="416">
        <v>0</v>
      </c>
      <c r="AR165" s="416">
        <v>0</v>
      </c>
      <c r="AS165" s="416">
        <v>0</v>
      </c>
      <c r="AT165" s="416">
        <v>0</v>
      </c>
      <c r="AU165" s="416">
        <v>0</v>
      </c>
      <c r="AV165" s="416">
        <v>0</v>
      </c>
      <c r="AW165" s="416">
        <v>0</v>
      </c>
      <c r="AX165" s="416">
        <v>0</v>
      </c>
      <c r="AY165" s="416">
        <v>0</v>
      </c>
      <c r="AZ165" s="416">
        <v>0</v>
      </c>
      <c r="BA165" s="416">
        <v>0</v>
      </c>
      <c r="BB165" s="416">
        <v>0</v>
      </c>
      <c r="BC165" s="416">
        <v>0</v>
      </c>
      <c r="BD165" s="416">
        <v>0</v>
      </c>
      <c r="BE165" s="416">
        <v>0</v>
      </c>
      <c r="BF165" s="416">
        <v>5.94</v>
      </c>
      <c r="BG165" s="416">
        <v>0</v>
      </c>
      <c r="BH165" s="416">
        <v>0</v>
      </c>
      <c r="BI165" s="416">
        <v>0</v>
      </c>
      <c r="BJ165" s="416">
        <v>12.031000000000001</v>
      </c>
      <c r="BK165" s="416">
        <v>12.031000000000001</v>
      </c>
      <c r="BL165" s="416">
        <v>15.858000000000001</v>
      </c>
      <c r="BM165" s="416">
        <v>35.981999999999999</v>
      </c>
      <c r="BN165" s="416">
        <v>29.422000000000001</v>
      </c>
      <c r="BO165" s="416">
        <v>39.832999999999998</v>
      </c>
      <c r="BP165" s="416">
        <v>39.832999999999998</v>
      </c>
      <c r="BQ165" s="416">
        <v>12.65</v>
      </c>
      <c r="BR165" s="416">
        <v>40.744999999999997</v>
      </c>
      <c r="BS165" s="416">
        <v>61.514000000000003</v>
      </c>
      <c r="BT165" s="416">
        <v>56.042999999999999</v>
      </c>
      <c r="BU165" s="416">
        <v>56.042999999999999</v>
      </c>
      <c r="BV165" s="416">
        <v>23.693999999999999</v>
      </c>
      <c r="BW165" s="416">
        <v>27.983000000000001</v>
      </c>
      <c r="BX165" s="416">
        <v>36.744</v>
      </c>
      <c r="BY165" s="416">
        <v>0</v>
      </c>
      <c r="BZ165" s="416">
        <v>0</v>
      </c>
      <c r="CC165" s="21"/>
      <c r="CD165" s="426" t="s">
        <v>289</v>
      </c>
      <c r="CE165" s="433">
        <f t="shared" si="30"/>
        <v>0</v>
      </c>
      <c r="CF165" s="433">
        <f t="shared" si="31"/>
        <v>0</v>
      </c>
      <c r="CG165" s="433">
        <f t="shared" si="32"/>
        <v>0</v>
      </c>
      <c r="CH165" s="433">
        <f t="shared" si="33"/>
        <v>0</v>
      </c>
      <c r="CI165" s="433">
        <f t="shared" si="34"/>
        <v>0</v>
      </c>
      <c r="CJ165" s="433">
        <f t="shared" si="35"/>
        <v>0</v>
      </c>
      <c r="CK165" s="433">
        <f t="shared" si="36"/>
        <v>0</v>
      </c>
      <c r="CL165" s="433">
        <f t="shared" si="37"/>
        <v>0</v>
      </c>
      <c r="CM165" s="433">
        <f t="shared" si="38"/>
        <v>0</v>
      </c>
      <c r="CN165" s="433">
        <f t="shared" si="39"/>
        <v>0</v>
      </c>
      <c r="CO165" s="433">
        <f t="shared" si="40"/>
        <v>5.94</v>
      </c>
      <c r="CP165" s="433">
        <f t="shared" si="41"/>
        <v>12.031000000000001</v>
      </c>
      <c r="CQ165" s="433">
        <f t="shared" si="42"/>
        <v>39.832999999999998</v>
      </c>
      <c r="CR165" s="433">
        <f t="shared" si="43"/>
        <v>56.042999999999999</v>
      </c>
      <c r="CS165" s="433">
        <f t="shared" si="44"/>
        <v>0</v>
      </c>
      <c r="CT165" s="21"/>
    </row>
    <row r="166" spans="1:98" ht="24.75" hidden="1" customHeight="1" outlineLevel="2">
      <c r="C166" s="426" t="s">
        <v>290</v>
      </c>
      <c r="D166" s="416">
        <v>0</v>
      </c>
      <c r="E166" s="416">
        <v>0</v>
      </c>
      <c r="F166" s="416">
        <v>0</v>
      </c>
      <c r="G166" s="416">
        <v>0</v>
      </c>
      <c r="H166" s="427">
        <v>0</v>
      </c>
      <c r="I166" s="416">
        <v>0</v>
      </c>
      <c r="J166" s="416">
        <v>0</v>
      </c>
      <c r="K166" s="416">
        <v>0</v>
      </c>
      <c r="L166" s="416">
        <v>0</v>
      </c>
      <c r="M166" s="416">
        <v>0</v>
      </c>
      <c r="N166" s="416">
        <v>0</v>
      </c>
      <c r="O166" s="416">
        <v>0</v>
      </c>
      <c r="P166" s="416">
        <v>0</v>
      </c>
      <c r="Q166" s="416">
        <v>0</v>
      </c>
      <c r="R166" s="416">
        <v>0</v>
      </c>
      <c r="S166" s="416">
        <v>0</v>
      </c>
      <c r="T166" s="416">
        <v>0</v>
      </c>
      <c r="U166" s="416">
        <v>0</v>
      </c>
      <c r="V166" s="416">
        <v>0</v>
      </c>
      <c r="W166" s="416">
        <v>0</v>
      </c>
      <c r="X166" s="416">
        <v>0</v>
      </c>
      <c r="Y166" s="416">
        <v>0</v>
      </c>
      <c r="Z166" s="416">
        <v>0</v>
      </c>
      <c r="AA166" s="416">
        <v>0</v>
      </c>
      <c r="AB166" s="416">
        <v>0</v>
      </c>
      <c r="AC166" s="416">
        <v>0</v>
      </c>
      <c r="AD166" s="416">
        <v>0</v>
      </c>
      <c r="AE166" s="416">
        <v>0</v>
      </c>
      <c r="AF166" s="416">
        <v>0</v>
      </c>
      <c r="AG166" s="416">
        <v>0</v>
      </c>
      <c r="AH166" s="416">
        <v>0</v>
      </c>
      <c r="AI166" s="416">
        <v>0</v>
      </c>
      <c r="AJ166" s="416">
        <v>0</v>
      </c>
      <c r="AK166" s="416">
        <v>0</v>
      </c>
      <c r="AL166" s="416">
        <v>0</v>
      </c>
      <c r="AM166" s="416">
        <v>0</v>
      </c>
      <c r="AN166" s="416">
        <v>0</v>
      </c>
      <c r="AO166" s="416">
        <v>0</v>
      </c>
      <c r="AP166" s="416">
        <v>0</v>
      </c>
      <c r="AQ166" s="416">
        <v>0</v>
      </c>
      <c r="AR166" s="416">
        <v>0</v>
      </c>
      <c r="AS166" s="416">
        <v>0</v>
      </c>
      <c r="AT166" s="416">
        <v>0</v>
      </c>
      <c r="AU166" s="416">
        <v>0</v>
      </c>
      <c r="AV166" s="416">
        <v>0</v>
      </c>
      <c r="AW166" s="416">
        <v>0</v>
      </c>
      <c r="AX166" s="416">
        <v>0</v>
      </c>
      <c r="AY166" s="416">
        <v>0</v>
      </c>
      <c r="AZ166" s="416">
        <v>0</v>
      </c>
      <c r="BA166" s="416">
        <v>0</v>
      </c>
      <c r="BB166" s="416">
        <v>0</v>
      </c>
      <c r="BC166" s="416">
        <v>0</v>
      </c>
      <c r="BD166" s="416">
        <v>0</v>
      </c>
      <c r="BE166" s="416">
        <v>0</v>
      </c>
      <c r="BF166" s="416">
        <v>0</v>
      </c>
      <c r="BG166" s="416">
        <v>0</v>
      </c>
      <c r="BH166" s="416">
        <v>0</v>
      </c>
      <c r="BI166" s="416">
        <v>0</v>
      </c>
      <c r="BJ166" s="416">
        <v>0</v>
      </c>
      <c r="BK166" s="416">
        <v>0</v>
      </c>
      <c r="BL166" s="416">
        <v>0</v>
      </c>
      <c r="BM166" s="416">
        <v>0</v>
      </c>
      <c r="BN166" s="416">
        <v>0</v>
      </c>
      <c r="BO166" s="416">
        <v>0</v>
      </c>
      <c r="BP166" s="416">
        <v>0</v>
      </c>
      <c r="BQ166" s="416">
        <v>0</v>
      </c>
      <c r="BR166" s="416">
        <v>0</v>
      </c>
      <c r="BS166" s="416">
        <v>0</v>
      </c>
      <c r="BT166" s="416">
        <v>0</v>
      </c>
      <c r="BU166" s="416">
        <v>0</v>
      </c>
      <c r="BV166" s="416">
        <v>0</v>
      </c>
      <c r="BW166" s="416">
        <v>0</v>
      </c>
      <c r="BX166" s="416">
        <v>0</v>
      </c>
      <c r="BY166" s="416">
        <v>0</v>
      </c>
      <c r="BZ166" s="416">
        <v>0</v>
      </c>
      <c r="CC166" s="21"/>
      <c r="CD166" s="426" t="s">
        <v>290</v>
      </c>
      <c r="CE166" s="433">
        <f t="shared" si="30"/>
        <v>0</v>
      </c>
      <c r="CF166" s="433">
        <f t="shared" si="31"/>
        <v>0</v>
      </c>
      <c r="CG166" s="433">
        <f t="shared" si="32"/>
        <v>0</v>
      </c>
      <c r="CH166" s="433">
        <f t="shared" si="33"/>
        <v>0</v>
      </c>
      <c r="CI166" s="433">
        <f t="shared" si="34"/>
        <v>0</v>
      </c>
      <c r="CJ166" s="433">
        <f t="shared" si="35"/>
        <v>0</v>
      </c>
      <c r="CK166" s="433">
        <f t="shared" si="36"/>
        <v>0</v>
      </c>
      <c r="CL166" s="433">
        <f t="shared" si="37"/>
        <v>0</v>
      </c>
      <c r="CM166" s="433">
        <f t="shared" si="38"/>
        <v>0</v>
      </c>
      <c r="CN166" s="433">
        <f t="shared" si="39"/>
        <v>0</v>
      </c>
      <c r="CO166" s="433">
        <f t="shared" si="40"/>
        <v>0</v>
      </c>
      <c r="CP166" s="433">
        <f t="shared" si="41"/>
        <v>0</v>
      </c>
      <c r="CQ166" s="433">
        <f t="shared" si="42"/>
        <v>0</v>
      </c>
      <c r="CR166" s="433">
        <f t="shared" si="43"/>
        <v>0</v>
      </c>
      <c r="CS166" s="433">
        <f t="shared" si="44"/>
        <v>0</v>
      </c>
      <c r="CT166" s="21"/>
    </row>
    <row r="167" spans="1:98" ht="24.75" hidden="1" customHeight="1" outlineLevel="2">
      <c r="C167" s="426" t="s">
        <v>291</v>
      </c>
      <c r="D167" s="416">
        <v>0</v>
      </c>
      <c r="E167" s="416">
        <v>0</v>
      </c>
      <c r="F167" s="416">
        <v>0</v>
      </c>
      <c r="G167" s="416">
        <v>0</v>
      </c>
      <c r="H167" s="427">
        <v>0</v>
      </c>
      <c r="I167" s="416">
        <v>0</v>
      </c>
      <c r="J167" s="416">
        <v>0</v>
      </c>
      <c r="K167" s="416">
        <v>0</v>
      </c>
      <c r="L167" s="416">
        <v>0</v>
      </c>
      <c r="M167" s="416">
        <v>0</v>
      </c>
      <c r="N167" s="416">
        <v>0</v>
      </c>
      <c r="O167" s="416">
        <v>0</v>
      </c>
      <c r="P167" s="416">
        <v>0</v>
      </c>
      <c r="Q167" s="416">
        <v>0</v>
      </c>
      <c r="R167" s="416">
        <v>0</v>
      </c>
      <c r="S167" s="416">
        <v>0</v>
      </c>
      <c r="T167" s="416">
        <v>0</v>
      </c>
      <c r="U167" s="416">
        <v>0</v>
      </c>
      <c r="V167" s="416">
        <v>0</v>
      </c>
      <c r="W167" s="416">
        <v>0</v>
      </c>
      <c r="X167" s="416">
        <v>0</v>
      </c>
      <c r="Y167" s="416">
        <v>0</v>
      </c>
      <c r="Z167" s="416">
        <v>0</v>
      </c>
      <c r="AA167" s="416">
        <v>0</v>
      </c>
      <c r="AB167" s="416">
        <v>0</v>
      </c>
      <c r="AC167" s="416">
        <v>0</v>
      </c>
      <c r="AD167" s="416">
        <v>0</v>
      </c>
      <c r="AE167" s="416">
        <v>0</v>
      </c>
      <c r="AF167" s="416">
        <v>0</v>
      </c>
      <c r="AG167" s="416">
        <v>0</v>
      </c>
      <c r="AH167" s="416">
        <v>0</v>
      </c>
      <c r="AI167" s="416">
        <v>0</v>
      </c>
      <c r="AJ167" s="416">
        <v>0</v>
      </c>
      <c r="AK167" s="416">
        <v>0</v>
      </c>
      <c r="AL167" s="416">
        <v>0</v>
      </c>
      <c r="AM167" s="416">
        <v>0</v>
      </c>
      <c r="AN167" s="416">
        <v>0</v>
      </c>
      <c r="AO167" s="416">
        <v>0</v>
      </c>
      <c r="AP167" s="416">
        <v>0</v>
      </c>
      <c r="AQ167" s="416">
        <v>0</v>
      </c>
      <c r="AR167" s="416">
        <v>0</v>
      </c>
      <c r="AS167" s="416">
        <v>0</v>
      </c>
      <c r="AT167" s="416">
        <v>0</v>
      </c>
      <c r="AU167" s="416">
        <v>0</v>
      </c>
      <c r="AV167" s="416">
        <v>0</v>
      </c>
      <c r="AW167" s="416">
        <v>0</v>
      </c>
      <c r="AX167" s="416">
        <v>0</v>
      </c>
      <c r="AY167" s="416">
        <v>0</v>
      </c>
      <c r="AZ167" s="416">
        <v>0</v>
      </c>
      <c r="BA167" s="416">
        <v>0</v>
      </c>
      <c r="BB167" s="416">
        <v>0</v>
      </c>
      <c r="BC167" s="416">
        <v>0</v>
      </c>
      <c r="BD167" s="416">
        <v>0</v>
      </c>
      <c r="BE167" s="416">
        <v>0</v>
      </c>
      <c r="BF167" s="416">
        <v>0</v>
      </c>
      <c r="BG167" s="416">
        <v>0</v>
      </c>
      <c r="BH167" s="416">
        <v>0</v>
      </c>
      <c r="BI167" s="416">
        <v>0</v>
      </c>
      <c r="BJ167" s="416">
        <v>0</v>
      </c>
      <c r="BK167" s="416">
        <v>0</v>
      </c>
      <c r="BL167" s="416">
        <v>0</v>
      </c>
      <c r="BM167" s="416">
        <v>0</v>
      </c>
      <c r="BN167" s="416">
        <v>0</v>
      </c>
      <c r="BO167" s="416">
        <v>0</v>
      </c>
      <c r="BP167" s="416">
        <v>0</v>
      </c>
      <c r="BQ167" s="416">
        <v>0</v>
      </c>
      <c r="BR167" s="416">
        <v>0</v>
      </c>
      <c r="BS167" s="416">
        <v>0</v>
      </c>
      <c r="BT167" s="416">
        <v>0</v>
      </c>
      <c r="BU167" s="416">
        <v>0</v>
      </c>
      <c r="BV167" s="416">
        <v>0</v>
      </c>
      <c r="BW167" s="416">
        <v>0</v>
      </c>
      <c r="BX167" s="416">
        <v>0</v>
      </c>
      <c r="BY167" s="416">
        <v>0</v>
      </c>
      <c r="BZ167" s="416">
        <v>0</v>
      </c>
      <c r="CC167" s="21"/>
      <c r="CD167" s="426" t="s">
        <v>291</v>
      </c>
      <c r="CE167" s="433">
        <f t="shared" si="30"/>
        <v>0</v>
      </c>
      <c r="CF167" s="433">
        <f t="shared" si="31"/>
        <v>0</v>
      </c>
      <c r="CG167" s="433">
        <f t="shared" si="32"/>
        <v>0</v>
      </c>
      <c r="CH167" s="433">
        <f t="shared" si="33"/>
        <v>0</v>
      </c>
      <c r="CI167" s="433">
        <f t="shared" si="34"/>
        <v>0</v>
      </c>
      <c r="CJ167" s="433">
        <f t="shared" si="35"/>
        <v>0</v>
      </c>
      <c r="CK167" s="433">
        <f t="shared" si="36"/>
        <v>0</v>
      </c>
      <c r="CL167" s="433">
        <f t="shared" si="37"/>
        <v>0</v>
      </c>
      <c r="CM167" s="433">
        <f t="shared" si="38"/>
        <v>0</v>
      </c>
      <c r="CN167" s="433">
        <f t="shared" si="39"/>
        <v>0</v>
      </c>
      <c r="CO167" s="433">
        <f t="shared" si="40"/>
        <v>0</v>
      </c>
      <c r="CP167" s="433">
        <f t="shared" si="41"/>
        <v>0</v>
      </c>
      <c r="CQ167" s="433">
        <f t="shared" si="42"/>
        <v>0</v>
      </c>
      <c r="CR167" s="433">
        <f t="shared" si="43"/>
        <v>0</v>
      </c>
      <c r="CS167" s="433">
        <f t="shared" si="44"/>
        <v>0</v>
      </c>
      <c r="CT167" s="21"/>
    </row>
    <row r="168" spans="1:98" ht="24.75" hidden="1" customHeight="1" outlineLevel="2">
      <c r="C168" s="426" t="s">
        <v>292</v>
      </c>
      <c r="D168" s="416">
        <v>0</v>
      </c>
      <c r="E168" s="416">
        <v>0</v>
      </c>
      <c r="F168" s="416">
        <v>0</v>
      </c>
      <c r="G168" s="416">
        <v>0</v>
      </c>
      <c r="H168" s="427">
        <v>0</v>
      </c>
      <c r="I168" s="416">
        <v>0</v>
      </c>
      <c r="J168" s="416">
        <v>0</v>
      </c>
      <c r="K168" s="416">
        <v>0</v>
      </c>
      <c r="L168" s="416">
        <v>0</v>
      </c>
      <c r="M168" s="416">
        <v>0</v>
      </c>
      <c r="N168" s="416">
        <v>0</v>
      </c>
      <c r="O168" s="416">
        <v>0</v>
      </c>
      <c r="P168" s="416">
        <v>0</v>
      </c>
      <c r="Q168" s="416">
        <v>0</v>
      </c>
      <c r="R168" s="416">
        <v>0</v>
      </c>
      <c r="S168" s="416">
        <v>0</v>
      </c>
      <c r="T168" s="416">
        <v>0</v>
      </c>
      <c r="U168" s="416">
        <v>0</v>
      </c>
      <c r="V168" s="416">
        <v>0</v>
      </c>
      <c r="W168" s="416">
        <v>0</v>
      </c>
      <c r="X168" s="416">
        <v>0</v>
      </c>
      <c r="Y168" s="416">
        <v>0</v>
      </c>
      <c r="Z168" s="416">
        <v>0</v>
      </c>
      <c r="AA168" s="416">
        <v>0</v>
      </c>
      <c r="AB168" s="416">
        <v>0</v>
      </c>
      <c r="AC168" s="416">
        <v>0</v>
      </c>
      <c r="AD168" s="416">
        <v>0</v>
      </c>
      <c r="AE168" s="416">
        <v>0</v>
      </c>
      <c r="AF168" s="416">
        <v>0</v>
      </c>
      <c r="AG168" s="416">
        <v>0</v>
      </c>
      <c r="AH168" s="416">
        <v>0</v>
      </c>
      <c r="AI168" s="416">
        <v>0</v>
      </c>
      <c r="AJ168" s="416">
        <v>0</v>
      </c>
      <c r="AK168" s="416">
        <v>0</v>
      </c>
      <c r="AL168" s="416">
        <v>0</v>
      </c>
      <c r="AM168" s="416">
        <v>0</v>
      </c>
      <c r="AN168" s="416">
        <v>0</v>
      </c>
      <c r="AO168" s="416">
        <v>0</v>
      </c>
      <c r="AP168" s="416">
        <v>0</v>
      </c>
      <c r="AQ168" s="416">
        <v>0</v>
      </c>
      <c r="AR168" s="416">
        <v>0</v>
      </c>
      <c r="AS168" s="416">
        <v>0</v>
      </c>
      <c r="AT168" s="416">
        <v>0</v>
      </c>
      <c r="AU168" s="416">
        <v>0</v>
      </c>
      <c r="AV168" s="416">
        <v>0</v>
      </c>
      <c r="AW168" s="416">
        <v>0</v>
      </c>
      <c r="AX168" s="416">
        <v>0</v>
      </c>
      <c r="AY168" s="416">
        <v>0</v>
      </c>
      <c r="AZ168" s="416">
        <v>0</v>
      </c>
      <c r="BA168" s="416">
        <v>0</v>
      </c>
      <c r="BB168" s="416">
        <v>0</v>
      </c>
      <c r="BC168" s="416">
        <v>0</v>
      </c>
      <c r="BD168" s="416">
        <v>0</v>
      </c>
      <c r="BE168" s="416">
        <v>0</v>
      </c>
      <c r="BF168" s="416">
        <v>0</v>
      </c>
      <c r="BG168" s="416">
        <v>0</v>
      </c>
      <c r="BH168" s="416">
        <v>0</v>
      </c>
      <c r="BI168" s="416">
        <v>0</v>
      </c>
      <c r="BJ168" s="416">
        <v>0</v>
      </c>
      <c r="BK168" s="416">
        <v>0</v>
      </c>
      <c r="BL168" s="416">
        <v>0</v>
      </c>
      <c r="BM168" s="416">
        <v>0</v>
      </c>
      <c r="BN168" s="416">
        <v>0</v>
      </c>
      <c r="BO168" s="416">
        <v>0</v>
      </c>
      <c r="BP168" s="416">
        <v>0</v>
      </c>
      <c r="BQ168" s="416">
        <v>0</v>
      </c>
      <c r="BR168" s="416">
        <v>0</v>
      </c>
      <c r="BS168" s="416">
        <v>0</v>
      </c>
      <c r="BT168" s="416">
        <v>0</v>
      </c>
      <c r="BU168" s="416">
        <v>0</v>
      </c>
      <c r="BV168" s="416">
        <v>0</v>
      </c>
      <c r="BW168" s="416">
        <v>0</v>
      </c>
      <c r="BX168" s="416">
        <v>0</v>
      </c>
      <c r="BY168" s="416">
        <v>0</v>
      </c>
      <c r="BZ168" s="416">
        <v>0</v>
      </c>
      <c r="CC168" s="21"/>
      <c r="CD168" s="426" t="s">
        <v>292</v>
      </c>
      <c r="CE168" s="433">
        <f t="shared" si="30"/>
        <v>0</v>
      </c>
      <c r="CF168" s="433">
        <f t="shared" si="31"/>
        <v>0</v>
      </c>
      <c r="CG168" s="433">
        <f t="shared" si="32"/>
        <v>0</v>
      </c>
      <c r="CH168" s="433">
        <f t="shared" si="33"/>
        <v>0</v>
      </c>
      <c r="CI168" s="433">
        <f t="shared" si="34"/>
        <v>0</v>
      </c>
      <c r="CJ168" s="433">
        <f t="shared" si="35"/>
        <v>0</v>
      </c>
      <c r="CK168" s="433">
        <f t="shared" si="36"/>
        <v>0</v>
      </c>
      <c r="CL168" s="433">
        <f t="shared" si="37"/>
        <v>0</v>
      </c>
      <c r="CM168" s="433">
        <f t="shared" si="38"/>
        <v>0</v>
      </c>
      <c r="CN168" s="433">
        <f t="shared" si="39"/>
        <v>0</v>
      </c>
      <c r="CO168" s="433">
        <f t="shared" si="40"/>
        <v>0</v>
      </c>
      <c r="CP168" s="433">
        <f t="shared" si="41"/>
        <v>0</v>
      </c>
      <c r="CQ168" s="433">
        <f t="shared" si="42"/>
        <v>0</v>
      </c>
      <c r="CR168" s="433">
        <f t="shared" si="43"/>
        <v>0</v>
      </c>
      <c r="CS168" s="433">
        <f t="shared" si="44"/>
        <v>0</v>
      </c>
      <c r="CT168" s="21"/>
    </row>
    <row r="169" spans="1:98" ht="24.75" hidden="1" customHeight="1" outlineLevel="2">
      <c r="C169" s="426" t="s">
        <v>293</v>
      </c>
      <c r="D169" s="416">
        <v>0</v>
      </c>
      <c r="E169" s="416">
        <v>0</v>
      </c>
      <c r="F169" s="416">
        <v>0</v>
      </c>
      <c r="G169" s="416">
        <v>0</v>
      </c>
      <c r="H169" s="427">
        <v>0</v>
      </c>
      <c r="I169" s="416">
        <v>0</v>
      </c>
      <c r="J169" s="416">
        <v>0</v>
      </c>
      <c r="K169" s="416">
        <v>0</v>
      </c>
      <c r="L169" s="416">
        <v>0</v>
      </c>
      <c r="M169" s="416">
        <v>0</v>
      </c>
      <c r="N169" s="416">
        <v>0</v>
      </c>
      <c r="O169" s="416">
        <v>0</v>
      </c>
      <c r="P169" s="416">
        <v>0</v>
      </c>
      <c r="Q169" s="416">
        <v>0</v>
      </c>
      <c r="R169" s="416">
        <v>0</v>
      </c>
      <c r="S169" s="416">
        <v>0</v>
      </c>
      <c r="T169" s="416">
        <v>0</v>
      </c>
      <c r="U169" s="416">
        <v>0</v>
      </c>
      <c r="V169" s="416">
        <v>0</v>
      </c>
      <c r="W169" s="416">
        <v>0</v>
      </c>
      <c r="X169" s="416">
        <v>0</v>
      </c>
      <c r="Y169" s="416">
        <v>0</v>
      </c>
      <c r="Z169" s="416">
        <v>0</v>
      </c>
      <c r="AA169" s="416">
        <v>0</v>
      </c>
      <c r="AB169" s="416">
        <v>0</v>
      </c>
      <c r="AC169" s="416">
        <v>0</v>
      </c>
      <c r="AD169" s="416">
        <v>0</v>
      </c>
      <c r="AE169" s="416">
        <v>0</v>
      </c>
      <c r="AF169" s="416">
        <v>0</v>
      </c>
      <c r="AG169" s="416">
        <v>0</v>
      </c>
      <c r="AH169" s="416">
        <v>0</v>
      </c>
      <c r="AI169" s="416">
        <v>0</v>
      </c>
      <c r="AJ169" s="416">
        <v>0</v>
      </c>
      <c r="AK169" s="416">
        <v>0</v>
      </c>
      <c r="AL169" s="416">
        <v>0</v>
      </c>
      <c r="AM169" s="416">
        <v>0</v>
      </c>
      <c r="AN169" s="416">
        <v>0</v>
      </c>
      <c r="AO169" s="416">
        <v>0</v>
      </c>
      <c r="AP169" s="416">
        <v>0</v>
      </c>
      <c r="AQ169" s="416">
        <v>0</v>
      </c>
      <c r="AR169" s="416">
        <v>0</v>
      </c>
      <c r="AS169" s="416">
        <v>0</v>
      </c>
      <c r="AT169" s="416">
        <v>0</v>
      </c>
      <c r="AU169" s="416">
        <v>0</v>
      </c>
      <c r="AV169" s="416">
        <v>0</v>
      </c>
      <c r="AW169" s="416">
        <v>0</v>
      </c>
      <c r="AX169" s="416">
        <v>0</v>
      </c>
      <c r="AY169" s="416">
        <v>0</v>
      </c>
      <c r="AZ169" s="416">
        <v>0</v>
      </c>
      <c r="BA169" s="416">
        <v>0</v>
      </c>
      <c r="BB169" s="416">
        <v>0</v>
      </c>
      <c r="BC169" s="416">
        <v>0</v>
      </c>
      <c r="BD169" s="416">
        <v>0</v>
      </c>
      <c r="BE169" s="416">
        <v>0</v>
      </c>
      <c r="BF169" s="416">
        <v>0</v>
      </c>
      <c r="BG169" s="416">
        <v>0</v>
      </c>
      <c r="BH169" s="416">
        <v>0</v>
      </c>
      <c r="BI169" s="416">
        <v>0</v>
      </c>
      <c r="BJ169" s="416">
        <v>0</v>
      </c>
      <c r="BK169" s="416">
        <v>0</v>
      </c>
      <c r="BL169" s="416">
        <v>0</v>
      </c>
      <c r="BM169" s="416">
        <v>0</v>
      </c>
      <c r="BN169" s="416">
        <v>0</v>
      </c>
      <c r="BO169" s="416">
        <v>0</v>
      </c>
      <c r="BP169" s="416">
        <v>0</v>
      </c>
      <c r="BQ169" s="416">
        <v>0</v>
      </c>
      <c r="BR169" s="416">
        <v>0</v>
      </c>
      <c r="BS169" s="416">
        <v>0</v>
      </c>
      <c r="BT169" s="416">
        <v>0</v>
      </c>
      <c r="BU169" s="416">
        <v>0</v>
      </c>
      <c r="BV169" s="416">
        <v>0</v>
      </c>
      <c r="BW169" s="416">
        <v>0</v>
      </c>
      <c r="BX169" s="416">
        <v>0</v>
      </c>
      <c r="BY169" s="416">
        <v>0</v>
      </c>
      <c r="BZ169" s="416">
        <v>0</v>
      </c>
      <c r="CC169" s="21"/>
      <c r="CD169" s="426" t="s">
        <v>293</v>
      </c>
      <c r="CE169" s="433">
        <f t="shared" si="30"/>
        <v>0</v>
      </c>
      <c r="CF169" s="433">
        <f t="shared" si="31"/>
        <v>0</v>
      </c>
      <c r="CG169" s="433">
        <f t="shared" si="32"/>
        <v>0</v>
      </c>
      <c r="CH169" s="433">
        <f t="shared" si="33"/>
        <v>0</v>
      </c>
      <c r="CI169" s="433">
        <f t="shared" si="34"/>
        <v>0</v>
      </c>
      <c r="CJ169" s="433">
        <f t="shared" si="35"/>
        <v>0</v>
      </c>
      <c r="CK169" s="433">
        <f t="shared" si="36"/>
        <v>0</v>
      </c>
      <c r="CL169" s="433">
        <f t="shared" si="37"/>
        <v>0</v>
      </c>
      <c r="CM169" s="433">
        <f t="shared" si="38"/>
        <v>0</v>
      </c>
      <c r="CN169" s="433">
        <f t="shared" si="39"/>
        <v>0</v>
      </c>
      <c r="CO169" s="433">
        <f t="shared" si="40"/>
        <v>0</v>
      </c>
      <c r="CP169" s="433">
        <f t="shared" si="41"/>
        <v>0</v>
      </c>
      <c r="CQ169" s="433">
        <f t="shared" si="42"/>
        <v>0</v>
      </c>
      <c r="CR169" s="433">
        <f t="shared" si="43"/>
        <v>0</v>
      </c>
      <c r="CS169" s="433">
        <f t="shared" si="44"/>
        <v>0</v>
      </c>
      <c r="CT169" s="21"/>
    </row>
    <row r="170" spans="1:98" ht="24.75" hidden="1" customHeight="1" outlineLevel="3" collapsed="1">
      <c r="C170" s="437" t="s">
        <v>295</v>
      </c>
      <c r="D170" s="416">
        <v>0</v>
      </c>
      <c r="E170" s="416">
        <v>0</v>
      </c>
      <c r="F170" s="416">
        <v>0</v>
      </c>
      <c r="G170" s="416">
        <v>0</v>
      </c>
      <c r="H170" s="427">
        <v>0</v>
      </c>
      <c r="I170" s="416">
        <v>0</v>
      </c>
      <c r="J170" s="416">
        <v>0</v>
      </c>
      <c r="K170" s="416">
        <v>0</v>
      </c>
      <c r="L170" s="416">
        <v>0</v>
      </c>
      <c r="M170" s="416">
        <v>0</v>
      </c>
      <c r="N170" s="416">
        <v>0</v>
      </c>
      <c r="O170" s="416">
        <v>0</v>
      </c>
      <c r="P170" s="416">
        <v>0</v>
      </c>
      <c r="Q170" s="416">
        <v>0</v>
      </c>
      <c r="R170" s="416">
        <v>0</v>
      </c>
      <c r="S170" s="416">
        <v>0</v>
      </c>
      <c r="T170" s="416">
        <v>0</v>
      </c>
      <c r="U170" s="416">
        <v>0</v>
      </c>
      <c r="V170" s="416">
        <v>0</v>
      </c>
      <c r="W170" s="416">
        <v>0</v>
      </c>
      <c r="X170" s="416">
        <v>0</v>
      </c>
      <c r="Y170" s="416">
        <v>0</v>
      </c>
      <c r="Z170" s="416">
        <v>0</v>
      </c>
      <c r="AA170" s="416">
        <v>0</v>
      </c>
      <c r="AB170" s="416">
        <v>0</v>
      </c>
      <c r="AC170" s="416">
        <v>0</v>
      </c>
      <c r="AD170" s="416">
        <v>0</v>
      </c>
      <c r="AE170" s="416">
        <v>0</v>
      </c>
      <c r="AF170" s="416">
        <v>0</v>
      </c>
      <c r="AG170" s="416">
        <v>0</v>
      </c>
      <c r="AH170" s="416">
        <v>0</v>
      </c>
      <c r="AI170" s="416">
        <v>0</v>
      </c>
      <c r="AJ170" s="416">
        <v>0</v>
      </c>
      <c r="AK170" s="416">
        <v>0</v>
      </c>
      <c r="AL170" s="416">
        <v>0</v>
      </c>
      <c r="AM170" s="416">
        <v>0</v>
      </c>
      <c r="AN170" s="416">
        <v>0</v>
      </c>
      <c r="AO170" s="416">
        <v>0</v>
      </c>
      <c r="AP170" s="416">
        <v>0</v>
      </c>
      <c r="AQ170" s="416">
        <v>0</v>
      </c>
      <c r="AR170" s="416">
        <v>0</v>
      </c>
      <c r="AS170" s="416">
        <v>0</v>
      </c>
      <c r="AT170" s="416">
        <v>0</v>
      </c>
      <c r="AU170" s="416">
        <v>0</v>
      </c>
      <c r="AV170" s="416">
        <v>0</v>
      </c>
      <c r="AW170" s="416">
        <v>0</v>
      </c>
      <c r="AX170" s="416">
        <v>0</v>
      </c>
      <c r="AY170" s="416">
        <v>0</v>
      </c>
      <c r="AZ170" s="416">
        <v>0</v>
      </c>
      <c r="BA170" s="416">
        <v>0</v>
      </c>
      <c r="BB170" s="416">
        <v>0</v>
      </c>
      <c r="BC170" s="416">
        <v>0</v>
      </c>
      <c r="BD170" s="416">
        <v>0</v>
      </c>
      <c r="BE170" s="416">
        <v>0</v>
      </c>
      <c r="BF170" s="416">
        <v>2.726</v>
      </c>
      <c r="BG170" s="416">
        <v>0</v>
      </c>
      <c r="BH170" s="416">
        <v>0</v>
      </c>
      <c r="BI170" s="416">
        <v>0</v>
      </c>
      <c r="BJ170" s="416">
        <v>5.8049999999999997</v>
      </c>
      <c r="BK170" s="416">
        <v>5.8049999999999997</v>
      </c>
      <c r="BL170" s="416">
        <v>244.291</v>
      </c>
      <c r="BM170" s="416">
        <v>3.613</v>
      </c>
      <c r="BN170" s="416">
        <v>4.7370000000000001</v>
      </c>
      <c r="BO170" s="416">
        <v>4.5529999999999999</v>
      </c>
      <c r="BP170" s="416">
        <v>4.5529999999999999</v>
      </c>
      <c r="BQ170" s="416">
        <v>3.8159999999999998</v>
      </c>
      <c r="BR170" s="416">
        <v>9.6519999999999992</v>
      </c>
      <c r="BS170" s="416">
        <v>8.4949999999999992</v>
      </c>
      <c r="BT170" s="416">
        <v>5.5339999999999998</v>
      </c>
      <c r="BU170" s="416">
        <v>5.5339999999999998</v>
      </c>
      <c r="BV170" s="416">
        <v>5.4320000000000004</v>
      </c>
      <c r="BW170" s="416">
        <v>2.84</v>
      </c>
      <c r="BX170" s="416">
        <v>14.663</v>
      </c>
      <c r="BY170" s="416">
        <v>0</v>
      </c>
      <c r="BZ170" s="416">
        <v>0</v>
      </c>
      <c r="CC170" s="21"/>
      <c r="CD170" s="437" t="s">
        <v>295</v>
      </c>
      <c r="CE170" s="433">
        <f t="shared" si="30"/>
        <v>0</v>
      </c>
      <c r="CF170" s="433">
        <f t="shared" si="31"/>
        <v>0</v>
      </c>
      <c r="CG170" s="433">
        <f t="shared" si="32"/>
        <v>0</v>
      </c>
      <c r="CH170" s="433">
        <f t="shared" si="33"/>
        <v>0</v>
      </c>
      <c r="CI170" s="433">
        <f t="shared" si="34"/>
        <v>0</v>
      </c>
      <c r="CJ170" s="433">
        <f t="shared" si="35"/>
        <v>0</v>
      </c>
      <c r="CK170" s="433">
        <f t="shared" si="36"/>
        <v>0</v>
      </c>
      <c r="CL170" s="433">
        <f t="shared" si="37"/>
        <v>0</v>
      </c>
      <c r="CM170" s="433">
        <f t="shared" si="38"/>
        <v>0</v>
      </c>
      <c r="CN170" s="433">
        <f t="shared" si="39"/>
        <v>0</v>
      </c>
      <c r="CO170" s="433">
        <f t="shared" si="40"/>
        <v>2.726</v>
      </c>
      <c r="CP170" s="433">
        <f t="shared" si="41"/>
        <v>5.8049999999999997</v>
      </c>
      <c r="CQ170" s="433">
        <f t="shared" si="42"/>
        <v>4.5529999999999999</v>
      </c>
      <c r="CR170" s="433">
        <f t="shared" si="43"/>
        <v>5.5339999999999998</v>
      </c>
      <c r="CS170" s="433">
        <f t="shared" si="44"/>
        <v>0</v>
      </c>
      <c r="CT170" s="21"/>
    </row>
    <row r="171" spans="1:98" ht="24.75" hidden="1" customHeight="1" outlineLevel="3">
      <c r="C171" s="437" t="s">
        <v>296</v>
      </c>
      <c r="D171" s="416">
        <v>0</v>
      </c>
      <c r="E171" s="416">
        <v>0</v>
      </c>
      <c r="F171" s="416">
        <v>0</v>
      </c>
      <c r="G171" s="416">
        <v>0</v>
      </c>
      <c r="H171" s="416">
        <v>0</v>
      </c>
      <c r="I171" s="416">
        <v>0</v>
      </c>
      <c r="J171" s="416">
        <v>0</v>
      </c>
      <c r="K171" s="416">
        <v>0</v>
      </c>
      <c r="L171" s="416">
        <v>0</v>
      </c>
      <c r="M171" s="416">
        <v>0</v>
      </c>
      <c r="N171" s="416">
        <v>0</v>
      </c>
      <c r="O171" s="416">
        <v>0</v>
      </c>
      <c r="P171" s="416">
        <v>0</v>
      </c>
      <c r="Q171" s="416">
        <v>0</v>
      </c>
      <c r="R171" s="416">
        <v>0</v>
      </c>
      <c r="S171" s="416">
        <v>0</v>
      </c>
      <c r="T171" s="416">
        <v>0</v>
      </c>
      <c r="U171" s="416">
        <v>0</v>
      </c>
      <c r="V171" s="416">
        <v>0</v>
      </c>
      <c r="W171" s="416">
        <v>0</v>
      </c>
      <c r="X171" s="416">
        <v>0</v>
      </c>
      <c r="Y171" s="416">
        <v>0</v>
      </c>
      <c r="Z171" s="416">
        <v>0</v>
      </c>
      <c r="AA171" s="416">
        <v>0</v>
      </c>
      <c r="AB171" s="416">
        <v>0</v>
      </c>
      <c r="AC171" s="416">
        <v>0</v>
      </c>
      <c r="AD171" s="416">
        <v>0</v>
      </c>
      <c r="AE171" s="416">
        <v>0</v>
      </c>
      <c r="AF171" s="416">
        <v>0</v>
      </c>
      <c r="AG171" s="416">
        <v>0</v>
      </c>
      <c r="AH171" s="416">
        <v>0</v>
      </c>
      <c r="AI171" s="416">
        <v>0</v>
      </c>
      <c r="AJ171" s="416">
        <v>0</v>
      </c>
      <c r="AK171" s="416">
        <v>0</v>
      </c>
      <c r="AL171" s="416">
        <v>0</v>
      </c>
      <c r="AM171" s="416">
        <v>0</v>
      </c>
      <c r="AN171" s="416">
        <v>0</v>
      </c>
      <c r="AO171" s="416">
        <v>0</v>
      </c>
      <c r="AP171" s="416">
        <v>0</v>
      </c>
      <c r="AQ171" s="416">
        <v>0</v>
      </c>
      <c r="AR171" s="416">
        <v>0</v>
      </c>
      <c r="AS171" s="416">
        <v>0</v>
      </c>
      <c r="AT171" s="416">
        <v>0</v>
      </c>
      <c r="AU171" s="416">
        <v>0</v>
      </c>
      <c r="AV171" s="416">
        <v>0</v>
      </c>
      <c r="AW171" s="416">
        <v>0</v>
      </c>
      <c r="AX171" s="416">
        <v>0</v>
      </c>
      <c r="AY171" s="416">
        <v>0</v>
      </c>
      <c r="AZ171" s="416">
        <v>0</v>
      </c>
      <c r="BA171" s="416">
        <v>0</v>
      </c>
      <c r="BB171" s="416">
        <v>0</v>
      </c>
      <c r="BC171" s="416">
        <v>0</v>
      </c>
      <c r="BD171" s="416">
        <v>0</v>
      </c>
      <c r="BE171" s="416">
        <v>0</v>
      </c>
      <c r="BF171" s="416">
        <v>0</v>
      </c>
      <c r="BG171" s="416">
        <v>0</v>
      </c>
      <c r="BH171" s="416">
        <v>0</v>
      </c>
      <c r="BI171" s="416">
        <v>0</v>
      </c>
      <c r="BJ171" s="416">
        <v>0</v>
      </c>
      <c r="BK171" s="416">
        <v>0</v>
      </c>
      <c r="BL171" s="416">
        <v>0</v>
      </c>
      <c r="BM171" s="416">
        <v>0</v>
      </c>
      <c r="BN171" s="416">
        <v>0</v>
      </c>
      <c r="BO171" s="416">
        <v>0</v>
      </c>
      <c r="BP171" s="416">
        <v>0</v>
      </c>
      <c r="BQ171" s="416">
        <v>0</v>
      </c>
      <c r="BR171" s="416">
        <v>0</v>
      </c>
      <c r="BS171" s="416">
        <v>0</v>
      </c>
      <c r="BT171" s="416">
        <v>0</v>
      </c>
      <c r="BU171" s="416">
        <v>0</v>
      </c>
      <c r="BV171" s="416">
        <v>0</v>
      </c>
      <c r="BW171" s="416">
        <v>0</v>
      </c>
      <c r="BX171" s="416">
        <v>0</v>
      </c>
      <c r="BY171" s="416">
        <v>0</v>
      </c>
      <c r="BZ171" s="416">
        <v>0</v>
      </c>
      <c r="CC171" s="21"/>
      <c r="CD171" s="437" t="s">
        <v>296</v>
      </c>
      <c r="CE171" s="433">
        <f t="shared" si="30"/>
        <v>0</v>
      </c>
      <c r="CF171" s="433">
        <f t="shared" si="31"/>
        <v>0</v>
      </c>
      <c r="CG171" s="433">
        <f t="shared" si="32"/>
        <v>0</v>
      </c>
      <c r="CH171" s="433">
        <f t="shared" si="33"/>
        <v>0</v>
      </c>
      <c r="CI171" s="433">
        <f t="shared" si="34"/>
        <v>0</v>
      </c>
      <c r="CJ171" s="433">
        <f t="shared" si="35"/>
        <v>0</v>
      </c>
      <c r="CK171" s="433">
        <f t="shared" si="36"/>
        <v>0</v>
      </c>
      <c r="CL171" s="433">
        <f t="shared" si="37"/>
        <v>0</v>
      </c>
      <c r="CM171" s="433">
        <f t="shared" si="38"/>
        <v>0</v>
      </c>
      <c r="CN171" s="433">
        <f t="shared" si="39"/>
        <v>0</v>
      </c>
      <c r="CO171" s="433">
        <f t="shared" si="40"/>
        <v>0</v>
      </c>
      <c r="CP171" s="433">
        <f t="shared" si="41"/>
        <v>0</v>
      </c>
      <c r="CQ171" s="433">
        <f t="shared" si="42"/>
        <v>0</v>
      </c>
      <c r="CR171" s="433">
        <f t="shared" si="43"/>
        <v>0</v>
      </c>
      <c r="CS171" s="433">
        <f t="shared" si="44"/>
        <v>0</v>
      </c>
      <c r="CT171" s="21"/>
    </row>
    <row r="172" spans="1:98" ht="24.75" hidden="1" customHeight="1" outlineLevel="2">
      <c r="C172" s="426" t="s">
        <v>294</v>
      </c>
      <c r="D172" s="416">
        <v>0</v>
      </c>
      <c r="E172" s="416">
        <v>0</v>
      </c>
      <c r="F172" s="416">
        <v>0</v>
      </c>
      <c r="G172" s="416">
        <v>0</v>
      </c>
      <c r="H172" s="416">
        <v>0</v>
      </c>
      <c r="I172" s="416">
        <v>0</v>
      </c>
      <c r="J172" s="416">
        <v>0</v>
      </c>
      <c r="K172" s="416">
        <v>0</v>
      </c>
      <c r="L172" s="416">
        <v>0</v>
      </c>
      <c r="M172" s="416">
        <v>0</v>
      </c>
      <c r="N172" s="416">
        <v>0</v>
      </c>
      <c r="O172" s="416">
        <v>0</v>
      </c>
      <c r="P172" s="416">
        <v>0</v>
      </c>
      <c r="Q172" s="416">
        <v>0</v>
      </c>
      <c r="R172" s="416">
        <v>0</v>
      </c>
      <c r="S172" s="416">
        <v>0</v>
      </c>
      <c r="T172" s="416">
        <v>0</v>
      </c>
      <c r="U172" s="416">
        <v>0</v>
      </c>
      <c r="V172" s="416">
        <v>0</v>
      </c>
      <c r="W172" s="416">
        <v>0</v>
      </c>
      <c r="X172" s="416">
        <v>0</v>
      </c>
      <c r="Y172" s="416">
        <v>0</v>
      </c>
      <c r="Z172" s="416">
        <v>0</v>
      </c>
      <c r="AA172" s="416">
        <v>0</v>
      </c>
      <c r="AB172" s="416">
        <v>0</v>
      </c>
      <c r="AC172" s="416">
        <v>0</v>
      </c>
      <c r="AD172" s="416">
        <v>0</v>
      </c>
      <c r="AE172" s="416">
        <v>0</v>
      </c>
      <c r="AF172" s="416">
        <v>0</v>
      </c>
      <c r="AG172" s="416">
        <v>0</v>
      </c>
      <c r="AH172" s="416">
        <v>0</v>
      </c>
      <c r="AI172" s="416">
        <v>0</v>
      </c>
      <c r="AJ172" s="416">
        <v>0</v>
      </c>
      <c r="AK172" s="416">
        <v>0</v>
      </c>
      <c r="AL172" s="416">
        <v>0</v>
      </c>
      <c r="AM172" s="416">
        <v>0</v>
      </c>
      <c r="AN172" s="416">
        <v>0</v>
      </c>
      <c r="AO172" s="416">
        <v>0</v>
      </c>
      <c r="AP172" s="416">
        <v>0</v>
      </c>
      <c r="AQ172" s="416">
        <v>0</v>
      </c>
      <c r="AR172" s="416">
        <v>0</v>
      </c>
      <c r="AS172" s="416">
        <v>0</v>
      </c>
      <c r="AT172" s="416">
        <v>0</v>
      </c>
      <c r="AU172" s="416">
        <v>0</v>
      </c>
      <c r="AV172" s="416">
        <v>0</v>
      </c>
      <c r="AW172" s="416">
        <v>0</v>
      </c>
      <c r="AX172" s="416">
        <v>0</v>
      </c>
      <c r="AY172" s="416">
        <v>0</v>
      </c>
      <c r="AZ172" s="416">
        <v>0</v>
      </c>
      <c r="BA172" s="416">
        <v>0</v>
      </c>
      <c r="BB172" s="416">
        <v>0</v>
      </c>
      <c r="BC172" s="416">
        <v>0</v>
      </c>
      <c r="BD172" s="416">
        <v>0</v>
      </c>
      <c r="BE172" s="416">
        <v>0</v>
      </c>
      <c r="BF172" s="416">
        <v>2.726</v>
      </c>
      <c r="BG172" s="416">
        <v>0</v>
      </c>
      <c r="BH172" s="416">
        <v>0</v>
      </c>
      <c r="BI172" s="416">
        <v>0</v>
      </c>
      <c r="BJ172" s="416">
        <v>5.8049999999999997</v>
      </c>
      <c r="BK172" s="416">
        <v>5.8049999999999997</v>
      </c>
      <c r="BL172" s="416">
        <v>244.291</v>
      </c>
      <c r="BM172" s="416">
        <v>3.613</v>
      </c>
      <c r="BN172" s="416">
        <v>4.7370000000000001</v>
      </c>
      <c r="BO172" s="416">
        <v>4.5529999999999999</v>
      </c>
      <c r="BP172" s="416">
        <v>4.5529999999999999</v>
      </c>
      <c r="BQ172" s="416">
        <v>3.8159999999999998</v>
      </c>
      <c r="BR172" s="416">
        <v>9.6519999999999992</v>
      </c>
      <c r="BS172" s="416">
        <v>8.4949999999999992</v>
      </c>
      <c r="BT172" s="416">
        <v>5.5339999999999998</v>
      </c>
      <c r="BU172" s="416">
        <v>5.5339999999999998</v>
      </c>
      <c r="BV172" s="416">
        <v>5.4320000000000004</v>
      </c>
      <c r="BW172" s="416">
        <v>2.84</v>
      </c>
      <c r="BX172" s="416">
        <v>14.663</v>
      </c>
      <c r="BY172" s="416">
        <v>0</v>
      </c>
      <c r="BZ172" s="416">
        <v>0</v>
      </c>
      <c r="CC172" s="21"/>
      <c r="CD172" s="426" t="s">
        <v>294</v>
      </c>
      <c r="CE172" s="433">
        <f t="shared" si="30"/>
        <v>0</v>
      </c>
      <c r="CF172" s="433">
        <f t="shared" si="31"/>
        <v>0</v>
      </c>
      <c r="CG172" s="433">
        <f t="shared" si="32"/>
        <v>0</v>
      </c>
      <c r="CH172" s="433">
        <f t="shared" si="33"/>
        <v>0</v>
      </c>
      <c r="CI172" s="433">
        <f t="shared" si="34"/>
        <v>0</v>
      </c>
      <c r="CJ172" s="433">
        <f t="shared" si="35"/>
        <v>0</v>
      </c>
      <c r="CK172" s="433">
        <f t="shared" si="36"/>
        <v>0</v>
      </c>
      <c r="CL172" s="433">
        <f t="shared" si="37"/>
        <v>0</v>
      </c>
      <c r="CM172" s="433">
        <f t="shared" si="38"/>
        <v>0</v>
      </c>
      <c r="CN172" s="433">
        <f t="shared" si="39"/>
        <v>0</v>
      </c>
      <c r="CO172" s="433">
        <f t="shared" si="40"/>
        <v>2.726</v>
      </c>
      <c r="CP172" s="433">
        <f t="shared" si="41"/>
        <v>5.8049999999999997</v>
      </c>
      <c r="CQ172" s="433">
        <f t="shared" si="42"/>
        <v>4.5529999999999999</v>
      </c>
      <c r="CR172" s="433">
        <f t="shared" si="43"/>
        <v>5.5339999999999998</v>
      </c>
      <c r="CS172" s="433">
        <f t="shared" si="44"/>
        <v>0</v>
      </c>
      <c r="CT172" s="21"/>
    </row>
    <row r="173" spans="1:98" hidden="1" outlineLevel="2">
      <c r="C173" s="426" t="s">
        <v>297</v>
      </c>
      <c r="D173" s="416">
        <v>0</v>
      </c>
      <c r="E173" s="416">
        <v>0</v>
      </c>
      <c r="F173" s="416">
        <v>0</v>
      </c>
      <c r="G173" s="416">
        <v>0</v>
      </c>
      <c r="H173" s="416">
        <v>0</v>
      </c>
      <c r="I173" s="416">
        <v>0</v>
      </c>
      <c r="J173" s="416">
        <v>0</v>
      </c>
      <c r="K173" s="416">
        <v>0</v>
      </c>
      <c r="L173" s="416">
        <v>0</v>
      </c>
      <c r="M173" s="416">
        <v>0</v>
      </c>
      <c r="N173" s="416">
        <v>0</v>
      </c>
      <c r="O173" s="416">
        <v>0</v>
      </c>
      <c r="P173" s="416">
        <v>0</v>
      </c>
      <c r="Q173" s="416">
        <v>0</v>
      </c>
      <c r="R173" s="416">
        <v>0</v>
      </c>
      <c r="S173" s="416">
        <v>0</v>
      </c>
      <c r="T173" s="416">
        <v>0</v>
      </c>
      <c r="U173" s="416">
        <v>0</v>
      </c>
      <c r="V173" s="416">
        <v>0</v>
      </c>
      <c r="W173" s="416">
        <v>0</v>
      </c>
      <c r="X173" s="416">
        <v>0</v>
      </c>
      <c r="Y173" s="416">
        <v>0</v>
      </c>
      <c r="Z173" s="416">
        <v>0</v>
      </c>
      <c r="AA173" s="416">
        <v>0</v>
      </c>
      <c r="AB173" s="416">
        <v>0</v>
      </c>
      <c r="AC173" s="416">
        <v>0</v>
      </c>
      <c r="AD173" s="416">
        <v>0</v>
      </c>
      <c r="AE173" s="416">
        <v>0</v>
      </c>
      <c r="AF173" s="416">
        <v>0</v>
      </c>
      <c r="AG173" s="416">
        <v>0</v>
      </c>
      <c r="AH173" s="416">
        <v>0</v>
      </c>
      <c r="AI173" s="416">
        <v>0</v>
      </c>
      <c r="AJ173" s="416">
        <v>0</v>
      </c>
      <c r="AK173" s="416">
        <v>0</v>
      </c>
      <c r="AL173" s="416">
        <v>0</v>
      </c>
      <c r="AM173" s="416">
        <v>0</v>
      </c>
      <c r="AN173" s="416">
        <v>0</v>
      </c>
      <c r="AO173" s="416">
        <v>0</v>
      </c>
      <c r="AP173" s="416">
        <v>0</v>
      </c>
      <c r="AQ173" s="416">
        <v>0</v>
      </c>
      <c r="AR173" s="416">
        <v>0</v>
      </c>
      <c r="AS173" s="416">
        <v>0</v>
      </c>
      <c r="AT173" s="416">
        <v>0</v>
      </c>
      <c r="AU173" s="416">
        <v>0</v>
      </c>
      <c r="AV173" s="416">
        <v>0</v>
      </c>
      <c r="AW173" s="416">
        <v>0</v>
      </c>
      <c r="AX173" s="416">
        <v>0</v>
      </c>
      <c r="AY173" s="416">
        <v>0</v>
      </c>
      <c r="AZ173" s="416">
        <v>0</v>
      </c>
      <c r="BA173" s="416">
        <v>0</v>
      </c>
      <c r="BB173" s="416">
        <v>0</v>
      </c>
      <c r="BC173" s="416">
        <v>0</v>
      </c>
      <c r="BD173" s="416">
        <v>0</v>
      </c>
      <c r="BE173" s="416">
        <v>0</v>
      </c>
      <c r="BF173" s="416">
        <v>1.1319999999999999</v>
      </c>
      <c r="BG173" s="416">
        <v>0</v>
      </c>
      <c r="BH173" s="416">
        <v>0</v>
      </c>
      <c r="BI173" s="416">
        <v>0</v>
      </c>
      <c r="BJ173" s="416">
        <v>25.588000000000001</v>
      </c>
      <c r="BK173" s="416">
        <v>25.588000000000001</v>
      </c>
      <c r="BL173" s="416">
        <v>12.882999999999999</v>
      </c>
      <c r="BM173" s="416">
        <v>41.529000000000003</v>
      </c>
      <c r="BN173" s="416">
        <v>31.768000000000001</v>
      </c>
      <c r="BO173" s="416">
        <v>72.822999999999993</v>
      </c>
      <c r="BP173" s="416">
        <v>72.822999999999993</v>
      </c>
      <c r="BQ173" s="416">
        <v>87.677000000000007</v>
      </c>
      <c r="BR173" s="416">
        <v>82.795000000000002</v>
      </c>
      <c r="BS173" s="416">
        <v>63.781999999999996</v>
      </c>
      <c r="BT173" s="416">
        <v>112.52</v>
      </c>
      <c r="BU173" s="416">
        <v>112.52</v>
      </c>
      <c r="BV173" s="416">
        <v>66.679000000000002</v>
      </c>
      <c r="BW173" s="416">
        <v>64.167000000000002</v>
      </c>
      <c r="BX173" s="416">
        <v>59.753</v>
      </c>
      <c r="BY173" s="416">
        <v>0</v>
      </c>
      <c r="BZ173" s="416">
        <v>0</v>
      </c>
      <c r="CC173" s="21"/>
      <c r="CD173" s="426" t="s">
        <v>297</v>
      </c>
      <c r="CE173" s="433">
        <f t="shared" si="30"/>
        <v>0</v>
      </c>
      <c r="CF173" s="433">
        <f t="shared" si="31"/>
        <v>0</v>
      </c>
      <c r="CG173" s="433">
        <f t="shared" si="32"/>
        <v>0</v>
      </c>
      <c r="CH173" s="433">
        <f t="shared" si="33"/>
        <v>0</v>
      </c>
      <c r="CI173" s="433">
        <f t="shared" si="34"/>
        <v>0</v>
      </c>
      <c r="CJ173" s="433">
        <f t="shared" si="35"/>
        <v>0</v>
      </c>
      <c r="CK173" s="433">
        <f t="shared" si="36"/>
        <v>0</v>
      </c>
      <c r="CL173" s="433">
        <f t="shared" si="37"/>
        <v>0</v>
      </c>
      <c r="CM173" s="433">
        <f t="shared" si="38"/>
        <v>0</v>
      </c>
      <c r="CN173" s="433">
        <f t="shared" si="39"/>
        <v>0</v>
      </c>
      <c r="CO173" s="433">
        <f t="shared" si="40"/>
        <v>1.1319999999999999</v>
      </c>
      <c r="CP173" s="433">
        <f t="shared" si="41"/>
        <v>25.588000000000001</v>
      </c>
      <c r="CQ173" s="433">
        <f t="shared" si="42"/>
        <v>72.822999999999993</v>
      </c>
      <c r="CR173" s="433">
        <f t="shared" si="43"/>
        <v>112.52</v>
      </c>
      <c r="CS173" s="433">
        <f t="shared" si="44"/>
        <v>0</v>
      </c>
      <c r="CT173" s="21"/>
    </row>
    <row r="174" spans="1:98" hidden="1" outlineLevel="1">
      <c r="C174" s="424" t="s">
        <v>288</v>
      </c>
      <c r="D174" s="416">
        <v>0</v>
      </c>
      <c r="E174" s="416">
        <v>0</v>
      </c>
      <c r="F174" s="416">
        <v>0</v>
      </c>
      <c r="G174" s="416">
        <v>0</v>
      </c>
      <c r="H174" s="416">
        <v>0</v>
      </c>
      <c r="I174" s="416">
        <v>0</v>
      </c>
      <c r="J174" s="416">
        <v>0</v>
      </c>
      <c r="K174" s="416">
        <v>0</v>
      </c>
      <c r="L174" s="416">
        <v>0</v>
      </c>
      <c r="M174" s="416">
        <v>0</v>
      </c>
      <c r="N174" s="416">
        <v>0</v>
      </c>
      <c r="O174" s="416">
        <v>0</v>
      </c>
      <c r="P174" s="416">
        <v>0</v>
      </c>
      <c r="Q174" s="416">
        <v>0</v>
      </c>
      <c r="R174" s="416">
        <v>0</v>
      </c>
      <c r="S174" s="416">
        <v>0</v>
      </c>
      <c r="T174" s="416">
        <v>0</v>
      </c>
      <c r="U174" s="416">
        <v>0</v>
      </c>
      <c r="V174" s="416">
        <v>0</v>
      </c>
      <c r="W174" s="416">
        <v>0</v>
      </c>
      <c r="X174" s="416">
        <v>0</v>
      </c>
      <c r="Y174" s="416">
        <v>0</v>
      </c>
      <c r="Z174" s="416">
        <v>0</v>
      </c>
      <c r="AA174" s="416">
        <v>0</v>
      </c>
      <c r="AB174" s="416">
        <v>0</v>
      </c>
      <c r="AC174" s="416">
        <v>0</v>
      </c>
      <c r="AD174" s="416">
        <v>0</v>
      </c>
      <c r="AE174" s="416">
        <v>0</v>
      </c>
      <c r="AF174" s="416">
        <v>0</v>
      </c>
      <c r="AG174" s="416">
        <v>0</v>
      </c>
      <c r="AH174" s="416">
        <v>0</v>
      </c>
      <c r="AI174" s="416">
        <v>0</v>
      </c>
      <c r="AJ174" s="416">
        <v>0</v>
      </c>
      <c r="AK174" s="416">
        <v>0</v>
      </c>
      <c r="AL174" s="416">
        <v>0</v>
      </c>
      <c r="AM174" s="416">
        <v>0</v>
      </c>
      <c r="AN174" s="416">
        <v>0</v>
      </c>
      <c r="AO174" s="416">
        <v>0</v>
      </c>
      <c r="AP174" s="416">
        <v>0</v>
      </c>
      <c r="AQ174" s="416">
        <v>0</v>
      </c>
      <c r="AR174" s="416">
        <v>0</v>
      </c>
      <c r="AS174" s="416">
        <v>0</v>
      </c>
      <c r="AT174" s="416">
        <v>0</v>
      </c>
      <c r="AU174" s="416">
        <v>0</v>
      </c>
      <c r="AV174" s="416">
        <v>0</v>
      </c>
      <c r="AW174" s="416">
        <v>0</v>
      </c>
      <c r="AX174" s="416">
        <v>0</v>
      </c>
      <c r="AY174" s="416">
        <v>0</v>
      </c>
      <c r="AZ174" s="416">
        <v>0</v>
      </c>
      <c r="BA174" s="416">
        <v>0</v>
      </c>
      <c r="BB174" s="416">
        <v>0</v>
      </c>
      <c r="BC174" s="416">
        <v>0</v>
      </c>
      <c r="BD174" s="416">
        <v>0</v>
      </c>
      <c r="BE174" s="416">
        <v>0</v>
      </c>
      <c r="BF174" s="416">
        <v>9.798</v>
      </c>
      <c r="BG174" s="416">
        <v>0</v>
      </c>
      <c r="BH174" s="416">
        <v>0</v>
      </c>
      <c r="BI174" s="416">
        <v>0</v>
      </c>
      <c r="BJ174" s="416">
        <v>43.423999999999999</v>
      </c>
      <c r="BK174" s="416">
        <v>43.423999999999999</v>
      </c>
      <c r="BL174" s="416">
        <v>273.03199999999998</v>
      </c>
      <c r="BM174" s="416">
        <v>81.123999999999995</v>
      </c>
      <c r="BN174" s="416">
        <v>65.927000000000007</v>
      </c>
      <c r="BO174" s="416">
        <v>117.209</v>
      </c>
      <c r="BP174" s="416">
        <v>117.209</v>
      </c>
      <c r="BQ174" s="416">
        <v>104.143</v>
      </c>
      <c r="BR174" s="416">
        <v>133.19200000000001</v>
      </c>
      <c r="BS174" s="416">
        <v>133.791</v>
      </c>
      <c r="BT174" s="416">
        <v>174.09700000000001</v>
      </c>
      <c r="BU174" s="416">
        <v>174.09700000000001</v>
      </c>
      <c r="BV174" s="416">
        <v>95.805000000000007</v>
      </c>
      <c r="BW174" s="416">
        <v>94.99</v>
      </c>
      <c r="BX174" s="416">
        <v>111.16</v>
      </c>
      <c r="BY174" s="416">
        <v>0</v>
      </c>
      <c r="BZ174" s="416">
        <v>0</v>
      </c>
      <c r="CC174" s="21"/>
      <c r="CD174" s="424" t="s">
        <v>288</v>
      </c>
      <c r="CE174" s="433">
        <f t="shared" si="30"/>
        <v>0</v>
      </c>
      <c r="CF174" s="433">
        <f t="shared" si="31"/>
        <v>0</v>
      </c>
      <c r="CG174" s="433">
        <f t="shared" si="32"/>
        <v>0</v>
      </c>
      <c r="CH174" s="433">
        <f t="shared" si="33"/>
        <v>0</v>
      </c>
      <c r="CI174" s="433">
        <f t="shared" si="34"/>
        <v>0</v>
      </c>
      <c r="CJ174" s="433">
        <f t="shared" si="35"/>
        <v>0</v>
      </c>
      <c r="CK174" s="433">
        <f t="shared" si="36"/>
        <v>0</v>
      </c>
      <c r="CL174" s="433">
        <f t="shared" si="37"/>
        <v>0</v>
      </c>
      <c r="CM174" s="433">
        <f t="shared" si="38"/>
        <v>0</v>
      </c>
      <c r="CN174" s="433">
        <f t="shared" si="39"/>
        <v>0</v>
      </c>
      <c r="CO174" s="433">
        <f t="shared" si="40"/>
        <v>9.798</v>
      </c>
      <c r="CP174" s="433">
        <f t="shared" si="41"/>
        <v>43.423999999999999</v>
      </c>
      <c r="CQ174" s="433">
        <f t="shared" si="42"/>
        <v>117.209</v>
      </c>
      <c r="CR174" s="433">
        <f t="shared" si="43"/>
        <v>174.09700000000001</v>
      </c>
      <c r="CS174" s="433">
        <f t="shared" si="44"/>
        <v>0</v>
      </c>
      <c r="CT174" s="21"/>
    </row>
    <row r="175" spans="1:98" hidden="1" outlineLevel="1">
      <c r="C175" s="424" t="s">
        <v>298</v>
      </c>
      <c r="D175" s="416">
        <v>0</v>
      </c>
      <c r="E175" s="416">
        <v>0</v>
      </c>
      <c r="F175" s="416">
        <v>0</v>
      </c>
      <c r="G175" s="416">
        <v>0</v>
      </c>
      <c r="H175" s="416">
        <v>0</v>
      </c>
      <c r="I175" s="416">
        <v>0</v>
      </c>
      <c r="J175" s="416">
        <v>0</v>
      </c>
      <c r="K175" s="416">
        <v>0</v>
      </c>
      <c r="L175" s="416">
        <v>0</v>
      </c>
      <c r="M175" s="416">
        <v>0</v>
      </c>
      <c r="N175" s="416">
        <v>0</v>
      </c>
      <c r="O175" s="416">
        <v>0</v>
      </c>
      <c r="P175" s="416">
        <v>0</v>
      </c>
      <c r="Q175" s="416">
        <v>0</v>
      </c>
      <c r="R175" s="416">
        <v>0</v>
      </c>
      <c r="S175" s="416">
        <v>0</v>
      </c>
      <c r="T175" s="416">
        <v>0</v>
      </c>
      <c r="U175" s="416">
        <v>0</v>
      </c>
      <c r="V175" s="416">
        <v>0</v>
      </c>
      <c r="W175" s="416">
        <v>0</v>
      </c>
      <c r="X175" s="416">
        <v>0</v>
      </c>
      <c r="Y175" s="416">
        <v>0</v>
      </c>
      <c r="Z175" s="416">
        <v>0</v>
      </c>
      <c r="AA175" s="416">
        <v>0</v>
      </c>
      <c r="AB175" s="416">
        <v>0</v>
      </c>
      <c r="AC175" s="416">
        <v>0</v>
      </c>
      <c r="AD175" s="416">
        <v>0</v>
      </c>
      <c r="AE175" s="416">
        <v>0</v>
      </c>
      <c r="AF175" s="416">
        <v>0</v>
      </c>
      <c r="AG175" s="416">
        <v>0</v>
      </c>
      <c r="AH175" s="416">
        <v>0</v>
      </c>
      <c r="AI175" s="416">
        <v>0</v>
      </c>
      <c r="AJ175" s="416">
        <v>0</v>
      </c>
      <c r="AK175" s="416">
        <v>0</v>
      </c>
      <c r="AL175" s="416">
        <v>0</v>
      </c>
      <c r="AM175" s="416">
        <v>0</v>
      </c>
      <c r="AN175" s="416">
        <v>0</v>
      </c>
      <c r="AO175" s="416">
        <v>0</v>
      </c>
      <c r="AP175" s="416">
        <v>0</v>
      </c>
      <c r="AQ175" s="416">
        <v>0</v>
      </c>
      <c r="AR175" s="416">
        <v>0</v>
      </c>
      <c r="AS175" s="416">
        <v>0</v>
      </c>
      <c r="AT175" s="416">
        <v>0</v>
      </c>
      <c r="AU175" s="416">
        <v>0</v>
      </c>
      <c r="AV175" s="416">
        <v>0</v>
      </c>
      <c r="AW175" s="416">
        <v>0</v>
      </c>
      <c r="AX175" s="416">
        <v>0</v>
      </c>
      <c r="AY175" s="416">
        <v>0</v>
      </c>
      <c r="AZ175" s="416">
        <v>0</v>
      </c>
      <c r="BA175" s="416">
        <v>0</v>
      </c>
      <c r="BB175" s="416">
        <v>0</v>
      </c>
      <c r="BC175" s="416">
        <v>0</v>
      </c>
      <c r="BD175" s="416">
        <v>0</v>
      </c>
      <c r="BE175" s="416">
        <v>0</v>
      </c>
      <c r="BF175" s="416">
        <v>35.655000000000001</v>
      </c>
      <c r="BG175" s="416">
        <v>0</v>
      </c>
      <c r="BH175" s="416">
        <v>0</v>
      </c>
      <c r="BI175" s="416">
        <v>0</v>
      </c>
      <c r="BJ175" s="416">
        <v>57.39</v>
      </c>
      <c r="BK175" s="416">
        <v>57.39</v>
      </c>
      <c r="BL175" s="416">
        <v>100.923</v>
      </c>
      <c r="BM175" s="416">
        <v>185.53100000000001</v>
      </c>
      <c r="BN175" s="416">
        <v>224.54400000000001</v>
      </c>
      <c r="BO175" s="416">
        <v>342.12299999999999</v>
      </c>
      <c r="BP175" s="416">
        <v>342.12299999999999</v>
      </c>
      <c r="BQ175" s="416">
        <v>407.041</v>
      </c>
      <c r="BR175" s="416">
        <v>364.44799999999998</v>
      </c>
      <c r="BS175" s="416">
        <v>225.31200000000001</v>
      </c>
      <c r="BT175" s="416">
        <v>192.66300000000001</v>
      </c>
      <c r="BU175" s="416">
        <v>192.66300000000001</v>
      </c>
      <c r="BV175" s="416">
        <v>202.87200000000001</v>
      </c>
      <c r="BW175" s="416">
        <v>195.244</v>
      </c>
      <c r="BX175" s="416">
        <v>299.95800000000003</v>
      </c>
      <c r="BY175" s="416">
        <v>0</v>
      </c>
      <c r="BZ175" s="416">
        <v>0</v>
      </c>
      <c r="CC175" s="21"/>
      <c r="CD175" s="424" t="s">
        <v>298</v>
      </c>
      <c r="CE175" s="433">
        <f t="shared" si="30"/>
        <v>0</v>
      </c>
      <c r="CF175" s="433">
        <f t="shared" si="31"/>
        <v>0</v>
      </c>
      <c r="CG175" s="433">
        <f t="shared" si="32"/>
        <v>0</v>
      </c>
      <c r="CH175" s="433">
        <f t="shared" si="33"/>
        <v>0</v>
      </c>
      <c r="CI175" s="433">
        <f t="shared" si="34"/>
        <v>0</v>
      </c>
      <c r="CJ175" s="433">
        <f t="shared" si="35"/>
        <v>0</v>
      </c>
      <c r="CK175" s="433">
        <f t="shared" si="36"/>
        <v>0</v>
      </c>
      <c r="CL175" s="433">
        <f t="shared" si="37"/>
        <v>0</v>
      </c>
      <c r="CM175" s="433">
        <f t="shared" si="38"/>
        <v>0</v>
      </c>
      <c r="CN175" s="433">
        <f t="shared" si="39"/>
        <v>0</v>
      </c>
      <c r="CO175" s="433">
        <f t="shared" si="40"/>
        <v>35.655000000000001</v>
      </c>
      <c r="CP175" s="433">
        <f t="shared" si="41"/>
        <v>57.39</v>
      </c>
      <c r="CQ175" s="433">
        <f t="shared" si="42"/>
        <v>342.12299999999999</v>
      </c>
      <c r="CR175" s="433">
        <f t="shared" si="43"/>
        <v>192.66300000000001</v>
      </c>
      <c r="CS175" s="433">
        <f t="shared" si="44"/>
        <v>0</v>
      </c>
      <c r="CT175" s="21"/>
    </row>
    <row r="176" spans="1:98" collapsed="1">
      <c r="C176" s="415" t="s">
        <v>287</v>
      </c>
      <c r="D176" s="416">
        <v>0</v>
      </c>
      <c r="E176" s="416">
        <v>0</v>
      </c>
      <c r="F176" s="416">
        <v>0</v>
      </c>
      <c r="G176" s="416">
        <v>0</v>
      </c>
      <c r="H176" s="416">
        <v>0</v>
      </c>
      <c r="I176" s="416">
        <v>0</v>
      </c>
      <c r="J176" s="416">
        <v>0</v>
      </c>
      <c r="K176" s="416">
        <v>0</v>
      </c>
      <c r="L176" s="416">
        <v>0</v>
      </c>
      <c r="M176" s="416">
        <v>0</v>
      </c>
      <c r="N176" s="416">
        <v>0</v>
      </c>
      <c r="O176" s="416">
        <v>0</v>
      </c>
      <c r="P176" s="416">
        <v>0</v>
      </c>
      <c r="Q176" s="416">
        <v>0</v>
      </c>
      <c r="R176" s="416">
        <v>0</v>
      </c>
      <c r="S176" s="416">
        <v>0</v>
      </c>
      <c r="T176" s="416">
        <v>0</v>
      </c>
      <c r="U176" s="416">
        <v>0</v>
      </c>
      <c r="V176" s="416">
        <v>0</v>
      </c>
      <c r="W176" s="416">
        <v>0</v>
      </c>
      <c r="X176" s="416">
        <v>0</v>
      </c>
      <c r="Y176" s="416">
        <v>0</v>
      </c>
      <c r="Z176" s="416">
        <v>0</v>
      </c>
      <c r="AA176" s="416">
        <v>0</v>
      </c>
      <c r="AB176" s="416">
        <v>0</v>
      </c>
      <c r="AC176" s="416">
        <v>0</v>
      </c>
      <c r="AD176" s="416">
        <v>0</v>
      </c>
      <c r="AE176" s="416">
        <v>0</v>
      </c>
      <c r="AF176" s="416">
        <v>0</v>
      </c>
      <c r="AG176" s="416">
        <v>0</v>
      </c>
      <c r="AH176" s="416">
        <v>0</v>
      </c>
      <c r="AI176" s="416">
        <v>0</v>
      </c>
      <c r="AJ176" s="416">
        <v>0</v>
      </c>
      <c r="AK176" s="416">
        <v>0</v>
      </c>
      <c r="AL176" s="416">
        <v>0</v>
      </c>
      <c r="AM176" s="416">
        <v>0</v>
      </c>
      <c r="AN176" s="416">
        <v>0</v>
      </c>
      <c r="AO176" s="416">
        <v>0</v>
      </c>
      <c r="AP176" s="416">
        <v>0</v>
      </c>
      <c r="AQ176" s="416">
        <v>0</v>
      </c>
      <c r="AR176" s="416">
        <v>0</v>
      </c>
      <c r="AS176" s="416">
        <v>0</v>
      </c>
      <c r="AT176" s="416">
        <v>0</v>
      </c>
      <c r="AU176" s="416">
        <v>0</v>
      </c>
      <c r="AV176" s="416">
        <v>0</v>
      </c>
      <c r="AW176" s="416">
        <v>0</v>
      </c>
      <c r="AX176" s="416">
        <v>0</v>
      </c>
      <c r="AY176" s="416">
        <v>0</v>
      </c>
      <c r="AZ176" s="416">
        <v>0</v>
      </c>
      <c r="BA176" s="416">
        <v>0</v>
      </c>
      <c r="BB176" s="416">
        <v>0</v>
      </c>
      <c r="BC176" s="416">
        <v>0</v>
      </c>
      <c r="BD176" s="416">
        <v>0</v>
      </c>
      <c r="BE176" s="416">
        <v>0</v>
      </c>
      <c r="BF176" s="416">
        <v>45.453000000000003</v>
      </c>
      <c r="BG176" s="416">
        <v>0</v>
      </c>
      <c r="BH176" s="416">
        <v>0</v>
      </c>
      <c r="BI176" s="416">
        <v>0</v>
      </c>
      <c r="BJ176" s="416">
        <v>100.81399999999999</v>
      </c>
      <c r="BK176" s="416">
        <v>100.81399999999999</v>
      </c>
      <c r="BL176" s="416">
        <v>373.95499999999998</v>
      </c>
      <c r="BM176" s="416">
        <v>266.65499999999997</v>
      </c>
      <c r="BN176" s="416">
        <v>290.471</v>
      </c>
      <c r="BO176" s="416">
        <v>459.33199999999999</v>
      </c>
      <c r="BP176" s="416">
        <v>459.33199999999999</v>
      </c>
      <c r="BQ176" s="416">
        <v>511.18400000000003</v>
      </c>
      <c r="BR176" s="416">
        <v>497.64</v>
      </c>
      <c r="BS176" s="416">
        <v>359.10300000000001</v>
      </c>
      <c r="BT176" s="416">
        <v>366.76</v>
      </c>
      <c r="BU176" s="416">
        <v>366.76</v>
      </c>
      <c r="BV176" s="416">
        <v>298.67700000000002</v>
      </c>
      <c r="BW176" s="416">
        <v>290.23399999999998</v>
      </c>
      <c r="BX176" s="416">
        <v>411.11799999999999</v>
      </c>
      <c r="BY176" s="416">
        <v>0</v>
      </c>
      <c r="BZ176" s="416">
        <v>0</v>
      </c>
      <c r="CC176" s="21"/>
      <c r="CD176" s="415" t="s">
        <v>287</v>
      </c>
      <c r="CE176" s="433">
        <f t="shared" si="30"/>
        <v>0</v>
      </c>
      <c r="CF176" s="433">
        <f t="shared" si="31"/>
        <v>0</v>
      </c>
      <c r="CG176" s="433">
        <f t="shared" si="32"/>
        <v>0</v>
      </c>
      <c r="CH176" s="433">
        <f t="shared" si="33"/>
        <v>0</v>
      </c>
      <c r="CI176" s="433">
        <f t="shared" si="34"/>
        <v>0</v>
      </c>
      <c r="CJ176" s="433">
        <f t="shared" si="35"/>
        <v>0</v>
      </c>
      <c r="CK176" s="433">
        <f t="shared" si="36"/>
        <v>0</v>
      </c>
      <c r="CL176" s="433">
        <f t="shared" si="37"/>
        <v>0</v>
      </c>
      <c r="CM176" s="433">
        <f t="shared" si="38"/>
        <v>0</v>
      </c>
      <c r="CN176" s="433">
        <f t="shared" si="39"/>
        <v>0</v>
      </c>
      <c r="CO176" s="433">
        <f t="shared" si="40"/>
        <v>45.453000000000003</v>
      </c>
      <c r="CP176" s="433">
        <f t="shared" si="41"/>
        <v>100.81399999999999</v>
      </c>
      <c r="CQ176" s="433">
        <f t="shared" si="42"/>
        <v>459.33199999999999</v>
      </c>
      <c r="CR176" s="433">
        <f t="shared" si="43"/>
        <v>366.76</v>
      </c>
      <c r="CS176" s="433">
        <f t="shared" si="44"/>
        <v>0</v>
      </c>
      <c r="CT176" s="21"/>
    </row>
    <row r="177" spans="3:98" hidden="1" outlineLevel="2">
      <c r="C177" s="437" t="s">
        <v>302</v>
      </c>
      <c r="D177" s="416">
        <v>0</v>
      </c>
      <c r="E177" s="416">
        <v>0</v>
      </c>
      <c r="F177" s="416">
        <v>0</v>
      </c>
      <c r="G177" s="416">
        <v>0</v>
      </c>
      <c r="H177" s="416">
        <v>0</v>
      </c>
      <c r="I177" s="416">
        <v>0</v>
      </c>
      <c r="J177" s="416">
        <v>0</v>
      </c>
      <c r="K177" s="416">
        <v>0</v>
      </c>
      <c r="L177" s="416">
        <v>0</v>
      </c>
      <c r="M177" s="416">
        <v>0</v>
      </c>
      <c r="N177" s="416">
        <v>0</v>
      </c>
      <c r="O177" s="416">
        <v>0</v>
      </c>
      <c r="P177" s="416">
        <v>0</v>
      </c>
      <c r="Q177" s="416">
        <v>0</v>
      </c>
      <c r="R177" s="416">
        <v>0</v>
      </c>
      <c r="S177" s="416">
        <v>0</v>
      </c>
      <c r="T177" s="416">
        <v>0</v>
      </c>
      <c r="U177" s="416">
        <v>0</v>
      </c>
      <c r="V177" s="416">
        <v>0</v>
      </c>
      <c r="W177" s="416">
        <v>0</v>
      </c>
      <c r="X177" s="416">
        <v>0</v>
      </c>
      <c r="Y177" s="416">
        <v>0</v>
      </c>
      <c r="Z177" s="416">
        <v>0</v>
      </c>
      <c r="AA177" s="416">
        <v>0</v>
      </c>
      <c r="AB177" s="416">
        <v>0</v>
      </c>
      <c r="AC177" s="416">
        <v>0</v>
      </c>
      <c r="AD177" s="416">
        <v>0</v>
      </c>
      <c r="AE177" s="416">
        <v>0</v>
      </c>
      <c r="AF177" s="416">
        <v>0</v>
      </c>
      <c r="AG177" s="416">
        <v>0</v>
      </c>
      <c r="AH177" s="416">
        <v>0</v>
      </c>
      <c r="AI177" s="416">
        <v>0</v>
      </c>
      <c r="AJ177" s="416">
        <v>0</v>
      </c>
      <c r="AK177" s="416">
        <v>0</v>
      </c>
      <c r="AL177" s="416">
        <v>0</v>
      </c>
      <c r="AM177" s="416">
        <v>0</v>
      </c>
      <c r="AN177" s="416">
        <v>0</v>
      </c>
      <c r="AO177" s="416">
        <v>0</v>
      </c>
      <c r="AP177" s="416">
        <v>0</v>
      </c>
      <c r="AQ177" s="416">
        <v>0</v>
      </c>
      <c r="AR177" s="416">
        <v>0</v>
      </c>
      <c r="AS177" s="416">
        <v>0</v>
      </c>
      <c r="AT177" s="416">
        <v>0</v>
      </c>
      <c r="AU177" s="416">
        <v>0</v>
      </c>
      <c r="AV177" s="416">
        <v>0</v>
      </c>
      <c r="AW177" s="416">
        <v>0</v>
      </c>
      <c r="AX177" s="416">
        <v>0</v>
      </c>
      <c r="AY177" s="416">
        <v>0</v>
      </c>
      <c r="AZ177" s="416">
        <v>0</v>
      </c>
      <c r="BA177" s="416">
        <v>0</v>
      </c>
      <c r="BB177" s="416">
        <v>0</v>
      </c>
      <c r="BC177" s="416">
        <v>0</v>
      </c>
      <c r="BD177" s="416">
        <v>0</v>
      </c>
      <c r="BE177" s="416">
        <v>0</v>
      </c>
      <c r="BF177" s="416">
        <v>0</v>
      </c>
      <c r="BG177" s="416">
        <v>0</v>
      </c>
      <c r="BH177" s="416">
        <v>0</v>
      </c>
      <c r="BI177" s="416">
        <v>0</v>
      </c>
      <c r="BJ177" s="416">
        <v>0</v>
      </c>
      <c r="BK177" s="416">
        <v>0</v>
      </c>
      <c r="BL177" s="416">
        <v>0</v>
      </c>
      <c r="BM177" s="416">
        <v>0</v>
      </c>
      <c r="BN177" s="416">
        <v>0</v>
      </c>
      <c r="BO177" s="416">
        <v>0</v>
      </c>
      <c r="BP177" s="416">
        <v>0</v>
      </c>
      <c r="BQ177" s="416">
        <v>0</v>
      </c>
      <c r="BR177" s="416">
        <v>0</v>
      </c>
      <c r="BS177" s="416">
        <v>0</v>
      </c>
      <c r="BT177" s="416">
        <v>0</v>
      </c>
      <c r="BU177" s="416">
        <v>0</v>
      </c>
      <c r="BV177" s="416">
        <v>0</v>
      </c>
      <c r="BW177" s="416">
        <v>0</v>
      </c>
      <c r="BX177" s="416">
        <v>0</v>
      </c>
      <c r="BY177" s="416">
        <v>0</v>
      </c>
      <c r="BZ177" s="416">
        <v>0</v>
      </c>
      <c r="CC177" s="21"/>
      <c r="CD177" s="437" t="s">
        <v>302</v>
      </c>
      <c r="CE177" s="433">
        <f t="shared" si="30"/>
        <v>0</v>
      </c>
      <c r="CF177" s="433">
        <f t="shared" si="31"/>
        <v>0</v>
      </c>
      <c r="CG177" s="433">
        <f t="shared" si="32"/>
        <v>0</v>
      </c>
      <c r="CH177" s="433">
        <f t="shared" si="33"/>
        <v>0</v>
      </c>
      <c r="CI177" s="433">
        <f t="shared" si="34"/>
        <v>0</v>
      </c>
      <c r="CJ177" s="433">
        <f t="shared" si="35"/>
        <v>0</v>
      </c>
      <c r="CK177" s="433">
        <f t="shared" si="36"/>
        <v>0</v>
      </c>
      <c r="CL177" s="433">
        <f t="shared" si="37"/>
        <v>0</v>
      </c>
      <c r="CM177" s="433">
        <f t="shared" si="38"/>
        <v>0</v>
      </c>
      <c r="CN177" s="433">
        <f t="shared" si="39"/>
        <v>0</v>
      </c>
      <c r="CO177" s="433">
        <f t="shared" si="40"/>
        <v>0</v>
      </c>
      <c r="CP177" s="433">
        <f t="shared" si="41"/>
        <v>0</v>
      </c>
      <c r="CQ177" s="433">
        <f t="shared" si="42"/>
        <v>0</v>
      </c>
      <c r="CR177" s="433">
        <f t="shared" si="43"/>
        <v>0</v>
      </c>
      <c r="CS177" s="433">
        <f t="shared" si="44"/>
        <v>0</v>
      </c>
      <c r="CT177" s="21"/>
    </row>
    <row r="178" spans="3:98" hidden="1" outlineLevel="2">
      <c r="C178" s="437" t="s">
        <v>303</v>
      </c>
      <c r="D178" s="416">
        <v>0</v>
      </c>
      <c r="E178" s="416">
        <v>0</v>
      </c>
      <c r="F178" s="416">
        <v>0</v>
      </c>
      <c r="G178" s="416">
        <v>0</v>
      </c>
      <c r="H178" s="416">
        <v>0</v>
      </c>
      <c r="I178" s="416">
        <v>0</v>
      </c>
      <c r="J178" s="416">
        <v>0</v>
      </c>
      <c r="K178" s="416">
        <v>0</v>
      </c>
      <c r="L178" s="416">
        <v>0</v>
      </c>
      <c r="M178" s="416">
        <v>0</v>
      </c>
      <c r="N178" s="416">
        <v>0</v>
      </c>
      <c r="O178" s="416">
        <v>0</v>
      </c>
      <c r="P178" s="416">
        <v>0</v>
      </c>
      <c r="Q178" s="416">
        <v>0</v>
      </c>
      <c r="R178" s="416">
        <v>0</v>
      </c>
      <c r="S178" s="416">
        <v>0</v>
      </c>
      <c r="T178" s="416">
        <v>0</v>
      </c>
      <c r="U178" s="416">
        <v>0</v>
      </c>
      <c r="V178" s="416">
        <v>0</v>
      </c>
      <c r="W178" s="416">
        <v>0</v>
      </c>
      <c r="X178" s="416">
        <v>0</v>
      </c>
      <c r="Y178" s="416">
        <v>0</v>
      </c>
      <c r="Z178" s="416">
        <v>0</v>
      </c>
      <c r="AA178" s="416">
        <v>0</v>
      </c>
      <c r="AB178" s="416">
        <v>0</v>
      </c>
      <c r="AC178" s="416">
        <v>0</v>
      </c>
      <c r="AD178" s="416">
        <v>0</v>
      </c>
      <c r="AE178" s="416">
        <v>0</v>
      </c>
      <c r="AF178" s="416">
        <v>0</v>
      </c>
      <c r="AG178" s="416">
        <v>0</v>
      </c>
      <c r="AH178" s="416">
        <v>0</v>
      </c>
      <c r="AI178" s="416">
        <v>0</v>
      </c>
      <c r="AJ178" s="416">
        <v>0</v>
      </c>
      <c r="AK178" s="416">
        <v>0</v>
      </c>
      <c r="AL178" s="416">
        <v>0</v>
      </c>
      <c r="AM178" s="416">
        <v>0</v>
      </c>
      <c r="AN178" s="416">
        <v>0</v>
      </c>
      <c r="AO178" s="416">
        <v>0</v>
      </c>
      <c r="AP178" s="416">
        <v>0</v>
      </c>
      <c r="AQ178" s="416">
        <v>0</v>
      </c>
      <c r="AR178" s="416">
        <v>0</v>
      </c>
      <c r="AS178" s="416">
        <v>0</v>
      </c>
      <c r="AT178" s="416">
        <v>0</v>
      </c>
      <c r="AU178" s="416">
        <v>0</v>
      </c>
      <c r="AV178" s="416">
        <v>0</v>
      </c>
      <c r="AW178" s="416">
        <v>0</v>
      </c>
      <c r="AX178" s="416">
        <v>0</v>
      </c>
      <c r="AY178" s="416">
        <v>0</v>
      </c>
      <c r="AZ178" s="416">
        <v>0</v>
      </c>
      <c r="BA178" s="416">
        <v>0</v>
      </c>
      <c r="BB178" s="416">
        <v>0</v>
      </c>
      <c r="BC178" s="416">
        <v>0</v>
      </c>
      <c r="BD178" s="416">
        <v>0</v>
      </c>
      <c r="BE178" s="416">
        <v>0</v>
      </c>
      <c r="BF178" s="416">
        <v>0</v>
      </c>
      <c r="BG178" s="416">
        <v>0</v>
      </c>
      <c r="BH178" s="416">
        <v>0</v>
      </c>
      <c r="BI178" s="416">
        <v>0</v>
      </c>
      <c r="BJ178" s="416">
        <v>0</v>
      </c>
      <c r="BK178" s="416">
        <v>0</v>
      </c>
      <c r="BL178" s="416">
        <v>0</v>
      </c>
      <c r="BM178" s="416">
        <v>0</v>
      </c>
      <c r="BN178" s="416">
        <v>0</v>
      </c>
      <c r="BO178" s="416">
        <v>0</v>
      </c>
      <c r="BP178" s="416">
        <v>0</v>
      </c>
      <c r="BQ178" s="416">
        <v>0</v>
      </c>
      <c r="BR178" s="416">
        <v>0</v>
      </c>
      <c r="BS178" s="416">
        <v>0</v>
      </c>
      <c r="BT178" s="416">
        <v>0</v>
      </c>
      <c r="BU178" s="416">
        <v>0</v>
      </c>
      <c r="BV178" s="416">
        <v>0</v>
      </c>
      <c r="BW178" s="416">
        <v>0</v>
      </c>
      <c r="BX178" s="416">
        <v>0</v>
      </c>
      <c r="BY178" s="416">
        <v>0</v>
      </c>
      <c r="BZ178" s="416">
        <v>0</v>
      </c>
      <c r="CC178" s="21"/>
      <c r="CD178" s="437" t="s">
        <v>303</v>
      </c>
      <c r="CE178" s="433">
        <f t="shared" si="30"/>
        <v>0</v>
      </c>
      <c r="CF178" s="433">
        <f t="shared" si="31"/>
        <v>0</v>
      </c>
      <c r="CG178" s="433">
        <f t="shared" si="32"/>
        <v>0</v>
      </c>
      <c r="CH178" s="433">
        <f t="shared" si="33"/>
        <v>0</v>
      </c>
      <c r="CI178" s="433">
        <f t="shared" si="34"/>
        <v>0</v>
      </c>
      <c r="CJ178" s="433">
        <f t="shared" si="35"/>
        <v>0</v>
      </c>
      <c r="CK178" s="433">
        <f t="shared" si="36"/>
        <v>0</v>
      </c>
      <c r="CL178" s="433">
        <f t="shared" si="37"/>
        <v>0</v>
      </c>
      <c r="CM178" s="433">
        <f t="shared" si="38"/>
        <v>0</v>
      </c>
      <c r="CN178" s="433">
        <f t="shared" si="39"/>
        <v>0</v>
      </c>
      <c r="CO178" s="433">
        <f t="shared" si="40"/>
        <v>0</v>
      </c>
      <c r="CP178" s="433">
        <f t="shared" si="41"/>
        <v>0</v>
      </c>
      <c r="CQ178" s="433">
        <f t="shared" si="42"/>
        <v>0</v>
      </c>
      <c r="CR178" s="433">
        <f t="shared" si="43"/>
        <v>0</v>
      </c>
      <c r="CS178" s="433">
        <f t="shared" si="44"/>
        <v>0</v>
      </c>
      <c r="CT178" s="21"/>
    </row>
    <row r="179" spans="3:98" hidden="1" outlineLevel="2">
      <c r="C179" s="437" t="s">
        <v>304</v>
      </c>
      <c r="D179" s="416">
        <v>0</v>
      </c>
      <c r="E179" s="416">
        <v>0</v>
      </c>
      <c r="F179" s="416">
        <v>0</v>
      </c>
      <c r="G179" s="416">
        <v>0</v>
      </c>
      <c r="H179" s="416">
        <v>0</v>
      </c>
      <c r="I179" s="416">
        <v>0</v>
      </c>
      <c r="J179" s="416">
        <v>0</v>
      </c>
      <c r="K179" s="416">
        <v>0</v>
      </c>
      <c r="L179" s="416">
        <v>0</v>
      </c>
      <c r="M179" s="416">
        <v>0</v>
      </c>
      <c r="N179" s="416">
        <v>0</v>
      </c>
      <c r="O179" s="416">
        <v>0</v>
      </c>
      <c r="P179" s="416">
        <v>0</v>
      </c>
      <c r="Q179" s="416">
        <v>0</v>
      </c>
      <c r="R179" s="416">
        <v>0</v>
      </c>
      <c r="S179" s="416">
        <v>0</v>
      </c>
      <c r="T179" s="416">
        <v>0</v>
      </c>
      <c r="U179" s="416">
        <v>0</v>
      </c>
      <c r="V179" s="416">
        <v>0</v>
      </c>
      <c r="W179" s="416">
        <v>0</v>
      </c>
      <c r="X179" s="416">
        <v>0</v>
      </c>
      <c r="Y179" s="416">
        <v>0</v>
      </c>
      <c r="Z179" s="416">
        <v>0</v>
      </c>
      <c r="AA179" s="416">
        <v>0</v>
      </c>
      <c r="AB179" s="416">
        <v>0</v>
      </c>
      <c r="AC179" s="416">
        <v>0</v>
      </c>
      <c r="AD179" s="416">
        <v>0</v>
      </c>
      <c r="AE179" s="416">
        <v>0</v>
      </c>
      <c r="AF179" s="416">
        <v>0</v>
      </c>
      <c r="AG179" s="416">
        <v>0</v>
      </c>
      <c r="AH179" s="416">
        <v>0</v>
      </c>
      <c r="AI179" s="416">
        <v>0</v>
      </c>
      <c r="AJ179" s="416">
        <v>0</v>
      </c>
      <c r="AK179" s="416">
        <v>0</v>
      </c>
      <c r="AL179" s="416">
        <v>0</v>
      </c>
      <c r="AM179" s="416">
        <v>0</v>
      </c>
      <c r="AN179" s="416">
        <v>0</v>
      </c>
      <c r="AO179" s="416">
        <v>0</v>
      </c>
      <c r="AP179" s="416">
        <v>0</v>
      </c>
      <c r="AQ179" s="416">
        <v>0</v>
      </c>
      <c r="AR179" s="416">
        <v>0</v>
      </c>
      <c r="AS179" s="416">
        <v>0</v>
      </c>
      <c r="AT179" s="416">
        <v>0</v>
      </c>
      <c r="AU179" s="416">
        <v>0</v>
      </c>
      <c r="AV179" s="416">
        <v>0</v>
      </c>
      <c r="AW179" s="416">
        <v>0</v>
      </c>
      <c r="AX179" s="416">
        <v>0</v>
      </c>
      <c r="AY179" s="416">
        <v>0</v>
      </c>
      <c r="AZ179" s="416">
        <v>0</v>
      </c>
      <c r="BA179" s="416">
        <v>0</v>
      </c>
      <c r="BB179" s="416">
        <v>0</v>
      </c>
      <c r="BC179" s="416">
        <v>0</v>
      </c>
      <c r="BD179" s="416">
        <v>0</v>
      </c>
      <c r="BE179" s="416">
        <v>0</v>
      </c>
      <c r="BF179" s="416">
        <v>0</v>
      </c>
      <c r="BG179" s="416">
        <v>0</v>
      </c>
      <c r="BH179" s="416">
        <v>0</v>
      </c>
      <c r="BI179" s="416">
        <v>0</v>
      </c>
      <c r="BJ179" s="416">
        <v>0</v>
      </c>
      <c r="BK179" s="416">
        <v>0</v>
      </c>
      <c r="BL179" s="416">
        <v>0</v>
      </c>
      <c r="BM179" s="416">
        <v>0</v>
      </c>
      <c r="BN179" s="416">
        <v>0</v>
      </c>
      <c r="BO179" s="416">
        <v>0</v>
      </c>
      <c r="BP179" s="416">
        <v>0</v>
      </c>
      <c r="BQ179" s="416">
        <v>0</v>
      </c>
      <c r="BR179" s="416">
        <v>0</v>
      </c>
      <c r="BS179" s="416">
        <v>0</v>
      </c>
      <c r="BT179" s="416">
        <v>0</v>
      </c>
      <c r="BU179" s="416">
        <v>0</v>
      </c>
      <c r="BV179" s="416">
        <v>0</v>
      </c>
      <c r="BW179" s="416">
        <v>0</v>
      </c>
      <c r="BX179" s="416">
        <v>0</v>
      </c>
      <c r="BY179" s="416">
        <v>0</v>
      </c>
      <c r="BZ179" s="416">
        <v>0</v>
      </c>
      <c r="CC179" s="21"/>
      <c r="CD179" s="437" t="s">
        <v>304</v>
      </c>
      <c r="CE179" s="433">
        <f t="shared" si="30"/>
        <v>0</v>
      </c>
      <c r="CF179" s="433">
        <f t="shared" si="31"/>
        <v>0</v>
      </c>
      <c r="CG179" s="433">
        <f t="shared" si="32"/>
        <v>0</v>
      </c>
      <c r="CH179" s="433">
        <f t="shared" si="33"/>
        <v>0</v>
      </c>
      <c r="CI179" s="433">
        <f t="shared" si="34"/>
        <v>0</v>
      </c>
      <c r="CJ179" s="433">
        <f t="shared" si="35"/>
        <v>0</v>
      </c>
      <c r="CK179" s="433">
        <f t="shared" si="36"/>
        <v>0</v>
      </c>
      <c r="CL179" s="433">
        <f t="shared" si="37"/>
        <v>0</v>
      </c>
      <c r="CM179" s="433">
        <f t="shared" si="38"/>
        <v>0</v>
      </c>
      <c r="CN179" s="433">
        <f t="shared" si="39"/>
        <v>0</v>
      </c>
      <c r="CO179" s="433">
        <f t="shared" si="40"/>
        <v>0</v>
      </c>
      <c r="CP179" s="433">
        <f t="shared" si="41"/>
        <v>0</v>
      </c>
      <c r="CQ179" s="433">
        <f t="shared" si="42"/>
        <v>0</v>
      </c>
      <c r="CR179" s="433">
        <f t="shared" si="43"/>
        <v>0</v>
      </c>
      <c r="CS179" s="433">
        <f t="shared" si="44"/>
        <v>0</v>
      </c>
      <c r="CT179" s="21"/>
    </row>
    <row r="180" spans="3:98" hidden="1" outlineLevel="2">
      <c r="C180" s="437" t="s">
        <v>305</v>
      </c>
      <c r="D180" s="416">
        <v>0</v>
      </c>
      <c r="E180" s="416">
        <v>0</v>
      </c>
      <c r="F180" s="416">
        <v>0</v>
      </c>
      <c r="G180" s="416">
        <v>0</v>
      </c>
      <c r="H180" s="416">
        <v>0</v>
      </c>
      <c r="I180" s="416">
        <v>0</v>
      </c>
      <c r="J180" s="416">
        <v>0</v>
      </c>
      <c r="K180" s="416">
        <v>0</v>
      </c>
      <c r="L180" s="416">
        <v>0</v>
      </c>
      <c r="M180" s="416">
        <v>0</v>
      </c>
      <c r="N180" s="416">
        <v>0</v>
      </c>
      <c r="O180" s="416">
        <v>0</v>
      </c>
      <c r="P180" s="416">
        <v>0</v>
      </c>
      <c r="Q180" s="416">
        <v>0</v>
      </c>
      <c r="R180" s="416">
        <v>0</v>
      </c>
      <c r="S180" s="416">
        <v>0</v>
      </c>
      <c r="T180" s="416">
        <v>0</v>
      </c>
      <c r="U180" s="416">
        <v>0</v>
      </c>
      <c r="V180" s="416">
        <v>0</v>
      </c>
      <c r="W180" s="416">
        <v>0</v>
      </c>
      <c r="X180" s="416">
        <v>0</v>
      </c>
      <c r="Y180" s="416">
        <v>0</v>
      </c>
      <c r="Z180" s="416">
        <v>0</v>
      </c>
      <c r="AA180" s="416">
        <v>0</v>
      </c>
      <c r="AB180" s="416">
        <v>0</v>
      </c>
      <c r="AC180" s="416">
        <v>0</v>
      </c>
      <c r="AD180" s="416">
        <v>0</v>
      </c>
      <c r="AE180" s="416">
        <v>0</v>
      </c>
      <c r="AF180" s="416">
        <v>0</v>
      </c>
      <c r="AG180" s="416">
        <v>0</v>
      </c>
      <c r="AH180" s="416">
        <v>0</v>
      </c>
      <c r="AI180" s="416">
        <v>0</v>
      </c>
      <c r="AJ180" s="416">
        <v>0</v>
      </c>
      <c r="AK180" s="416">
        <v>0</v>
      </c>
      <c r="AL180" s="416">
        <v>0</v>
      </c>
      <c r="AM180" s="416">
        <v>0</v>
      </c>
      <c r="AN180" s="416">
        <v>0</v>
      </c>
      <c r="AO180" s="416">
        <v>0</v>
      </c>
      <c r="AP180" s="416">
        <v>0</v>
      </c>
      <c r="AQ180" s="416">
        <v>0</v>
      </c>
      <c r="AR180" s="416">
        <v>0</v>
      </c>
      <c r="AS180" s="416">
        <v>0</v>
      </c>
      <c r="AT180" s="416">
        <v>0</v>
      </c>
      <c r="AU180" s="416">
        <v>0</v>
      </c>
      <c r="AV180" s="416">
        <v>0</v>
      </c>
      <c r="AW180" s="416">
        <v>0</v>
      </c>
      <c r="AX180" s="416">
        <v>0</v>
      </c>
      <c r="AY180" s="416">
        <v>0</v>
      </c>
      <c r="AZ180" s="416">
        <v>0</v>
      </c>
      <c r="BA180" s="416">
        <v>0</v>
      </c>
      <c r="BB180" s="416">
        <v>0</v>
      </c>
      <c r="BC180" s="416">
        <v>0</v>
      </c>
      <c r="BD180" s="416">
        <v>0</v>
      </c>
      <c r="BE180" s="416">
        <v>0</v>
      </c>
      <c r="BF180" s="416">
        <v>0</v>
      </c>
      <c r="BG180" s="416">
        <v>0</v>
      </c>
      <c r="BH180" s="416">
        <v>0</v>
      </c>
      <c r="BI180" s="416">
        <v>0</v>
      </c>
      <c r="BJ180" s="416">
        <v>0</v>
      </c>
      <c r="BK180" s="416">
        <v>0</v>
      </c>
      <c r="BL180" s="416">
        <v>0</v>
      </c>
      <c r="BM180" s="416">
        <v>0</v>
      </c>
      <c r="BN180" s="416">
        <v>0</v>
      </c>
      <c r="BO180" s="416">
        <v>0</v>
      </c>
      <c r="BP180" s="416">
        <v>0</v>
      </c>
      <c r="BQ180" s="416">
        <v>0</v>
      </c>
      <c r="BR180" s="416">
        <v>0</v>
      </c>
      <c r="BS180" s="416">
        <v>0</v>
      </c>
      <c r="BT180" s="416">
        <v>0</v>
      </c>
      <c r="BU180" s="416">
        <v>0</v>
      </c>
      <c r="BV180" s="416">
        <v>0</v>
      </c>
      <c r="BW180" s="416">
        <v>0</v>
      </c>
      <c r="BX180" s="416">
        <v>0</v>
      </c>
      <c r="BY180" s="416">
        <v>0</v>
      </c>
      <c r="BZ180" s="416">
        <v>0</v>
      </c>
      <c r="CC180" s="21"/>
      <c r="CD180" s="437" t="s">
        <v>305</v>
      </c>
      <c r="CE180" s="433">
        <f t="shared" si="30"/>
        <v>0</v>
      </c>
      <c r="CF180" s="433">
        <f t="shared" si="31"/>
        <v>0</v>
      </c>
      <c r="CG180" s="433">
        <f t="shared" si="32"/>
        <v>0</v>
      </c>
      <c r="CH180" s="433">
        <f t="shared" si="33"/>
        <v>0</v>
      </c>
      <c r="CI180" s="433">
        <f t="shared" si="34"/>
        <v>0</v>
      </c>
      <c r="CJ180" s="433">
        <f t="shared" si="35"/>
        <v>0</v>
      </c>
      <c r="CK180" s="433">
        <f t="shared" si="36"/>
        <v>0</v>
      </c>
      <c r="CL180" s="433">
        <f t="shared" si="37"/>
        <v>0</v>
      </c>
      <c r="CM180" s="433">
        <f t="shared" si="38"/>
        <v>0</v>
      </c>
      <c r="CN180" s="433">
        <f t="shared" si="39"/>
        <v>0</v>
      </c>
      <c r="CO180" s="433">
        <f t="shared" si="40"/>
        <v>0</v>
      </c>
      <c r="CP180" s="433">
        <f t="shared" si="41"/>
        <v>0</v>
      </c>
      <c r="CQ180" s="433">
        <f t="shared" si="42"/>
        <v>0</v>
      </c>
      <c r="CR180" s="433">
        <f t="shared" si="43"/>
        <v>0</v>
      </c>
      <c r="CS180" s="433">
        <f t="shared" si="44"/>
        <v>0</v>
      </c>
      <c r="CT180" s="21"/>
    </row>
    <row r="181" spans="3:98" hidden="1" outlineLevel="2">
      <c r="C181" s="437" t="s">
        <v>306</v>
      </c>
      <c r="D181" s="416">
        <v>0</v>
      </c>
      <c r="E181" s="416">
        <v>0</v>
      </c>
      <c r="F181" s="416">
        <v>0</v>
      </c>
      <c r="G181" s="416">
        <v>0</v>
      </c>
      <c r="H181" s="416">
        <v>0</v>
      </c>
      <c r="I181" s="416">
        <v>0</v>
      </c>
      <c r="J181" s="416">
        <v>0</v>
      </c>
      <c r="K181" s="416">
        <v>0</v>
      </c>
      <c r="L181" s="416">
        <v>0</v>
      </c>
      <c r="M181" s="416">
        <v>0</v>
      </c>
      <c r="N181" s="416">
        <v>0</v>
      </c>
      <c r="O181" s="416">
        <v>0</v>
      </c>
      <c r="P181" s="416">
        <v>0</v>
      </c>
      <c r="Q181" s="416">
        <v>0</v>
      </c>
      <c r="R181" s="416">
        <v>0</v>
      </c>
      <c r="S181" s="416">
        <v>0</v>
      </c>
      <c r="T181" s="416">
        <v>0</v>
      </c>
      <c r="U181" s="416">
        <v>0</v>
      </c>
      <c r="V181" s="416">
        <v>0</v>
      </c>
      <c r="W181" s="416">
        <v>0</v>
      </c>
      <c r="X181" s="416">
        <v>0</v>
      </c>
      <c r="Y181" s="416">
        <v>0</v>
      </c>
      <c r="Z181" s="416">
        <v>0</v>
      </c>
      <c r="AA181" s="416">
        <v>0</v>
      </c>
      <c r="AB181" s="416">
        <v>0</v>
      </c>
      <c r="AC181" s="416">
        <v>0</v>
      </c>
      <c r="AD181" s="416">
        <v>0</v>
      </c>
      <c r="AE181" s="416">
        <v>0</v>
      </c>
      <c r="AF181" s="416">
        <v>0</v>
      </c>
      <c r="AG181" s="416">
        <v>0</v>
      </c>
      <c r="AH181" s="416">
        <v>0</v>
      </c>
      <c r="AI181" s="416">
        <v>0</v>
      </c>
      <c r="AJ181" s="416">
        <v>0</v>
      </c>
      <c r="AK181" s="416">
        <v>0</v>
      </c>
      <c r="AL181" s="416">
        <v>0</v>
      </c>
      <c r="AM181" s="416">
        <v>0</v>
      </c>
      <c r="AN181" s="416">
        <v>0</v>
      </c>
      <c r="AO181" s="416">
        <v>0</v>
      </c>
      <c r="AP181" s="416">
        <v>0</v>
      </c>
      <c r="AQ181" s="416">
        <v>0</v>
      </c>
      <c r="AR181" s="416">
        <v>0</v>
      </c>
      <c r="AS181" s="416">
        <v>0</v>
      </c>
      <c r="AT181" s="416">
        <v>0</v>
      </c>
      <c r="AU181" s="416">
        <v>0</v>
      </c>
      <c r="AV181" s="416">
        <v>0</v>
      </c>
      <c r="AW181" s="416">
        <v>0</v>
      </c>
      <c r="AX181" s="416">
        <v>0</v>
      </c>
      <c r="AY181" s="416">
        <v>0</v>
      </c>
      <c r="AZ181" s="416">
        <v>0</v>
      </c>
      <c r="BA181" s="416">
        <v>0</v>
      </c>
      <c r="BB181" s="416">
        <v>0</v>
      </c>
      <c r="BC181" s="416">
        <v>0</v>
      </c>
      <c r="BD181" s="416">
        <v>0</v>
      </c>
      <c r="BE181" s="416">
        <v>0</v>
      </c>
      <c r="BF181" s="416">
        <v>0</v>
      </c>
      <c r="BG181" s="416">
        <v>0</v>
      </c>
      <c r="BH181" s="416">
        <v>0</v>
      </c>
      <c r="BI181" s="416">
        <v>0</v>
      </c>
      <c r="BJ181" s="416">
        <v>0</v>
      </c>
      <c r="BK181" s="416">
        <v>0</v>
      </c>
      <c r="BL181" s="416">
        <v>0</v>
      </c>
      <c r="BM181" s="416">
        <v>0</v>
      </c>
      <c r="BN181" s="416">
        <v>0</v>
      </c>
      <c r="BO181" s="416">
        <v>0</v>
      </c>
      <c r="BP181" s="416">
        <v>0</v>
      </c>
      <c r="BQ181" s="416">
        <v>0</v>
      </c>
      <c r="BR181" s="416">
        <v>0</v>
      </c>
      <c r="BS181" s="416">
        <v>0</v>
      </c>
      <c r="BT181" s="416">
        <v>0</v>
      </c>
      <c r="BU181" s="416">
        <v>0</v>
      </c>
      <c r="BV181" s="416">
        <v>0</v>
      </c>
      <c r="BW181" s="416">
        <v>0</v>
      </c>
      <c r="BX181" s="416">
        <v>0</v>
      </c>
      <c r="BY181" s="416">
        <v>0</v>
      </c>
      <c r="BZ181" s="416">
        <v>0</v>
      </c>
      <c r="CC181" s="21"/>
      <c r="CD181" s="437" t="s">
        <v>306</v>
      </c>
      <c r="CE181" s="433">
        <f t="shared" si="30"/>
        <v>0</v>
      </c>
      <c r="CF181" s="433">
        <f t="shared" si="31"/>
        <v>0</v>
      </c>
      <c r="CG181" s="433">
        <f t="shared" si="32"/>
        <v>0</v>
      </c>
      <c r="CH181" s="433">
        <f t="shared" si="33"/>
        <v>0</v>
      </c>
      <c r="CI181" s="433">
        <f t="shared" si="34"/>
        <v>0</v>
      </c>
      <c r="CJ181" s="433">
        <f t="shared" si="35"/>
        <v>0</v>
      </c>
      <c r="CK181" s="433">
        <f t="shared" si="36"/>
        <v>0</v>
      </c>
      <c r="CL181" s="433">
        <f t="shared" si="37"/>
        <v>0</v>
      </c>
      <c r="CM181" s="433">
        <f t="shared" si="38"/>
        <v>0</v>
      </c>
      <c r="CN181" s="433">
        <f t="shared" si="39"/>
        <v>0</v>
      </c>
      <c r="CO181" s="433">
        <f t="shared" si="40"/>
        <v>0</v>
      </c>
      <c r="CP181" s="433">
        <f t="shared" si="41"/>
        <v>0</v>
      </c>
      <c r="CQ181" s="433">
        <f t="shared" si="42"/>
        <v>0</v>
      </c>
      <c r="CR181" s="433">
        <f t="shared" si="43"/>
        <v>0</v>
      </c>
      <c r="CS181" s="433">
        <f t="shared" si="44"/>
        <v>0</v>
      </c>
      <c r="CT181" s="21"/>
    </row>
    <row r="182" spans="3:98" hidden="1" outlineLevel="2">
      <c r="C182" s="437" t="s">
        <v>307</v>
      </c>
      <c r="D182" s="416">
        <v>0</v>
      </c>
      <c r="E182" s="416">
        <v>0</v>
      </c>
      <c r="F182" s="416">
        <v>0</v>
      </c>
      <c r="G182" s="416">
        <v>0</v>
      </c>
      <c r="H182" s="416">
        <v>0</v>
      </c>
      <c r="I182" s="416">
        <v>0</v>
      </c>
      <c r="J182" s="416">
        <v>0</v>
      </c>
      <c r="K182" s="416">
        <v>0</v>
      </c>
      <c r="L182" s="416">
        <v>0</v>
      </c>
      <c r="M182" s="416">
        <v>0</v>
      </c>
      <c r="N182" s="416">
        <v>0</v>
      </c>
      <c r="O182" s="416">
        <v>0</v>
      </c>
      <c r="P182" s="416">
        <v>0</v>
      </c>
      <c r="Q182" s="416">
        <v>0</v>
      </c>
      <c r="R182" s="416">
        <v>0</v>
      </c>
      <c r="S182" s="416">
        <v>0</v>
      </c>
      <c r="T182" s="416">
        <v>0</v>
      </c>
      <c r="U182" s="416">
        <v>0</v>
      </c>
      <c r="V182" s="416">
        <v>0</v>
      </c>
      <c r="W182" s="416">
        <v>0</v>
      </c>
      <c r="X182" s="416">
        <v>0</v>
      </c>
      <c r="Y182" s="416">
        <v>0</v>
      </c>
      <c r="Z182" s="416">
        <v>0</v>
      </c>
      <c r="AA182" s="416">
        <v>0</v>
      </c>
      <c r="AB182" s="416">
        <v>0</v>
      </c>
      <c r="AC182" s="416">
        <v>0</v>
      </c>
      <c r="AD182" s="416">
        <v>0</v>
      </c>
      <c r="AE182" s="416">
        <v>0</v>
      </c>
      <c r="AF182" s="416">
        <v>0</v>
      </c>
      <c r="AG182" s="416">
        <v>0</v>
      </c>
      <c r="AH182" s="416">
        <v>0</v>
      </c>
      <c r="AI182" s="416">
        <v>0</v>
      </c>
      <c r="AJ182" s="416">
        <v>0</v>
      </c>
      <c r="AK182" s="416">
        <v>0</v>
      </c>
      <c r="AL182" s="416">
        <v>0</v>
      </c>
      <c r="AM182" s="416">
        <v>0</v>
      </c>
      <c r="AN182" s="416">
        <v>0</v>
      </c>
      <c r="AO182" s="416">
        <v>0</v>
      </c>
      <c r="AP182" s="416">
        <v>0</v>
      </c>
      <c r="AQ182" s="416">
        <v>0</v>
      </c>
      <c r="AR182" s="416">
        <v>0</v>
      </c>
      <c r="AS182" s="416">
        <v>0</v>
      </c>
      <c r="AT182" s="416">
        <v>0</v>
      </c>
      <c r="AU182" s="416">
        <v>0</v>
      </c>
      <c r="AV182" s="416">
        <v>0</v>
      </c>
      <c r="AW182" s="416">
        <v>0</v>
      </c>
      <c r="AX182" s="416">
        <v>0</v>
      </c>
      <c r="AY182" s="416">
        <v>0</v>
      </c>
      <c r="AZ182" s="416">
        <v>0</v>
      </c>
      <c r="BA182" s="416">
        <v>0</v>
      </c>
      <c r="BB182" s="416">
        <v>0</v>
      </c>
      <c r="BC182" s="416">
        <v>0</v>
      </c>
      <c r="BD182" s="416">
        <v>0</v>
      </c>
      <c r="BE182" s="416">
        <v>0</v>
      </c>
      <c r="BF182" s="416">
        <v>0</v>
      </c>
      <c r="BG182" s="416">
        <v>0</v>
      </c>
      <c r="BH182" s="416">
        <v>0</v>
      </c>
      <c r="BI182" s="416">
        <v>0</v>
      </c>
      <c r="BJ182" s="416">
        <v>0</v>
      </c>
      <c r="BK182" s="416">
        <v>0</v>
      </c>
      <c r="BL182" s="416">
        <v>0</v>
      </c>
      <c r="BM182" s="416">
        <v>0</v>
      </c>
      <c r="BN182" s="416">
        <v>0</v>
      </c>
      <c r="BO182" s="416">
        <v>0</v>
      </c>
      <c r="BP182" s="416">
        <v>0</v>
      </c>
      <c r="BQ182" s="416">
        <v>0</v>
      </c>
      <c r="BR182" s="416">
        <v>0</v>
      </c>
      <c r="BS182" s="416">
        <v>0</v>
      </c>
      <c r="BT182" s="416">
        <v>0</v>
      </c>
      <c r="BU182" s="416">
        <v>0</v>
      </c>
      <c r="BV182" s="416">
        <v>0</v>
      </c>
      <c r="BW182" s="416">
        <v>0</v>
      </c>
      <c r="BX182" s="416">
        <v>0</v>
      </c>
      <c r="BY182" s="416">
        <v>0</v>
      </c>
      <c r="BZ182" s="416">
        <v>0</v>
      </c>
      <c r="CC182" s="21"/>
      <c r="CD182" s="437" t="s">
        <v>307</v>
      </c>
      <c r="CE182" s="433">
        <f t="shared" si="30"/>
        <v>0</v>
      </c>
      <c r="CF182" s="433">
        <f t="shared" si="31"/>
        <v>0</v>
      </c>
      <c r="CG182" s="433">
        <f t="shared" si="32"/>
        <v>0</v>
      </c>
      <c r="CH182" s="433">
        <f t="shared" si="33"/>
        <v>0</v>
      </c>
      <c r="CI182" s="433">
        <f t="shared" si="34"/>
        <v>0</v>
      </c>
      <c r="CJ182" s="433">
        <f t="shared" si="35"/>
        <v>0</v>
      </c>
      <c r="CK182" s="433">
        <f t="shared" si="36"/>
        <v>0</v>
      </c>
      <c r="CL182" s="433">
        <f t="shared" si="37"/>
        <v>0</v>
      </c>
      <c r="CM182" s="433">
        <f t="shared" si="38"/>
        <v>0</v>
      </c>
      <c r="CN182" s="433">
        <f t="shared" si="39"/>
        <v>0</v>
      </c>
      <c r="CO182" s="433">
        <f t="shared" si="40"/>
        <v>0</v>
      </c>
      <c r="CP182" s="433">
        <f t="shared" si="41"/>
        <v>0</v>
      </c>
      <c r="CQ182" s="433">
        <f t="shared" si="42"/>
        <v>0</v>
      </c>
      <c r="CR182" s="433">
        <f t="shared" si="43"/>
        <v>0</v>
      </c>
      <c r="CS182" s="433">
        <f t="shared" si="44"/>
        <v>0</v>
      </c>
      <c r="CT182" s="21"/>
    </row>
    <row r="183" spans="3:98" hidden="1" outlineLevel="2">
      <c r="C183" s="437" t="s">
        <v>308</v>
      </c>
      <c r="D183" s="416">
        <v>0</v>
      </c>
      <c r="E183" s="416">
        <v>0</v>
      </c>
      <c r="F183" s="416">
        <v>0</v>
      </c>
      <c r="G183" s="416">
        <v>0</v>
      </c>
      <c r="H183" s="416">
        <v>0</v>
      </c>
      <c r="I183" s="416">
        <v>0</v>
      </c>
      <c r="J183" s="416">
        <v>0</v>
      </c>
      <c r="K183" s="416">
        <v>0</v>
      </c>
      <c r="L183" s="416">
        <v>0</v>
      </c>
      <c r="M183" s="416">
        <v>0</v>
      </c>
      <c r="N183" s="416">
        <v>0</v>
      </c>
      <c r="O183" s="416">
        <v>0</v>
      </c>
      <c r="P183" s="416">
        <v>0</v>
      </c>
      <c r="Q183" s="416">
        <v>0</v>
      </c>
      <c r="R183" s="416">
        <v>0</v>
      </c>
      <c r="S183" s="416">
        <v>0</v>
      </c>
      <c r="T183" s="416">
        <v>0</v>
      </c>
      <c r="U183" s="416">
        <v>0</v>
      </c>
      <c r="V183" s="416">
        <v>0</v>
      </c>
      <c r="W183" s="416">
        <v>0</v>
      </c>
      <c r="X183" s="416">
        <v>0</v>
      </c>
      <c r="Y183" s="416">
        <v>0</v>
      </c>
      <c r="Z183" s="416">
        <v>0</v>
      </c>
      <c r="AA183" s="416">
        <v>0</v>
      </c>
      <c r="AB183" s="416">
        <v>0</v>
      </c>
      <c r="AC183" s="416">
        <v>0</v>
      </c>
      <c r="AD183" s="416">
        <v>0</v>
      </c>
      <c r="AE183" s="416">
        <v>0</v>
      </c>
      <c r="AF183" s="416">
        <v>0</v>
      </c>
      <c r="AG183" s="416">
        <v>0</v>
      </c>
      <c r="AH183" s="416">
        <v>0</v>
      </c>
      <c r="AI183" s="416">
        <v>0</v>
      </c>
      <c r="AJ183" s="416">
        <v>0</v>
      </c>
      <c r="AK183" s="416">
        <v>0</v>
      </c>
      <c r="AL183" s="416">
        <v>0</v>
      </c>
      <c r="AM183" s="416">
        <v>0</v>
      </c>
      <c r="AN183" s="416">
        <v>0</v>
      </c>
      <c r="AO183" s="416">
        <v>0</v>
      </c>
      <c r="AP183" s="416">
        <v>0</v>
      </c>
      <c r="AQ183" s="416">
        <v>0</v>
      </c>
      <c r="AR183" s="416">
        <v>0</v>
      </c>
      <c r="AS183" s="416">
        <v>0</v>
      </c>
      <c r="AT183" s="416">
        <v>0</v>
      </c>
      <c r="AU183" s="416">
        <v>0</v>
      </c>
      <c r="AV183" s="416">
        <v>0</v>
      </c>
      <c r="AW183" s="416">
        <v>0</v>
      </c>
      <c r="AX183" s="416">
        <v>0</v>
      </c>
      <c r="AY183" s="416">
        <v>0</v>
      </c>
      <c r="AZ183" s="416">
        <v>0</v>
      </c>
      <c r="BA183" s="416">
        <v>0</v>
      </c>
      <c r="BB183" s="416">
        <v>0</v>
      </c>
      <c r="BC183" s="416">
        <v>0</v>
      </c>
      <c r="BD183" s="416">
        <v>0</v>
      </c>
      <c r="BE183" s="416">
        <v>0</v>
      </c>
      <c r="BF183" s="416">
        <v>0</v>
      </c>
      <c r="BG183" s="416">
        <v>0</v>
      </c>
      <c r="BH183" s="416">
        <v>0</v>
      </c>
      <c r="BI183" s="416">
        <v>0</v>
      </c>
      <c r="BJ183" s="416">
        <v>0</v>
      </c>
      <c r="BK183" s="416">
        <v>0</v>
      </c>
      <c r="BL183" s="416">
        <v>0</v>
      </c>
      <c r="BM183" s="416">
        <v>0</v>
      </c>
      <c r="BN183" s="416">
        <v>0</v>
      </c>
      <c r="BO183" s="416">
        <v>0</v>
      </c>
      <c r="BP183" s="416">
        <v>0</v>
      </c>
      <c r="BQ183" s="416">
        <v>0</v>
      </c>
      <c r="BR183" s="416">
        <v>0</v>
      </c>
      <c r="BS183" s="416">
        <v>0</v>
      </c>
      <c r="BT183" s="416">
        <v>0</v>
      </c>
      <c r="BU183" s="416">
        <v>0</v>
      </c>
      <c r="BV183" s="416">
        <v>0</v>
      </c>
      <c r="BW183" s="416">
        <v>0</v>
      </c>
      <c r="BX183" s="416">
        <v>0</v>
      </c>
      <c r="BY183" s="416">
        <v>0</v>
      </c>
      <c r="BZ183" s="416">
        <v>0</v>
      </c>
      <c r="CC183" s="21"/>
      <c r="CD183" s="437" t="s">
        <v>308</v>
      </c>
      <c r="CE183" s="433">
        <f t="shared" si="30"/>
        <v>0</v>
      </c>
      <c r="CF183" s="433">
        <f t="shared" si="31"/>
        <v>0</v>
      </c>
      <c r="CG183" s="433">
        <f t="shared" si="32"/>
        <v>0</v>
      </c>
      <c r="CH183" s="433">
        <f t="shared" si="33"/>
        <v>0</v>
      </c>
      <c r="CI183" s="433">
        <f t="shared" si="34"/>
        <v>0</v>
      </c>
      <c r="CJ183" s="433">
        <f t="shared" si="35"/>
        <v>0</v>
      </c>
      <c r="CK183" s="433">
        <f t="shared" si="36"/>
        <v>0</v>
      </c>
      <c r="CL183" s="433">
        <f t="shared" si="37"/>
        <v>0</v>
      </c>
      <c r="CM183" s="433">
        <f t="shared" si="38"/>
        <v>0</v>
      </c>
      <c r="CN183" s="433">
        <f t="shared" si="39"/>
        <v>0</v>
      </c>
      <c r="CO183" s="433">
        <f t="shared" si="40"/>
        <v>0</v>
      </c>
      <c r="CP183" s="433">
        <f t="shared" si="41"/>
        <v>0</v>
      </c>
      <c r="CQ183" s="433">
        <f t="shared" si="42"/>
        <v>0</v>
      </c>
      <c r="CR183" s="433">
        <f t="shared" si="43"/>
        <v>0</v>
      </c>
      <c r="CS183" s="433">
        <f t="shared" si="44"/>
        <v>0</v>
      </c>
      <c r="CT183" s="21"/>
    </row>
    <row r="184" spans="3:98" hidden="1" outlineLevel="1">
      <c r="C184" s="426" t="s">
        <v>301</v>
      </c>
      <c r="D184" s="416">
        <v>0</v>
      </c>
      <c r="E184" s="416">
        <v>0</v>
      </c>
      <c r="F184" s="416">
        <v>0</v>
      </c>
      <c r="G184" s="416">
        <v>0</v>
      </c>
      <c r="H184" s="416">
        <v>0</v>
      </c>
      <c r="I184" s="416">
        <v>0</v>
      </c>
      <c r="J184" s="416">
        <v>0</v>
      </c>
      <c r="K184" s="416">
        <v>0</v>
      </c>
      <c r="L184" s="416">
        <v>0</v>
      </c>
      <c r="M184" s="416">
        <v>0</v>
      </c>
      <c r="N184" s="416">
        <v>0</v>
      </c>
      <c r="O184" s="416">
        <v>0</v>
      </c>
      <c r="P184" s="416">
        <v>0</v>
      </c>
      <c r="Q184" s="416">
        <v>0</v>
      </c>
      <c r="R184" s="416">
        <v>0</v>
      </c>
      <c r="S184" s="416">
        <v>0</v>
      </c>
      <c r="T184" s="416">
        <v>0</v>
      </c>
      <c r="U184" s="416">
        <v>0</v>
      </c>
      <c r="V184" s="416">
        <v>0</v>
      </c>
      <c r="W184" s="416">
        <v>0</v>
      </c>
      <c r="X184" s="416">
        <v>0</v>
      </c>
      <c r="Y184" s="416">
        <v>0</v>
      </c>
      <c r="Z184" s="416">
        <v>0</v>
      </c>
      <c r="AA184" s="416">
        <v>0</v>
      </c>
      <c r="AB184" s="416">
        <v>0</v>
      </c>
      <c r="AC184" s="416">
        <v>0</v>
      </c>
      <c r="AD184" s="416">
        <v>0</v>
      </c>
      <c r="AE184" s="416">
        <v>0</v>
      </c>
      <c r="AF184" s="416">
        <v>0</v>
      </c>
      <c r="AG184" s="416">
        <v>0</v>
      </c>
      <c r="AH184" s="416">
        <v>0</v>
      </c>
      <c r="AI184" s="416">
        <v>0</v>
      </c>
      <c r="AJ184" s="416">
        <v>0</v>
      </c>
      <c r="AK184" s="416">
        <v>0</v>
      </c>
      <c r="AL184" s="416">
        <v>0</v>
      </c>
      <c r="AM184" s="416">
        <v>0</v>
      </c>
      <c r="AN184" s="416">
        <v>0</v>
      </c>
      <c r="AO184" s="416">
        <v>0</v>
      </c>
      <c r="AP184" s="416">
        <v>0</v>
      </c>
      <c r="AQ184" s="416">
        <v>0</v>
      </c>
      <c r="AR184" s="416">
        <v>0</v>
      </c>
      <c r="AS184" s="416">
        <v>0</v>
      </c>
      <c r="AT184" s="416">
        <v>0</v>
      </c>
      <c r="AU184" s="416">
        <v>0</v>
      </c>
      <c r="AV184" s="416">
        <v>0</v>
      </c>
      <c r="AW184" s="416">
        <v>0</v>
      </c>
      <c r="AX184" s="416">
        <v>0</v>
      </c>
      <c r="AY184" s="416">
        <v>0</v>
      </c>
      <c r="AZ184" s="416">
        <v>0</v>
      </c>
      <c r="BA184" s="416">
        <v>0</v>
      </c>
      <c r="BB184" s="416">
        <v>0</v>
      </c>
      <c r="BC184" s="416">
        <v>0</v>
      </c>
      <c r="BD184" s="416">
        <v>0</v>
      </c>
      <c r="BE184" s="416">
        <v>0</v>
      </c>
      <c r="BF184" s="416">
        <v>0</v>
      </c>
      <c r="BG184" s="416">
        <v>0</v>
      </c>
      <c r="BH184" s="416">
        <v>0</v>
      </c>
      <c r="BI184" s="416">
        <v>0</v>
      </c>
      <c r="BJ184" s="416">
        <v>0</v>
      </c>
      <c r="BK184" s="416">
        <v>0</v>
      </c>
      <c r="BL184" s="416">
        <v>0</v>
      </c>
      <c r="BM184" s="416">
        <v>0</v>
      </c>
      <c r="BN184" s="416">
        <v>0</v>
      </c>
      <c r="BO184" s="416">
        <v>20.059999999999999</v>
      </c>
      <c r="BP184" s="416">
        <v>20.059999999999999</v>
      </c>
      <c r="BQ184" s="416">
        <v>149.42599999999999</v>
      </c>
      <c r="BR184" s="416">
        <v>0.504</v>
      </c>
      <c r="BS184" s="416">
        <v>0.51200000000000001</v>
      </c>
      <c r="BT184" s="416">
        <v>20.518999999999998</v>
      </c>
      <c r="BU184" s="416">
        <v>20.518999999999998</v>
      </c>
      <c r="BV184" s="416">
        <v>0</v>
      </c>
      <c r="BW184" s="416">
        <v>0</v>
      </c>
      <c r="BX184" s="416">
        <v>0</v>
      </c>
      <c r="BY184" s="416">
        <v>0</v>
      </c>
      <c r="BZ184" s="416">
        <v>0</v>
      </c>
      <c r="CC184" s="21"/>
      <c r="CD184" s="426" t="s">
        <v>301</v>
      </c>
      <c r="CE184" s="433">
        <f t="shared" si="30"/>
        <v>0</v>
      </c>
      <c r="CF184" s="433">
        <f t="shared" si="31"/>
        <v>0</v>
      </c>
      <c r="CG184" s="433">
        <f t="shared" si="32"/>
        <v>0</v>
      </c>
      <c r="CH184" s="433">
        <f t="shared" si="33"/>
        <v>0</v>
      </c>
      <c r="CI184" s="433">
        <f t="shared" si="34"/>
        <v>0</v>
      </c>
      <c r="CJ184" s="433">
        <f t="shared" si="35"/>
        <v>0</v>
      </c>
      <c r="CK184" s="433">
        <f t="shared" si="36"/>
        <v>0</v>
      </c>
      <c r="CL184" s="433">
        <f t="shared" si="37"/>
        <v>0</v>
      </c>
      <c r="CM184" s="433">
        <f t="shared" si="38"/>
        <v>0</v>
      </c>
      <c r="CN184" s="433">
        <f t="shared" si="39"/>
        <v>0</v>
      </c>
      <c r="CO184" s="433">
        <f t="shared" si="40"/>
        <v>0</v>
      </c>
      <c r="CP184" s="433">
        <f t="shared" si="41"/>
        <v>0</v>
      </c>
      <c r="CQ184" s="433">
        <f t="shared" si="42"/>
        <v>20.059999999999999</v>
      </c>
      <c r="CR184" s="433">
        <f t="shared" si="43"/>
        <v>20.518999999999998</v>
      </c>
      <c r="CS184" s="433">
        <f t="shared" si="44"/>
        <v>0</v>
      </c>
      <c r="CT184" s="21"/>
    </row>
    <row r="185" spans="3:98" hidden="1" outlineLevel="3">
      <c r="C185" s="438" t="s">
        <v>311</v>
      </c>
      <c r="D185" s="416">
        <v>0</v>
      </c>
      <c r="E185" s="416">
        <v>0</v>
      </c>
      <c r="F185" s="416">
        <v>0</v>
      </c>
      <c r="G185" s="416">
        <v>0</v>
      </c>
      <c r="H185" s="416">
        <v>0</v>
      </c>
      <c r="I185" s="416">
        <v>0</v>
      </c>
      <c r="J185" s="416">
        <v>0</v>
      </c>
      <c r="K185" s="416">
        <v>0</v>
      </c>
      <c r="L185" s="416">
        <v>0</v>
      </c>
      <c r="M185" s="416">
        <v>0</v>
      </c>
      <c r="N185" s="416">
        <v>0</v>
      </c>
      <c r="O185" s="416">
        <v>0</v>
      </c>
      <c r="P185" s="416">
        <v>0</v>
      </c>
      <c r="Q185" s="416">
        <v>0</v>
      </c>
      <c r="R185" s="416">
        <v>0</v>
      </c>
      <c r="S185" s="416">
        <v>0</v>
      </c>
      <c r="T185" s="416">
        <v>0</v>
      </c>
      <c r="U185" s="416">
        <v>0</v>
      </c>
      <c r="V185" s="416">
        <v>0</v>
      </c>
      <c r="W185" s="416">
        <v>0</v>
      </c>
      <c r="X185" s="416">
        <v>0</v>
      </c>
      <c r="Y185" s="416">
        <v>0</v>
      </c>
      <c r="Z185" s="416">
        <v>0</v>
      </c>
      <c r="AA185" s="416">
        <v>0</v>
      </c>
      <c r="AB185" s="416">
        <v>0</v>
      </c>
      <c r="AC185" s="416">
        <v>0</v>
      </c>
      <c r="AD185" s="416">
        <v>0</v>
      </c>
      <c r="AE185" s="416">
        <v>0</v>
      </c>
      <c r="AF185" s="416">
        <v>0</v>
      </c>
      <c r="AG185" s="416">
        <v>0</v>
      </c>
      <c r="AH185" s="416">
        <v>0</v>
      </c>
      <c r="AI185" s="416">
        <v>0</v>
      </c>
      <c r="AJ185" s="416">
        <v>0</v>
      </c>
      <c r="AK185" s="416">
        <v>0</v>
      </c>
      <c r="AL185" s="416">
        <v>0</v>
      </c>
      <c r="AM185" s="416">
        <v>0</v>
      </c>
      <c r="AN185" s="416">
        <v>0</v>
      </c>
      <c r="AO185" s="416">
        <v>0</v>
      </c>
      <c r="AP185" s="416">
        <v>0</v>
      </c>
      <c r="AQ185" s="416">
        <v>0</v>
      </c>
      <c r="AR185" s="416">
        <v>0</v>
      </c>
      <c r="AS185" s="416">
        <v>0</v>
      </c>
      <c r="AT185" s="416">
        <v>0</v>
      </c>
      <c r="AU185" s="416">
        <v>0</v>
      </c>
      <c r="AV185" s="416">
        <v>0</v>
      </c>
      <c r="AW185" s="416">
        <v>0</v>
      </c>
      <c r="AX185" s="416">
        <v>0</v>
      </c>
      <c r="AY185" s="416">
        <v>0</v>
      </c>
      <c r="AZ185" s="416">
        <v>0</v>
      </c>
      <c r="BA185" s="416">
        <v>0</v>
      </c>
      <c r="BB185" s="416">
        <v>0</v>
      </c>
      <c r="BC185" s="416">
        <v>0</v>
      </c>
      <c r="BD185" s="416">
        <v>0</v>
      </c>
      <c r="BE185" s="416">
        <v>0</v>
      </c>
      <c r="BF185" s="416">
        <v>0</v>
      </c>
      <c r="BG185" s="416">
        <v>0</v>
      </c>
      <c r="BH185" s="416">
        <v>0</v>
      </c>
      <c r="BI185" s="416">
        <v>0</v>
      </c>
      <c r="BJ185" s="416">
        <v>0</v>
      </c>
      <c r="BK185" s="416">
        <v>0</v>
      </c>
      <c r="BL185" s="416">
        <v>0</v>
      </c>
      <c r="BM185" s="416">
        <v>0</v>
      </c>
      <c r="BN185" s="416">
        <v>0</v>
      </c>
      <c r="BO185" s="416">
        <v>0</v>
      </c>
      <c r="BP185" s="416">
        <v>0</v>
      </c>
      <c r="BQ185" s="416">
        <v>0</v>
      </c>
      <c r="BR185" s="416">
        <v>0</v>
      </c>
      <c r="BS185" s="416">
        <v>0</v>
      </c>
      <c r="BT185" s="416">
        <v>0</v>
      </c>
      <c r="BU185" s="416">
        <v>0</v>
      </c>
      <c r="BV185" s="416">
        <v>0</v>
      </c>
      <c r="BW185" s="416">
        <v>0</v>
      </c>
      <c r="BX185" s="416">
        <v>0</v>
      </c>
      <c r="BY185" s="416">
        <v>0</v>
      </c>
      <c r="BZ185" s="416">
        <v>0</v>
      </c>
      <c r="CC185" s="21"/>
      <c r="CD185" s="438" t="s">
        <v>311</v>
      </c>
      <c r="CE185" s="433">
        <f t="shared" si="30"/>
        <v>0</v>
      </c>
      <c r="CF185" s="433">
        <f t="shared" si="31"/>
        <v>0</v>
      </c>
      <c r="CG185" s="433">
        <f t="shared" si="32"/>
        <v>0</v>
      </c>
      <c r="CH185" s="433">
        <f t="shared" si="33"/>
        <v>0</v>
      </c>
      <c r="CI185" s="433">
        <f t="shared" si="34"/>
        <v>0</v>
      </c>
      <c r="CJ185" s="433">
        <f t="shared" si="35"/>
        <v>0</v>
      </c>
      <c r="CK185" s="433">
        <f t="shared" si="36"/>
        <v>0</v>
      </c>
      <c r="CL185" s="433">
        <f t="shared" si="37"/>
        <v>0</v>
      </c>
      <c r="CM185" s="433">
        <f t="shared" si="38"/>
        <v>0</v>
      </c>
      <c r="CN185" s="433">
        <f t="shared" si="39"/>
        <v>0</v>
      </c>
      <c r="CO185" s="433">
        <f t="shared" si="40"/>
        <v>0</v>
      </c>
      <c r="CP185" s="433">
        <f t="shared" si="41"/>
        <v>0</v>
      </c>
      <c r="CQ185" s="433">
        <f t="shared" si="42"/>
        <v>0</v>
      </c>
      <c r="CR185" s="433">
        <f t="shared" si="43"/>
        <v>0</v>
      </c>
      <c r="CS185" s="433">
        <f t="shared" si="44"/>
        <v>0</v>
      </c>
      <c r="CT185" s="21"/>
    </row>
    <row r="186" spans="3:98" hidden="1" outlineLevel="3">
      <c r="C186" s="438" t="s">
        <v>312</v>
      </c>
      <c r="D186" s="416">
        <v>0</v>
      </c>
      <c r="E186" s="416">
        <v>0</v>
      </c>
      <c r="F186" s="416">
        <v>0</v>
      </c>
      <c r="G186" s="416">
        <v>0</v>
      </c>
      <c r="H186" s="416">
        <v>0</v>
      </c>
      <c r="I186" s="416">
        <v>0</v>
      </c>
      <c r="J186" s="416">
        <v>0</v>
      </c>
      <c r="K186" s="416">
        <v>0</v>
      </c>
      <c r="L186" s="416">
        <v>0</v>
      </c>
      <c r="M186" s="416">
        <v>0</v>
      </c>
      <c r="N186" s="416">
        <v>0</v>
      </c>
      <c r="O186" s="416">
        <v>0</v>
      </c>
      <c r="P186" s="416">
        <v>0</v>
      </c>
      <c r="Q186" s="416">
        <v>0</v>
      </c>
      <c r="R186" s="416">
        <v>0</v>
      </c>
      <c r="S186" s="416">
        <v>0</v>
      </c>
      <c r="T186" s="416">
        <v>0</v>
      </c>
      <c r="U186" s="416">
        <v>0</v>
      </c>
      <c r="V186" s="416">
        <v>0</v>
      </c>
      <c r="W186" s="416">
        <v>0</v>
      </c>
      <c r="X186" s="416">
        <v>0</v>
      </c>
      <c r="Y186" s="416">
        <v>0</v>
      </c>
      <c r="Z186" s="416">
        <v>0</v>
      </c>
      <c r="AA186" s="416">
        <v>0</v>
      </c>
      <c r="AB186" s="416">
        <v>0</v>
      </c>
      <c r="AC186" s="416">
        <v>0</v>
      </c>
      <c r="AD186" s="416">
        <v>0</v>
      </c>
      <c r="AE186" s="416">
        <v>0</v>
      </c>
      <c r="AF186" s="416">
        <v>0</v>
      </c>
      <c r="AG186" s="416">
        <v>0</v>
      </c>
      <c r="AH186" s="416">
        <v>0</v>
      </c>
      <c r="AI186" s="416">
        <v>0</v>
      </c>
      <c r="AJ186" s="416">
        <v>0</v>
      </c>
      <c r="AK186" s="416">
        <v>0</v>
      </c>
      <c r="AL186" s="416">
        <v>0</v>
      </c>
      <c r="AM186" s="416">
        <v>0</v>
      </c>
      <c r="AN186" s="416">
        <v>0</v>
      </c>
      <c r="AO186" s="416">
        <v>0</v>
      </c>
      <c r="AP186" s="416">
        <v>0</v>
      </c>
      <c r="AQ186" s="416">
        <v>0</v>
      </c>
      <c r="AR186" s="416">
        <v>0</v>
      </c>
      <c r="AS186" s="416">
        <v>0</v>
      </c>
      <c r="AT186" s="416">
        <v>0</v>
      </c>
      <c r="AU186" s="416">
        <v>0</v>
      </c>
      <c r="AV186" s="416">
        <v>0</v>
      </c>
      <c r="AW186" s="416">
        <v>0</v>
      </c>
      <c r="AX186" s="416">
        <v>0</v>
      </c>
      <c r="AY186" s="416">
        <v>0</v>
      </c>
      <c r="AZ186" s="416">
        <v>0</v>
      </c>
      <c r="BA186" s="416">
        <v>0</v>
      </c>
      <c r="BB186" s="416">
        <v>0</v>
      </c>
      <c r="BC186" s="416">
        <v>0</v>
      </c>
      <c r="BD186" s="416">
        <v>0</v>
      </c>
      <c r="BE186" s="416">
        <v>0</v>
      </c>
      <c r="BF186" s="416">
        <v>0</v>
      </c>
      <c r="BG186" s="416">
        <v>0</v>
      </c>
      <c r="BH186" s="416">
        <v>0</v>
      </c>
      <c r="BI186" s="416">
        <v>0</v>
      </c>
      <c r="BJ186" s="416">
        <v>0</v>
      </c>
      <c r="BK186" s="416">
        <v>0</v>
      </c>
      <c r="BL186" s="416">
        <v>0</v>
      </c>
      <c r="BM186" s="416">
        <v>0</v>
      </c>
      <c r="BN186" s="416">
        <v>0</v>
      </c>
      <c r="BO186" s="416">
        <v>0</v>
      </c>
      <c r="BP186" s="416">
        <v>0</v>
      </c>
      <c r="BQ186" s="416">
        <v>0</v>
      </c>
      <c r="BR186" s="416">
        <v>0</v>
      </c>
      <c r="BS186" s="416">
        <v>0</v>
      </c>
      <c r="BT186" s="416">
        <v>0</v>
      </c>
      <c r="BU186" s="416">
        <v>0</v>
      </c>
      <c r="BV186" s="416">
        <v>0</v>
      </c>
      <c r="BW186" s="416">
        <v>0</v>
      </c>
      <c r="BX186" s="416">
        <v>0</v>
      </c>
      <c r="BY186" s="416">
        <v>0</v>
      </c>
      <c r="BZ186" s="416">
        <v>0</v>
      </c>
      <c r="CC186" s="21"/>
      <c r="CD186" s="438" t="s">
        <v>312</v>
      </c>
      <c r="CE186" s="433">
        <f t="shared" si="30"/>
        <v>0</v>
      </c>
      <c r="CF186" s="433">
        <f t="shared" si="31"/>
        <v>0</v>
      </c>
      <c r="CG186" s="433">
        <f t="shared" si="32"/>
        <v>0</v>
      </c>
      <c r="CH186" s="433">
        <f t="shared" si="33"/>
        <v>0</v>
      </c>
      <c r="CI186" s="433">
        <f t="shared" si="34"/>
        <v>0</v>
      </c>
      <c r="CJ186" s="433">
        <f t="shared" si="35"/>
        <v>0</v>
      </c>
      <c r="CK186" s="433">
        <f t="shared" si="36"/>
        <v>0</v>
      </c>
      <c r="CL186" s="433">
        <f t="shared" si="37"/>
        <v>0</v>
      </c>
      <c r="CM186" s="433">
        <f t="shared" si="38"/>
        <v>0</v>
      </c>
      <c r="CN186" s="433">
        <f t="shared" si="39"/>
        <v>0</v>
      </c>
      <c r="CO186" s="433">
        <f t="shared" si="40"/>
        <v>0</v>
      </c>
      <c r="CP186" s="433">
        <f t="shared" si="41"/>
        <v>0</v>
      </c>
      <c r="CQ186" s="433">
        <f t="shared" si="42"/>
        <v>0</v>
      </c>
      <c r="CR186" s="433">
        <f t="shared" si="43"/>
        <v>0</v>
      </c>
      <c r="CS186" s="433">
        <f t="shared" si="44"/>
        <v>0</v>
      </c>
      <c r="CT186" s="21"/>
    </row>
    <row r="187" spans="3:98" hidden="1" outlineLevel="3">
      <c r="C187" s="438" t="s">
        <v>313</v>
      </c>
      <c r="D187" s="416">
        <v>0</v>
      </c>
      <c r="E187" s="416">
        <v>0</v>
      </c>
      <c r="F187" s="416">
        <v>0</v>
      </c>
      <c r="G187" s="416">
        <v>0</v>
      </c>
      <c r="H187" s="416">
        <v>0</v>
      </c>
      <c r="I187" s="416">
        <v>0</v>
      </c>
      <c r="J187" s="416">
        <v>0</v>
      </c>
      <c r="K187" s="416">
        <v>0</v>
      </c>
      <c r="L187" s="416">
        <v>0</v>
      </c>
      <c r="M187" s="416">
        <v>0</v>
      </c>
      <c r="N187" s="416">
        <v>0</v>
      </c>
      <c r="O187" s="416">
        <v>0</v>
      </c>
      <c r="P187" s="416">
        <v>0</v>
      </c>
      <c r="Q187" s="416">
        <v>0</v>
      </c>
      <c r="R187" s="416">
        <v>0</v>
      </c>
      <c r="S187" s="416">
        <v>0</v>
      </c>
      <c r="T187" s="416">
        <v>0</v>
      </c>
      <c r="U187" s="416">
        <v>0</v>
      </c>
      <c r="V187" s="416">
        <v>0</v>
      </c>
      <c r="W187" s="416">
        <v>0</v>
      </c>
      <c r="X187" s="416">
        <v>0</v>
      </c>
      <c r="Y187" s="416">
        <v>0</v>
      </c>
      <c r="Z187" s="416">
        <v>0</v>
      </c>
      <c r="AA187" s="416">
        <v>0</v>
      </c>
      <c r="AB187" s="416">
        <v>0</v>
      </c>
      <c r="AC187" s="416">
        <v>0</v>
      </c>
      <c r="AD187" s="416">
        <v>0</v>
      </c>
      <c r="AE187" s="416">
        <v>0</v>
      </c>
      <c r="AF187" s="416">
        <v>0</v>
      </c>
      <c r="AG187" s="416">
        <v>0</v>
      </c>
      <c r="AH187" s="416">
        <v>0</v>
      </c>
      <c r="AI187" s="416">
        <v>0</v>
      </c>
      <c r="AJ187" s="416">
        <v>0</v>
      </c>
      <c r="AK187" s="416">
        <v>0</v>
      </c>
      <c r="AL187" s="416">
        <v>0</v>
      </c>
      <c r="AM187" s="416">
        <v>0</v>
      </c>
      <c r="AN187" s="416">
        <v>0</v>
      </c>
      <c r="AO187" s="416">
        <v>0</v>
      </c>
      <c r="AP187" s="416">
        <v>0</v>
      </c>
      <c r="AQ187" s="416">
        <v>0</v>
      </c>
      <c r="AR187" s="416">
        <v>0</v>
      </c>
      <c r="AS187" s="416">
        <v>0</v>
      </c>
      <c r="AT187" s="416">
        <v>0</v>
      </c>
      <c r="AU187" s="416">
        <v>0</v>
      </c>
      <c r="AV187" s="416">
        <v>0</v>
      </c>
      <c r="AW187" s="416">
        <v>0</v>
      </c>
      <c r="AX187" s="416">
        <v>0</v>
      </c>
      <c r="AY187" s="416">
        <v>0</v>
      </c>
      <c r="AZ187" s="416">
        <v>0</v>
      </c>
      <c r="BA187" s="416">
        <v>0</v>
      </c>
      <c r="BB187" s="416">
        <v>0</v>
      </c>
      <c r="BC187" s="416">
        <v>0</v>
      </c>
      <c r="BD187" s="416">
        <v>0</v>
      </c>
      <c r="BE187" s="416">
        <v>0</v>
      </c>
      <c r="BF187" s="416">
        <v>0</v>
      </c>
      <c r="BG187" s="416">
        <v>0</v>
      </c>
      <c r="BH187" s="416">
        <v>0</v>
      </c>
      <c r="BI187" s="416">
        <v>0</v>
      </c>
      <c r="BJ187" s="416">
        <v>0</v>
      </c>
      <c r="BK187" s="416">
        <v>0</v>
      </c>
      <c r="BL187" s="416">
        <v>0</v>
      </c>
      <c r="BM187" s="416">
        <v>0</v>
      </c>
      <c r="BN187" s="416">
        <v>0</v>
      </c>
      <c r="BO187" s="416">
        <v>0</v>
      </c>
      <c r="BP187" s="416">
        <v>0</v>
      </c>
      <c r="BQ187" s="416">
        <v>0</v>
      </c>
      <c r="BR187" s="416">
        <v>0</v>
      </c>
      <c r="BS187" s="416">
        <v>0</v>
      </c>
      <c r="BT187" s="416">
        <v>0</v>
      </c>
      <c r="BU187" s="416">
        <v>0</v>
      </c>
      <c r="BV187" s="416">
        <v>0</v>
      </c>
      <c r="BW187" s="416">
        <v>0</v>
      </c>
      <c r="BX187" s="416">
        <v>0</v>
      </c>
      <c r="BY187" s="416">
        <v>0</v>
      </c>
      <c r="BZ187" s="416">
        <v>0</v>
      </c>
      <c r="CC187" s="21"/>
      <c r="CD187" s="438" t="s">
        <v>313</v>
      </c>
      <c r="CE187" s="433">
        <f t="shared" si="30"/>
        <v>0</v>
      </c>
      <c r="CF187" s="433">
        <f t="shared" si="31"/>
        <v>0</v>
      </c>
      <c r="CG187" s="433">
        <f t="shared" si="32"/>
        <v>0</v>
      </c>
      <c r="CH187" s="433">
        <f t="shared" si="33"/>
        <v>0</v>
      </c>
      <c r="CI187" s="433">
        <f t="shared" si="34"/>
        <v>0</v>
      </c>
      <c r="CJ187" s="433">
        <f t="shared" si="35"/>
        <v>0</v>
      </c>
      <c r="CK187" s="433">
        <f t="shared" si="36"/>
        <v>0</v>
      </c>
      <c r="CL187" s="433">
        <f t="shared" si="37"/>
        <v>0</v>
      </c>
      <c r="CM187" s="433">
        <f t="shared" si="38"/>
        <v>0</v>
      </c>
      <c r="CN187" s="433">
        <f t="shared" si="39"/>
        <v>0</v>
      </c>
      <c r="CO187" s="433">
        <f t="shared" si="40"/>
        <v>0</v>
      </c>
      <c r="CP187" s="433">
        <f t="shared" si="41"/>
        <v>0</v>
      </c>
      <c r="CQ187" s="433">
        <f t="shared" si="42"/>
        <v>0</v>
      </c>
      <c r="CR187" s="433">
        <f t="shared" si="43"/>
        <v>0</v>
      </c>
      <c r="CS187" s="433">
        <f t="shared" si="44"/>
        <v>0</v>
      </c>
      <c r="CT187" s="21"/>
    </row>
    <row r="188" spans="3:98" hidden="1" outlineLevel="3">
      <c r="C188" s="438" t="s">
        <v>314</v>
      </c>
      <c r="D188" s="416">
        <v>0</v>
      </c>
      <c r="E188" s="416">
        <v>0</v>
      </c>
      <c r="F188" s="416">
        <v>0</v>
      </c>
      <c r="G188" s="416">
        <v>0</v>
      </c>
      <c r="H188" s="416">
        <v>0</v>
      </c>
      <c r="I188" s="416">
        <v>0</v>
      </c>
      <c r="J188" s="416">
        <v>0</v>
      </c>
      <c r="K188" s="416">
        <v>0</v>
      </c>
      <c r="L188" s="416">
        <v>0</v>
      </c>
      <c r="M188" s="416">
        <v>0</v>
      </c>
      <c r="N188" s="416">
        <v>0</v>
      </c>
      <c r="O188" s="416">
        <v>0</v>
      </c>
      <c r="P188" s="416">
        <v>0</v>
      </c>
      <c r="Q188" s="416">
        <v>0</v>
      </c>
      <c r="R188" s="416">
        <v>0</v>
      </c>
      <c r="S188" s="416">
        <v>0</v>
      </c>
      <c r="T188" s="416">
        <v>0</v>
      </c>
      <c r="U188" s="416">
        <v>0</v>
      </c>
      <c r="V188" s="416">
        <v>0</v>
      </c>
      <c r="W188" s="416">
        <v>0</v>
      </c>
      <c r="X188" s="416">
        <v>0</v>
      </c>
      <c r="Y188" s="416">
        <v>0</v>
      </c>
      <c r="Z188" s="416">
        <v>0</v>
      </c>
      <c r="AA188" s="416">
        <v>0</v>
      </c>
      <c r="AB188" s="416">
        <v>0</v>
      </c>
      <c r="AC188" s="416">
        <v>0</v>
      </c>
      <c r="AD188" s="416">
        <v>0</v>
      </c>
      <c r="AE188" s="416">
        <v>0</v>
      </c>
      <c r="AF188" s="416">
        <v>0</v>
      </c>
      <c r="AG188" s="416">
        <v>0</v>
      </c>
      <c r="AH188" s="416">
        <v>0</v>
      </c>
      <c r="AI188" s="416">
        <v>0</v>
      </c>
      <c r="AJ188" s="416">
        <v>0</v>
      </c>
      <c r="AK188" s="416">
        <v>0</v>
      </c>
      <c r="AL188" s="416">
        <v>0</v>
      </c>
      <c r="AM188" s="416">
        <v>0</v>
      </c>
      <c r="AN188" s="416">
        <v>0</v>
      </c>
      <c r="AO188" s="416">
        <v>0</v>
      </c>
      <c r="AP188" s="416">
        <v>0</v>
      </c>
      <c r="AQ188" s="416">
        <v>0</v>
      </c>
      <c r="AR188" s="416">
        <v>0</v>
      </c>
      <c r="AS188" s="416">
        <v>0</v>
      </c>
      <c r="AT188" s="416">
        <v>0</v>
      </c>
      <c r="AU188" s="416">
        <v>0</v>
      </c>
      <c r="AV188" s="416">
        <v>0</v>
      </c>
      <c r="AW188" s="416">
        <v>0</v>
      </c>
      <c r="AX188" s="416">
        <v>0</v>
      </c>
      <c r="AY188" s="416">
        <v>0</v>
      </c>
      <c r="AZ188" s="416">
        <v>0</v>
      </c>
      <c r="BA188" s="416">
        <v>0</v>
      </c>
      <c r="BB188" s="416">
        <v>0</v>
      </c>
      <c r="BC188" s="416">
        <v>0</v>
      </c>
      <c r="BD188" s="416">
        <v>0</v>
      </c>
      <c r="BE188" s="416">
        <v>0</v>
      </c>
      <c r="BF188" s="416">
        <v>0</v>
      </c>
      <c r="BG188" s="416">
        <v>0</v>
      </c>
      <c r="BH188" s="416">
        <v>0</v>
      </c>
      <c r="BI188" s="416">
        <v>0</v>
      </c>
      <c r="BJ188" s="416">
        <v>0</v>
      </c>
      <c r="BK188" s="416">
        <v>0</v>
      </c>
      <c r="BL188" s="416">
        <v>0</v>
      </c>
      <c r="BM188" s="416">
        <v>0</v>
      </c>
      <c r="BN188" s="416">
        <v>0</v>
      </c>
      <c r="BO188" s="416">
        <v>0</v>
      </c>
      <c r="BP188" s="416">
        <v>0</v>
      </c>
      <c r="BQ188" s="416">
        <v>0</v>
      </c>
      <c r="BR188" s="416">
        <v>0</v>
      </c>
      <c r="BS188" s="416">
        <v>0</v>
      </c>
      <c r="BT188" s="416">
        <v>0</v>
      </c>
      <c r="BU188" s="416">
        <v>0</v>
      </c>
      <c r="BV188" s="416">
        <v>0</v>
      </c>
      <c r="BW188" s="416">
        <v>0</v>
      </c>
      <c r="BX188" s="416">
        <v>0</v>
      </c>
      <c r="BY188" s="416">
        <v>0</v>
      </c>
      <c r="BZ188" s="416">
        <v>0</v>
      </c>
      <c r="CC188" s="21"/>
      <c r="CD188" s="438" t="s">
        <v>314</v>
      </c>
      <c r="CE188" s="433">
        <f t="shared" si="30"/>
        <v>0</v>
      </c>
      <c r="CF188" s="433">
        <f t="shared" si="31"/>
        <v>0</v>
      </c>
      <c r="CG188" s="433">
        <f t="shared" si="32"/>
        <v>0</v>
      </c>
      <c r="CH188" s="433">
        <f t="shared" si="33"/>
        <v>0</v>
      </c>
      <c r="CI188" s="433">
        <f t="shared" si="34"/>
        <v>0</v>
      </c>
      <c r="CJ188" s="433">
        <f t="shared" si="35"/>
        <v>0</v>
      </c>
      <c r="CK188" s="433">
        <f t="shared" si="36"/>
        <v>0</v>
      </c>
      <c r="CL188" s="433">
        <f t="shared" si="37"/>
        <v>0</v>
      </c>
      <c r="CM188" s="433">
        <f t="shared" si="38"/>
        <v>0</v>
      </c>
      <c r="CN188" s="433">
        <f t="shared" si="39"/>
        <v>0</v>
      </c>
      <c r="CO188" s="433">
        <f t="shared" si="40"/>
        <v>0</v>
      </c>
      <c r="CP188" s="433">
        <f t="shared" si="41"/>
        <v>0</v>
      </c>
      <c r="CQ188" s="433">
        <f t="shared" si="42"/>
        <v>0</v>
      </c>
      <c r="CR188" s="433">
        <f t="shared" si="43"/>
        <v>0</v>
      </c>
      <c r="CS188" s="433">
        <f t="shared" si="44"/>
        <v>0</v>
      </c>
      <c r="CT188" s="21"/>
    </row>
    <row r="189" spans="3:98" hidden="1" outlineLevel="3">
      <c r="C189" s="438" t="s">
        <v>315</v>
      </c>
      <c r="D189" s="416">
        <v>0</v>
      </c>
      <c r="E189" s="416">
        <v>0</v>
      </c>
      <c r="F189" s="416">
        <v>0</v>
      </c>
      <c r="G189" s="416">
        <v>0</v>
      </c>
      <c r="H189" s="416">
        <v>0</v>
      </c>
      <c r="I189" s="416">
        <v>0</v>
      </c>
      <c r="J189" s="416">
        <v>0</v>
      </c>
      <c r="K189" s="416">
        <v>0</v>
      </c>
      <c r="L189" s="416">
        <v>0</v>
      </c>
      <c r="M189" s="416">
        <v>0</v>
      </c>
      <c r="N189" s="416">
        <v>0</v>
      </c>
      <c r="O189" s="416">
        <v>0</v>
      </c>
      <c r="P189" s="416">
        <v>0</v>
      </c>
      <c r="Q189" s="416">
        <v>0</v>
      </c>
      <c r="R189" s="416">
        <v>0</v>
      </c>
      <c r="S189" s="416">
        <v>0</v>
      </c>
      <c r="T189" s="416">
        <v>0</v>
      </c>
      <c r="U189" s="416">
        <v>0</v>
      </c>
      <c r="V189" s="416">
        <v>0</v>
      </c>
      <c r="W189" s="416">
        <v>0</v>
      </c>
      <c r="X189" s="416">
        <v>0</v>
      </c>
      <c r="Y189" s="416">
        <v>0</v>
      </c>
      <c r="Z189" s="416">
        <v>0</v>
      </c>
      <c r="AA189" s="416">
        <v>0</v>
      </c>
      <c r="AB189" s="416">
        <v>0</v>
      </c>
      <c r="AC189" s="416">
        <v>0</v>
      </c>
      <c r="AD189" s="416">
        <v>0</v>
      </c>
      <c r="AE189" s="416">
        <v>0</v>
      </c>
      <c r="AF189" s="416">
        <v>0</v>
      </c>
      <c r="AG189" s="416">
        <v>0</v>
      </c>
      <c r="AH189" s="416">
        <v>0</v>
      </c>
      <c r="AI189" s="416">
        <v>0</v>
      </c>
      <c r="AJ189" s="416">
        <v>0</v>
      </c>
      <c r="AK189" s="416">
        <v>0</v>
      </c>
      <c r="AL189" s="416">
        <v>0</v>
      </c>
      <c r="AM189" s="416">
        <v>0</v>
      </c>
      <c r="AN189" s="416">
        <v>0</v>
      </c>
      <c r="AO189" s="416">
        <v>0</v>
      </c>
      <c r="AP189" s="416">
        <v>0</v>
      </c>
      <c r="AQ189" s="416">
        <v>0</v>
      </c>
      <c r="AR189" s="416">
        <v>0</v>
      </c>
      <c r="AS189" s="416">
        <v>0</v>
      </c>
      <c r="AT189" s="416">
        <v>0</v>
      </c>
      <c r="AU189" s="416">
        <v>0</v>
      </c>
      <c r="AV189" s="416">
        <v>0</v>
      </c>
      <c r="AW189" s="416">
        <v>0</v>
      </c>
      <c r="AX189" s="416">
        <v>0</v>
      </c>
      <c r="AY189" s="416">
        <v>0</v>
      </c>
      <c r="AZ189" s="416">
        <v>0</v>
      </c>
      <c r="BA189" s="416">
        <v>0</v>
      </c>
      <c r="BB189" s="416">
        <v>0</v>
      </c>
      <c r="BC189" s="416">
        <v>0</v>
      </c>
      <c r="BD189" s="416">
        <v>0</v>
      </c>
      <c r="BE189" s="416">
        <v>0</v>
      </c>
      <c r="BF189" s="416">
        <v>0</v>
      </c>
      <c r="BG189" s="416">
        <v>0</v>
      </c>
      <c r="BH189" s="416">
        <v>0</v>
      </c>
      <c r="BI189" s="416">
        <v>0</v>
      </c>
      <c r="BJ189" s="416">
        <v>0</v>
      </c>
      <c r="BK189" s="416">
        <v>0</v>
      </c>
      <c r="BL189" s="416">
        <v>0</v>
      </c>
      <c r="BM189" s="416">
        <v>0</v>
      </c>
      <c r="BN189" s="416">
        <v>0</v>
      </c>
      <c r="BO189" s="416">
        <v>0</v>
      </c>
      <c r="BP189" s="416">
        <v>0</v>
      </c>
      <c r="BQ189" s="416">
        <v>0</v>
      </c>
      <c r="BR189" s="416">
        <v>0</v>
      </c>
      <c r="BS189" s="416">
        <v>0</v>
      </c>
      <c r="BT189" s="416">
        <v>0</v>
      </c>
      <c r="BU189" s="416">
        <v>0</v>
      </c>
      <c r="BV189" s="416">
        <v>0</v>
      </c>
      <c r="BW189" s="416">
        <v>0</v>
      </c>
      <c r="BX189" s="416">
        <v>0</v>
      </c>
      <c r="BY189" s="416">
        <v>0</v>
      </c>
      <c r="BZ189" s="416">
        <v>0</v>
      </c>
      <c r="CC189" s="21"/>
      <c r="CD189" s="438" t="s">
        <v>315</v>
      </c>
      <c r="CE189" s="433">
        <f t="shared" si="30"/>
        <v>0</v>
      </c>
      <c r="CF189" s="433">
        <f t="shared" si="31"/>
        <v>0</v>
      </c>
      <c r="CG189" s="433">
        <f t="shared" si="32"/>
        <v>0</v>
      </c>
      <c r="CH189" s="433">
        <f t="shared" si="33"/>
        <v>0</v>
      </c>
      <c r="CI189" s="433">
        <f t="shared" si="34"/>
        <v>0</v>
      </c>
      <c r="CJ189" s="433">
        <f t="shared" si="35"/>
        <v>0</v>
      </c>
      <c r="CK189" s="433">
        <f t="shared" si="36"/>
        <v>0</v>
      </c>
      <c r="CL189" s="433">
        <f t="shared" si="37"/>
        <v>0</v>
      </c>
      <c r="CM189" s="433">
        <f t="shared" si="38"/>
        <v>0</v>
      </c>
      <c r="CN189" s="433">
        <f t="shared" si="39"/>
        <v>0</v>
      </c>
      <c r="CO189" s="433">
        <f t="shared" si="40"/>
        <v>0</v>
      </c>
      <c r="CP189" s="433">
        <f t="shared" si="41"/>
        <v>0</v>
      </c>
      <c r="CQ189" s="433">
        <f t="shared" si="42"/>
        <v>0</v>
      </c>
      <c r="CR189" s="433">
        <f t="shared" si="43"/>
        <v>0</v>
      </c>
      <c r="CS189" s="433">
        <f t="shared" si="44"/>
        <v>0</v>
      </c>
      <c r="CT189" s="21"/>
    </row>
    <row r="190" spans="3:98" hidden="1" outlineLevel="2">
      <c r="C190" s="437" t="s">
        <v>310</v>
      </c>
      <c r="D190" s="416">
        <v>0</v>
      </c>
      <c r="E190" s="416">
        <v>0</v>
      </c>
      <c r="F190" s="416">
        <v>0</v>
      </c>
      <c r="G190" s="416">
        <v>0</v>
      </c>
      <c r="H190" s="416">
        <v>0</v>
      </c>
      <c r="I190" s="416">
        <v>0</v>
      </c>
      <c r="J190" s="416">
        <v>0</v>
      </c>
      <c r="K190" s="416">
        <v>0</v>
      </c>
      <c r="L190" s="416">
        <v>0</v>
      </c>
      <c r="M190" s="416">
        <v>0</v>
      </c>
      <c r="N190" s="416">
        <v>0</v>
      </c>
      <c r="O190" s="416">
        <v>0</v>
      </c>
      <c r="P190" s="416">
        <v>0</v>
      </c>
      <c r="Q190" s="416">
        <v>0</v>
      </c>
      <c r="R190" s="416">
        <v>0</v>
      </c>
      <c r="S190" s="416">
        <v>0</v>
      </c>
      <c r="T190" s="416">
        <v>0</v>
      </c>
      <c r="U190" s="416">
        <v>0</v>
      </c>
      <c r="V190" s="416">
        <v>0</v>
      </c>
      <c r="W190" s="416">
        <v>0</v>
      </c>
      <c r="X190" s="416">
        <v>0</v>
      </c>
      <c r="Y190" s="416">
        <v>0</v>
      </c>
      <c r="Z190" s="416">
        <v>0</v>
      </c>
      <c r="AA190" s="416">
        <v>0</v>
      </c>
      <c r="AB190" s="416">
        <v>0</v>
      </c>
      <c r="AC190" s="416">
        <v>0</v>
      </c>
      <c r="AD190" s="416">
        <v>0</v>
      </c>
      <c r="AE190" s="416">
        <v>0</v>
      </c>
      <c r="AF190" s="416">
        <v>0</v>
      </c>
      <c r="AG190" s="416">
        <v>0</v>
      </c>
      <c r="AH190" s="416">
        <v>0</v>
      </c>
      <c r="AI190" s="416">
        <v>0</v>
      </c>
      <c r="AJ190" s="416">
        <v>0</v>
      </c>
      <c r="AK190" s="416">
        <v>0</v>
      </c>
      <c r="AL190" s="416">
        <v>0</v>
      </c>
      <c r="AM190" s="416">
        <v>0</v>
      </c>
      <c r="AN190" s="416">
        <v>0</v>
      </c>
      <c r="AO190" s="416">
        <v>0</v>
      </c>
      <c r="AP190" s="416">
        <v>0</v>
      </c>
      <c r="AQ190" s="416">
        <v>0</v>
      </c>
      <c r="AR190" s="416">
        <v>0</v>
      </c>
      <c r="AS190" s="416">
        <v>0</v>
      </c>
      <c r="AT190" s="416">
        <v>0</v>
      </c>
      <c r="AU190" s="416">
        <v>0</v>
      </c>
      <c r="AV190" s="416">
        <v>0</v>
      </c>
      <c r="AW190" s="416">
        <v>0</v>
      </c>
      <c r="AX190" s="416">
        <v>0</v>
      </c>
      <c r="AY190" s="416">
        <v>0</v>
      </c>
      <c r="AZ190" s="416">
        <v>0</v>
      </c>
      <c r="BA190" s="416">
        <v>0</v>
      </c>
      <c r="BB190" s="416">
        <v>0</v>
      </c>
      <c r="BC190" s="416">
        <v>0</v>
      </c>
      <c r="BD190" s="416">
        <v>0</v>
      </c>
      <c r="BE190" s="416">
        <v>0</v>
      </c>
      <c r="BF190" s="416">
        <v>0</v>
      </c>
      <c r="BG190" s="416">
        <v>0</v>
      </c>
      <c r="BH190" s="416">
        <v>0</v>
      </c>
      <c r="BI190" s="416">
        <v>0</v>
      </c>
      <c r="BJ190" s="416">
        <v>0</v>
      </c>
      <c r="BK190" s="416">
        <v>0</v>
      </c>
      <c r="BL190" s="416">
        <v>0</v>
      </c>
      <c r="BM190" s="416">
        <v>0</v>
      </c>
      <c r="BN190" s="416">
        <v>0</v>
      </c>
      <c r="BO190" s="416">
        <v>0</v>
      </c>
      <c r="BP190" s="416">
        <v>0</v>
      </c>
      <c r="BQ190" s="416">
        <v>0</v>
      </c>
      <c r="BR190" s="416">
        <v>0</v>
      </c>
      <c r="BS190" s="416">
        <v>0</v>
      </c>
      <c r="BT190" s="416">
        <v>0</v>
      </c>
      <c r="BU190" s="416">
        <v>0</v>
      </c>
      <c r="BV190" s="416">
        <v>0</v>
      </c>
      <c r="BW190" s="416">
        <v>0</v>
      </c>
      <c r="BX190" s="416">
        <v>0</v>
      </c>
      <c r="BY190" s="416">
        <v>0</v>
      </c>
      <c r="BZ190" s="416">
        <v>0</v>
      </c>
      <c r="CC190" s="21"/>
      <c r="CD190" s="437" t="s">
        <v>310</v>
      </c>
      <c r="CE190" s="433">
        <f t="shared" si="30"/>
        <v>0</v>
      </c>
      <c r="CF190" s="433">
        <f t="shared" si="31"/>
        <v>0</v>
      </c>
      <c r="CG190" s="433">
        <f t="shared" si="32"/>
        <v>0</v>
      </c>
      <c r="CH190" s="433">
        <f t="shared" si="33"/>
        <v>0</v>
      </c>
      <c r="CI190" s="433">
        <f t="shared" si="34"/>
        <v>0</v>
      </c>
      <c r="CJ190" s="433">
        <f t="shared" si="35"/>
        <v>0</v>
      </c>
      <c r="CK190" s="433">
        <f t="shared" si="36"/>
        <v>0</v>
      </c>
      <c r="CL190" s="433">
        <f t="shared" si="37"/>
        <v>0</v>
      </c>
      <c r="CM190" s="433">
        <f t="shared" si="38"/>
        <v>0</v>
      </c>
      <c r="CN190" s="433">
        <f t="shared" si="39"/>
        <v>0</v>
      </c>
      <c r="CO190" s="433">
        <f t="shared" si="40"/>
        <v>0</v>
      </c>
      <c r="CP190" s="433">
        <f t="shared" si="41"/>
        <v>0</v>
      </c>
      <c r="CQ190" s="433">
        <f t="shared" si="42"/>
        <v>0</v>
      </c>
      <c r="CR190" s="433">
        <f t="shared" si="43"/>
        <v>0</v>
      </c>
      <c r="CS190" s="433">
        <f t="shared" si="44"/>
        <v>0</v>
      </c>
      <c r="CT190" s="21"/>
    </row>
    <row r="191" spans="3:98" hidden="1" outlineLevel="2">
      <c r="C191" s="437" t="s">
        <v>316</v>
      </c>
      <c r="D191" s="416">
        <v>0</v>
      </c>
      <c r="E191" s="416">
        <v>0</v>
      </c>
      <c r="F191" s="416">
        <v>0</v>
      </c>
      <c r="G191" s="416">
        <v>0</v>
      </c>
      <c r="H191" s="416">
        <v>0</v>
      </c>
      <c r="I191" s="416">
        <v>0</v>
      </c>
      <c r="J191" s="416">
        <v>0</v>
      </c>
      <c r="K191" s="416">
        <v>0</v>
      </c>
      <c r="L191" s="416">
        <v>0</v>
      </c>
      <c r="M191" s="416">
        <v>0</v>
      </c>
      <c r="N191" s="416">
        <v>0</v>
      </c>
      <c r="O191" s="416">
        <v>0</v>
      </c>
      <c r="P191" s="416">
        <v>0</v>
      </c>
      <c r="Q191" s="416">
        <v>0</v>
      </c>
      <c r="R191" s="416">
        <v>0</v>
      </c>
      <c r="S191" s="416">
        <v>0</v>
      </c>
      <c r="T191" s="416">
        <v>0</v>
      </c>
      <c r="U191" s="416">
        <v>0</v>
      </c>
      <c r="V191" s="416">
        <v>0</v>
      </c>
      <c r="W191" s="416">
        <v>0</v>
      </c>
      <c r="X191" s="416">
        <v>0</v>
      </c>
      <c r="Y191" s="416">
        <v>0</v>
      </c>
      <c r="Z191" s="416">
        <v>0</v>
      </c>
      <c r="AA191" s="416">
        <v>0</v>
      </c>
      <c r="AB191" s="416">
        <v>0</v>
      </c>
      <c r="AC191" s="416">
        <v>0</v>
      </c>
      <c r="AD191" s="416">
        <v>0</v>
      </c>
      <c r="AE191" s="416">
        <v>0</v>
      </c>
      <c r="AF191" s="416">
        <v>0</v>
      </c>
      <c r="AG191" s="416">
        <v>0</v>
      </c>
      <c r="AH191" s="416">
        <v>0</v>
      </c>
      <c r="AI191" s="416">
        <v>0</v>
      </c>
      <c r="AJ191" s="416">
        <v>0</v>
      </c>
      <c r="AK191" s="416">
        <v>0</v>
      </c>
      <c r="AL191" s="416">
        <v>0</v>
      </c>
      <c r="AM191" s="416">
        <v>0</v>
      </c>
      <c r="AN191" s="416">
        <v>0</v>
      </c>
      <c r="AO191" s="416">
        <v>0</v>
      </c>
      <c r="AP191" s="416">
        <v>0</v>
      </c>
      <c r="AQ191" s="416">
        <v>0</v>
      </c>
      <c r="AR191" s="416">
        <v>0</v>
      </c>
      <c r="AS191" s="416">
        <v>0</v>
      </c>
      <c r="AT191" s="416">
        <v>0</v>
      </c>
      <c r="AU191" s="416">
        <v>0</v>
      </c>
      <c r="AV191" s="416">
        <v>0</v>
      </c>
      <c r="AW191" s="416">
        <v>0</v>
      </c>
      <c r="AX191" s="416">
        <v>0</v>
      </c>
      <c r="AY191" s="416">
        <v>0</v>
      </c>
      <c r="AZ191" s="416">
        <v>0</v>
      </c>
      <c r="BA191" s="416">
        <v>0</v>
      </c>
      <c r="BB191" s="416">
        <v>0</v>
      </c>
      <c r="BC191" s="416">
        <v>0</v>
      </c>
      <c r="BD191" s="416">
        <v>0</v>
      </c>
      <c r="BE191" s="416">
        <v>0</v>
      </c>
      <c r="BF191" s="416">
        <v>23.774999999999999</v>
      </c>
      <c r="BG191" s="416">
        <v>0</v>
      </c>
      <c r="BH191" s="416">
        <v>0</v>
      </c>
      <c r="BI191" s="416">
        <v>0</v>
      </c>
      <c r="BJ191" s="416">
        <v>25.27</v>
      </c>
      <c r="BK191" s="416">
        <v>25.27</v>
      </c>
      <c r="BL191" s="416">
        <v>29.695</v>
      </c>
      <c r="BM191" s="416">
        <v>30.933</v>
      </c>
      <c r="BN191" s="416">
        <v>31.853999999999999</v>
      </c>
      <c r="BO191" s="416">
        <v>32.366</v>
      </c>
      <c r="BP191" s="416">
        <v>32.366</v>
      </c>
      <c r="BQ191" s="416">
        <v>32.688000000000002</v>
      </c>
      <c r="BR191" s="416">
        <v>34.173999999999999</v>
      </c>
      <c r="BS191" s="416">
        <v>33.024999999999999</v>
      </c>
      <c r="BT191" s="416">
        <v>33.734000000000002</v>
      </c>
      <c r="BU191" s="416">
        <v>33.734000000000002</v>
      </c>
      <c r="BV191" s="416">
        <v>12.776</v>
      </c>
      <c r="BW191" s="416">
        <v>12.35</v>
      </c>
      <c r="BX191" s="416">
        <v>12.015000000000001</v>
      </c>
      <c r="BY191" s="416">
        <v>0</v>
      </c>
      <c r="BZ191" s="416">
        <v>0</v>
      </c>
      <c r="CC191" s="21"/>
      <c r="CD191" s="437" t="s">
        <v>316</v>
      </c>
      <c r="CE191" s="433">
        <f t="shared" si="30"/>
        <v>0</v>
      </c>
      <c r="CF191" s="433">
        <f t="shared" si="31"/>
        <v>0</v>
      </c>
      <c r="CG191" s="433">
        <f t="shared" si="32"/>
        <v>0</v>
      </c>
      <c r="CH191" s="433">
        <f t="shared" si="33"/>
        <v>0</v>
      </c>
      <c r="CI191" s="433">
        <f t="shared" si="34"/>
        <v>0</v>
      </c>
      <c r="CJ191" s="433">
        <f t="shared" si="35"/>
        <v>0</v>
      </c>
      <c r="CK191" s="433">
        <f t="shared" si="36"/>
        <v>0</v>
      </c>
      <c r="CL191" s="433">
        <f t="shared" si="37"/>
        <v>0</v>
      </c>
      <c r="CM191" s="433">
        <f t="shared" si="38"/>
        <v>0</v>
      </c>
      <c r="CN191" s="433">
        <f t="shared" si="39"/>
        <v>0</v>
      </c>
      <c r="CO191" s="433">
        <f t="shared" si="40"/>
        <v>23.774999999999999</v>
      </c>
      <c r="CP191" s="433">
        <f t="shared" si="41"/>
        <v>25.27</v>
      </c>
      <c r="CQ191" s="433">
        <f t="shared" si="42"/>
        <v>32.366</v>
      </c>
      <c r="CR191" s="433">
        <f t="shared" si="43"/>
        <v>33.734000000000002</v>
      </c>
      <c r="CS191" s="433">
        <f t="shared" si="44"/>
        <v>0</v>
      </c>
      <c r="CT191" s="21"/>
    </row>
    <row r="192" spans="3:98" hidden="1" outlineLevel="1">
      <c r="C192" s="426" t="s">
        <v>309</v>
      </c>
      <c r="D192" s="416">
        <v>0</v>
      </c>
      <c r="E192" s="416">
        <v>0</v>
      </c>
      <c r="F192" s="416">
        <v>0</v>
      </c>
      <c r="G192" s="416">
        <v>0</v>
      </c>
      <c r="H192" s="416">
        <v>0</v>
      </c>
      <c r="I192" s="416">
        <v>0</v>
      </c>
      <c r="J192" s="416">
        <v>0</v>
      </c>
      <c r="K192" s="416">
        <v>0</v>
      </c>
      <c r="L192" s="416">
        <v>0</v>
      </c>
      <c r="M192" s="416">
        <v>0</v>
      </c>
      <c r="N192" s="416">
        <v>0</v>
      </c>
      <c r="O192" s="416">
        <v>0</v>
      </c>
      <c r="P192" s="416">
        <v>0</v>
      </c>
      <c r="Q192" s="416">
        <v>0</v>
      </c>
      <c r="R192" s="416">
        <v>0</v>
      </c>
      <c r="S192" s="416">
        <v>0</v>
      </c>
      <c r="T192" s="416">
        <v>0</v>
      </c>
      <c r="U192" s="416">
        <v>0</v>
      </c>
      <c r="V192" s="416">
        <v>0</v>
      </c>
      <c r="W192" s="416">
        <v>0</v>
      </c>
      <c r="X192" s="416">
        <v>0</v>
      </c>
      <c r="Y192" s="416">
        <v>0</v>
      </c>
      <c r="Z192" s="416">
        <v>0</v>
      </c>
      <c r="AA192" s="416">
        <v>0</v>
      </c>
      <c r="AB192" s="416">
        <v>0</v>
      </c>
      <c r="AC192" s="416">
        <v>0</v>
      </c>
      <c r="AD192" s="416">
        <v>0</v>
      </c>
      <c r="AE192" s="416">
        <v>0</v>
      </c>
      <c r="AF192" s="416">
        <v>0</v>
      </c>
      <c r="AG192" s="416">
        <v>0</v>
      </c>
      <c r="AH192" s="416">
        <v>0</v>
      </c>
      <c r="AI192" s="416">
        <v>0</v>
      </c>
      <c r="AJ192" s="416">
        <v>0</v>
      </c>
      <c r="AK192" s="416">
        <v>0</v>
      </c>
      <c r="AL192" s="416">
        <v>0</v>
      </c>
      <c r="AM192" s="416">
        <v>0</v>
      </c>
      <c r="AN192" s="416">
        <v>0</v>
      </c>
      <c r="AO192" s="416">
        <v>0</v>
      </c>
      <c r="AP192" s="416">
        <v>0</v>
      </c>
      <c r="AQ192" s="416">
        <v>0</v>
      </c>
      <c r="AR192" s="416">
        <v>0</v>
      </c>
      <c r="AS192" s="416">
        <v>0</v>
      </c>
      <c r="AT192" s="416">
        <v>0</v>
      </c>
      <c r="AU192" s="416">
        <v>0</v>
      </c>
      <c r="AV192" s="416">
        <v>0</v>
      </c>
      <c r="AW192" s="416">
        <v>0</v>
      </c>
      <c r="AX192" s="416">
        <v>0</v>
      </c>
      <c r="AY192" s="416">
        <v>0</v>
      </c>
      <c r="AZ192" s="416">
        <v>0</v>
      </c>
      <c r="BA192" s="416">
        <v>0</v>
      </c>
      <c r="BB192" s="416">
        <v>0</v>
      </c>
      <c r="BC192" s="416">
        <v>0</v>
      </c>
      <c r="BD192" s="416">
        <v>0</v>
      </c>
      <c r="BE192" s="416">
        <v>0</v>
      </c>
      <c r="BF192" s="416">
        <v>23.774999999999999</v>
      </c>
      <c r="BG192" s="416">
        <v>0</v>
      </c>
      <c r="BH192" s="416">
        <v>0</v>
      </c>
      <c r="BI192" s="416">
        <v>0</v>
      </c>
      <c r="BJ192" s="416">
        <v>25.27</v>
      </c>
      <c r="BK192" s="416">
        <v>25.27</v>
      </c>
      <c r="BL192" s="416">
        <v>29.695</v>
      </c>
      <c r="BM192" s="416">
        <v>30.933</v>
      </c>
      <c r="BN192" s="416">
        <v>31.853999999999999</v>
      </c>
      <c r="BO192" s="416">
        <v>32.366</v>
      </c>
      <c r="BP192" s="416">
        <v>32.366</v>
      </c>
      <c r="BQ192" s="416">
        <v>32.688000000000002</v>
      </c>
      <c r="BR192" s="416">
        <v>34.173999999999999</v>
      </c>
      <c r="BS192" s="416">
        <v>33.024999999999999</v>
      </c>
      <c r="BT192" s="416">
        <v>33.734000000000002</v>
      </c>
      <c r="BU192" s="416">
        <v>33.734000000000002</v>
      </c>
      <c r="BV192" s="416">
        <v>12.776</v>
      </c>
      <c r="BW192" s="416">
        <v>12.35</v>
      </c>
      <c r="BX192" s="416">
        <v>12.015000000000001</v>
      </c>
      <c r="BY192" s="416">
        <v>0</v>
      </c>
      <c r="BZ192" s="416">
        <v>0</v>
      </c>
      <c r="CC192" s="21"/>
      <c r="CD192" s="426" t="s">
        <v>309</v>
      </c>
      <c r="CE192" s="433">
        <f t="shared" si="30"/>
        <v>0</v>
      </c>
      <c r="CF192" s="433">
        <f t="shared" si="31"/>
        <v>0</v>
      </c>
      <c r="CG192" s="433">
        <f t="shared" si="32"/>
        <v>0</v>
      </c>
      <c r="CH192" s="433">
        <f t="shared" si="33"/>
        <v>0</v>
      </c>
      <c r="CI192" s="433">
        <f t="shared" si="34"/>
        <v>0</v>
      </c>
      <c r="CJ192" s="433">
        <f t="shared" si="35"/>
        <v>0</v>
      </c>
      <c r="CK192" s="433">
        <f t="shared" si="36"/>
        <v>0</v>
      </c>
      <c r="CL192" s="433">
        <f t="shared" si="37"/>
        <v>0</v>
      </c>
      <c r="CM192" s="433">
        <f t="shared" si="38"/>
        <v>0</v>
      </c>
      <c r="CN192" s="433">
        <f t="shared" si="39"/>
        <v>0</v>
      </c>
      <c r="CO192" s="433">
        <f t="shared" si="40"/>
        <v>23.774999999999999</v>
      </c>
      <c r="CP192" s="433">
        <f t="shared" si="41"/>
        <v>25.27</v>
      </c>
      <c r="CQ192" s="433">
        <f t="shared" si="42"/>
        <v>32.366</v>
      </c>
      <c r="CR192" s="433">
        <f t="shared" si="43"/>
        <v>33.734000000000002</v>
      </c>
      <c r="CS192" s="433">
        <f t="shared" si="44"/>
        <v>0</v>
      </c>
      <c r="CT192" s="21"/>
    </row>
    <row r="193" spans="3:98" hidden="1" outlineLevel="1" collapsed="1">
      <c r="C193" s="424" t="s">
        <v>300</v>
      </c>
      <c r="D193" s="416">
        <v>0</v>
      </c>
      <c r="E193" s="416">
        <v>0</v>
      </c>
      <c r="F193" s="416">
        <v>0</v>
      </c>
      <c r="G193" s="416">
        <v>0</v>
      </c>
      <c r="H193" s="416">
        <v>0</v>
      </c>
      <c r="I193" s="416">
        <v>0</v>
      </c>
      <c r="J193" s="416">
        <v>0</v>
      </c>
      <c r="K193" s="416">
        <v>0</v>
      </c>
      <c r="L193" s="416">
        <v>0</v>
      </c>
      <c r="M193" s="416">
        <v>0</v>
      </c>
      <c r="N193" s="416">
        <v>0</v>
      </c>
      <c r="O193" s="416">
        <v>0</v>
      </c>
      <c r="P193" s="416">
        <v>0</v>
      </c>
      <c r="Q193" s="416">
        <v>0</v>
      </c>
      <c r="R193" s="416">
        <v>0</v>
      </c>
      <c r="S193" s="416">
        <v>0</v>
      </c>
      <c r="T193" s="416">
        <v>0</v>
      </c>
      <c r="U193" s="416">
        <v>0</v>
      </c>
      <c r="V193" s="416">
        <v>0</v>
      </c>
      <c r="W193" s="416">
        <v>0</v>
      </c>
      <c r="X193" s="416">
        <v>0</v>
      </c>
      <c r="Y193" s="416">
        <v>0</v>
      </c>
      <c r="Z193" s="416">
        <v>0</v>
      </c>
      <c r="AA193" s="416">
        <v>0</v>
      </c>
      <c r="AB193" s="416">
        <v>0</v>
      </c>
      <c r="AC193" s="416">
        <v>0</v>
      </c>
      <c r="AD193" s="416">
        <v>0</v>
      </c>
      <c r="AE193" s="416">
        <v>0</v>
      </c>
      <c r="AF193" s="416">
        <v>0</v>
      </c>
      <c r="AG193" s="416">
        <v>0</v>
      </c>
      <c r="AH193" s="416">
        <v>0</v>
      </c>
      <c r="AI193" s="416">
        <v>0</v>
      </c>
      <c r="AJ193" s="416">
        <v>0</v>
      </c>
      <c r="AK193" s="416">
        <v>0</v>
      </c>
      <c r="AL193" s="416">
        <v>0</v>
      </c>
      <c r="AM193" s="416">
        <v>0</v>
      </c>
      <c r="AN193" s="416">
        <v>0</v>
      </c>
      <c r="AO193" s="416">
        <v>0</v>
      </c>
      <c r="AP193" s="416">
        <v>0</v>
      </c>
      <c r="AQ193" s="416">
        <v>0</v>
      </c>
      <c r="AR193" s="416">
        <v>0</v>
      </c>
      <c r="AS193" s="416">
        <v>0</v>
      </c>
      <c r="AT193" s="416">
        <v>0</v>
      </c>
      <c r="AU193" s="416">
        <v>0</v>
      </c>
      <c r="AV193" s="416">
        <v>0</v>
      </c>
      <c r="AW193" s="416">
        <v>0</v>
      </c>
      <c r="AX193" s="416">
        <v>0</v>
      </c>
      <c r="AY193" s="416">
        <v>0</v>
      </c>
      <c r="AZ193" s="416">
        <v>0</v>
      </c>
      <c r="BA193" s="416">
        <v>0</v>
      </c>
      <c r="BB193" s="416">
        <v>0</v>
      </c>
      <c r="BC193" s="416">
        <v>0</v>
      </c>
      <c r="BD193" s="416">
        <v>0</v>
      </c>
      <c r="BE193" s="416">
        <v>0</v>
      </c>
      <c r="BF193" s="416">
        <v>23.774999999999999</v>
      </c>
      <c r="BG193" s="416">
        <v>0</v>
      </c>
      <c r="BH193" s="416">
        <v>0</v>
      </c>
      <c r="BI193" s="416">
        <v>0</v>
      </c>
      <c r="BJ193" s="416">
        <v>25.27</v>
      </c>
      <c r="BK193" s="416">
        <v>25.27</v>
      </c>
      <c r="BL193" s="416">
        <v>29.695</v>
      </c>
      <c r="BM193" s="416">
        <v>30.933</v>
      </c>
      <c r="BN193" s="416">
        <v>31.853999999999999</v>
      </c>
      <c r="BO193" s="416">
        <v>52.426000000000002</v>
      </c>
      <c r="BP193" s="416">
        <v>52.426000000000002</v>
      </c>
      <c r="BQ193" s="416">
        <v>182.114</v>
      </c>
      <c r="BR193" s="416">
        <v>34.677999999999997</v>
      </c>
      <c r="BS193" s="416">
        <v>33.536999999999999</v>
      </c>
      <c r="BT193" s="416">
        <v>54.253</v>
      </c>
      <c r="BU193" s="416">
        <v>54.253</v>
      </c>
      <c r="BV193" s="416">
        <v>12.776</v>
      </c>
      <c r="BW193" s="416">
        <v>12.35</v>
      </c>
      <c r="BX193" s="416">
        <v>12.015000000000001</v>
      </c>
      <c r="BY193" s="416">
        <v>0</v>
      </c>
      <c r="BZ193" s="416">
        <v>0</v>
      </c>
      <c r="CC193" s="21"/>
      <c r="CD193" s="424" t="s">
        <v>300</v>
      </c>
      <c r="CE193" s="433">
        <f t="shared" si="30"/>
        <v>0</v>
      </c>
      <c r="CF193" s="433">
        <f t="shared" si="31"/>
        <v>0</v>
      </c>
      <c r="CG193" s="433">
        <f t="shared" si="32"/>
        <v>0</v>
      </c>
      <c r="CH193" s="433">
        <f t="shared" si="33"/>
        <v>0</v>
      </c>
      <c r="CI193" s="433">
        <f t="shared" si="34"/>
        <v>0</v>
      </c>
      <c r="CJ193" s="433">
        <f t="shared" si="35"/>
        <v>0</v>
      </c>
      <c r="CK193" s="433">
        <f t="shared" si="36"/>
        <v>0</v>
      </c>
      <c r="CL193" s="433">
        <f t="shared" si="37"/>
        <v>0</v>
      </c>
      <c r="CM193" s="433">
        <f t="shared" si="38"/>
        <v>0</v>
      </c>
      <c r="CN193" s="433">
        <f t="shared" si="39"/>
        <v>0</v>
      </c>
      <c r="CO193" s="433">
        <f t="shared" si="40"/>
        <v>23.774999999999999</v>
      </c>
      <c r="CP193" s="433">
        <f t="shared" si="41"/>
        <v>25.27</v>
      </c>
      <c r="CQ193" s="433">
        <f t="shared" si="42"/>
        <v>52.426000000000002</v>
      </c>
      <c r="CR193" s="433">
        <f t="shared" si="43"/>
        <v>54.253</v>
      </c>
      <c r="CS193" s="433">
        <f t="shared" si="44"/>
        <v>0</v>
      </c>
      <c r="CT193" s="21"/>
    </row>
    <row r="194" spans="3:98" hidden="1" outlineLevel="1">
      <c r="C194" s="424" t="s">
        <v>317</v>
      </c>
      <c r="D194" s="416">
        <v>0</v>
      </c>
      <c r="E194" s="416">
        <v>0</v>
      </c>
      <c r="F194" s="416">
        <v>0</v>
      </c>
      <c r="G194" s="416">
        <v>0</v>
      </c>
      <c r="H194" s="416">
        <v>0</v>
      </c>
      <c r="I194" s="416">
        <v>0</v>
      </c>
      <c r="J194" s="416">
        <v>0</v>
      </c>
      <c r="K194" s="416">
        <v>0</v>
      </c>
      <c r="L194" s="416">
        <v>0</v>
      </c>
      <c r="M194" s="416">
        <v>0</v>
      </c>
      <c r="N194" s="416">
        <v>0</v>
      </c>
      <c r="O194" s="416">
        <v>0</v>
      </c>
      <c r="P194" s="416">
        <v>0</v>
      </c>
      <c r="Q194" s="416">
        <v>0</v>
      </c>
      <c r="R194" s="416">
        <v>0</v>
      </c>
      <c r="S194" s="416">
        <v>0</v>
      </c>
      <c r="T194" s="416">
        <v>0</v>
      </c>
      <c r="U194" s="416">
        <v>0</v>
      </c>
      <c r="V194" s="416">
        <v>0</v>
      </c>
      <c r="W194" s="416">
        <v>0</v>
      </c>
      <c r="X194" s="416">
        <v>0</v>
      </c>
      <c r="Y194" s="416">
        <v>0</v>
      </c>
      <c r="Z194" s="416">
        <v>0</v>
      </c>
      <c r="AA194" s="416">
        <v>0</v>
      </c>
      <c r="AB194" s="416">
        <v>0</v>
      </c>
      <c r="AC194" s="416">
        <v>0</v>
      </c>
      <c r="AD194" s="416">
        <v>0</v>
      </c>
      <c r="AE194" s="416">
        <v>0</v>
      </c>
      <c r="AF194" s="416">
        <v>0</v>
      </c>
      <c r="AG194" s="416">
        <v>0</v>
      </c>
      <c r="AH194" s="416">
        <v>0</v>
      </c>
      <c r="AI194" s="416">
        <v>0</v>
      </c>
      <c r="AJ194" s="416">
        <v>0</v>
      </c>
      <c r="AK194" s="416">
        <v>0</v>
      </c>
      <c r="AL194" s="416">
        <v>0</v>
      </c>
      <c r="AM194" s="416">
        <v>0</v>
      </c>
      <c r="AN194" s="416">
        <v>0</v>
      </c>
      <c r="AO194" s="416">
        <v>0</v>
      </c>
      <c r="AP194" s="416">
        <v>0</v>
      </c>
      <c r="AQ194" s="416">
        <v>0</v>
      </c>
      <c r="AR194" s="416">
        <v>0</v>
      </c>
      <c r="AS194" s="416">
        <v>0</v>
      </c>
      <c r="AT194" s="416">
        <v>0</v>
      </c>
      <c r="AU194" s="416">
        <v>0</v>
      </c>
      <c r="AV194" s="416">
        <v>0</v>
      </c>
      <c r="AW194" s="416">
        <v>0</v>
      </c>
      <c r="AX194" s="416">
        <v>0</v>
      </c>
      <c r="AY194" s="416">
        <v>0</v>
      </c>
      <c r="AZ194" s="416">
        <v>0</v>
      </c>
      <c r="BA194" s="416">
        <v>0</v>
      </c>
      <c r="BB194" s="416">
        <v>0</v>
      </c>
      <c r="BC194" s="416">
        <v>0</v>
      </c>
      <c r="BD194" s="416">
        <v>0</v>
      </c>
      <c r="BE194" s="416">
        <v>0</v>
      </c>
      <c r="BF194" s="416">
        <v>0</v>
      </c>
      <c r="BG194" s="416">
        <v>0</v>
      </c>
      <c r="BH194" s="416">
        <v>0</v>
      </c>
      <c r="BI194" s="416">
        <v>0</v>
      </c>
      <c r="BJ194" s="416">
        <v>0</v>
      </c>
      <c r="BK194" s="416">
        <v>0</v>
      </c>
      <c r="BL194" s="416">
        <v>0</v>
      </c>
      <c r="BM194" s="416">
        <v>0</v>
      </c>
      <c r="BN194" s="416">
        <v>0</v>
      </c>
      <c r="BO194" s="416">
        <v>0</v>
      </c>
      <c r="BP194" s="416">
        <v>0</v>
      </c>
      <c r="BQ194" s="416">
        <v>0</v>
      </c>
      <c r="BR194" s="416">
        <v>0</v>
      </c>
      <c r="BS194" s="416">
        <v>0</v>
      </c>
      <c r="BT194" s="416">
        <v>0</v>
      </c>
      <c r="BU194" s="416">
        <v>0</v>
      </c>
      <c r="BV194" s="416">
        <v>0</v>
      </c>
      <c r="BW194" s="416">
        <v>0</v>
      </c>
      <c r="BX194" s="416">
        <v>0</v>
      </c>
      <c r="BY194" s="416">
        <v>0</v>
      </c>
      <c r="BZ194" s="416">
        <v>0</v>
      </c>
      <c r="CC194" s="21"/>
      <c r="CD194" s="424" t="s">
        <v>317</v>
      </c>
      <c r="CE194" s="433">
        <f t="shared" si="30"/>
        <v>0</v>
      </c>
      <c r="CF194" s="433">
        <f t="shared" si="31"/>
        <v>0</v>
      </c>
      <c r="CG194" s="433">
        <f t="shared" si="32"/>
        <v>0</v>
      </c>
      <c r="CH194" s="433">
        <f t="shared" si="33"/>
        <v>0</v>
      </c>
      <c r="CI194" s="433">
        <f t="shared" si="34"/>
        <v>0</v>
      </c>
      <c r="CJ194" s="433">
        <f t="shared" si="35"/>
        <v>0</v>
      </c>
      <c r="CK194" s="433">
        <f t="shared" si="36"/>
        <v>0</v>
      </c>
      <c r="CL194" s="433">
        <f t="shared" si="37"/>
        <v>0</v>
      </c>
      <c r="CM194" s="433">
        <f t="shared" si="38"/>
        <v>0</v>
      </c>
      <c r="CN194" s="433">
        <f t="shared" si="39"/>
        <v>0</v>
      </c>
      <c r="CO194" s="433">
        <f t="shared" si="40"/>
        <v>0</v>
      </c>
      <c r="CP194" s="433">
        <f t="shared" si="41"/>
        <v>0</v>
      </c>
      <c r="CQ194" s="433">
        <f t="shared" si="42"/>
        <v>0</v>
      </c>
      <c r="CR194" s="433">
        <f t="shared" si="43"/>
        <v>0</v>
      </c>
      <c r="CS194" s="433">
        <f t="shared" si="44"/>
        <v>0</v>
      </c>
      <c r="CT194" s="21"/>
    </row>
    <row r="195" spans="3:98" hidden="1" outlineLevel="1">
      <c r="C195" s="424" t="s">
        <v>318</v>
      </c>
      <c r="D195" s="416">
        <v>0</v>
      </c>
      <c r="E195" s="416">
        <v>0</v>
      </c>
      <c r="F195" s="416">
        <v>0</v>
      </c>
      <c r="G195" s="416">
        <v>0</v>
      </c>
      <c r="H195" s="416">
        <v>0</v>
      </c>
      <c r="I195" s="416">
        <v>0</v>
      </c>
      <c r="J195" s="416">
        <v>0</v>
      </c>
      <c r="K195" s="416">
        <v>0</v>
      </c>
      <c r="L195" s="416">
        <v>0</v>
      </c>
      <c r="M195" s="416">
        <v>0</v>
      </c>
      <c r="N195" s="416">
        <v>0</v>
      </c>
      <c r="O195" s="416">
        <v>0</v>
      </c>
      <c r="P195" s="416">
        <v>0</v>
      </c>
      <c r="Q195" s="416">
        <v>0</v>
      </c>
      <c r="R195" s="416">
        <v>0</v>
      </c>
      <c r="S195" s="416">
        <v>0</v>
      </c>
      <c r="T195" s="416">
        <v>0</v>
      </c>
      <c r="U195" s="416">
        <v>0</v>
      </c>
      <c r="V195" s="416">
        <v>0</v>
      </c>
      <c r="W195" s="416">
        <v>0</v>
      </c>
      <c r="X195" s="416">
        <v>0</v>
      </c>
      <c r="Y195" s="416">
        <v>0</v>
      </c>
      <c r="Z195" s="416">
        <v>0</v>
      </c>
      <c r="AA195" s="416">
        <v>0</v>
      </c>
      <c r="AB195" s="416">
        <v>0</v>
      </c>
      <c r="AC195" s="416">
        <v>0</v>
      </c>
      <c r="AD195" s="416">
        <v>0</v>
      </c>
      <c r="AE195" s="416">
        <v>0</v>
      </c>
      <c r="AF195" s="416">
        <v>0</v>
      </c>
      <c r="AG195" s="416">
        <v>0</v>
      </c>
      <c r="AH195" s="416">
        <v>0</v>
      </c>
      <c r="AI195" s="416">
        <v>0</v>
      </c>
      <c r="AJ195" s="416">
        <v>0</v>
      </c>
      <c r="AK195" s="416">
        <v>0</v>
      </c>
      <c r="AL195" s="416">
        <v>0</v>
      </c>
      <c r="AM195" s="416">
        <v>0</v>
      </c>
      <c r="AN195" s="416">
        <v>0</v>
      </c>
      <c r="AO195" s="416">
        <v>0</v>
      </c>
      <c r="AP195" s="416">
        <v>0</v>
      </c>
      <c r="AQ195" s="416">
        <v>0</v>
      </c>
      <c r="AR195" s="416">
        <v>0</v>
      </c>
      <c r="AS195" s="416">
        <v>0</v>
      </c>
      <c r="AT195" s="416">
        <v>0</v>
      </c>
      <c r="AU195" s="416">
        <v>0</v>
      </c>
      <c r="AV195" s="416">
        <v>0</v>
      </c>
      <c r="AW195" s="416">
        <v>0</v>
      </c>
      <c r="AX195" s="416">
        <v>0</v>
      </c>
      <c r="AY195" s="416">
        <v>0</v>
      </c>
      <c r="AZ195" s="416">
        <v>0</v>
      </c>
      <c r="BA195" s="416">
        <v>0</v>
      </c>
      <c r="BB195" s="416">
        <v>0</v>
      </c>
      <c r="BC195" s="416">
        <v>0</v>
      </c>
      <c r="BD195" s="416">
        <v>0</v>
      </c>
      <c r="BE195" s="416">
        <v>0</v>
      </c>
      <c r="BF195" s="416">
        <v>0</v>
      </c>
      <c r="BG195" s="416">
        <v>0</v>
      </c>
      <c r="BH195" s="416">
        <v>0</v>
      </c>
      <c r="BI195" s="416">
        <v>0</v>
      </c>
      <c r="BJ195" s="416">
        <v>0</v>
      </c>
      <c r="BK195" s="416">
        <v>0</v>
      </c>
      <c r="BL195" s="416">
        <v>0</v>
      </c>
      <c r="BM195" s="416">
        <v>0</v>
      </c>
      <c r="BN195" s="416">
        <v>0</v>
      </c>
      <c r="BO195" s="416">
        <v>0</v>
      </c>
      <c r="BP195" s="416">
        <v>0</v>
      </c>
      <c r="BQ195" s="416">
        <v>0</v>
      </c>
      <c r="BR195" s="416">
        <v>0</v>
      </c>
      <c r="BS195" s="416">
        <v>0</v>
      </c>
      <c r="BT195" s="416">
        <v>0</v>
      </c>
      <c r="BU195" s="416">
        <v>0</v>
      </c>
      <c r="BV195" s="416">
        <v>0</v>
      </c>
      <c r="BW195" s="416">
        <v>0</v>
      </c>
      <c r="BX195" s="416">
        <v>0</v>
      </c>
      <c r="BY195" s="416">
        <v>0</v>
      </c>
      <c r="BZ195" s="416">
        <v>0</v>
      </c>
      <c r="CC195" s="21"/>
      <c r="CD195" s="424" t="s">
        <v>318</v>
      </c>
      <c r="CE195" s="433">
        <f t="shared" si="30"/>
        <v>0</v>
      </c>
      <c r="CF195" s="433">
        <f t="shared" si="31"/>
        <v>0</v>
      </c>
      <c r="CG195" s="433">
        <f t="shared" si="32"/>
        <v>0</v>
      </c>
      <c r="CH195" s="433">
        <f t="shared" si="33"/>
        <v>0</v>
      </c>
      <c r="CI195" s="433">
        <f t="shared" si="34"/>
        <v>0</v>
      </c>
      <c r="CJ195" s="433">
        <f t="shared" si="35"/>
        <v>0</v>
      </c>
      <c r="CK195" s="433">
        <f t="shared" si="36"/>
        <v>0</v>
      </c>
      <c r="CL195" s="433">
        <f t="shared" si="37"/>
        <v>0</v>
      </c>
      <c r="CM195" s="433">
        <f t="shared" si="38"/>
        <v>0</v>
      </c>
      <c r="CN195" s="433">
        <f t="shared" si="39"/>
        <v>0</v>
      </c>
      <c r="CO195" s="433">
        <f t="shared" si="40"/>
        <v>0</v>
      </c>
      <c r="CP195" s="433">
        <f t="shared" si="41"/>
        <v>0</v>
      </c>
      <c r="CQ195" s="433">
        <f t="shared" si="42"/>
        <v>0</v>
      </c>
      <c r="CR195" s="433">
        <f t="shared" si="43"/>
        <v>0</v>
      </c>
      <c r="CS195" s="433">
        <f t="shared" si="44"/>
        <v>0</v>
      </c>
      <c r="CT195" s="21"/>
    </row>
    <row r="196" spans="3:98" collapsed="1">
      <c r="C196" s="415" t="s">
        <v>299</v>
      </c>
      <c r="D196" s="416">
        <v>0</v>
      </c>
      <c r="E196" s="416">
        <v>0</v>
      </c>
      <c r="F196" s="416">
        <v>0</v>
      </c>
      <c r="G196" s="416">
        <v>0</v>
      </c>
      <c r="H196" s="416">
        <v>0</v>
      </c>
      <c r="I196" s="416">
        <v>0</v>
      </c>
      <c r="J196" s="416">
        <v>0</v>
      </c>
      <c r="K196" s="416">
        <v>0</v>
      </c>
      <c r="L196" s="416">
        <v>0</v>
      </c>
      <c r="M196" s="416">
        <v>0</v>
      </c>
      <c r="N196" s="416">
        <v>0</v>
      </c>
      <c r="O196" s="416">
        <v>0</v>
      </c>
      <c r="P196" s="416">
        <v>0</v>
      </c>
      <c r="Q196" s="416">
        <v>0</v>
      </c>
      <c r="R196" s="416">
        <v>0</v>
      </c>
      <c r="S196" s="416">
        <v>0</v>
      </c>
      <c r="T196" s="416">
        <v>0</v>
      </c>
      <c r="U196" s="416">
        <v>0</v>
      </c>
      <c r="V196" s="416">
        <v>0</v>
      </c>
      <c r="W196" s="416">
        <v>0</v>
      </c>
      <c r="X196" s="416">
        <v>0</v>
      </c>
      <c r="Y196" s="416">
        <v>0</v>
      </c>
      <c r="Z196" s="416">
        <v>0</v>
      </c>
      <c r="AA196" s="416">
        <v>0</v>
      </c>
      <c r="AB196" s="416">
        <v>0</v>
      </c>
      <c r="AC196" s="416">
        <v>0</v>
      </c>
      <c r="AD196" s="416">
        <v>0</v>
      </c>
      <c r="AE196" s="416">
        <v>0</v>
      </c>
      <c r="AF196" s="416">
        <v>0</v>
      </c>
      <c r="AG196" s="416">
        <v>0</v>
      </c>
      <c r="AH196" s="416">
        <v>0</v>
      </c>
      <c r="AI196" s="416">
        <v>0</v>
      </c>
      <c r="AJ196" s="416">
        <v>0</v>
      </c>
      <c r="AK196" s="416">
        <v>0</v>
      </c>
      <c r="AL196" s="416">
        <v>0</v>
      </c>
      <c r="AM196" s="416">
        <v>0</v>
      </c>
      <c r="AN196" s="416">
        <v>0</v>
      </c>
      <c r="AO196" s="416">
        <v>0</v>
      </c>
      <c r="AP196" s="416">
        <v>0</v>
      </c>
      <c r="AQ196" s="416">
        <v>0</v>
      </c>
      <c r="AR196" s="416">
        <v>0</v>
      </c>
      <c r="AS196" s="416">
        <v>0</v>
      </c>
      <c r="AT196" s="416">
        <v>0</v>
      </c>
      <c r="AU196" s="416">
        <v>0</v>
      </c>
      <c r="AV196" s="416">
        <v>0</v>
      </c>
      <c r="AW196" s="416">
        <v>0</v>
      </c>
      <c r="AX196" s="416">
        <v>0</v>
      </c>
      <c r="AY196" s="416">
        <v>0</v>
      </c>
      <c r="AZ196" s="416">
        <v>0</v>
      </c>
      <c r="BA196" s="416">
        <v>0</v>
      </c>
      <c r="BB196" s="416">
        <v>0</v>
      </c>
      <c r="BC196" s="416">
        <v>0</v>
      </c>
      <c r="BD196" s="416">
        <v>0</v>
      </c>
      <c r="BE196" s="416">
        <v>0</v>
      </c>
      <c r="BF196" s="416">
        <v>23.774999999999999</v>
      </c>
      <c r="BG196" s="416">
        <v>0</v>
      </c>
      <c r="BH196" s="416">
        <v>0</v>
      </c>
      <c r="BI196" s="416">
        <v>0</v>
      </c>
      <c r="BJ196" s="416">
        <v>25.27</v>
      </c>
      <c r="BK196" s="416">
        <v>25.27</v>
      </c>
      <c r="BL196" s="416">
        <v>29.695</v>
      </c>
      <c r="BM196" s="416">
        <v>30.933</v>
      </c>
      <c r="BN196" s="416">
        <v>31.853999999999999</v>
      </c>
      <c r="BO196" s="416">
        <v>52.426000000000002</v>
      </c>
      <c r="BP196" s="416">
        <v>52.426000000000002</v>
      </c>
      <c r="BQ196" s="416">
        <v>182.114</v>
      </c>
      <c r="BR196" s="416">
        <v>34.677999999999997</v>
      </c>
      <c r="BS196" s="416">
        <v>33.536999999999999</v>
      </c>
      <c r="BT196" s="416">
        <v>54.253</v>
      </c>
      <c r="BU196" s="416">
        <v>54.253</v>
      </c>
      <c r="BV196" s="416">
        <v>12.776</v>
      </c>
      <c r="BW196" s="416">
        <v>12.35</v>
      </c>
      <c r="BX196" s="416">
        <v>12.015000000000001</v>
      </c>
      <c r="BY196" s="416">
        <v>0</v>
      </c>
      <c r="BZ196" s="416">
        <v>0</v>
      </c>
      <c r="CC196" s="21"/>
      <c r="CD196" s="415" t="s">
        <v>299</v>
      </c>
      <c r="CE196" s="433">
        <f t="shared" si="30"/>
        <v>0</v>
      </c>
      <c r="CF196" s="433">
        <f t="shared" si="31"/>
        <v>0</v>
      </c>
      <c r="CG196" s="433">
        <f t="shared" si="32"/>
        <v>0</v>
      </c>
      <c r="CH196" s="433">
        <f t="shared" si="33"/>
        <v>0</v>
      </c>
      <c r="CI196" s="433">
        <f t="shared" si="34"/>
        <v>0</v>
      </c>
      <c r="CJ196" s="433">
        <f t="shared" si="35"/>
        <v>0</v>
      </c>
      <c r="CK196" s="433">
        <f t="shared" si="36"/>
        <v>0</v>
      </c>
      <c r="CL196" s="433">
        <f t="shared" si="37"/>
        <v>0</v>
      </c>
      <c r="CM196" s="433">
        <f t="shared" si="38"/>
        <v>0</v>
      </c>
      <c r="CN196" s="433">
        <f t="shared" si="39"/>
        <v>0</v>
      </c>
      <c r="CO196" s="433">
        <f t="shared" si="40"/>
        <v>23.774999999999999</v>
      </c>
      <c r="CP196" s="433">
        <f t="shared" si="41"/>
        <v>25.27</v>
      </c>
      <c r="CQ196" s="433">
        <f t="shared" si="42"/>
        <v>52.426000000000002</v>
      </c>
      <c r="CR196" s="433">
        <f t="shared" si="43"/>
        <v>54.253</v>
      </c>
      <c r="CS196" s="433">
        <f t="shared" si="44"/>
        <v>0</v>
      </c>
      <c r="CT196" s="21"/>
    </row>
    <row r="197" spans="3:98" hidden="1" outlineLevel="2">
      <c r="C197" s="426" t="s">
        <v>321</v>
      </c>
      <c r="D197" s="416">
        <v>0</v>
      </c>
      <c r="E197" s="416">
        <v>0</v>
      </c>
      <c r="F197" s="416">
        <v>0</v>
      </c>
      <c r="G197" s="416">
        <v>0</v>
      </c>
      <c r="H197" s="416">
        <v>0</v>
      </c>
      <c r="I197" s="416">
        <v>0</v>
      </c>
      <c r="J197" s="416">
        <v>0</v>
      </c>
      <c r="K197" s="416">
        <v>0</v>
      </c>
      <c r="L197" s="416">
        <v>0</v>
      </c>
      <c r="M197" s="416">
        <v>0</v>
      </c>
      <c r="N197" s="416">
        <v>0</v>
      </c>
      <c r="O197" s="416">
        <v>0</v>
      </c>
      <c r="P197" s="416">
        <v>0</v>
      </c>
      <c r="Q197" s="416">
        <v>0</v>
      </c>
      <c r="R197" s="416">
        <v>0</v>
      </c>
      <c r="S197" s="416">
        <v>0</v>
      </c>
      <c r="T197" s="416">
        <v>0</v>
      </c>
      <c r="U197" s="416">
        <v>0</v>
      </c>
      <c r="V197" s="416">
        <v>0</v>
      </c>
      <c r="W197" s="416">
        <v>0</v>
      </c>
      <c r="X197" s="416">
        <v>0</v>
      </c>
      <c r="Y197" s="416">
        <v>0</v>
      </c>
      <c r="Z197" s="416">
        <v>0</v>
      </c>
      <c r="AA197" s="416">
        <v>0</v>
      </c>
      <c r="AB197" s="416">
        <v>0</v>
      </c>
      <c r="AC197" s="416">
        <v>0</v>
      </c>
      <c r="AD197" s="416">
        <v>0</v>
      </c>
      <c r="AE197" s="416">
        <v>0</v>
      </c>
      <c r="AF197" s="416">
        <v>0</v>
      </c>
      <c r="AG197" s="416">
        <v>0</v>
      </c>
      <c r="AH197" s="416">
        <v>0</v>
      </c>
      <c r="AI197" s="416">
        <v>0</v>
      </c>
      <c r="AJ197" s="416">
        <v>0</v>
      </c>
      <c r="AK197" s="416">
        <v>0</v>
      </c>
      <c r="AL197" s="416">
        <v>0</v>
      </c>
      <c r="AM197" s="416">
        <v>0</v>
      </c>
      <c r="AN197" s="416">
        <v>0</v>
      </c>
      <c r="AO197" s="416">
        <v>0</v>
      </c>
      <c r="AP197" s="416">
        <v>0</v>
      </c>
      <c r="AQ197" s="416">
        <v>0</v>
      </c>
      <c r="AR197" s="416">
        <v>0</v>
      </c>
      <c r="AS197" s="416">
        <v>0</v>
      </c>
      <c r="AT197" s="416">
        <v>0</v>
      </c>
      <c r="AU197" s="416">
        <v>0</v>
      </c>
      <c r="AV197" s="416">
        <v>0</v>
      </c>
      <c r="AW197" s="416">
        <v>0</v>
      </c>
      <c r="AX197" s="416">
        <v>0</v>
      </c>
      <c r="AY197" s="416">
        <v>0</v>
      </c>
      <c r="AZ197" s="416">
        <v>0</v>
      </c>
      <c r="BA197" s="416">
        <v>0</v>
      </c>
      <c r="BB197" s="416">
        <v>0</v>
      </c>
      <c r="BC197" s="416">
        <v>0</v>
      </c>
      <c r="BD197" s="416">
        <v>0</v>
      </c>
      <c r="BE197" s="416">
        <v>0</v>
      </c>
      <c r="BF197" s="416">
        <v>0</v>
      </c>
      <c r="BG197" s="416">
        <v>0</v>
      </c>
      <c r="BH197" s="416">
        <v>0</v>
      </c>
      <c r="BI197" s="416">
        <v>0</v>
      </c>
      <c r="BJ197" s="416">
        <v>0</v>
      </c>
      <c r="BK197" s="416">
        <v>0</v>
      </c>
      <c r="BL197" s="416">
        <v>0</v>
      </c>
      <c r="BM197" s="416">
        <v>0</v>
      </c>
      <c r="BN197" s="416">
        <v>0</v>
      </c>
      <c r="BO197" s="416">
        <v>0</v>
      </c>
      <c r="BP197" s="416">
        <v>0</v>
      </c>
      <c r="BQ197" s="416">
        <v>0</v>
      </c>
      <c r="BR197" s="416">
        <v>0</v>
      </c>
      <c r="BS197" s="416">
        <v>0</v>
      </c>
      <c r="BT197" s="416">
        <v>0</v>
      </c>
      <c r="BU197" s="416">
        <v>0</v>
      </c>
      <c r="BV197" s="416">
        <v>0</v>
      </c>
      <c r="BW197" s="416">
        <v>0</v>
      </c>
      <c r="BX197" s="416">
        <v>0</v>
      </c>
      <c r="BY197" s="416">
        <v>0</v>
      </c>
      <c r="BZ197" s="416">
        <v>0</v>
      </c>
      <c r="CC197" s="21"/>
      <c r="CD197" s="426" t="s">
        <v>321</v>
      </c>
      <c r="CE197" s="433">
        <f t="shared" si="30"/>
        <v>0</v>
      </c>
      <c r="CF197" s="433">
        <f t="shared" si="31"/>
        <v>0</v>
      </c>
      <c r="CG197" s="433">
        <f t="shared" si="32"/>
        <v>0</v>
      </c>
      <c r="CH197" s="433">
        <f t="shared" si="33"/>
        <v>0</v>
      </c>
      <c r="CI197" s="433">
        <f t="shared" si="34"/>
        <v>0</v>
      </c>
      <c r="CJ197" s="433">
        <f t="shared" si="35"/>
        <v>0</v>
      </c>
      <c r="CK197" s="433">
        <f t="shared" si="36"/>
        <v>0</v>
      </c>
      <c r="CL197" s="433">
        <f t="shared" si="37"/>
        <v>0</v>
      </c>
      <c r="CM197" s="433">
        <f t="shared" si="38"/>
        <v>0</v>
      </c>
      <c r="CN197" s="433">
        <f t="shared" si="39"/>
        <v>0</v>
      </c>
      <c r="CO197" s="433">
        <f t="shared" si="40"/>
        <v>0</v>
      </c>
      <c r="CP197" s="433">
        <f t="shared" si="41"/>
        <v>0</v>
      </c>
      <c r="CQ197" s="433">
        <f t="shared" si="42"/>
        <v>0</v>
      </c>
      <c r="CR197" s="433">
        <f t="shared" si="43"/>
        <v>0</v>
      </c>
      <c r="CS197" s="433">
        <f t="shared" si="44"/>
        <v>0</v>
      </c>
      <c r="CT197" s="21"/>
    </row>
    <row r="198" spans="3:98" hidden="1" outlineLevel="2">
      <c r="C198" s="426" t="s">
        <v>322</v>
      </c>
      <c r="D198" s="416">
        <v>0</v>
      </c>
      <c r="E198" s="416">
        <v>0</v>
      </c>
      <c r="F198" s="416">
        <v>0</v>
      </c>
      <c r="G198" s="416">
        <v>0</v>
      </c>
      <c r="H198" s="416">
        <v>0</v>
      </c>
      <c r="I198" s="416">
        <v>0</v>
      </c>
      <c r="J198" s="416">
        <v>0</v>
      </c>
      <c r="K198" s="416">
        <v>0</v>
      </c>
      <c r="L198" s="416">
        <v>0</v>
      </c>
      <c r="M198" s="416">
        <v>0</v>
      </c>
      <c r="N198" s="416">
        <v>0</v>
      </c>
      <c r="O198" s="416">
        <v>0</v>
      </c>
      <c r="P198" s="416">
        <v>0</v>
      </c>
      <c r="Q198" s="416">
        <v>0</v>
      </c>
      <c r="R198" s="416">
        <v>0</v>
      </c>
      <c r="S198" s="416">
        <v>0</v>
      </c>
      <c r="T198" s="416">
        <v>0</v>
      </c>
      <c r="U198" s="416">
        <v>0</v>
      </c>
      <c r="V198" s="416">
        <v>0</v>
      </c>
      <c r="W198" s="416">
        <v>0</v>
      </c>
      <c r="X198" s="416">
        <v>0</v>
      </c>
      <c r="Y198" s="416">
        <v>0</v>
      </c>
      <c r="Z198" s="416">
        <v>0</v>
      </c>
      <c r="AA198" s="416">
        <v>0</v>
      </c>
      <c r="AB198" s="416">
        <v>0</v>
      </c>
      <c r="AC198" s="416">
        <v>0</v>
      </c>
      <c r="AD198" s="416">
        <v>0</v>
      </c>
      <c r="AE198" s="416">
        <v>0</v>
      </c>
      <c r="AF198" s="416">
        <v>0</v>
      </c>
      <c r="AG198" s="416">
        <v>0</v>
      </c>
      <c r="AH198" s="416">
        <v>0</v>
      </c>
      <c r="AI198" s="416">
        <v>0</v>
      </c>
      <c r="AJ198" s="416">
        <v>0</v>
      </c>
      <c r="AK198" s="416">
        <v>0</v>
      </c>
      <c r="AL198" s="416">
        <v>0</v>
      </c>
      <c r="AM198" s="416">
        <v>0</v>
      </c>
      <c r="AN198" s="416">
        <v>0</v>
      </c>
      <c r="AO198" s="416">
        <v>0</v>
      </c>
      <c r="AP198" s="416">
        <v>0</v>
      </c>
      <c r="AQ198" s="416">
        <v>0</v>
      </c>
      <c r="AR198" s="416">
        <v>0</v>
      </c>
      <c r="AS198" s="416">
        <v>0</v>
      </c>
      <c r="AT198" s="416">
        <v>0</v>
      </c>
      <c r="AU198" s="416">
        <v>0</v>
      </c>
      <c r="AV198" s="416">
        <v>0</v>
      </c>
      <c r="AW198" s="416">
        <v>0</v>
      </c>
      <c r="AX198" s="416">
        <v>0</v>
      </c>
      <c r="AY198" s="416">
        <v>0</v>
      </c>
      <c r="AZ198" s="416">
        <v>0</v>
      </c>
      <c r="BA198" s="416">
        <v>0</v>
      </c>
      <c r="BB198" s="416">
        <v>0</v>
      </c>
      <c r="BC198" s="416">
        <v>0</v>
      </c>
      <c r="BD198" s="416">
        <v>0</v>
      </c>
      <c r="BE198" s="416">
        <v>0</v>
      </c>
      <c r="BF198" s="416">
        <v>0</v>
      </c>
      <c r="BG198" s="416">
        <v>0</v>
      </c>
      <c r="BH198" s="416">
        <v>0</v>
      </c>
      <c r="BI198" s="416">
        <v>0</v>
      </c>
      <c r="BJ198" s="416">
        <v>0</v>
      </c>
      <c r="BK198" s="416">
        <v>0</v>
      </c>
      <c r="BL198" s="416">
        <v>0</v>
      </c>
      <c r="BM198" s="416">
        <v>0</v>
      </c>
      <c r="BN198" s="416">
        <v>0</v>
      </c>
      <c r="BO198" s="416">
        <v>0</v>
      </c>
      <c r="BP198" s="416">
        <v>0</v>
      </c>
      <c r="BQ198" s="416">
        <v>0</v>
      </c>
      <c r="BR198" s="416">
        <v>0</v>
      </c>
      <c r="BS198" s="416">
        <v>0</v>
      </c>
      <c r="BT198" s="416">
        <v>0</v>
      </c>
      <c r="BU198" s="416">
        <v>0</v>
      </c>
      <c r="BV198" s="416">
        <v>0</v>
      </c>
      <c r="BW198" s="416">
        <v>0</v>
      </c>
      <c r="BX198" s="416">
        <v>0</v>
      </c>
      <c r="BY198" s="416">
        <v>0</v>
      </c>
      <c r="BZ198" s="416">
        <v>0</v>
      </c>
      <c r="CC198" s="21"/>
      <c r="CD198" s="426" t="s">
        <v>322</v>
      </c>
      <c r="CE198" s="433">
        <f t="shared" si="30"/>
        <v>0</v>
      </c>
      <c r="CF198" s="433">
        <f t="shared" si="31"/>
        <v>0</v>
      </c>
      <c r="CG198" s="433">
        <f t="shared" si="32"/>
        <v>0</v>
      </c>
      <c r="CH198" s="433">
        <f t="shared" si="33"/>
        <v>0</v>
      </c>
      <c r="CI198" s="433">
        <f t="shared" si="34"/>
        <v>0</v>
      </c>
      <c r="CJ198" s="433">
        <f t="shared" si="35"/>
        <v>0</v>
      </c>
      <c r="CK198" s="433">
        <f t="shared" si="36"/>
        <v>0</v>
      </c>
      <c r="CL198" s="433">
        <f t="shared" si="37"/>
        <v>0</v>
      </c>
      <c r="CM198" s="433">
        <f t="shared" si="38"/>
        <v>0</v>
      </c>
      <c r="CN198" s="433">
        <f t="shared" si="39"/>
        <v>0</v>
      </c>
      <c r="CO198" s="433">
        <f t="shared" si="40"/>
        <v>0</v>
      </c>
      <c r="CP198" s="433">
        <f t="shared" si="41"/>
        <v>0</v>
      </c>
      <c r="CQ198" s="433">
        <f t="shared" si="42"/>
        <v>0</v>
      </c>
      <c r="CR198" s="433">
        <f t="shared" si="43"/>
        <v>0</v>
      </c>
      <c r="CS198" s="433">
        <f t="shared" si="44"/>
        <v>0</v>
      </c>
      <c r="CT198" s="21"/>
    </row>
    <row r="199" spans="3:98" hidden="1" outlineLevel="1">
      <c r="C199" s="424" t="s">
        <v>320</v>
      </c>
      <c r="D199" s="416">
        <v>0</v>
      </c>
      <c r="E199" s="416">
        <v>0</v>
      </c>
      <c r="F199" s="416">
        <v>0</v>
      </c>
      <c r="G199" s="416">
        <v>0</v>
      </c>
      <c r="H199" s="416">
        <v>0</v>
      </c>
      <c r="I199" s="416">
        <v>0</v>
      </c>
      <c r="J199" s="416">
        <v>0</v>
      </c>
      <c r="K199" s="416">
        <v>0</v>
      </c>
      <c r="L199" s="416">
        <v>0</v>
      </c>
      <c r="M199" s="416">
        <v>0</v>
      </c>
      <c r="N199" s="416">
        <v>0</v>
      </c>
      <c r="O199" s="416">
        <v>0</v>
      </c>
      <c r="P199" s="416">
        <v>0</v>
      </c>
      <c r="Q199" s="416">
        <v>0</v>
      </c>
      <c r="R199" s="416">
        <v>0</v>
      </c>
      <c r="S199" s="416">
        <v>0</v>
      </c>
      <c r="T199" s="416">
        <v>0</v>
      </c>
      <c r="U199" s="416">
        <v>0</v>
      </c>
      <c r="V199" s="416">
        <v>0</v>
      </c>
      <c r="W199" s="416">
        <v>0</v>
      </c>
      <c r="X199" s="416">
        <v>0</v>
      </c>
      <c r="Y199" s="416">
        <v>0</v>
      </c>
      <c r="Z199" s="416">
        <v>0</v>
      </c>
      <c r="AA199" s="416">
        <v>0</v>
      </c>
      <c r="AB199" s="416">
        <v>0</v>
      </c>
      <c r="AC199" s="416">
        <v>0</v>
      </c>
      <c r="AD199" s="416">
        <v>0</v>
      </c>
      <c r="AE199" s="416">
        <v>0</v>
      </c>
      <c r="AF199" s="416">
        <v>0</v>
      </c>
      <c r="AG199" s="416">
        <v>0</v>
      </c>
      <c r="AH199" s="416">
        <v>0</v>
      </c>
      <c r="AI199" s="416">
        <v>0</v>
      </c>
      <c r="AJ199" s="416">
        <v>0</v>
      </c>
      <c r="AK199" s="416">
        <v>0</v>
      </c>
      <c r="AL199" s="416">
        <v>0</v>
      </c>
      <c r="AM199" s="416">
        <v>0</v>
      </c>
      <c r="AN199" s="416">
        <v>0</v>
      </c>
      <c r="AO199" s="416">
        <v>0</v>
      </c>
      <c r="AP199" s="416">
        <v>0</v>
      </c>
      <c r="AQ199" s="416">
        <v>0</v>
      </c>
      <c r="AR199" s="416">
        <v>0</v>
      </c>
      <c r="AS199" s="416">
        <v>0</v>
      </c>
      <c r="AT199" s="416">
        <v>0</v>
      </c>
      <c r="AU199" s="416">
        <v>0</v>
      </c>
      <c r="AV199" s="416">
        <v>0</v>
      </c>
      <c r="AW199" s="416">
        <v>0</v>
      </c>
      <c r="AX199" s="416">
        <v>0</v>
      </c>
      <c r="AY199" s="416">
        <v>0</v>
      </c>
      <c r="AZ199" s="416">
        <v>0</v>
      </c>
      <c r="BA199" s="416">
        <v>0</v>
      </c>
      <c r="BB199" s="416">
        <v>0</v>
      </c>
      <c r="BC199" s="416">
        <v>0</v>
      </c>
      <c r="BD199" s="416">
        <v>0</v>
      </c>
      <c r="BE199" s="416">
        <v>0</v>
      </c>
      <c r="BF199" s="416">
        <v>0</v>
      </c>
      <c r="BG199" s="416">
        <v>0</v>
      </c>
      <c r="BH199" s="416">
        <v>0</v>
      </c>
      <c r="BI199" s="416">
        <v>0</v>
      </c>
      <c r="BJ199" s="416">
        <v>0</v>
      </c>
      <c r="BK199" s="416">
        <v>0</v>
      </c>
      <c r="BL199" s="416">
        <v>0</v>
      </c>
      <c r="BM199" s="416">
        <v>0</v>
      </c>
      <c r="BN199" s="416">
        <v>0</v>
      </c>
      <c r="BO199" s="416">
        <v>0</v>
      </c>
      <c r="BP199" s="416">
        <v>0</v>
      </c>
      <c r="BQ199" s="416">
        <v>0</v>
      </c>
      <c r="BR199" s="416">
        <v>0</v>
      </c>
      <c r="BS199" s="416">
        <v>0</v>
      </c>
      <c r="BT199" s="416">
        <v>0</v>
      </c>
      <c r="BU199" s="416">
        <v>0</v>
      </c>
      <c r="BV199" s="416">
        <v>0</v>
      </c>
      <c r="BW199" s="416">
        <v>0</v>
      </c>
      <c r="BX199" s="416">
        <v>0</v>
      </c>
      <c r="BY199" s="416">
        <v>0</v>
      </c>
      <c r="BZ199" s="416">
        <v>0</v>
      </c>
      <c r="CC199" s="21"/>
      <c r="CD199" s="424" t="s">
        <v>320</v>
      </c>
      <c r="CE199" s="433">
        <f t="shared" si="30"/>
        <v>0</v>
      </c>
      <c r="CF199" s="433">
        <f t="shared" si="31"/>
        <v>0</v>
      </c>
      <c r="CG199" s="433">
        <f t="shared" si="32"/>
        <v>0</v>
      </c>
      <c r="CH199" s="433">
        <f t="shared" si="33"/>
        <v>0</v>
      </c>
      <c r="CI199" s="433">
        <f t="shared" si="34"/>
        <v>0</v>
      </c>
      <c r="CJ199" s="433">
        <f t="shared" si="35"/>
        <v>0</v>
      </c>
      <c r="CK199" s="433">
        <f t="shared" si="36"/>
        <v>0</v>
      </c>
      <c r="CL199" s="433">
        <f t="shared" si="37"/>
        <v>0</v>
      </c>
      <c r="CM199" s="433">
        <f t="shared" si="38"/>
        <v>0</v>
      </c>
      <c r="CN199" s="433">
        <f t="shared" si="39"/>
        <v>0</v>
      </c>
      <c r="CO199" s="433">
        <f t="shared" si="40"/>
        <v>0</v>
      </c>
      <c r="CP199" s="433">
        <f t="shared" si="41"/>
        <v>0</v>
      </c>
      <c r="CQ199" s="433">
        <f t="shared" si="42"/>
        <v>0</v>
      </c>
      <c r="CR199" s="433">
        <f t="shared" si="43"/>
        <v>0</v>
      </c>
      <c r="CS199" s="433">
        <f t="shared" si="44"/>
        <v>0</v>
      </c>
      <c r="CT199" s="21"/>
    </row>
    <row r="200" spans="3:98" hidden="1" outlineLevel="1">
      <c r="C200" s="424" t="s">
        <v>323</v>
      </c>
      <c r="D200" s="416">
        <v>0</v>
      </c>
      <c r="E200" s="416">
        <v>0</v>
      </c>
      <c r="F200" s="416">
        <v>0</v>
      </c>
      <c r="G200" s="416">
        <v>0</v>
      </c>
      <c r="H200" s="416">
        <v>0</v>
      </c>
      <c r="I200" s="416">
        <v>0</v>
      </c>
      <c r="J200" s="416">
        <v>0</v>
      </c>
      <c r="K200" s="416">
        <v>0</v>
      </c>
      <c r="L200" s="416">
        <v>0</v>
      </c>
      <c r="M200" s="416">
        <v>0</v>
      </c>
      <c r="N200" s="416">
        <v>0</v>
      </c>
      <c r="O200" s="416">
        <v>0</v>
      </c>
      <c r="P200" s="416">
        <v>0</v>
      </c>
      <c r="Q200" s="416">
        <v>0</v>
      </c>
      <c r="R200" s="416">
        <v>0</v>
      </c>
      <c r="S200" s="416">
        <v>0</v>
      </c>
      <c r="T200" s="416">
        <v>0</v>
      </c>
      <c r="U200" s="416">
        <v>0</v>
      </c>
      <c r="V200" s="416">
        <v>0</v>
      </c>
      <c r="W200" s="416">
        <v>0</v>
      </c>
      <c r="X200" s="416">
        <v>0</v>
      </c>
      <c r="Y200" s="416">
        <v>0</v>
      </c>
      <c r="Z200" s="416">
        <v>0</v>
      </c>
      <c r="AA200" s="416">
        <v>0</v>
      </c>
      <c r="AB200" s="416">
        <v>0</v>
      </c>
      <c r="AC200" s="416">
        <v>0</v>
      </c>
      <c r="AD200" s="416">
        <v>0</v>
      </c>
      <c r="AE200" s="416">
        <v>0</v>
      </c>
      <c r="AF200" s="416">
        <v>0</v>
      </c>
      <c r="AG200" s="416">
        <v>0</v>
      </c>
      <c r="AH200" s="416">
        <v>0</v>
      </c>
      <c r="AI200" s="416">
        <v>0</v>
      </c>
      <c r="AJ200" s="416">
        <v>0</v>
      </c>
      <c r="AK200" s="416">
        <v>0</v>
      </c>
      <c r="AL200" s="416">
        <v>0</v>
      </c>
      <c r="AM200" s="416">
        <v>0</v>
      </c>
      <c r="AN200" s="416">
        <v>0</v>
      </c>
      <c r="AO200" s="416">
        <v>0</v>
      </c>
      <c r="AP200" s="416">
        <v>0</v>
      </c>
      <c r="AQ200" s="416">
        <v>0</v>
      </c>
      <c r="AR200" s="416">
        <v>0</v>
      </c>
      <c r="AS200" s="416">
        <v>0</v>
      </c>
      <c r="AT200" s="416">
        <v>0</v>
      </c>
      <c r="AU200" s="416">
        <v>0</v>
      </c>
      <c r="AV200" s="416">
        <v>0</v>
      </c>
      <c r="AW200" s="416">
        <v>0</v>
      </c>
      <c r="AX200" s="416">
        <v>0</v>
      </c>
      <c r="AY200" s="416">
        <v>0</v>
      </c>
      <c r="AZ200" s="416">
        <v>0</v>
      </c>
      <c r="BA200" s="416">
        <v>0</v>
      </c>
      <c r="BB200" s="416">
        <v>0</v>
      </c>
      <c r="BC200" s="416">
        <v>0</v>
      </c>
      <c r="BD200" s="416">
        <v>0</v>
      </c>
      <c r="BE200" s="416">
        <v>0</v>
      </c>
      <c r="BF200" s="416">
        <v>0</v>
      </c>
      <c r="BG200" s="416">
        <v>0</v>
      </c>
      <c r="BH200" s="416">
        <v>0</v>
      </c>
      <c r="BI200" s="416">
        <v>0</v>
      </c>
      <c r="BJ200" s="416">
        <v>0</v>
      </c>
      <c r="BK200" s="416">
        <v>0</v>
      </c>
      <c r="BL200" s="416">
        <v>0</v>
      </c>
      <c r="BM200" s="416">
        <v>0</v>
      </c>
      <c r="BN200" s="416">
        <v>0</v>
      </c>
      <c r="BO200" s="416">
        <v>0</v>
      </c>
      <c r="BP200" s="416">
        <v>0</v>
      </c>
      <c r="BQ200" s="416">
        <v>0</v>
      </c>
      <c r="BR200" s="416">
        <v>0</v>
      </c>
      <c r="BS200" s="416">
        <v>0</v>
      </c>
      <c r="BT200" s="416">
        <v>0</v>
      </c>
      <c r="BU200" s="416">
        <v>0</v>
      </c>
      <c r="BV200" s="416">
        <v>0</v>
      </c>
      <c r="BW200" s="416">
        <v>0</v>
      </c>
      <c r="BX200" s="416">
        <v>0</v>
      </c>
      <c r="BY200" s="416">
        <v>0</v>
      </c>
      <c r="BZ200" s="416">
        <v>0</v>
      </c>
      <c r="CC200" s="21"/>
      <c r="CD200" s="424" t="s">
        <v>323</v>
      </c>
      <c r="CE200" s="433">
        <f t="shared" ref="CE200:CE263" si="45">H200</f>
        <v>0</v>
      </c>
      <c r="CF200" s="433">
        <f t="shared" ref="CF200:CF263" si="46">M200</f>
        <v>0</v>
      </c>
      <c r="CG200" s="433">
        <f t="shared" ref="CG200:CG263" si="47">R200</f>
        <v>0</v>
      </c>
      <c r="CH200" s="433">
        <f t="shared" ref="CH200:CH263" si="48">W200</f>
        <v>0</v>
      </c>
      <c r="CI200" s="433">
        <f t="shared" ref="CI200:CI263" si="49">AB200</f>
        <v>0</v>
      </c>
      <c r="CJ200" s="433">
        <f t="shared" ref="CJ200:CJ263" si="50">AG200</f>
        <v>0</v>
      </c>
      <c r="CK200" s="433">
        <f t="shared" ref="CK200:CK263" si="51">AL200</f>
        <v>0</v>
      </c>
      <c r="CL200" s="433">
        <f t="shared" ref="CL200:CL263" si="52">AQ200</f>
        <v>0</v>
      </c>
      <c r="CM200" s="433">
        <f t="shared" ref="CM200:CM263" si="53">AV200</f>
        <v>0</v>
      </c>
      <c r="CN200" s="433">
        <f t="shared" ref="CN200:CN263" si="54">BA200</f>
        <v>0</v>
      </c>
      <c r="CO200" s="433">
        <f t="shared" ref="CO200:CO263" si="55">BF200</f>
        <v>0</v>
      </c>
      <c r="CP200" s="433">
        <f t="shared" ref="CP200:CP263" si="56">BK200</f>
        <v>0</v>
      </c>
      <c r="CQ200" s="433">
        <f t="shared" ref="CQ200:CQ263" si="57">BP200</f>
        <v>0</v>
      </c>
      <c r="CR200" s="433">
        <f t="shared" ref="CR200:CR263" si="58">BU200</f>
        <v>0</v>
      </c>
      <c r="CS200" s="433">
        <f t="shared" ref="CS200:CS263" si="59">BZ200</f>
        <v>0</v>
      </c>
      <c r="CT200" s="21"/>
    </row>
    <row r="201" spans="3:98" hidden="1" outlineLevel="1">
      <c r="C201" s="424" t="s">
        <v>324</v>
      </c>
      <c r="D201" s="416">
        <v>0</v>
      </c>
      <c r="E201" s="416">
        <v>0</v>
      </c>
      <c r="F201" s="416">
        <v>0</v>
      </c>
      <c r="G201" s="416">
        <v>0</v>
      </c>
      <c r="H201" s="416">
        <v>0</v>
      </c>
      <c r="I201" s="416">
        <v>0</v>
      </c>
      <c r="J201" s="416">
        <v>0</v>
      </c>
      <c r="K201" s="416">
        <v>0</v>
      </c>
      <c r="L201" s="416">
        <v>0</v>
      </c>
      <c r="M201" s="416">
        <v>0</v>
      </c>
      <c r="N201" s="416">
        <v>0</v>
      </c>
      <c r="O201" s="416">
        <v>0</v>
      </c>
      <c r="P201" s="416">
        <v>0</v>
      </c>
      <c r="Q201" s="416">
        <v>0</v>
      </c>
      <c r="R201" s="416">
        <v>0</v>
      </c>
      <c r="S201" s="416">
        <v>0</v>
      </c>
      <c r="T201" s="416">
        <v>0</v>
      </c>
      <c r="U201" s="416">
        <v>0</v>
      </c>
      <c r="V201" s="416">
        <v>0</v>
      </c>
      <c r="W201" s="416">
        <v>0</v>
      </c>
      <c r="X201" s="416">
        <v>0</v>
      </c>
      <c r="Y201" s="416">
        <v>0</v>
      </c>
      <c r="Z201" s="416">
        <v>0</v>
      </c>
      <c r="AA201" s="416">
        <v>0</v>
      </c>
      <c r="AB201" s="416">
        <v>0</v>
      </c>
      <c r="AC201" s="416">
        <v>0</v>
      </c>
      <c r="AD201" s="416">
        <v>0</v>
      </c>
      <c r="AE201" s="416">
        <v>0</v>
      </c>
      <c r="AF201" s="416">
        <v>0</v>
      </c>
      <c r="AG201" s="416">
        <v>0</v>
      </c>
      <c r="AH201" s="416">
        <v>0</v>
      </c>
      <c r="AI201" s="416">
        <v>0</v>
      </c>
      <c r="AJ201" s="416">
        <v>0</v>
      </c>
      <c r="AK201" s="416">
        <v>0</v>
      </c>
      <c r="AL201" s="416">
        <v>0</v>
      </c>
      <c r="AM201" s="416">
        <v>0</v>
      </c>
      <c r="AN201" s="416">
        <v>0</v>
      </c>
      <c r="AO201" s="416">
        <v>0</v>
      </c>
      <c r="AP201" s="416">
        <v>0</v>
      </c>
      <c r="AQ201" s="416">
        <v>0</v>
      </c>
      <c r="AR201" s="416">
        <v>0</v>
      </c>
      <c r="AS201" s="416">
        <v>0</v>
      </c>
      <c r="AT201" s="416">
        <v>0</v>
      </c>
      <c r="AU201" s="416">
        <v>0</v>
      </c>
      <c r="AV201" s="416">
        <v>0</v>
      </c>
      <c r="AW201" s="416">
        <v>0</v>
      </c>
      <c r="AX201" s="416">
        <v>0</v>
      </c>
      <c r="AY201" s="416">
        <v>0</v>
      </c>
      <c r="AZ201" s="416">
        <v>0</v>
      </c>
      <c r="BA201" s="416">
        <v>0</v>
      </c>
      <c r="BB201" s="416">
        <v>0</v>
      </c>
      <c r="BC201" s="416">
        <v>0</v>
      </c>
      <c r="BD201" s="416">
        <v>0</v>
      </c>
      <c r="BE201" s="416">
        <v>0</v>
      </c>
      <c r="BF201" s="416">
        <v>0</v>
      </c>
      <c r="BG201" s="416">
        <v>0</v>
      </c>
      <c r="BH201" s="416">
        <v>0</v>
      </c>
      <c r="BI201" s="416">
        <v>0</v>
      </c>
      <c r="BJ201" s="416">
        <v>0</v>
      </c>
      <c r="BK201" s="416">
        <v>0</v>
      </c>
      <c r="BL201" s="416">
        <v>0</v>
      </c>
      <c r="BM201" s="416">
        <v>0</v>
      </c>
      <c r="BN201" s="416">
        <v>0</v>
      </c>
      <c r="BO201" s="416">
        <v>0</v>
      </c>
      <c r="BP201" s="416">
        <v>0</v>
      </c>
      <c r="BQ201" s="416">
        <v>0</v>
      </c>
      <c r="BR201" s="416">
        <v>0</v>
      </c>
      <c r="BS201" s="416">
        <v>0</v>
      </c>
      <c r="BT201" s="416">
        <v>0</v>
      </c>
      <c r="BU201" s="416">
        <v>0</v>
      </c>
      <c r="BV201" s="416">
        <v>0</v>
      </c>
      <c r="BW201" s="416">
        <v>0</v>
      </c>
      <c r="BX201" s="416">
        <v>0</v>
      </c>
      <c r="BY201" s="416">
        <v>0</v>
      </c>
      <c r="BZ201" s="416">
        <v>0</v>
      </c>
      <c r="CC201" s="21"/>
      <c r="CD201" s="424" t="s">
        <v>324</v>
      </c>
      <c r="CE201" s="433">
        <f t="shared" si="45"/>
        <v>0</v>
      </c>
      <c r="CF201" s="433">
        <f t="shared" si="46"/>
        <v>0</v>
      </c>
      <c r="CG201" s="433">
        <f t="shared" si="47"/>
        <v>0</v>
      </c>
      <c r="CH201" s="433">
        <f t="shared" si="48"/>
        <v>0</v>
      </c>
      <c r="CI201" s="433">
        <f t="shared" si="49"/>
        <v>0</v>
      </c>
      <c r="CJ201" s="433">
        <f t="shared" si="50"/>
        <v>0</v>
      </c>
      <c r="CK201" s="433">
        <f t="shared" si="51"/>
        <v>0</v>
      </c>
      <c r="CL201" s="433">
        <f t="shared" si="52"/>
        <v>0</v>
      </c>
      <c r="CM201" s="433">
        <f t="shared" si="53"/>
        <v>0</v>
      </c>
      <c r="CN201" s="433">
        <f t="shared" si="54"/>
        <v>0</v>
      </c>
      <c r="CO201" s="433">
        <f t="shared" si="55"/>
        <v>0</v>
      </c>
      <c r="CP201" s="433">
        <f t="shared" si="56"/>
        <v>0</v>
      </c>
      <c r="CQ201" s="433">
        <f t="shared" si="57"/>
        <v>0</v>
      </c>
      <c r="CR201" s="433">
        <f t="shared" si="58"/>
        <v>0</v>
      </c>
      <c r="CS201" s="433">
        <f t="shared" si="59"/>
        <v>0</v>
      </c>
      <c r="CT201" s="21"/>
    </row>
    <row r="202" spans="3:98" hidden="1" outlineLevel="1">
      <c r="C202" s="424" t="s">
        <v>325</v>
      </c>
      <c r="D202" s="416">
        <v>0</v>
      </c>
      <c r="E202" s="416">
        <v>0</v>
      </c>
      <c r="F202" s="416">
        <v>0</v>
      </c>
      <c r="G202" s="416">
        <v>0</v>
      </c>
      <c r="H202" s="416">
        <v>0</v>
      </c>
      <c r="I202" s="416">
        <v>0</v>
      </c>
      <c r="J202" s="416">
        <v>0</v>
      </c>
      <c r="K202" s="416">
        <v>0</v>
      </c>
      <c r="L202" s="416">
        <v>0</v>
      </c>
      <c r="M202" s="416">
        <v>0</v>
      </c>
      <c r="N202" s="416">
        <v>0</v>
      </c>
      <c r="O202" s="416">
        <v>0</v>
      </c>
      <c r="P202" s="416">
        <v>0</v>
      </c>
      <c r="Q202" s="416">
        <v>0</v>
      </c>
      <c r="R202" s="416">
        <v>0</v>
      </c>
      <c r="S202" s="416">
        <v>0</v>
      </c>
      <c r="T202" s="416">
        <v>0</v>
      </c>
      <c r="U202" s="416">
        <v>0</v>
      </c>
      <c r="V202" s="416">
        <v>0</v>
      </c>
      <c r="W202" s="416">
        <v>0</v>
      </c>
      <c r="X202" s="416">
        <v>0</v>
      </c>
      <c r="Y202" s="416">
        <v>0</v>
      </c>
      <c r="Z202" s="416">
        <v>0</v>
      </c>
      <c r="AA202" s="416">
        <v>0</v>
      </c>
      <c r="AB202" s="416">
        <v>0</v>
      </c>
      <c r="AC202" s="416">
        <v>0</v>
      </c>
      <c r="AD202" s="416">
        <v>0</v>
      </c>
      <c r="AE202" s="416">
        <v>0</v>
      </c>
      <c r="AF202" s="416">
        <v>0</v>
      </c>
      <c r="AG202" s="416">
        <v>0</v>
      </c>
      <c r="AH202" s="416">
        <v>0</v>
      </c>
      <c r="AI202" s="416">
        <v>0</v>
      </c>
      <c r="AJ202" s="416">
        <v>0</v>
      </c>
      <c r="AK202" s="416">
        <v>0</v>
      </c>
      <c r="AL202" s="416">
        <v>0</v>
      </c>
      <c r="AM202" s="416">
        <v>0</v>
      </c>
      <c r="AN202" s="416">
        <v>0</v>
      </c>
      <c r="AO202" s="416">
        <v>0</v>
      </c>
      <c r="AP202" s="416">
        <v>0</v>
      </c>
      <c r="AQ202" s="416">
        <v>0</v>
      </c>
      <c r="AR202" s="416">
        <v>0</v>
      </c>
      <c r="AS202" s="416">
        <v>0</v>
      </c>
      <c r="AT202" s="416">
        <v>0</v>
      </c>
      <c r="AU202" s="416">
        <v>0</v>
      </c>
      <c r="AV202" s="416">
        <v>0</v>
      </c>
      <c r="AW202" s="416">
        <v>0</v>
      </c>
      <c r="AX202" s="416">
        <v>0</v>
      </c>
      <c r="AY202" s="416">
        <v>0</v>
      </c>
      <c r="AZ202" s="416">
        <v>0</v>
      </c>
      <c r="BA202" s="416">
        <v>0</v>
      </c>
      <c r="BB202" s="416">
        <v>0</v>
      </c>
      <c r="BC202" s="416">
        <v>0</v>
      </c>
      <c r="BD202" s="416">
        <v>0</v>
      </c>
      <c r="BE202" s="416">
        <v>0</v>
      </c>
      <c r="BF202" s="416">
        <v>0</v>
      </c>
      <c r="BG202" s="416">
        <v>0</v>
      </c>
      <c r="BH202" s="416">
        <v>0</v>
      </c>
      <c r="BI202" s="416">
        <v>0</v>
      </c>
      <c r="BJ202" s="416">
        <v>0</v>
      </c>
      <c r="BK202" s="416">
        <v>0</v>
      </c>
      <c r="BL202" s="416">
        <v>0</v>
      </c>
      <c r="BM202" s="416">
        <v>0</v>
      </c>
      <c r="BN202" s="416">
        <v>0</v>
      </c>
      <c r="BO202" s="416">
        <v>0</v>
      </c>
      <c r="BP202" s="416">
        <v>0</v>
      </c>
      <c r="BQ202" s="416">
        <v>0</v>
      </c>
      <c r="BR202" s="416">
        <v>0</v>
      </c>
      <c r="BS202" s="416">
        <v>0</v>
      </c>
      <c r="BT202" s="416">
        <v>0</v>
      </c>
      <c r="BU202" s="416">
        <v>0</v>
      </c>
      <c r="BV202" s="416">
        <v>0</v>
      </c>
      <c r="BW202" s="416">
        <v>0</v>
      </c>
      <c r="BX202" s="416">
        <v>0</v>
      </c>
      <c r="BY202" s="416">
        <v>0</v>
      </c>
      <c r="BZ202" s="416">
        <v>0</v>
      </c>
      <c r="CC202" s="21"/>
      <c r="CD202" s="424" t="s">
        <v>325</v>
      </c>
      <c r="CE202" s="433">
        <f t="shared" si="45"/>
        <v>0</v>
      </c>
      <c r="CF202" s="433">
        <f t="shared" si="46"/>
        <v>0</v>
      </c>
      <c r="CG202" s="433">
        <f t="shared" si="47"/>
        <v>0</v>
      </c>
      <c r="CH202" s="433">
        <f t="shared" si="48"/>
        <v>0</v>
      </c>
      <c r="CI202" s="433">
        <f t="shared" si="49"/>
        <v>0</v>
      </c>
      <c r="CJ202" s="433">
        <f t="shared" si="50"/>
        <v>0</v>
      </c>
      <c r="CK202" s="433">
        <f t="shared" si="51"/>
        <v>0</v>
      </c>
      <c r="CL202" s="433">
        <f t="shared" si="52"/>
        <v>0</v>
      </c>
      <c r="CM202" s="433">
        <f t="shared" si="53"/>
        <v>0</v>
      </c>
      <c r="CN202" s="433">
        <f t="shared" si="54"/>
        <v>0</v>
      </c>
      <c r="CO202" s="433">
        <f t="shared" si="55"/>
        <v>0</v>
      </c>
      <c r="CP202" s="433">
        <f t="shared" si="56"/>
        <v>0</v>
      </c>
      <c r="CQ202" s="433">
        <f t="shared" si="57"/>
        <v>0</v>
      </c>
      <c r="CR202" s="433">
        <f t="shared" si="58"/>
        <v>0</v>
      </c>
      <c r="CS202" s="433">
        <f t="shared" si="59"/>
        <v>0</v>
      </c>
      <c r="CT202" s="21"/>
    </row>
    <row r="203" spans="3:98" collapsed="1">
      <c r="C203" s="415" t="s">
        <v>319</v>
      </c>
      <c r="D203" s="416">
        <v>0</v>
      </c>
      <c r="E203" s="416">
        <v>0</v>
      </c>
      <c r="F203" s="416">
        <v>0</v>
      </c>
      <c r="G203" s="416">
        <v>0</v>
      </c>
      <c r="H203" s="416">
        <v>0</v>
      </c>
      <c r="I203" s="416">
        <v>0</v>
      </c>
      <c r="J203" s="416">
        <v>0</v>
      </c>
      <c r="K203" s="416">
        <v>0</v>
      </c>
      <c r="L203" s="416">
        <v>0</v>
      </c>
      <c r="M203" s="416">
        <v>0</v>
      </c>
      <c r="N203" s="416">
        <v>0</v>
      </c>
      <c r="O203" s="416">
        <v>0</v>
      </c>
      <c r="P203" s="416">
        <v>0</v>
      </c>
      <c r="Q203" s="416">
        <v>0</v>
      </c>
      <c r="R203" s="416">
        <v>0</v>
      </c>
      <c r="S203" s="416">
        <v>0</v>
      </c>
      <c r="T203" s="416">
        <v>0</v>
      </c>
      <c r="U203" s="416">
        <v>0</v>
      </c>
      <c r="V203" s="416">
        <v>0</v>
      </c>
      <c r="W203" s="416">
        <v>0</v>
      </c>
      <c r="X203" s="416">
        <v>0</v>
      </c>
      <c r="Y203" s="416">
        <v>0</v>
      </c>
      <c r="Z203" s="416">
        <v>0</v>
      </c>
      <c r="AA203" s="416">
        <v>0</v>
      </c>
      <c r="AB203" s="416">
        <v>0</v>
      </c>
      <c r="AC203" s="416">
        <v>0</v>
      </c>
      <c r="AD203" s="416">
        <v>0</v>
      </c>
      <c r="AE203" s="416">
        <v>0</v>
      </c>
      <c r="AF203" s="416">
        <v>0</v>
      </c>
      <c r="AG203" s="416">
        <v>0</v>
      </c>
      <c r="AH203" s="416">
        <v>0</v>
      </c>
      <c r="AI203" s="416">
        <v>0</v>
      </c>
      <c r="AJ203" s="416">
        <v>0</v>
      </c>
      <c r="AK203" s="416">
        <v>0</v>
      </c>
      <c r="AL203" s="416">
        <v>0</v>
      </c>
      <c r="AM203" s="416">
        <v>0</v>
      </c>
      <c r="AN203" s="416">
        <v>0</v>
      </c>
      <c r="AO203" s="416">
        <v>0</v>
      </c>
      <c r="AP203" s="416">
        <v>0</v>
      </c>
      <c r="AQ203" s="416">
        <v>0</v>
      </c>
      <c r="AR203" s="416">
        <v>0</v>
      </c>
      <c r="AS203" s="416">
        <v>0</v>
      </c>
      <c r="AT203" s="416">
        <v>0</v>
      </c>
      <c r="AU203" s="416">
        <v>0</v>
      </c>
      <c r="AV203" s="416">
        <v>0</v>
      </c>
      <c r="AW203" s="416">
        <v>0</v>
      </c>
      <c r="AX203" s="416">
        <v>0</v>
      </c>
      <c r="AY203" s="416">
        <v>0</v>
      </c>
      <c r="AZ203" s="416">
        <v>0</v>
      </c>
      <c r="BA203" s="416">
        <v>0</v>
      </c>
      <c r="BB203" s="416">
        <v>0</v>
      </c>
      <c r="BC203" s="416">
        <v>0</v>
      </c>
      <c r="BD203" s="416">
        <v>0</v>
      </c>
      <c r="BE203" s="416">
        <v>0</v>
      </c>
      <c r="BF203" s="416">
        <v>0</v>
      </c>
      <c r="BG203" s="416">
        <v>0</v>
      </c>
      <c r="BH203" s="416">
        <v>0</v>
      </c>
      <c r="BI203" s="416">
        <v>0</v>
      </c>
      <c r="BJ203" s="416">
        <v>0</v>
      </c>
      <c r="BK203" s="416">
        <v>0</v>
      </c>
      <c r="BL203" s="416">
        <v>0</v>
      </c>
      <c r="BM203" s="416">
        <v>0</v>
      </c>
      <c r="BN203" s="416">
        <v>0</v>
      </c>
      <c r="BO203" s="416">
        <v>0</v>
      </c>
      <c r="BP203" s="416">
        <v>0</v>
      </c>
      <c r="BQ203" s="416">
        <v>0</v>
      </c>
      <c r="BR203" s="416">
        <v>0</v>
      </c>
      <c r="BS203" s="416">
        <v>0</v>
      </c>
      <c r="BT203" s="416">
        <v>0</v>
      </c>
      <c r="BU203" s="416">
        <v>0</v>
      </c>
      <c r="BV203" s="416">
        <v>0</v>
      </c>
      <c r="BW203" s="416">
        <v>0</v>
      </c>
      <c r="BX203" s="416">
        <v>0</v>
      </c>
      <c r="BY203" s="416">
        <v>0</v>
      </c>
      <c r="BZ203" s="416">
        <v>0</v>
      </c>
      <c r="CC203" s="21"/>
      <c r="CD203" s="415" t="s">
        <v>319</v>
      </c>
      <c r="CE203" s="433">
        <f t="shared" si="45"/>
        <v>0</v>
      </c>
      <c r="CF203" s="433">
        <f t="shared" si="46"/>
        <v>0</v>
      </c>
      <c r="CG203" s="433">
        <f t="shared" si="47"/>
        <v>0</v>
      </c>
      <c r="CH203" s="433">
        <f t="shared" si="48"/>
        <v>0</v>
      </c>
      <c r="CI203" s="433">
        <f t="shared" si="49"/>
        <v>0</v>
      </c>
      <c r="CJ203" s="433">
        <f t="shared" si="50"/>
        <v>0</v>
      </c>
      <c r="CK203" s="433">
        <f t="shared" si="51"/>
        <v>0</v>
      </c>
      <c r="CL203" s="433">
        <f t="shared" si="52"/>
        <v>0</v>
      </c>
      <c r="CM203" s="433">
        <f t="shared" si="53"/>
        <v>0</v>
      </c>
      <c r="CN203" s="433">
        <f t="shared" si="54"/>
        <v>0</v>
      </c>
      <c r="CO203" s="433">
        <f t="shared" si="55"/>
        <v>0</v>
      </c>
      <c r="CP203" s="433">
        <f t="shared" si="56"/>
        <v>0</v>
      </c>
      <c r="CQ203" s="433">
        <f t="shared" si="57"/>
        <v>0</v>
      </c>
      <c r="CR203" s="433">
        <f t="shared" si="58"/>
        <v>0</v>
      </c>
      <c r="CS203" s="433">
        <f t="shared" si="59"/>
        <v>0</v>
      </c>
      <c r="CT203" s="21"/>
    </row>
    <row r="204" spans="3:98" hidden="1" outlineLevel="1">
      <c r="C204" s="424" t="s">
        <v>327</v>
      </c>
      <c r="D204" s="416">
        <v>0</v>
      </c>
      <c r="E204" s="416">
        <v>0</v>
      </c>
      <c r="F204" s="416">
        <v>0</v>
      </c>
      <c r="G204" s="416">
        <v>0</v>
      </c>
      <c r="H204" s="416">
        <v>0</v>
      </c>
      <c r="I204" s="416">
        <v>0</v>
      </c>
      <c r="J204" s="416">
        <v>0</v>
      </c>
      <c r="K204" s="416">
        <v>0</v>
      </c>
      <c r="L204" s="416">
        <v>0</v>
      </c>
      <c r="M204" s="416">
        <v>0</v>
      </c>
      <c r="N204" s="416">
        <v>0</v>
      </c>
      <c r="O204" s="416">
        <v>0</v>
      </c>
      <c r="P204" s="416">
        <v>0</v>
      </c>
      <c r="Q204" s="416">
        <v>0</v>
      </c>
      <c r="R204" s="416">
        <v>0</v>
      </c>
      <c r="S204" s="416">
        <v>0</v>
      </c>
      <c r="T204" s="416">
        <v>0</v>
      </c>
      <c r="U204" s="416">
        <v>0</v>
      </c>
      <c r="V204" s="416">
        <v>0</v>
      </c>
      <c r="W204" s="416">
        <v>0</v>
      </c>
      <c r="X204" s="416">
        <v>0</v>
      </c>
      <c r="Y204" s="416">
        <v>0</v>
      </c>
      <c r="Z204" s="416">
        <v>0</v>
      </c>
      <c r="AA204" s="416">
        <v>0</v>
      </c>
      <c r="AB204" s="416">
        <v>0</v>
      </c>
      <c r="AC204" s="416">
        <v>0</v>
      </c>
      <c r="AD204" s="416">
        <v>0</v>
      </c>
      <c r="AE204" s="416">
        <v>0</v>
      </c>
      <c r="AF204" s="416">
        <v>0</v>
      </c>
      <c r="AG204" s="416">
        <v>0</v>
      </c>
      <c r="AH204" s="416">
        <v>0</v>
      </c>
      <c r="AI204" s="416">
        <v>0</v>
      </c>
      <c r="AJ204" s="416">
        <v>0</v>
      </c>
      <c r="AK204" s="416">
        <v>0</v>
      </c>
      <c r="AL204" s="416">
        <v>0</v>
      </c>
      <c r="AM204" s="416">
        <v>0</v>
      </c>
      <c r="AN204" s="416">
        <v>0</v>
      </c>
      <c r="AO204" s="416">
        <v>0</v>
      </c>
      <c r="AP204" s="416">
        <v>0</v>
      </c>
      <c r="AQ204" s="416">
        <v>0</v>
      </c>
      <c r="AR204" s="416">
        <v>0</v>
      </c>
      <c r="AS204" s="416">
        <v>0</v>
      </c>
      <c r="AT204" s="416">
        <v>0</v>
      </c>
      <c r="AU204" s="416">
        <v>0</v>
      </c>
      <c r="AV204" s="416">
        <v>0</v>
      </c>
      <c r="AW204" s="416">
        <v>0</v>
      </c>
      <c r="AX204" s="416">
        <v>0</v>
      </c>
      <c r="AY204" s="416">
        <v>0</v>
      </c>
      <c r="AZ204" s="416">
        <v>0</v>
      </c>
      <c r="BA204" s="416">
        <v>0</v>
      </c>
      <c r="BB204" s="416">
        <v>0</v>
      </c>
      <c r="BC204" s="416">
        <v>0</v>
      </c>
      <c r="BD204" s="416">
        <v>0</v>
      </c>
      <c r="BE204" s="416">
        <v>0</v>
      </c>
      <c r="BF204" s="416">
        <v>0</v>
      </c>
      <c r="BG204" s="416">
        <v>0</v>
      </c>
      <c r="BH204" s="416">
        <v>0</v>
      </c>
      <c r="BI204" s="416">
        <v>0</v>
      </c>
      <c r="BJ204" s="416">
        <v>0</v>
      </c>
      <c r="BK204" s="416">
        <v>0</v>
      </c>
      <c r="BL204" s="416">
        <v>0</v>
      </c>
      <c r="BM204" s="416">
        <v>0</v>
      </c>
      <c r="BN204" s="416">
        <v>0</v>
      </c>
      <c r="BO204" s="416">
        <v>0</v>
      </c>
      <c r="BP204" s="416">
        <v>0</v>
      </c>
      <c r="BQ204" s="416">
        <v>0</v>
      </c>
      <c r="BR204" s="416">
        <v>0</v>
      </c>
      <c r="BS204" s="416">
        <v>0</v>
      </c>
      <c r="BT204" s="416">
        <v>0</v>
      </c>
      <c r="BU204" s="416">
        <v>0</v>
      </c>
      <c r="BV204" s="416">
        <v>0</v>
      </c>
      <c r="BW204" s="416">
        <v>0</v>
      </c>
      <c r="BX204" s="416">
        <v>0</v>
      </c>
      <c r="BY204" s="416">
        <v>0</v>
      </c>
      <c r="BZ204" s="416">
        <v>0</v>
      </c>
      <c r="CC204" s="21"/>
      <c r="CD204" s="424" t="s">
        <v>327</v>
      </c>
      <c r="CE204" s="433">
        <f t="shared" si="45"/>
        <v>0</v>
      </c>
      <c r="CF204" s="433">
        <f t="shared" si="46"/>
        <v>0</v>
      </c>
      <c r="CG204" s="433">
        <f t="shared" si="47"/>
        <v>0</v>
      </c>
      <c r="CH204" s="433">
        <f t="shared" si="48"/>
        <v>0</v>
      </c>
      <c r="CI204" s="433">
        <f t="shared" si="49"/>
        <v>0</v>
      </c>
      <c r="CJ204" s="433">
        <f t="shared" si="50"/>
        <v>0</v>
      </c>
      <c r="CK204" s="433">
        <f t="shared" si="51"/>
        <v>0</v>
      </c>
      <c r="CL204" s="433">
        <f t="shared" si="52"/>
        <v>0</v>
      </c>
      <c r="CM204" s="433">
        <f t="shared" si="53"/>
        <v>0</v>
      </c>
      <c r="CN204" s="433">
        <f t="shared" si="54"/>
        <v>0</v>
      </c>
      <c r="CO204" s="433">
        <f t="shared" si="55"/>
        <v>0</v>
      </c>
      <c r="CP204" s="433">
        <f t="shared" si="56"/>
        <v>0</v>
      </c>
      <c r="CQ204" s="433">
        <f t="shared" si="57"/>
        <v>0</v>
      </c>
      <c r="CR204" s="433">
        <f t="shared" si="58"/>
        <v>0</v>
      </c>
      <c r="CS204" s="433">
        <f t="shared" si="59"/>
        <v>0</v>
      </c>
      <c r="CT204" s="21"/>
    </row>
    <row r="205" spans="3:98" hidden="1" outlineLevel="1">
      <c r="C205" s="424" t="s">
        <v>328</v>
      </c>
      <c r="D205" s="416">
        <v>0</v>
      </c>
      <c r="E205" s="416">
        <v>0</v>
      </c>
      <c r="F205" s="416">
        <v>0</v>
      </c>
      <c r="G205" s="416">
        <v>0</v>
      </c>
      <c r="H205" s="416">
        <v>0</v>
      </c>
      <c r="I205" s="416">
        <v>0</v>
      </c>
      <c r="J205" s="416">
        <v>0</v>
      </c>
      <c r="K205" s="416">
        <v>0</v>
      </c>
      <c r="L205" s="416">
        <v>0</v>
      </c>
      <c r="M205" s="416">
        <v>0</v>
      </c>
      <c r="N205" s="416">
        <v>0</v>
      </c>
      <c r="O205" s="416">
        <v>0</v>
      </c>
      <c r="P205" s="416">
        <v>0</v>
      </c>
      <c r="Q205" s="416">
        <v>0</v>
      </c>
      <c r="R205" s="416">
        <v>0</v>
      </c>
      <c r="S205" s="416">
        <v>0</v>
      </c>
      <c r="T205" s="416">
        <v>0</v>
      </c>
      <c r="U205" s="416">
        <v>0</v>
      </c>
      <c r="V205" s="416">
        <v>0</v>
      </c>
      <c r="W205" s="416">
        <v>0</v>
      </c>
      <c r="X205" s="416">
        <v>0</v>
      </c>
      <c r="Y205" s="416">
        <v>0</v>
      </c>
      <c r="Z205" s="416">
        <v>0</v>
      </c>
      <c r="AA205" s="416">
        <v>0</v>
      </c>
      <c r="AB205" s="416">
        <v>0</v>
      </c>
      <c r="AC205" s="416">
        <v>0</v>
      </c>
      <c r="AD205" s="416">
        <v>0</v>
      </c>
      <c r="AE205" s="416">
        <v>0</v>
      </c>
      <c r="AF205" s="416">
        <v>0</v>
      </c>
      <c r="AG205" s="416">
        <v>0</v>
      </c>
      <c r="AH205" s="416">
        <v>0</v>
      </c>
      <c r="AI205" s="416">
        <v>0</v>
      </c>
      <c r="AJ205" s="416">
        <v>0</v>
      </c>
      <c r="AK205" s="416">
        <v>0</v>
      </c>
      <c r="AL205" s="416">
        <v>0</v>
      </c>
      <c r="AM205" s="416">
        <v>0</v>
      </c>
      <c r="AN205" s="416">
        <v>0</v>
      </c>
      <c r="AO205" s="416">
        <v>0</v>
      </c>
      <c r="AP205" s="416">
        <v>0</v>
      </c>
      <c r="AQ205" s="416">
        <v>0</v>
      </c>
      <c r="AR205" s="416">
        <v>0</v>
      </c>
      <c r="AS205" s="416">
        <v>0</v>
      </c>
      <c r="AT205" s="416">
        <v>0</v>
      </c>
      <c r="AU205" s="416">
        <v>0</v>
      </c>
      <c r="AV205" s="416">
        <v>0</v>
      </c>
      <c r="AW205" s="416">
        <v>0</v>
      </c>
      <c r="AX205" s="416">
        <v>0</v>
      </c>
      <c r="AY205" s="416">
        <v>0</v>
      </c>
      <c r="AZ205" s="416">
        <v>0</v>
      </c>
      <c r="BA205" s="416">
        <v>0</v>
      </c>
      <c r="BB205" s="416">
        <v>0</v>
      </c>
      <c r="BC205" s="416">
        <v>0</v>
      </c>
      <c r="BD205" s="416">
        <v>0</v>
      </c>
      <c r="BE205" s="416">
        <v>0</v>
      </c>
      <c r="BF205" s="416">
        <v>0</v>
      </c>
      <c r="BG205" s="416">
        <v>0</v>
      </c>
      <c r="BH205" s="416">
        <v>0</v>
      </c>
      <c r="BI205" s="416">
        <v>0</v>
      </c>
      <c r="BJ205" s="416">
        <v>0</v>
      </c>
      <c r="BK205" s="416">
        <v>0</v>
      </c>
      <c r="BL205" s="416">
        <v>0</v>
      </c>
      <c r="BM205" s="416">
        <v>0</v>
      </c>
      <c r="BN205" s="416">
        <v>0</v>
      </c>
      <c r="BO205" s="416">
        <v>0</v>
      </c>
      <c r="BP205" s="416">
        <v>0</v>
      </c>
      <c r="BQ205" s="416">
        <v>0</v>
      </c>
      <c r="BR205" s="416">
        <v>0</v>
      </c>
      <c r="BS205" s="416">
        <v>0</v>
      </c>
      <c r="BT205" s="416">
        <v>0</v>
      </c>
      <c r="BU205" s="416">
        <v>0</v>
      </c>
      <c r="BV205" s="416">
        <v>0</v>
      </c>
      <c r="BW205" s="416">
        <v>0</v>
      </c>
      <c r="BX205" s="416">
        <v>0</v>
      </c>
      <c r="BY205" s="416">
        <v>0</v>
      </c>
      <c r="BZ205" s="416">
        <v>0</v>
      </c>
      <c r="CC205" s="21"/>
      <c r="CD205" s="424" t="s">
        <v>328</v>
      </c>
      <c r="CE205" s="433">
        <f t="shared" si="45"/>
        <v>0</v>
      </c>
      <c r="CF205" s="433">
        <f t="shared" si="46"/>
        <v>0</v>
      </c>
      <c r="CG205" s="433">
        <f t="shared" si="47"/>
        <v>0</v>
      </c>
      <c r="CH205" s="433">
        <f t="shared" si="48"/>
        <v>0</v>
      </c>
      <c r="CI205" s="433">
        <f t="shared" si="49"/>
        <v>0</v>
      </c>
      <c r="CJ205" s="433">
        <f t="shared" si="50"/>
        <v>0</v>
      </c>
      <c r="CK205" s="433">
        <f t="shared" si="51"/>
        <v>0</v>
      </c>
      <c r="CL205" s="433">
        <f t="shared" si="52"/>
        <v>0</v>
      </c>
      <c r="CM205" s="433">
        <f t="shared" si="53"/>
        <v>0</v>
      </c>
      <c r="CN205" s="433">
        <f t="shared" si="54"/>
        <v>0</v>
      </c>
      <c r="CO205" s="433">
        <f t="shared" si="55"/>
        <v>0</v>
      </c>
      <c r="CP205" s="433">
        <f t="shared" si="56"/>
        <v>0</v>
      </c>
      <c r="CQ205" s="433">
        <f t="shared" si="57"/>
        <v>0</v>
      </c>
      <c r="CR205" s="433">
        <f t="shared" si="58"/>
        <v>0</v>
      </c>
      <c r="CS205" s="433">
        <f t="shared" si="59"/>
        <v>0</v>
      </c>
      <c r="CT205" s="21"/>
    </row>
    <row r="206" spans="3:98" collapsed="1">
      <c r="C206" s="415" t="s">
        <v>326</v>
      </c>
      <c r="D206" s="416">
        <v>0</v>
      </c>
      <c r="E206" s="416">
        <v>0</v>
      </c>
      <c r="F206" s="416">
        <v>0</v>
      </c>
      <c r="G206" s="416">
        <v>0</v>
      </c>
      <c r="H206" s="416">
        <v>0</v>
      </c>
      <c r="I206" s="416">
        <v>0</v>
      </c>
      <c r="J206" s="416">
        <v>0</v>
      </c>
      <c r="K206" s="416">
        <v>0</v>
      </c>
      <c r="L206" s="416">
        <v>0</v>
      </c>
      <c r="M206" s="416">
        <v>0</v>
      </c>
      <c r="N206" s="416">
        <v>0</v>
      </c>
      <c r="O206" s="416">
        <v>0</v>
      </c>
      <c r="P206" s="416">
        <v>0</v>
      </c>
      <c r="Q206" s="416">
        <v>0</v>
      </c>
      <c r="R206" s="416">
        <v>0</v>
      </c>
      <c r="S206" s="416">
        <v>0</v>
      </c>
      <c r="T206" s="416">
        <v>0</v>
      </c>
      <c r="U206" s="416">
        <v>0</v>
      </c>
      <c r="V206" s="416">
        <v>0</v>
      </c>
      <c r="W206" s="416">
        <v>0</v>
      </c>
      <c r="X206" s="416">
        <v>0</v>
      </c>
      <c r="Y206" s="416">
        <v>0</v>
      </c>
      <c r="Z206" s="416">
        <v>0</v>
      </c>
      <c r="AA206" s="416">
        <v>0</v>
      </c>
      <c r="AB206" s="416">
        <v>0</v>
      </c>
      <c r="AC206" s="416">
        <v>0</v>
      </c>
      <c r="AD206" s="416">
        <v>0</v>
      </c>
      <c r="AE206" s="416">
        <v>0</v>
      </c>
      <c r="AF206" s="416">
        <v>0</v>
      </c>
      <c r="AG206" s="416">
        <v>0</v>
      </c>
      <c r="AH206" s="416">
        <v>0</v>
      </c>
      <c r="AI206" s="416">
        <v>0</v>
      </c>
      <c r="AJ206" s="416">
        <v>0</v>
      </c>
      <c r="AK206" s="416">
        <v>0</v>
      </c>
      <c r="AL206" s="416">
        <v>0</v>
      </c>
      <c r="AM206" s="416">
        <v>0</v>
      </c>
      <c r="AN206" s="416">
        <v>0</v>
      </c>
      <c r="AO206" s="416">
        <v>0</v>
      </c>
      <c r="AP206" s="416">
        <v>0</v>
      </c>
      <c r="AQ206" s="416">
        <v>0</v>
      </c>
      <c r="AR206" s="416">
        <v>0</v>
      </c>
      <c r="AS206" s="416">
        <v>0</v>
      </c>
      <c r="AT206" s="416">
        <v>0</v>
      </c>
      <c r="AU206" s="416">
        <v>0</v>
      </c>
      <c r="AV206" s="416">
        <v>0</v>
      </c>
      <c r="AW206" s="416">
        <v>0</v>
      </c>
      <c r="AX206" s="416">
        <v>0</v>
      </c>
      <c r="AY206" s="416">
        <v>0</v>
      </c>
      <c r="AZ206" s="416">
        <v>0</v>
      </c>
      <c r="BA206" s="416">
        <v>0</v>
      </c>
      <c r="BB206" s="416">
        <v>0</v>
      </c>
      <c r="BC206" s="416">
        <v>0</v>
      </c>
      <c r="BD206" s="416">
        <v>0</v>
      </c>
      <c r="BE206" s="416">
        <v>0</v>
      </c>
      <c r="BF206" s="416">
        <v>0</v>
      </c>
      <c r="BG206" s="416">
        <v>0</v>
      </c>
      <c r="BH206" s="416">
        <v>0</v>
      </c>
      <c r="BI206" s="416">
        <v>0</v>
      </c>
      <c r="BJ206" s="416">
        <v>0</v>
      </c>
      <c r="BK206" s="416">
        <v>0</v>
      </c>
      <c r="BL206" s="416">
        <v>0</v>
      </c>
      <c r="BM206" s="416">
        <v>0</v>
      </c>
      <c r="BN206" s="416">
        <v>0</v>
      </c>
      <c r="BO206" s="416">
        <v>0</v>
      </c>
      <c r="BP206" s="416">
        <v>0</v>
      </c>
      <c r="BQ206" s="416">
        <v>0</v>
      </c>
      <c r="BR206" s="416">
        <v>0</v>
      </c>
      <c r="BS206" s="416">
        <v>0</v>
      </c>
      <c r="BT206" s="416">
        <v>0</v>
      </c>
      <c r="BU206" s="416">
        <v>0</v>
      </c>
      <c r="BV206" s="416">
        <v>0</v>
      </c>
      <c r="BW206" s="416">
        <v>0</v>
      </c>
      <c r="BX206" s="416">
        <v>0</v>
      </c>
      <c r="BY206" s="416">
        <v>0</v>
      </c>
      <c r="BZ206" s="416">
        <v>0</v>
      </c>
      <c r="CC206" s="21"/>
      <c r="CD206" s="415" t="s">
        <v>326</v>
      </c>
      <c r="CE206" s="433">
        <f t="shared" si="45"/>
        <v>0</v>
      </c>
      <c r="CF206" s="433">
        <f t="shared" si="46"/>
        <v>0</v>
      </c>
      <c r="CG206" s="433">
        <f t="shared" si="47"/>
        <v>0</v>
      </c>
      <c r="CH206" s="433">
        <f t="shared" si="48"/>
        <v>0</v>
      </c>
      <c r="CI206" s="433">
        <f t="shared" si="49"/>
        <v>0</v>
      </c>
      <c r="CJ206" s="433">
        <f t="shared" si="50"/>
        <v>0</v>
      </c>
      <c r="CK206" s="433">
        <f t="shared" si="51"/>
        <v>0</v>
      </c>
      <c r="CL206" s="433">
        <f t="shared" si="52"/>
        <v>0</v>
      </c>
      <c r="CM206" s="433">
        <f t="shared" si="53"/>
        <v>0</v>
      </c>
      <c r="CN206" s="433">
        <f t="shared" si="54"/>
        <v>0</v>
      </c>
      <c r="CO206" s="433">
        <f t="shared" si="55"/>
        <v>0</v>
      </c>
      <c r="CP206" s="433">
        <f t="shared" si="56"/>
        <v>0</v>
      </c>
      <c r="CQ206" s="433">
        <f t="shared" si="57"/>
        <v>0</v>
      </c>
      <c r="CR206" s="433">
        <f t="shared" si="58"/>
        <v>0</v>
      </c>
      <c r="CS206" s="433">
        <f t="shared" si="59"/>
        <v>0</v>
      </c>
      <c r="CT206" s="21"/>
    </row>
    <row r="207" spans="3:98" hidden="1" outlineLevel="1">
      <c r="C207" s="424" t="s">
        <v>330</v>
      </c>
      <c r="D207" s="416">
        <v>0</v>
      </c>
      <c r="E207" s="416">
        <v>0</v>
      </c>
      <c r="F207" s="416">
        <v>0</v>
      </c>
      <c r="G207" s="416">
        <v>0</v>
      </c>
      <c r="H207" s="416">
        <v>0</v>
      </c>
      <c r="I207" s="416">
        <v>0</v>
      </c>
      <c r="J207" s="416">
        <v>0</v>
      </c>
      <c r="K207" s="416">
        <v>0</v>
      </c>
      <c r="L207" s="416">
        <v>0</v>
      </c>
      <c r="M207" s="416">
        <v>0</v>
      </c>
      <c r="N207" s="416">
        <v>0</v>
      </c>
      <c r="O207" s="416">
        <v>0</v>
      </c>
      <c r="P207" s="416">
        <v>0</v>
      </c>
      <c r="Q207" s="416">
        <v>0</v>
      </c>
      <c r="R207" s="416">
        <v>0</v>
      </c>
      <c r="S207" s="416">
        <v>0</v>
      </c>
      <c r="T207" s="416">
        <v>0</v>
      </c>
      <c r="U207" s="416">
        <v>0</v>
      </c>
      <c r="V207" s="416">
        <v>0</v>
      </c>
      <c r="W207" s="416">
        <v>0</v>
      </c>
      <c r="X207" s="416">
        <v>0</v>
      </c>
      <c r="Y207" s="416">
        <v>0</v>
      </c>
      <c r="Z207" s="416">
        <v>0</v>
      </c>
      <c r="AA207" s="416">
        <v>0</v>
      </c>
      <c r="AB207" s="416">
        <v>0</v>
      </c>
      <c r="AC207" s="416">
        <v>0</v>
      </c>
      <c r="AD207" s="416">
        <v>0</v>
      </c>
      <c r="AE207" s="416">
        <v>0</v>
      </c>
      <c r="AF207" s="416">
        <v>0</v>
      </c>
      <c r="AG207" s="416">
        <v>0</v>
      </c>
      <c r="AH207" s="416">
        <v>0</v>
      </c>
      <c r="AI207" s="416">
        <v>0</v>
      </c>
      <c r="AJ207" s="416">
        <v>0</v>
      </c>
      <c r="AK207" s="416">
        <v>0</v>
      </c>
      <c r="AL207" s="416">
        <v>0</v>
      </c>
      <c r="AM207" s="416">
        <v>0</v>
      </c>
      <c r="AN207" s="416">
        <v>0</v>
      </c>
      <c r="AO207" s="416">
        <v>0</v>
      </c>
      <c r="AP207" s="416">
        <v>0</v>
      </c>
      <c r="AQ207" s="416">
        <v>0</v>
      </c>
      <c r="AR207" s="416">
        <v>0</v>
      </c>
      <c r="AS207" s="416">
        <v>0</v>
      </c>
      <c r="AT207" s="416">
        <v>0</v>
      </c>
      <c r="AU207" s="416">
        <v>0</v>
      </c>
      <c r="AV207" s="416">
        <v>0</v>
      </c>
      <c r="AW207" s="416">
        <v>0</v>
      </c>
      <c r="AX207" s="416">
        <v>0</v>
      </c>
      <c r="AY207" s="416">
        <v>0</v>
      </c>
      <c r="AZ207" s="416">
        <v>0</v>
      </c>
      <c r="BA207" s="416">
        <v>0</v>
      </c>
      <c r="BB207" s="416">
        <v>0</v>
      </c>
      <c r="BC207" s="416">
        <v>0</v>
      </c>
      <c r="BD207" s="416">
        <v>0</v>
      </c>
      <c r="BE207" s="416">
        <v>0</v>
      </c>
      <c r="BF207" s="416">
        <v>1106.8150000000001</v>
      </c>
      <c r="BG207" s="416">
        <v>0</v>
      </c>
      <c r="BH207" s="416">
        <v>0</v>
      </c>
      <c r="BI207" s="416">
        <v>0</v>
      </c>
      <c r="BJ207" s="416">
        <v>3849.4679999999998</v>
      </c>
      <c r="BK207" s="416">
        <v>3849.4679999999998</v>
      </c>
      <c r="BL207" s="416">
        <v>6223.8459999999995</v>
      </c>
      <c r="BM207" s="416">
        <v>8968.5049999999992</v>
      </c>
      <c r="BN207" s="416">
        <v>8807.9779999999992</v>
      </c>
      <c r="BO207" s="416">
        <v>10480.611999999999</v>
      </c>
      <c r="BP207" s="416">
        <v>10480.611999999999</v>
      </c>
      <c r="BQ207" s="416">
        <v>9742.9609999999993</v>
      </c>
      <c r="BR207" s="416">
        <v>95525.43</v>
      </c>
      <c r="BS207" s="416">
        <v>101470.781</v>
      </c>
      <c r="BT207" s="416">
        <v>80242.774999999994</v>
      </c>
      <c r="BU207" s="416">
        <v>80242.774999999994</v>
      </c>
      <c r="BV207" s="416">
        <v>129723.54700000001</v>
      </c>
      <c r="BW207" s="416">
        <v>128091.66499999999</v>
      </c>
      <c r="BX207" s="416">
        <v>117766.398</v>
      </c>
      <c r="BY207" s="416">
        <v>0</v>
      </c>
      <c r="BZ207" s="416">
        <v>0</v>
      </c>
      <c r="CC207" s="21"/>
      <c r="CD207" s="424" t="s">
        <v>330</v>
      </c>
      <c r="CE207" s="433">
        <f t="shared" si="45"/>
        <v>0</v>
      </c>
      <c r="CF207" s="433">
        <f t="shared" si="46"/>
        <v>0</v>
      </c>
      <c r="CG207" s="433">
        <f t="shared" si="47"/>
        <v>0</v>
      </c>
      <c r="CH207" s="433">
        <f t="shared" si="48"/>
        <v>0</v>
      </c>
      <c r="CI207" s="433">
        <f t="shared" si="49"/>
        <v>0</v>
      </c>
      <c r="CJ207" s="433">
        <f t="shared" si="50"/>
        <v>0</v>
      </c>
      <c r="CK207" s="433">
        <f t="shared" si="51"/>
        <v>0</v>
      </c>
      <c r="CL207" s="433">
        <f t="shared" si="52"/>
        <v>0</v>
      </c>
      <c r="CM207" s="433">
        <f t="shared" si="53"/>
        <v>0</v>
      </c>
      <c r="CN207" s="433">
        <f t="shared" si="54"/>
        <v>0</v>
      </c>
      <c r="CO207" s="433">
        <f t="shared" si="55"/>
        <v>1106.8150000000001</v>
      </c>
      <c r="CP207" s="433">
        <f t="shared" si="56"/>
        <v>3849.4679999999998</v>
      </c>
      <c r="CQ207" s="433">
        <f t="shared" si="57"/>
        <v>10480.611999999999</v>
      </c>
      <c r="CR207" s="433">
        <f t="shared" si="58"/>
        <v>80242.774999999994</v>
      </c>
      <c r="CS207" s="433">
        <f t="shared" si="59"/>
        <v>0</v>
      </c>
      <c r="CT207" s="21"/>
    </row>
    <row r="208" spans="3:98" hidden="1" outlineLevel="1">
      <c r="C208" s="424" t="s">
        <v>331</v>
      </c>
      <c r="D208" s="416">
        <v>0</v>
      </c>
      <c r="E208" s="416">
        <v>0</v>
      </c>
      <c r="F208" s="416">
        <v>0</v>
      </c>
      <c r="G208" s="416">
        <v>0</v>
      </c>
      <c r="H208" s="416">
        <v>0</v>
      </c>
      <c r="I208" s="416">
        <v>0</v>
      </c>
      <c r="J208" s="416">
        <v>0</v>
      </c>
      <c r="K208" s="416">
        <v>0</v>
      </c>
      <c r="L208" s="416">
        <v>0</v>
      </c>
      <c r="M208" s="416">
        <v>0</v>
      </c>
      <c r="N208" s="416">
        <v>0</v>
      </c>
      <c r="O208" s="416">
        <v>0</v>
      </c>
      <c r="P208" s="416">
        <v>0</v>
      </c>
      <c r="Q208" s="416">
        <v>0</v>
      </c>
      <c r="R208" s="416">
        <v>0</v>
      </c>
      <c r="S208" s="416">
        <v>0</v>
      </c>
      <c r="T208" s="416">
        <v>0</v>
      </c>
      <c r="U208" s="416">
        <v>0</v>
      </c>
      <c r="V208" s="416">
        <v>0</v>
      </c>
      <c r="W208" s="416">
        <v>0</v>
      </c>
      <c r="X208" s="416">
        <v>0</v>
      </c>
      <c r="Y208" s="416">
        <v>0</v>
      </c>
      <c r="Z208" s="416">
        <v>0</v>
      </c>
      <c r="AA208" s="416">
        <v>0</v>
      </c>
      <c r="AB208" s="416">
        <v>0</v>
      </c>
      <c r="AC208" s="416">
        <v>0</v>
      </c>
      <c r="AD208" s="416">
        <v>0</v>
      </c>
      <c r="AE208" s="416">
        <v>0</v>
      </c>
      <c r="AF208" s="416">
        <v>0</v>
      </c>
      <c r="AG208" s="416">
        <v>0</v>
      </c>
      <c r="AH208" s="416">
        <v>0</v>
      </c>
      <c r="AI208" s="416">
        <v>0</v>
      </c>
      <c r="AJ208" s="416">
        <v>0</v>
      </c>
      <c r="AK208" s="416">
        <v>0</v>
      </c>
      <c r="AL208" s="416">
        <v>0</v>
      </c>
      <c r="AM208" s="416">
        <v>0</v>
      </c>
      <c r="AN208" s="416">
        <v>0</v>
      </c>
      <c r="AO208" s="416">
        <v>0</v>
      </c>
      <c r="AP208" s="416">
        <v>0</v>
      </c>
      <c r="AQ208" s="416">
        <v>0</v>
      </c>
      <c r="AR208" s="416">
        <v>0</v>
      </c>
      <c r="AS208" s="416">
        <v>0</v>
      </c>
      <c r="AT208" s="416">
        <v>0</v>
      </c>
      <c r="AU208" s="416">
        <v>0</v>
      </c>
      <c r="AV208" s="416">
        <v>0</v>
      </c>
      <c r="AW208" s="416">
        <v>0</v>
      </c>
      <c r="AX208" s="416">
        <v>0</v>
      </c>
      <c r="AY208" s="416">
        <v>0</v>
      </c>
      <c r="AZ208" s="416">
        <v>0</v>
      </c>
      <c r="BA208" s="416">
        <v>0</v>
      </c>
      <c r="BB208" s="416">
        <v>0</v>
      </c>
      <c r="BC208" s="416">
        <v>0</v>
      </c>
      <c r="BD208" s="416">
        <v>0</v>
      </c>
      <c r="BE208" s="416">
        <v>0</v>
      </c>
      <c r="BF208" s="416">
        <v>0</v>
      </c>
      <c r="BG208" s="416">
        <v>0</v>
      </c>
      <c r="BH208" s="416">
        <v>0</v>
      </c>
      <c r="BI208" s="416">
        <v>0</v>
      </c>
      <c r="BJ208" s="416">
        <v>0</v>
      </c>
      <c r="BK208" s="416">
        <v>0</v>
      </c>
      <c r="BL208" s="416">
        <v>0</v>
      </c>
      <c r="BM208" s="416">
        <v>0</v>
      </c>
      <c r="BN208" s="416">
        <v>0</v>
      </c>
      <c r="BO208" s="416">
        <v>0</v>
      </c>
      <c r="BP208" s="416">
        <v>0</v>
      </c>
      <c r="BQ208" s="416">
        <v>0</v>
      </c>
      <c r="BR208" s="416">
        <v>0</v>
      </c>
      <c r="BS208" s="416">
        <v>0</v>
      </c>
      <c r="BT208" s="416">
        <v>0</v>
      </c>
      <c r="BU208" s="416">
        <v>0</v>
      </c>
      <c r="BV208" s="416">
        <v>0</v>
      </c>
      <c r="BW208" s="416">
        <v>0</v>
      </c>
      <c r="BX208" s="416">
        <v>0</v>
      </c>
      <c r="BY208" s="416">
        <v>0</v>
      </c>
      <c r="BZ208" s="416">
        <v>0</v>
      </c>
      <c r="CC208" s="21"/>
      <c r="CD208" s="424" t="s">
        <v>331</v>
      </c>
      <c r="CE208" s="433">
        <f t="shared" si="45"/>
        <v>0</v>
      </c>
      <c r="CF208" s="433">
        <f t="shared" si="46"/>
        <v>0</v>
      </c>
      <c r="CG208" s="433">
        <f t="shared" si="47"/>
        <v>0</v>
      </c>
      <c r="CH208" s="433">
        <f t="shared" si="48"/>
        <v>0</v>
      </c>
      <c r="CI208" s="433">
        <f t="shared" si="49"/>
        <v>0</v>
      </c>
      <c r="CJ208" s="433">
        <f t="shared" si="50"/>
        <v>0</v>
      </c>
      <c r="CK208" s="433">
        <f t="shared" si="51"/>
        <v>0</v>
      </c>
      <c r="CL208" s="433">
        <f t="shared" si="52"/>
        <v>0</v>
      </c>
      <c r="CM208" s="433">
        <f t="shared" si="53"/>
        <v>0</v>
      </c>
      <c r="CN208" s="433">
        <f t="shared" si="54"/>
        <v>0</v>
      </c>
      <c r="CO208" s="433">
        <f t="shared" si="55"/>
        <v>0</v>
      </c>
      <c r="CP208" s="433">
        <f t="shared" si="56"/>
        <v>0</v>
      </c>
      <c r="CQ208" s="433">
        <f t="shared" si="57"/>
        <v>0</v>
      </c>
      <c r="CR208" s="433">
        <f t="shared" si="58"/>
        <v>0</v>
      </c>
      <c r="CS208" s="433">
        <f t="shared" si="59"/>
        <v>0</v>
      </c>
      <c r="CT208" s="21"/>
    </row>
    <row r="209" spans="1:98" collapsed="1">
      <c r="C209" s="415" t="s">
        <v>329</v>
      </c>
      <c r="D209" s="416">
        <v>0</v>
      </c>
      <c r="E209" s="416">
        <v>0</v>
      </c>
      <c r="F209" s="416">
        <v>0</v>
      </c>
      <c r="G209" s="416">
        <v>0</v>
      </c>
      <c r="H209" s="416">
        <v>0</v>
      </c>
      <c r="I209" s="416">
        <v>0</v>
      </c>
      <c r="J209" s="416">
        <v>0</v>
      </c>
      <c r="K209" s="416">
        <v>0</v>
      </c>
      <c r="L209" s="416">
        <v>0</v>
      </c>
      <c r="M209" s="416">
        <v>0</v>
      </c>
      <c r="N209" s="416">
        <v>0</v>
      </c>
      <c r="O209" s="416">
        <v>0</v>
      </c>
      <c r="P209" s="416">
        <v>0</v>
      </c>
      <c r="Q209" s="416">
        <v>0</v>
      </c>
      <c r="R209" s="416">
        <v>0</v>
      </c>
      <c r="S209" s="416">
        <v>0</v>
      </c>
      <c r="T209" s="416">
        <v>0</v>
      </c>
      <c r="U209" s="416">
        <v>0</v>
      </c>
      <c r="V209" s="416">
        <v>0</v>
      </c>
      <c r="W209" s="416">
        <v>0</v>
      </c>
      <c r="X209" s="416">
        <v>0</v>
      </c>
      <c r="Y209" s="416">
        <v>0</v>
      </c>
      <c r="Z209" s="416">
        <v>0</v>
      </c>
      <c r="AA209" s="416">
        <v>0</v>
      </c>
      <c r="AB209" s="416">
        <v>0</v>
      </c>
      <c r="AC209" s="416">
        <v>0</v>
      </c>
      <c r="AD209" s="416">
        <v>0</v>
      </c>
      <c r="AE209" s="416">
        <v>0</v>
      </c>
      <c r="AF209" s="416">
        <v>0</v>
      </c>
      <c r="AG209" s="416">
        <v>0</v>
      </c>
      <c r="AH209" s="416">
        <v>0</v>
      </c>
      <c r="AI209" s="416">
        <v>0</v>
      </c>
      <c r="AJ209" s="416">
        <v>0</v>
      </c>
      <c r="AK209" s="416">
        <v>0</v>
      </c>
      <c r="AL209" s="416">
        <v>0</v>
      </c>
      <c r="AM209" s="416">
        <v>0</v>
      </c>
      <c r="AN209" s="416">
        <v>0</v>
      </c>
      <c r="AO209" s="416">
        <v>0</v>
      </c>
      <c r="AP209" s="416">
        <v>0</v>
      </c>
      <c r="AQ209" s="416">
        <v>0</v>
      </c>
      <c r="AR209" s="416">
        <v>0</v>
      </c>
      <c r="AS209" s="416">
        <v>0</v>
      </c>
      <c r="AT209" s="416">
        <v>0</v>
      </c>
      <c r="AU209" s="416">
        <v>0</v>
      </c>
      <c r="AV209" s="416">
        <v>0</v>
      </c>
      <c r="AW209" s="416">
        <v>0</v>
      </c>
      <c r="AX209" s="416">
        <v>0</v>
      </c>
      <c r="AY209" s="416">
        <v>0</v>
      </c>
      <c r="AZ209" s="416">
        <v>0</v>
      </c>
      <c r="BA209" s="416">
        <v>0</v>
      </c>
      <c r="BB209" s="416">
        <v>0</v>
      </c>
      <c r="BC209" s="416">
        <v>0</v>
      </c>
      <c r="BD209" s="416">
        <v>0</v>
      </c>
      <c r="BE209" s="416">
        <v>0</v>
      </c>
      <c r="BF209" s="416">
        <v>1106.8150000000001</v>
      </c>
      <c r="BG209" s="416">
        <v>0</v>
      </c>
      <c r="BH209" s="416">
        <v>0</v>
      </c>
      <c r="BI209" s="416">
        <v>0</v>
      </c>
      <c r="BJ209" s="416">
        <v>3849.4679999999998</v>
      </c>
      <c r="BK209" s="416">
        <v>3849.4679999999998</v>
      </c>
      <c r="BL209" s="416">
        <v>6223.8459999999995</v>
      </c>
      <c r="BM209" s="416">
        <v>8968.5049999999992</v>
      </c>
      <c r="BN209" s="416">
        <v>8807.9779999999992</v>
      </c>
      <c r="BO209" s="416">
        <v>10480.611999999999</v>
      </c>
      <c r="BP209" s="416">
        <v>10480.611999999999</v>
      </c>
      <c r="BQ209" s="416">
        <v>9742.9609999999993</v>
      </c>
      <c r="BR209" s="416">
        <v>95525.43</v>
      </c>
      <c r="BS209" s="416">
        <v>101470.781</v>
      </c>
      <c r="BT209" s="416">
        <v>80242.774999999994</v>
      </c>
      <c r="BU209" s="416">
        <v>80242.774999999994</v>
      </c>
      <c r="BV209" s="416">
        <v>129723.54700000001</v>
      </c>
      <c r="BW209" s="416">
        <v>128091.66499999999</v>
      </c>
      <c r="BX209" s="416">
        <v>117766.398</v>
      </c>
      <c r="BY209" s="416">
        <v>0</v>
      </c>
      <c r="BZ209" s="416">
        <v>0</v>
      </c>
      <c r="CC209" s="21"/>
      <c r="CD209" s="415" t="s">
        <v>329</v>
      </c>
      <c r="CE209" s="433">
        <f t="shared" si="45"/>
        <v>0</v>
      </c>
      <c r="CF209" s="433">
        <f t="shared" si="46"/>
        <v>0</v>
      </c>
      <c r="CG209" s="433">
        <f t="shared" si="47"/>
        <v>0</v>
      </c>
      <c r="CH209" s="433">
        <f t="shared" si="48"/>
        <v>0</v>
      </c>
      <c r="CI209" s="433">
        <f t="shared" si="49"/>
        <v>0</v>
      </c>
      <c r="CJ209" s="433">
        <f t="shared" si="50"/>
        <v>0</v>
      </c>
      <c r="CK209" s="433">
        <f t="shared" si="51"/>
        <v>0</v>
      </c>
      <c r="CL209" s="433">
        <f t="shared" si="52"/>
        <v>0</v>
      </c>
      <c r="CM209" s="433">
        <f t="shared" si="53"/>
        <v>0</v>
      </c>
      <c r="CN209" s="433">
        <f t="shared" si="54"/>
        <v>0</v>
      </c>
      <c r="CO209" s="433">
        <f t="shared" si="55"/>
        <v>1106.8150000000001</v>
      </c>
      <c r="CP209" s="433">
        <f t="shared" si="56"/>
        <v>3849.4679999999998</v>
      </c>
      <c r="CQ209" s="433">
        <f t="shared" si="57"/>
        <v>10480.611999999999</v>
      </c>
      <c r="CR209" s="433">
        <f t="shared" si="58"/>
        <v>80242.774999999994</v>
      </c>
      <c r="CS209" s="433">
        <f t="shared" si="59"/>
        <v>0</v>
      </c>
      <c r="CT209" s="21"/>
    </row>
    <row r="210" spans="1:98">
      <c r="C210" s="415" t="s">
        <v>332</v>
      </c>
      <c r="D210" s="416">
        <v>0</v>
      </c>
      <c r="E210" s="416">
        <v>0</v>
      </c>
      <c r="F210" s="416">
        <v>0</v>
      </c>
      <c r="G210" s="416">
        <v>0</v>
      </c>
      <c r="H210" s="416">
        <v>0</v>
      </c>
      <c r="I210" s="416">
        <v>0</v>
      </c>
      <c r="J210" s="416">
        <v>0</v>
      </c>
      <c r="K210" s="416">
        <v>0</v>
      </c>
      <c r="L210" s="416">
        <v>0</v>
      </c>
      <c r="M210" s="416">
        <v>0</v>
      </c>
      <c r="N210" s="416">
        <v>0</v>
      </c>
      <c r="O210" s="416">
        <v>0</v>
      </c>
      <c r="P210" s="416">
        <v>0</v>
      </c>
      <c r="Q210" s="416">
        <v>0</v>
      </c>
      <c r="R210" s="416">
        <v>0</v>
      </c>
      <c r="S210" s="416">
        <v>0</v>
      </c>
      <c r="T210" s="416">
        <v>0</v>
      </c>
      <c r="U210" s="416">
        <v>0</v>
      </c>
      <c r="V210" s="416">
        <v>0</v>
      </c>
      <c r="W210" s="416">
        <v>0</v>
      </c>
      <c r="X210" s="416">
        <v>0</v>
      </c>
      <c r="Y210" s="416">
        <v>0</v>
      </c>
      <c r="Z210" s="416">
        <v>0</v>
      </c>
      <c r="AA210" s="416">
        <v>0</v>
      </c>
      <c r="AB210" s="416">
        <v>0</v>
      </c>
      <c r="AC210" s="416">
        <v>0</v>
      </c>
      <c r="AD210" s="416">
        <v>0</v>
      </c>
      <c r="AE210" s="416">
        <v>0</v>
      </c>
      <c r="AF210" s="416">
        <v>0</v>
      </c>
      <c r="AG210" s="416">
        <v>0</v>
      </c>
      <c r="AH210" s="416">
        <v>0</v>
      </c>
      <c r="AI210" s="416">
        <v>0</v>
      </c>
      <c r="AJ210" s="416">
        <v>0</v>
      </c>
      <c r="AK210" s="416">
        <v>0</v>
      </c>
      <c r="AL210" s="416">
        <v>0</v>
      </c>
      <c r="AM210" s="416">
        <v>0</v>
      </c>
      <c r="AN210" s="416">
        <v>0</v>
      </c>
      <c r="AO210" s="416">
        <v>0</v>
      </c>
      <c r="AP210" s="416">
        <v>0</v>
      </c>
      <c r="AQ210" s="416">
        <v>0</v>
      </c>
      <c r="AR210" s="416">
        <v>0</v>
      </c>
      <c r="AS210" s="416">
        <v>0</v>
      </c>
      <c r="AT210" s="416">
        <v>0</v>
      </c>
      <c r="AU210" s="416">
        <v>0</v>
      </c>
      <c r="AV210" s="416">
        <v>0</v>
      </c>
      <c r="AW210" s="416">
        <v>0</v>
      </c>
      <c r="AX210" s="416">
        <v>0</v>
      </c>
      <c r="AY210" s="416">
        <v>0</v>
      </c>
      <c r="AZ210" s="416">
        <v>0</v>
      </c>
      <c r="BA210" s="416">
        <v>0</v>
      </c>
      <c r="BB210" s="416">
        <v>0</v>
      </c>
      <c r="BC210" s="416">
        <v>0</v>
      </c>
      <c r="BD210" s="416">
        <v>0</v>
      </c>
      <c r="BE210" s="416">
        <v>0</v>
      </c>
      <c r="BF210" s="416">
        <v>0</v>
      </c>
      <c r="BG210" s="416">
        <v>0</v>
      </c>
      <c r="BH210" s="416">
        <v>0</v>
      </c>
      <c r="BI210" s="416">
        <v>0</v>
      </c>
      <c r="BJ210" s="416">
        <v>0</v>
      </c>
      <c r="BK210" s="416">
        <v>0</v>
      </c>
      <c r="BL210" s="416">
        <v>0</v>
      </c>
      <c r="BM210" s="416">
        <v>0</v>
      </c>
      <c r="BN210" s="416">
        <v>0</v>
      </c>
      <c r="BO210" s="416">
        <v>0</v>
      </c>
      <c r="BP210" s="416">
        <v>0</v>
      </c>
      <c r="BQ210" s="416">
        <v>0</v>
      </c>
      <c r="BR210" s="416">
        <v>0</v>
      </c>
      <c r="BS210" s="416">
        <v>0</v>
      </c>
      <c r="BT210" s="416">
        <v>0</v>
      </c>
      <c r="BU210" s="416">
        <v>0</v>
      </c>
      <c r="BV210" s="416">
        <v>0</v>
      </c>
      <c r="BW210" s="416">
        <v>0</v>
      </c>
      <c r="BX210" s="416">
        <v>0</v>
      </c>
      <c r="BY210" s="416">
        <v>0</v>
      </c>
      <c r="BZ210" s="416">
        <v>0</v>
      </c>
      <c r="CC210" s="21"/>
      <c r="CD210" s="415" t="s">
        <v>332</v>
      </c>
      <c r="CE210" s="433">
        <f t="shared" si="45"/>
        <v>0</v>
      </c>
      <c r="CF210" s="433">
        <f t="shared" si="46"/>
        <v>0</v>
      </c>
      <c r="CG210" s="433">
        <f t="shared" si="47"/>
        <v>0</v>
      </c>
      <c r="CH210" s="433">
        <f t="shared" si="48"/>
        <v>0</v>
      </c>
      <c r="CI210" s="433">
        <f t="shared" si="49"/>
        <v>0</v>
      </c>
      <c r="CJ210" s="433">
        <f t="shared" si="50"/>
        <v>0</v>
      </c>
      <c r="CK210" s="433">
        <f t="shared" si="51"/>
        <v>0</v>
      </c>
      <c r="CL210" s="433">
        <f t="shared" si="52"/>
        <v>0</v>
      </c>
      <c r="CM210" s="433">
        <f t="shared" si="53"/>
        <v>0</v>
      </c>
      <c r="CN210" s="433">
        <f t="shared" si="54"/>
        <v>0</v>
      </c>
      <c r="CO210" s="433">
        <f t="shared" si="55"/>
        <v>0</v>
      </c>
      <c r="CP210" s="433">
        <f t="shared" si="56"/>
        <v>0</v>
      </c>
      <c r="CQ210" s="433">
        <f t="shared" si="57"/>
        <v>0</v>
      </c>
      <c r="CR210" s="433">
        <f t="shared" si="58"/>
        <v>0</v>
      </c>
      <c r="CS210" s="433">
        <f t="shared" si="59"/>
        <v>0</v>
      </c>
      <c r="CT210" s="21"/>
    </row>
    <row r="211" spans="1:98">
      <c r="C211" s="415" t="s">
        <v>333</v>
      </c>
      <c r="D211" s="416">
        <v>0</v>
      </c>
      <c r="E211" s="416">
        <v>0</v>
      </c>
      <c r="F211" s="416">
        <v>0</v>
      </c>
      <c r="G211" s="416">
        <v>0</v>
      </c>
      <c r="H211" s="416">
        <v>0</v>
      </c>
      <c r="I211" s="416">
        <v>0</v>
      </c>
      <c r="J211" s="416">
        <v>0</v>
      </c>
      <c r="K211" s="416">
        <v>0</v>
      </c>
      <c r="L211" s="416">
        <v>0</v>
      </c>
      <c r="M211" s="416">
        <v>0</v>
      </c>
      <c r="N211" s="416">
        <v>0</v>
      </c>
      <c r="O211" s="416">
        <v>0</v>
      </c>
      <c r="P211" s="416">
        <v>0</v>
      </c>
      <c r="Q211" s="416">
        <v>0</v>
      </c>
      <c r="R211" s="416">
        <v>0</v>
      </c>
      <c r="S211" s="416">
        <v>0</v>
      </c>
      <c r="T211" s="416">
        <v>0</v>
      </c>
      <c r="U211" s="416">
        <v>0</v>
      </c>
      <c r="V211" s="416">
        <v>0</v>
      </c>
      <c r="W211" s="416">
        <v>0</v>
      </c>
      <c r="X211" s="416">
        <v>0</v>
      </c>
      <c r="Y211" s="416">
        <v>0</v>
      </c>
      <c r="Z211" s="416">
        <v>0</v>
      </c>
      <c r="AA211" s="416">
        <v>0</v>
      </c>
      <c r="AB211" s="416">
        <v>0</v>
      </c>
      <c r="AC211" s="416">
        <v>0</v>
      </c>
      <c r="AD211" s="416">
        <v>0</v>
      </c>
      <c r="AE211" s="416">
        <v>0</v>
      </c>
      <c r="AF211" s="416">
        <v>0</v>
      </c>
      <c r="AG211" s="416">
        <v>0</v>
      </c>
      <c r="AH211" s="416">
        <v>0</v>
      </c>
      <c r="AI211" s="416">
        <v>0</v>
      </c>
      <c r="AJ211" s="416">
        <v>0</v>
      </c>
      <c r="AK211" s="416">
        <v>0</v>
      </c>
      <c r="AL211" s="416">
        <v>0</v>
      </c>
      <c r="AM211" s="416">
        <v>0</v>
      </c>
      <c r="AN211" s="416">
        <v>0</v>
      </c>
      <c r="AO211" s="416">
        <v>0</v>
      </c>
      <c r="AP211" s="416">
        <v>0</v>
      </c>
      <c r="AQ211" s="416">
        <v>0</v>
      </c>
      <c r="AR211" s="416">
        <v>0</v>
      </c>
      <c r="AS211" s="416">
        <v>0</v>
      </c>
      <c r="AT211" s="416">
        <v>0</v>
      </c>
      <c r="AU211" s="416">
        <v>0</v>
      </c>
      <c r="AV211" s="416">
        <v>0</v>
      </c>
      <c r="AW211" s="416">
        <v>0</v>
      </c>
      <c r="AX211" s="416">
        <v>0</v>
      </c>
      <c r="AY211" s="416">
        <v>0</v>
      </c>
      <c r="AZ211" s="416">
        <v>0</v>
      </c>
      <c r="BA211" s="416">
        <v>0</v>
      </c>
      <c r="BB211" s="416">
        <v>0</v>
      </c>
      <c r="BC211" s="416">
        <v>0</v>
      </c>
      <c r="BD211" s="416">
        <v>0</v>
      </c>
      <c r="BE211" s="416">
        <v>0</v>
      </c>
      <c r="BF211" s="416">
        <v>0</v>
      </c>
      <c r="BG211" s="416">
        <v>0</v>
      </c>
      <c r="BH211" s="416">
        <v>0</v>
      </c>
      <c r="BI211" s="416">
        <v>0</v>
      </c>
      <c r="BJ211" s="416">
        <v>0</v>
      </c>
      <c r="BK211" s="416">
        <v>0</v>
      </c>
      <c r="BL211" s="416">
        <v>0</v>
      </c>
      <c r="BM211" s="416">
        <v>0</v>
      </c>
      <c r="BN211" s="416">
        <v>0</v>
      </c>
      <c r="BO211" s="416">
        <v>0</v>
      </c>
      <c r="BP211" s="416">
        <v>0</v>
      </c>
      <c r="BQ211" s="416">
        <v>0</v>
      </c>
      <c r="BR211" s="416">
        <v>0</v>
      </c>
      <c r="BS211" s="416">
        <v>0</v>
      </c>
      <c r="BT211" s="416">
        <v>0</v>
      </c>
      <c r="BU211" s="416">
        <v>0</v>
      </c>
      <c r="BV211" s="416">
        <v>0</v>
      </c>
      <c r="BW211" s="416">
        <v>0</v>
      </c>
      <c r="BX211" s="416">
        <v>0</v>
      </c>
      <c r="BY211" s="416">
        <v>0</v>
      </c>
      <c r="BZ211" s="416">
        <v>0</v>
      </c>
      <c r="CC211" s="21"/>
      <c r="CD211" s="415" t="s">
        <v>333</v>
      </c>
      <c r="CE211" s="433">
        <f t="shared" si="45"/>
        <v>0</v>
      </c>
      <c r="CF211" s="433">
        <f t="shared" si="46"/>
        <v>0</v>
      </c>
      <c r="CG211" s="433">
        <f t="shared" si="47"/>
        <v>0</v>
      </c>
      <c r="CH211" s="433">
        <f t="shared" si="48"/>
        <v>0</v>
      </c>
      <c r="CI211" s="433">
        <f t="shared" si="49"/>
        <v>0</v>
      </c>
      <c r="CJ211" s="433">
        <f t="shared" si="50"/>
        <v>0</v>
      </c>
      <c r="CK211" s="433">
        <f t="shared" si="51"/>
        <v>0</v>
      </c>
      <c r="CL211" s="433">
        <f t="shared" si="52"/>
        <v>0</v>
      </c>
      <c r="CM211" s="433">
        <f t="shared" si="53"/>
        <v>0</v>
      </c>
      <c r="CN211" s="433">
        <f t="shared" si="54"/>
        <v>0</v>
      </c>
      <c r="CO211" s="433">
        <f t="shared" si="55"/>
        <v>0</v>
      </c>
      <c r="CP211" s="433">
        <f t="shared" si="56"/>
        <v>0</v>
      </c>
      <c r="CQ211" s="433">
        <f t="shared" si="57"/>
        <v>0</v>
      </c>
      <c r="CR211" s="433">
        <f t="shared" si="58"/>
        <v>0</v>
      </c>
      <c r="CS211" s="433">
        <f t="shared" si="59"/>
        <v>0</v>
      </c>
      <c r="CT211" s="21"/>
    </row>
    <row r="212" spans="1:98">
      <c r="C212" s="415" t="s">
        <v>334</v>
      </c>
      <c r="D212" s="416">
        <v>0</v>
      </c>
      <c r="E212" s="416">
        <v>0</v>
      </c>
      <c r="F212" s="416">
        <v>0</v>
      </c>
      <c r="G212" s="416">
        <v>0</v>
      </c>
      <c r="H212" s="416">
        <v>0</v>
      </c>
      <c r="I212" s="416">
        <v>0</v>
      </c>
      <c r="J212" s="416">
        <v>0</v>
      </c>
      <c r="K212" s="416">
        <v>0</v>
      </c>
      <c r="L212" s="416">
        <v>0</v>
      </c>
      <c r="M212" s="416">
        <v>0</v>
      </c>
      <c r="N212" s="416">
        <v>0</v>
      </c>
      <c r="O212" s="416">
        <v>0</v>
      </c>
      <c r="P212" s="416">
        <v>0</v>
      </c>
      <c r="Q212" s="416">
        <v>0</v>
      </c>
      <c r="R212" s="416">
        <v>0</v>
      </c>
      <c r="S212" s="416">
        <v>0</v>
      </c>
      <c r="T212" s="416">
        <v>0</v>
      </c>
      <c r="U212" s="416">
        <v>0</v>
      </c>
      <c r="V212" s="416">
        <v>0</v>
      </c>
      <c r="W212" s="416">
        <v>0</v>
      </c>
      <c r="X212" s="416">
        <v>0</v>
      </c>
      <c r="Y212" s="416">
        <v>0</v>
      </c>
      <c r="Z212" s="416">
        <v>0</v>
      </c>
      <c r="AA212" s="416">
        <v>0</v>
      </c>
      <c r="AB212" s="416">
        <v>0</v>
      </c>
      <c r="AC212" s="416">
        <v>0</v>
      </c>
      <c r="AD212" s="416">
        <v>0</v>
      </c>
      <c r="AE212" s="416">
        <v>0</v>
      </c>
      <c r="AF212" s="416">
        <v>0</v>
      </c>
      <c r="AG212" s="416">
        <v>0</v>
      </c>
      <c r="AH212" s="416">
        <v>0</v>
      </c>
      <c r="AI212" s="416">
        <v>0</v>
      </c>
      <c r="AJ212" s="416">
        <v>0</v>
      </c>
      <c r="AK212" s="416">
        <v>0</v>
      </c>
      <c r="AL212" s="416">
        <v>0</v>
      </c>
      <c r="AM212" s="416">
        <v>0</v>
      </c>
      <c r="AN212" s="416">
        <v>0</v>
      </c>
      <c r="AO212" s="416">
        <v>0</v>
      </c>
      <c r="AP212" s="416">
        <v>0</v>
      </c>
      <c r="AQ212" s="416">
        <v>0</v>
      </c>
      <c r="AR212" s="416">
        <v>0</v>
      </c>
      <c r="AS212" s="416">
        <v>0</v>
      </c>
      <c r="AT212" s="416">
        <v>0</v>
      </c>
      <c r="AU212" s="416">
        <v>0</v>
      </c>
      <c r="AV212" s="416">
        <v>0</v>
      </c>
      <c r="AW212" s="416">
        <v>0</v>
      </c>
      <c r="AX212" s="416">
        <v>0</v>
      </c>
      <c r="AY212" s="416">
        <v>0</v>
      </c>
      <c r="AZ212" s="416">
        <v>0</v>
      </c>
      <c r="BA212" s="416">
        <v>0</v>
      </c>
      <c r="BB212" s="416">
        <v>0</v>
      </c>
      <c r="BC212" s="416">
        <v>0</v>
      </c>
      <c r="BD212" s="416">
        <v>0</v>
      </c>
      <c r="BE212" s="416">
        <v>0</v>
      </c>
      <c r="BF212" s="416">
        <v>47.401000000000003</v>
      </c>
      <c r="BG212" s="416">
        <v>0</v>
      </c>
      <c r="BH212" s="416">
        <v>0</v>
      </c>
      <c r="BI212" s="416">
        <v>0</v>
      </c>
      <c r="BJ212" s="416">
        <v>271.303</v>
      </c>
      <c r="BK212" s="416">
        <v>271.303</v>
      </c>
      <c r="BL212" s="416">
        <v>628.65200000000004</v>
      </c>
      <c r="BM212" s="416">
        <v>411.471</v>
      </c>
      <c r="BN212" s="416">
        <v>484.85599999999999</v>
      </c>
      <c r="BO212" s="416">
        <v>426.66500000000002</v>
      </c>
      <c r="BP212" s="416">
        <v>426.66500000000002</v>
      </c>
      <c r="BQ212" s="416">
        <v>485.56400000000002</v>
      </c>
      <c r="BR212" s="416">
        <v>136.548</v>
      </c>
      <c r="BS212" s="416">
        <v>209.678</v>
      </c>
      <c r="BT212" s="416">
        <v>151.505</v>
      </c>
      <c r="BU212" s="416">
        <v>151.505</v>
      </c>
      <c r="BV212" s="416">
        <v>167.82300000000001</v>
      </c>
      <c r="BW212" s="416">
        <v>144.50299999999999</v>
      </c>
      <c r="BX212" s="416">
        <v>109.255</v>
      </c>
      <c r="BY212" s="416">
        <v>0</v>
      </c>
      <c r="BZ212" s="416">
        <v>0</v>
      </c>
      <c r="CC212" s="21"/>
      <c r="CD212" s="415" t="s">
        <v>334</v>
      </c>
      <c r="CE212" s="433">
        <f t="shared" si="45"/>
        <v>0</v>
      </c>
      <c r="CF212" s="433">
        <f t="shared" si="46"/>
        <v>0</v>
      </c>
      <c r="CG212" s="433">
        <f t="shared" si="47"/>
        <v>0</v>
      </c>
      <c r="CH212" s="433">
        <f t="shared" si="48"/>
        <v>0</v>
      </c>
      <c r="CI212" s="433">
        <f t="shared" si="49"/>
        <v>0</v>
      </c>
      <c r="CJ212" s="433">
        <f t="shared" si="50"/>
        <v>0</v>
      </c>
      <c r="CK212" s="433">
        <f t="shared" si="51"/>
        <v>0</v>
      </c>
      <c r="CL212" s="433">
        <f t="shared" si="52"/>
        <v>0</v>
      </c>
      <c r="CM212" s="433">
        <f t="shared" si="53"/>
        <v>0</v>
      </c>
      <c r="CN212" s="433">
        <f t="shared" si="54"/>
        <v>0</v>
      </c>
      <c r="CO212" s="433">
        <f t="shared" si="55"/>
        <v>47.401000000000003</v>
      </c>
      <c r="CP212" s="433">
        <f t="shared" si="56"/>
        <v>271.303</v>
      </c>
      <c r="CQ212" s="433">
        <f t="shared" si="57"/>
        <v>426.66500000000002</v>
      </c>
      <c r="CR212" s="433">
        <f t="shared" si="58"/>
        <v>151.505</v>
      </c>
      <c r="CS212" s="433">
        <f t="shared" si="59"/>
        <v>0</v>
      </c>
      <c r="CT212" s="21"/>
    </row>
    <row r="213" spans="1:98" s="439" customFormat="1" ht="15">
      <c r="A213" s="51"/>
      <c r="B213" s="7"/>
      <c r="C213" s="435" t="s">
        <v>286</v>
      </c>
      <c r="D213" s="422">
        <v>0</v>
      </c>
      <c r="E213" s="422">
        <v>0</v>
      </c>
      <c r="F213" s="422">
        <v>0</v>
      </c>
      <c r="G213" s="422">
        <v>0</v>
      </c>
      <c r="H213" s="422">
        <v>0</v>
      </c>
      <c r="I213" s="422">
        <v>0</v>
      </c>
      <c r="J213" s="422">
        <v>0</v>
      </c>
      <c r="K213" s="422">
        <v>0</v>
      </c>
      <c r="L213" s="422">
        <v>0</v>
      </c>
      <c r="M213" s="422">
        <v>0</v>
      </c>
      <c r="N213" s="422">
        <v>0</v>
      </c>
      <c r="O213" s="422">
        <v>0</v>
      </c>
      <c r="P213" s="422">
        <v>0</v>
      </c>
      <c r="Q213" s="422">
        <v>0</v>
      </c>
      <c r="R213" s="422">
        <v>0</v>
      </c>
      <c r="S213" s="422">
        <v>0</v>
      </c>
      <c r="T213" s="422">
        <v>0</v>
      </c>
      <c r="U213" s="422">
        <v>0</v>
      </c>
      <c r="V213" s="422">
        <v>0</v>
      </c>
      <c r="W213" s="422">
        <v>0</v>
      </c>
      <c r="X213" s="422">
        <v>0</v>
      </c>
      <c r="Y213" s="422">
        <v>0</v>
      </c>
      <c r="Z213" s="422">
        <v>0</v>
      </c>
      <c r="AA213" s="422">
        <v>0</v>
      </c>
      <c r="AB213" s="422">
        <v>0</v>
      </c>
      <c r="AC213" s="422">
        <v>0</v>
      </c>
      <c r="AD213" s="422">
        <v>0</v>
      </c>
      <c r="AE213" s="422">
        <v>0</v>
      </c>
      <c r="AF213" s="422">
        <v>0</v>
      </c>
      <c r="AG213" s="422">
        <v>0</v>
      </c>
      <c r="AH213" s="422">
        <v>0</v>
      </c>
      <c r="AI213" s="422">
        <v>0</v>
      </c>
      <c r="AJ213" s="422">
        <v>0</v>
      </c>
      <c r="AK213" s="422">
        <v>0</v>
      </c>
      <c r="AL213" s="422">
        <v>0</v>
      </c>
      <c r="AM213" s="422">
        <v>0</v>
      </c>
      <c r="AN213" s="422">
        <v>0</v>
      </c>
      <c r="AO213" s="422">
        <v>0</v>
      </c>
      <c r="AP213" s="422">
        <v>0</v>
      </c>
      <c r="AQ213" s="422">
        <v>0</v>
      </c>
      <c r="AR213" s="422">
        <v>0</v>
      </c>
      <c r="AS213" s="422">
        <v>0</v>
      </c>
      <c r="AT213" s="422">
        <v>0</v>
      </c>
      <c r="AU213" s="422">
        <v>0</v>
      </c>
      <c r="AV213" s="422">
        <v>0</v>
      </c>
      <c r="AW213" s="422">
        <v>0</v>
      </c>
      <c r="AX213" s="422">
        <v>0</v>
      </c>
      <c r="AY213" s="422">
        <v>0</v>
      </c>
      <c r="AZ213" s="422">
        <v>0</v>
      </c>
      <c r="BA213" s="422">
        <v>0</v>
      </c>
      <c r="BB213" s="422">
        <v>0</v>
      </c>
      <c r="BC213" s="422">
        <v>0</v>
      </c>
      <c r="BD213" s="422">
        <v>0</v>
      </c>
      <c r="BE213" s="422">
        <v>0</v>
      </c>
      <c r="BF213" s="422">
        <v>1223.444</v>
      </c>
      <c r="BG213" s="422">
        <v>0</v>
      </c>
      <c r="BH213" s="422">
        <v>0</v>
      </c>
      <c r="BI213" s="422">
        <v>0</v>
      </c>
      <c r="BJ213" s="422">
        <v>4246.8549999999996</v>
      </c>
      <c r="BK213" s="422">
        <v>4246.8549999999996</v>
      </c>
      <c r="BL213" s="422">
        <v>7256.1480000000001</v>
      </c>
      <c r="BM213" s="422">
        <v>9677.5640000000003</v>
      </c>
      <c r="BN213" s="422">
        <v>9615.1589999999997</v>
      </c>
      <c r="BO213" s="422">
        <v>11419.035</v>
      </c>
      <c r="BP213" s="422">
        <v>11419.035</v>
      </c>
      <c r="BQ213" s="422">
        <v>10921.823</v>
      </c>
      <c r="BR213" s="422">
        <v>96194.296000000002</v>
      </c>
      <c r="BS213" s="422">
        <v>102073.099</v>
      </c>
      <c r="BT213" s="422">
        <v>80815.293000000005</v>
      </c>
      <c r="BU213" s="422">
        <v>80815.293000000005</v>
      </c>
      <c r="BV213" s="422">
        <v>130202.823</v>
      </c>
      <c r="BW213" s="422">
        <v>128538.75199999999</v>
      </c>
      <c r="BX213" s="422">
        <v>118298.78599999999</v>
      </c>
      <c r="BY213" s="422">
        <v>0</v>
      </c>
      <c r="BZ213" s="422">
        <v>0</v>
      </c>
      <c r="CA213" s="227"/>
      <c r="CC213" s="46"/>
      <c r="CD213" s="435" t="s">
        <v>286</v>
      </c>
      <c r="CE213" s="436">
        <f t="shared" si="45"/>
        <v>0</v>
      </c>
      <c r="CF213" s="436">
        <f t="shared" si="46"/>
        <v>0</v>
      </c>
      <c r="CG213" s="436">
        <f t="shared" si="47"/>
        <v>0</v>
      </c>
      <c r="CH213" s="436">
        <f t="shared" si="48"/>
        <v>0</v>
      </c>
      <c r="CI213" s="436">
        <f t="shared" si="49"/>
        <v>0</v>
      </c>
      <c r="CJ213" s="436">
        <f t="shared" si="50"/>
        <v>0</v>
      </c>
      <c r="CK213" s="436">
        <f t="shared" si="51"/>
        <v>0</v>
      </c>
      <c r="CL213" s="436">
        <f t="shared" si="52"/>
        <v>0</v>
      </c>
      <c r="CM213" s="436">
        <f t="shared" si="53"/>
        <v>0</v>
      </c>
      <c r="CN213" s="436">
        <f t="shared" si="54"/>
        <v>0</v>
      </c>
      <c r="CO213" s="436">
        <f t="shared" si="55"/>
        <v>1223.444</v>
      </c>
      <c r="CP213" s="436">
        <f t="shared" si="56"/>
        <v>4246.8549999999996</v>
      </c>
      <c r="CQ213" s="436">
        <f t="shared" si="57"/>
        <v>11419.035</v>
      </c>
      <c r="CR213" s="436">
        <f t="shared" si="58"/>
        <v>80815.293000000005</v>
      </c>
      <c r="CS213" s="436">
        <f t="shared" si="59"/>
        <v>0</v>
      </c>
      <c r="CT213" s="46"/>
    </row>
    <row r="214" spans="1:98" ht="4.5" customHeight="1">
      <c r="D214" s="416">
        <v>0</v>
      </c>
      <c r="E214" s="416">
        <v>0</v>
      </c>
      <c r="F214" s="416">
        <v>0</v>
      </c>
      <c r="G214" s="416">
        <v>0</v>
      </c>
      <c r="H214" s="416">
        <v>0</v>
      </c>
      <c r="I214" s="416">
        <v>0</v>
      </c>
      <c r="J214" s="416">
        <v>0</v>
      </c>
      <c r="K214" s="416">
        <v>0</v>
      </c>
      <c r="L214" s="416">
        <v>0</v>
      </c>
      <c r="M214" s="416">
        <v>0</v>
      </c>
      <c r="N214" s="416">
        <v>0</v>
      </c>
      <c r="O214" s="416">
        <v>0</v>
      </c>
      <c r="P214" s="416">
        <v>0</v>
      </c>
      <c r="Q214" s="416">
        <v>0</v>
      </c>
      <c r="R214" s="416">
        <v>0</v>
      </c>
      <c r="S214" s="416">
        <v>0</v>
      </c>
      <c r="T214" s="416">
        <v>0</v>
      </c>
      <c r="U214" s="416">
        <v>0</v>
      </c>
      <c r="V214" s="416">
        <v>0</v>
      </c>
      <c r="W214" s="416">
        <v>0</v>
      </c>
      <c r="X214" s="416">
        <v>0</v>
      </c>
      <c r="Y214" s="416">
        <v>0</v>
      </c>
      <c r="Z214" s="416">
        <v>0</v>
      </c>
      <c r="AA214" s="416">
        <v>0</v>
      </c>
      <c r="AB214" s="416">
        <v>0</v>
      </c>
      <c r="AC214" s="416">
        <v>0</v>
      </c>
      <c r="AD214" s="416">
        <v>0</v>
      </c>
      <c r="AE214" s="416">
        <v>0</v>
      </c>
      <c r="AF214" s="416">
        <v>0</v>
      </c>
      <c r="AG214" s="416">
        <v>0</v>
      </c>
      <c r="AH214" s="416">
        <v>0</v>
      </c>
      <c r="AI214" s="416">
        <v>0</v>
      </c>
      <c r="AJ214" s="416">
        <v>0</v>
      </c>
      <c r="AK214" s="416">
        <v>0</v>
      </c>
      <c r="AL214" s="416">
        <v>0</v>
      </c>
      <c r="AM214" s="416">
        <v>0</v>
      </c>
      <c r="AN214" s="416">
        <v>0</v>
      </c>
      <c r="AO214" s="416">
        <v>0</v>
      </c>
      <c r="AP214" s="416">
        <v>0</v>
      </c>
      <c r="AQ214" s="416">
        <v>0</v>
      </c>
      <c r="AR214" s="416">
        <v>0</v>
      </c>
      <c r="AS214" s="416">
        <v>0</v>
      </c>
      <c r="AT214" s="416">
        <v>0</v>
      </c>
      <c r="AU214" s="416">
        <v>0</v>
      </c>
      <c r="AV214" s="416">
        <v>0</v>
      </c>
      <c r="AW214" s="416">
        <v>0</v>
      </c>
      <c r="AX214" s="416">
        <v>0</v>
      </c>
      <c r="AY214" s="416">
        <v>0</v>
      </c>
      <c r="AZ214" s="416">
        <v>0</v>
      </c>
      <c r="BA214" s="416">
        <v>0</v>
      </c>
      <c r="BB214" s="416">
        <v>0</v>
      </c>
      <c r="BC214" s="416">
        <v>0</v>
      </c>
      <c r="BD214" s="416">
        <v>0</v>
      </c>
      <c r="BE214" s="416">
        <v>0</v>
      </c>
      <c r="BF214" s="416">
        <v>0</v>
      </c>
      <c r="BG214" s="416">
        <v>0</v>
      </c>
      <c r="BH214" s="416">
        <v>0</v>
      </c>
      <c r="BI214" s="416">
        <v>0</v>
      </c>
      <c r="BJ214" s="416">
        <v>0</v>
      </c>
      <c r="BK214" s="416">
        <v>0</v>
      </c>
      <c r="BL214" s="416">
        <v>0</v>
      </c>
      <c r="BM214" s="416">
        <v>0</v>
      </c>
      <c r="BN214" s="416">
        <v>0</v>
      </c>
      <c r="BO214" s="416">
        <v>0</v>
      </c>
      <c r="BP214" s="416">
        <v>0</v>
      </c>
      <c r="BQ214" s="416">
        <v>0</v>
      </c>
      <c r="BR214" s="416">
        <v>0</v>
      </c>
      <c r="BS214" s="416">
        <v>0</v>
      </c>
      <c r="BT214" s="416">
        <v>0</v>
      </c>
      <c r="BU214" s="416">
        <v>0</v>
      </c>
      <c r="BV214" s="416">
        <v>0</v>
      </c>
      <c r="BW214" s="416">
        <v>0</v>
      </c>
      <c r="BX214" s="416">
        <v>0</v>
      </c>
      <c r="BY214" s="416">
        <v>0</v>
      </c>
      <c r="BZ214" s="416">
        <v>0</v>
      </c>
      <c r="CC214" s="21"/>
      <c r="CD214" s="58"/>
      <c r="CE214" s="433">
        <f t="shared" si="45"/>
        <v>0</v>
      </c>
      <c r="CF214" s="433">
        <f t="shared" si="46"/>
        <v>0</v>
      </c>
      <c r="CG214" s="433">
        <f t="shared" si="47"/>
        <v>0</v>
      </c>
      <c r="CH214" s="433">
        <f t="shared" si="48"/>
        <v>0</v>
      </c>
      <c r="CI214" s="433">
        <f t="shared" si="49"/>
        <v>0</v>
      </c>
      <c r="CJ214" s="433">
        <f t="shared" si="50"/>
        <v>0</v>
      </c>
      <c r="CK214" s="433">
        <f t="shared" si="51"/>
        <v>0</v>
      </c>
      <c r="CL214" s="433">
        <f t="shared" si="52"/>
        <v>0</v>
      </c>
      <c r="CM214" s="433">
        <f t="shared" si="53"/>
        <v>0</v>
      </c>
      <c r="CN214" s="433">
        <f t="shared" si="54"/>
        <v>0</v>
      </c>
      <c r="CO214" s="433">
        <f t="shared" si="55"/>
        <v>0</v>
      </c>
      <c r="CP214" s="433">
        <f t="shared" si="56"/>
        <v>0</v>
      </c>
      <c r="CQ214" s="433">
        <f t="shared" si="57"/>
        <v>0</v>
      </c>
      <c r="CR214" s="433">
        <f t="shared" si="58"/>
        <v>0</v>
      </c>
      <c r="CS214" s="433">
        <f t="shared" si="59"/>
        <v>0</v>
      </c>
      <c r="CT214" s="21"/>
    </row>
    <row r="215" spans="1:98" hidden="1" outlineLevel="3">
      <c r="C215" s="437" t="s">
        <v>339</v>
      </c>
      <c r="D215" s="416">
        <v>0</v>
      </c>
      <c r="E215" s="416">
        <v>0</v>
      </c>
      <c r="F215" s="416">
        <v>0</v>
      </c>
      <c r="G215" s="416">
        <v>0</v>
      </c>
      <c r="H215" s="416">
        <v>0</v>
      </c>
      <c r="I215" s="416">
        <v>0</v>
      </c>
      <c r="J215" s="416">
        <v>0</v>
      </c>
      <c r="K215" s="416">
        <v>0</v>
      </c>
      <c r="L215" s="416">
        <v>0</v>
      </c>
      <c r="M215" s="416">
        <v>0</v>
      </c>
      <c r="N215" s="416">
        <v>0</v>
      </c>
      <c r="O215" s="416">
        <v>0</v>
      </c>
      <c r="P215" s="416">
        <v>0</v>
      </c>
      <c r="Q215" s="416">
        <v>0</v>
      </c>
      <c r="R215" s="416">
        <v>0</v>
      </c>
      <c r="S215" s="416">
        <v>0</v>
      </c>
      <c r="T215" s="416">
        <v>0</v>
      </c>
      <c r="U215" s="416">
        <v>0</v>
      </c>
      <c r="V215" s="416">
        <v>0</v>
      </c>
      <c r="W215" s="416">
        <v>0</v>
      </c>
      <c r="X215" s="416">
        <v>0</v>
      </c>
      <c r="Y215" s="416">
        <v>0</v>
      </c>
      <c r="Z215" s="416">
        <v>0</v>
      </c>
      <c r="AA215" s="416">
        <v>0</v>
      </c>
      <c r="AB215" s="416">
        <v>0</v>
      </c>
      <c r="AC215" s="416">
        <v>0</v>
      </c>
      <c r="AD215" s="416">
        <v>0</v>
      </c>
      <c r="AE215" s="416">
        <v>0</v>
      </c>
      <c r="AF215" s="416">
        <v>0</v>
      </c>
      <c r="AG215" s="416">
        <v>0</v>
      </c>
      <c r="AH215" s="416">
        <v>0</v>
      </c>
      <c r="AI215" s="416">
        <v>0</v>
      </c>
      <c r="AJ215" s="416">
        <v>0</v>
      </c>
      <c r="AK215" s="416">
        <v>0</v>
      </c>
      <c r="AL215" s="416">
        <v>0</v>
      </c>
      <c r="AM215" s="416">
        <v>0</v>
      </c>
      <c r="AN215" s="416">
        <v>0</v>
      </c>
      <c r="AO215" s="416">
        <v>0</v>
      </c>
      <c r="AP215" s="416">
        <v>0</v>
      </c>
      <c r="AQ215" s="416">
        <v>0</v>
      </c>
      <c r="AR215" s="416">
        <v>0</v>
      </c>
      <c r="AS215" s="416">
        <v>0</v>
      </c>
      <c r="AT215" s="416">
        <v>0</v>
      </c>
      <c r="AU215" s="416">
        <v>0</v>
      </c>
      <c r="AV215" s="416">
        <v>0</v>
      </c>
      <c r="AW215" s="416">
        <v>0</v>
      </c>
      <c r="AX215" s="416">
        <v>0</v>
      </c>
      <c r="AY215" s="416">
        <v>0</v>
      </c>
      <c r="AZ215" s="416">
        <v>0</v>
      </c>
      <c r="BA215" s="416">
        <v>0</v>
      </c>
      <c r="BB215" s="416">
        <v>0</v>
      </c>
      <c r="BC215" s="416">
        <v>0</v>
      </c>
      <c r="BD215" s="416">
        <v>0</v>
      </c>
      <c r="BE215" s="416">
        <v>0</v>
      </c>
      <c r="BF215" s="416">
        <v>0</v>
      </c>
      <c r="BG215" s="416">
        <v>0</v>
      </c>
      <c r="BH215" s="416">
        <v>0</v>
      </c>
      <c r="BI215" s="416">
        <v>0</v>
      </c>
      <c r="BJ215" s="416">
        <v>0</v>
      </c>
      <c r="BK215" s="416">
        <v>0</v>
      </c>
      <c r="BL215" s="416">
        <v>0</v>
      </c>
      <c r="BM215" s="416">
        <v>0</v>
      </c>
      <c r="BN215" s="416">
        <v>0</v>
      </c>
      <c r="BO215" s="416">
        <v>0</v>
      </c>
      <c r="BP215" s="416">
        <v>0</v>
      </c>
      <c r="BQ215" s="416">
        <v>0</v>
      </c>
      <c r="BR215" s="416">
        <v>0</v>
      </c>
      <c r="BS215" s="416">
        <v>0</v>
      </c>
      <c r="BT215" s="416">
        <v>0</v>
      </c>
      <c r="BU215" s="416">
        <v>0</v>
      </c>
      <c r="BV215" s="416">
        <v>0</v>
      </c>
      <c r="BW215" s="416">
        <v>0</v>
      </c>
      <c r="BX215" s="416">
        <v>0</v>
      </c>
      <c r="BY215" s="416">
        <v>0</v>
      </c>
      <c r="BZ215" s="416">
        <v>0</v>
      </c>
      <c r="CC215" s="21"/>
      <c r="CD215" s="437" t="s">
        <v>339</v>
      </c>
      <c r="CE215" s="433">
        <f t="shared" si="45"/>
        <v>0</v>
      </c>
      <c r="CF215" s="433">
        <f t="shared" si="46"/>
        <v>0</v>
      </c>
      <c r="CG215" s="433">
        <f t="shared" si="47"/>
        <v>0</v>
      </c>
      <c r="CH215" s="433">
        <f t="shared" si="48"/>
        <v>0</v>
      </c>
      <c r="CI215" s="433">
        <f t="shared" si="49"/>
        <v>0</v>
      </c>
      <c r="CJ215" s="433">
        <f t="shared" si="50"/>
        <v>0</v>
      </c>
      <c r="CK215" s="433">
        <f t="shared" si="51"/>
        <v>0</v>
      </c>
      <c r="CL215" s="433">
        <f t="shared" si="52"/>
        <v>0</v>
      </c>
      <c r="CM215" s="433">
        <f t="shared" si="53"/>
        <v>0</v>
      </c>
      <c r="CN215" s="433">
        <f t="shared" si="54"/>
        <v>0</v>
      </c>
      <c r="CO215" s="433">
        <f t="shared" si="55"/>
        <v>0</v>
      </c>
      <c r="CP215" s="433">
        <f t="shared" si="56"/>
        <v>0</v>
      </c>
      <c r="CQ215" s="433">
        <f t="shared" si="57"/>
        <v>0</v>
      </c>
      <c r="CR215" s="433">
        <f t="shared" si="58"/>
        <v>0</v>
      </c>
      <c r="CS215" s="433">
        <f t="shared" si="59"/>
        <v>0</v>
      </c>
      <c r="CT215" s="21"/>
    </row>
    <row r="216" spans="1:98" hidden="1" outlineLevel="3">
      <c r="C216" s="437" t="s">
        <v>340</v>
      </c>
      <c r="D216" s="416">
        <v>0</v>
      </c>
      <c r="E216" s="416">
        <v>0</v>
      </c>
      <c r="F216" s="416">
        <v>0</v>
      </c>
      <c r="G216" s="416">
        <v>0</v>
      </c>
      <c r="H216" s="416">
        <v>0</v>
      </c>
      <c r="I216" s="416">
        <v>0</v>
      </c>
      <c r="J216" s="416">
        <v>0</v>
      </c>
      <c r="K216" s="416">
        <v>0</v>
      </c>
      <c r="L216" s="416">
        <v>0</v>
      </c>
      <c r="M216" s="416">
        <v>0</v>
      </c>
      <c r="N216" s="416">
        <v>0</v>
      </c>
      <c r="O216" s="416">
        <v>0</v>
      </c>
      <c r="P216" s="416">
        <v>0</v>
      </c>
      <c r="Q216" s="416">
        <v>0</v>
      </c>
      <c r="R216" s="416">
        <v>0</v>
      </c>
      <c r="S216" s="416">
        <v>0</v>
      </c>
      <c r="T216" s="416">
        <v>0</v>
      </c>
      <c r="U216" s="416">
        <v>0</v>
      </c>
      <c r="V216" s="416">
        <v>0</v>
      </c>
      <c r="W216" s="416">
        <v>0</v>
      </c>
      <c r="X216" s="416">
        <v>0</v>
      </c>
      <c r="Y216" s="416">
        <v>0</v>
      </c>
      <c r="Z216" s="416">
        <v>0</v>
      </c>
      <c r="AA216" s="416">
        <v>0</v>
      </c>
      <c r="AB216" s="416">
        <v>0</v>
      </c>
      <c r="AC216" s="416">
        <v>0</v>
      </c>
      <c r="AD216" s="416">
        <v>0</v>
      </c>
      <c r="AE216" s="416">
        <v>0</v>
      </c>
      <c r="AF216" s="416">
        <v>0</v>
      </c>
      <c r="AG216" s="416">
        <v>0</v>
      </c>
      <c r="AH216" s="416">
        <v>0</v>
      </c>
      <c r="AI216" s="416">
        <v>0</v>
      </c>
      <c r="AJ216" s="416">
        <v>0</v>
      </c>
      <c r="AK216" s="416">
        <v>0</v>
      </c>
      <c r="AL216" s="416">
        <v>0</v>
      </c>
      <c r="AM216" s="416">
        <v>0</v>
      </c>
      <c r="AN216" s="416">
        <v>0</v>
      </c>
      <c r="AO216" s="416">
        <v>0</v>
      </c>
      <c r="AP216" s="416">
        <v>0</v>
      </c>
      <c r="AQ216" s="416">
        <v>0</v>
      </c>
      <c r="AR216" s="416">
        <v>0</v>
      </c>
      <c r="AS216" s="416">
        <v>0</v>
      </c>
      <c r="AT216" s="416">
        <v>0</v>
      </c>
      <c r="AU216" s="416">
        <v>0</v>
      </c>
      <c r="AV216" s="416">
        <v>0</v>
      </c>
      <c r="AW216" s="416">
        <v>0</v>
      </c>
      <c r="AX216" s="416">
        <v>0</v>
      </c>
      <c r="AY216" s="416">
        <v>0</v>
      </c>
      <c r="AZ216" s="416">
        <v>0</v>
      </c>
      <c r="BA216" s="416">
        <v>0</v>
      </c>
      <c r="BB216" s="416">
        <v>0</v>
      </c>
      <c r="BC216" s="416">
        <v>0</v>
      </c>
      <c r="BD216" s="416">
        <v>0</v>
      </c>
      <c r="BE216" s="416">
        <v>0</v>
      </c>
      <c r="BF216" s="416">
        <v>0</v>
      </c>
      <c r="BG216" s="416">
        <v>0</v>
      </c>
      <c r="BH216" s="416">
        <v>0</v>
      </c>
      <c r="BI216" s="416">
        <v>0</v>
      </c>
      <c r="BJ216" s="416">
        <v>0</v>
      </c>
      <c r="BK216" s="416">
        <v>0</v>
      </c>
      <c r="BL216" s="416">
        <v>0</v>
      </c>
      <c r="BM216" s="416">
        <v>1406.9269999999999</v>
      </c>
      <c r="BN216" s="416">
        <v>0</v>
      </c>
      <c r="BO216" s="416">
        <v>0</v>
      </c>
      <c r="BP216" s="416">
        <v>0</v>
      </c>
      <c r="BQ216" s="416">
        <v>0</v>
      </c>
      <c r="BR216" s="416">
        <v>0</v>
      </c>
      <c r="BS216" s="416">
        <v>0</v>
      </c>
      <c r="BT216" s="416">
        <v>0</v>
      </c>
      <c r="BU216" s="416">
        <v>0</v>
      </c>
      <c r="BV216" s="416">
        <v>0</v>
      </c>
      <c r="BW216" s="416">
        <v>0</v>
      </c>
      <c r="BX216" s="416">
        <v>0</v>
      </c>
      <c r="BY216" s="416">
        <v>0</v>
      </c>
      <c r="BZ216" s="416">
        <v>0</v>
      </c>
      <c r="CC216" s="21"/>
      <c r="CD216" s="437" t="s">
        <v>340</v>
      </c>
      <c r="CE216" s="433">
        <f t="shared" si="45"/>
        <v>0</v>
      </c>
      <c r="CF216" s="433">
        <f t="shared" si="46"/>
        <v>0</v>
      </c>
      <c r="CG216" s="433">
        <f t="shared" si="47"/>
        <v>0</v>
      </c>
      <c r="CH216" s="433">
        <f t="shared" si="48"/>
        <v>0</v>
      </c>
      <c r="CI216" s="433">
        <f t="shared" si="49"/>
        <v>0</v>
      </c>
      <c r="CJ216" s="433">
        <f t="shared" si="50"/>
        <v>0</v>
      </c>
      <c r="CK216" s="433">
        <f t="shared" si="51"/>
        <v>0</v>
      </c>
      <c r="CL216" s="433">
        <f t="shared" si="52"/>
        <v>0</v>
      </c>
      <c r="CM216" s="433">
        <f t="shared" si="53"/>
        <v>0</v>
      </c>
      <c r="CN216" s="433">
        <f t="shared" si="54"/>
        <v>0</v>
      </c>
      <c r="CO216" s="433">
        <f t="shared" si="55"/>
        <v>0</v>
      </c>
      <c r="CP216" s="433">
        <f t="shared" si="56"/>
        <v>0</v>
      </c>
      <c r="CQ216" s="433">
        <f t="shared" si="57"/>
        <v>0</v>
      </c>
      <c r="CR216" s="433">
        <f t="shared" si="58"/>
        <v>0</v>
      </c>
      <c r="CS216" s="433">
        <f t="shared" si="59"/>
        <v>0</v>
      </c>
      <c r="CT216" s="21"/>
    </row>
    <row r="217" spans="1:98" hidden="1" outlineLevel="3">
      <c r="C217" s="437" t="s">
        <v>341</v>
      </c>
      <c r="D217" s="416">
        <v>0</v>
      </c>
      <c r="E217" s="416">
        <v>0</v>
      </c>
      <c r="F217" s="416">
        <v>0</v>
      </c>
      <c r="G217" s="416">
        <v>0</v>
      </c>
      <c r="H217" s="416">
        <v>0</v>
      </c>
      <c r="I217" s="416">
        <v>0</v>
      </c>
      <c r="J217" s="416">
        <v>0</v>
      </c>
      <c r="K217" s="416">
        <v>0</v>
      </c>
      <c r="L217" s="416">
        <v>0</v>
      </c>
      <c r="M217" s="416">
        <v>0</v>
      </c>
      <c r="N217" s="416">
        <v>0</v>
      </c>
      <c r="O217" s="416">
        <v>0</v>
      </c>
      <c r="P217" s="416">
        <v>0</v>
      </c>
      <c r="Q217" s="416">
        <v>0</v>
      </c>
      <c r="R217" s="416">
        <v>0</v>
      </c>
      <c r="S217" s="416">
        <v>0</v>
      </c>
      <c r="T217" s="416">
        <v>0</v>
      </c>
      <c r="U217" s="416">
        <v>0</v>
      </c>
      <c r="V217" s="416">
        <v>0</v>
      </c>
      <c r="W217" s="416">
        <v>0</v>
      </c>
      <c r="X217" s="416">
        <v>0</v>
      </c>
      <c r="Y217" s="416">
        <v>0</v>
      </c>
      <c r="Z217" s="416">
        <v>0</v>
      </c>
      <c r="AA217" s="416">
        <v>0</v>
      </c>
      <c r="AB217" s="416">
        <v>0</v>
      </c>
      <c r="AC217" s="416">
        <v>0</v>
      </c>
      <c r="AD217" s="416">
        <v>0</v>
      </c>
      <c r="AE217" s="416">
        <v>0</v>
      </c>
      <c r="AF217" s="416">
        <v>0</v>
      </c>
      <c r="AG217" s="416">
        <v>0</v>
      </c>
      <c r="AH217" s="416">
        <v>0</v>
      </c>
      <c r="AI217" s="416">
        <v>0</v>
      </c>
      <c r="AJ217" s="416">
        <v>0</v>
      </c>
      <c r="AK217" s="416">
        <v>0</v>
      </c>
      <c r="AL217" s="416">
        <v>0</v>
      </c>
      <c r="AM217" s="416">
        <v>0</v>
      </c>
      <c r="AN217" s="416">
        <v>0</v>
      </c>
      <c r="AO217" s="416">
        <v>0</v>
      </c>
      <c r="AP217" s="416">
        <v>0</v>
      </c>
      <c r="AQ217" s="416">
        <v>0</v>
      </c>
      <c r="AR217" s="416">
        <v>0</v>
      </c>
      <c r="AS217" s="416">
        <v>0</v>
      </c>
      <c r="AT217" s="416">
        <v>0</v>
      </c>
      <c r="AU217" s="416">
        <v>0</v>
      </c>
      <c r="AV217" s="416">
        <v>0</v>
      </c>
      <c r="AW217" s="416">
        <v>0</v>
      </c>
      <c r="AX217" s="416">
        <v>0</v>
      </c>
      <c r="AY217" s="416">
        <v>0</v>
      </c>
      <c r="AZ217" s="416">
        <v>0</v>
      </c>
      <c r="BA217" s="416">
        <v>0</v>
      </c>
      <c r="BB217" s="416">
        <v>0</v>
      </c>
      <c r="BC217" s="416">
        <v>0</v>
      </c>
      <c r="BD217" s="416">
        <v>0</v>
      </c>
      <c r="BE217" s="416">
        <v>0</v>
      </c>
      <c r="BF217" s="416">
        <v>0</v>
      </c>
      <c r="BG217" s="416">
        <v>0</v>
      </c>
      <c r="BH217" s="416">
        <v>0</v>
      </c>
      <c r="BI217" s="416">
        <v>0</v>
      </c>
      <c r="BJ217" s="416">
        <v>0</v>
      </c>
      <c r="BK217" s="416">
        <v>0</v>
      </c>
      <c r="BL217" s="416">
        <v>0</v>
      </c>
      <c r="BM217" s="416">
        <v>0</v>
      </c>
      <c r="BN217" s="416">
        <v>0</v>
      </c>
      <c r="BO217" s="416">
        <v>0</v>
      </c>
      <c r="BP217" s="416">
        <v>0</v>
      </c>
      <c r="BQ217" s="416">
        <v>0</v>
      </c>
      <c r="BR217" s="416">
        <v>0</v>
      </c>
      <c r="BS217" s="416">
        <v>0</v>
      </c>
      <c r="BT217" s="416">
        <v>0</v>
      </c>
      <c r="BU217" s="416">
        <v>0</v>
      </c>
      <c r="BV217" s="416">
        <v>0</v>
      </c>
      <c r="BW217" s="416">
        <v>0</v>
      </c>
      <c r="BX217" s="416">
        <v>0</v>
      </c>
      <c r="BY217" s="416">
        <v>0</v>
      </c>
      <c r="BZ217" s="416">
        <v>0</v>
      </c>
      <c r="CC217" s="21"/>
      <c r="CD217" s="437" t="s">
        <v>341</v>
      </c>
      <c r="CE217" s="433">
        <f t="shared" si="45"/>
        <v>0</v>
      </c>
      <c r="CF217" s="433">
        <f t="shared" si="46"/>
        <v>0</v>
      </c>
      <c r="CG217" s="433">
        <f t="shared" si="47"/>
        <v>0</v>
      </c>
      <c r="CH217" s="433">
        <f t="shared" si="48"/>
        <v>0</v>
      </c>
      <c r="CI217" s="433">
        <f t="shared" si="49"/>
        <v>0</v>
      </c>
      <c r="CJ217" s="433">
        <f t="shared" si="50"/>
        <v>0</v>
      </c>
      <c r="CK217" s="433">
        <f t="shared" si="51"/>
        <v>0</v>
      </c>
      <c r="CL217" s="433">
        <f t="shared" si="52"/>
        <v>0</v>
      </c>
      <c r="CM217" s="433">
        <f t="shared" si="53"/>
        <v>0</v>
      </c>
      <c r="CN217" s="433">
        <f t="shared" si="54"/>
        <v>0</v>
      </c>
      <c r="CO217" s="433">
        <f t="shared" si="55"/>
        <v>0</v>
      </c>
      <c r="CP217" s="433">
        <f t="shared" si="56"/>
        <v>0</v>
      </c>
      <c r="CQ217" s="433">
        <f t="shared" si="57"/>
        <v>0</v>
      </c>
      <c r="CR217" s="433">
        <f t="shared" si="58"/>
        <v>0</v>
      </c>
      <c r="CS217" s="433">
        <f t="shared" si="59"/>
        <v>0</v>
      </c>
      <c r="CT217" s="21"/>
    </row>
    <row r="218" spans="1:98" hidden="1" outlineLevel="3">
      <c r="C218" s="437" t="s">
        <v>342</v>
      </c>
      <c r="D218" s="416">
        <v>0</v>
      </c>
      <c r="E218" s="416">
        <v>0</v>
      </c>
      <c r="F218" s="416">
        <v>0</v>
      </c>
      <c r="G218" s="416">
        <v>0</v>
      </c>
      <c r="H218" s="416">
        <v>0</v>
      </c>
      <c r="I218" s="416">
        <v>0</v>
      </c>
      <c r="J218" s="416">
        <v>0</v>
      </c>
      <c r="K218" s="416">
        <v>0</v>
      </c>
      <c r="L218" s="416">
        <v>0</v>
      </c>
      <c r="M218" s="416">
        <v>0</v>
      </c>
      <c r="N218" s="416">
        <v>0</v>
      </c>
      <c r="O218" s="416">
        <v>0</v>
      </c>
      <c r="P218" s="416">
        <v>0</v>
      </c>
      <c r="Q218" s="416">
        <v>0</v>
      </c>
      <c r="R218" s="416">
        <v>0</v>
      </c>
      <c r="S218" s="416">
        <v>0</v>
      </c>
      <c r="T218" s="416">
        <v>0</v>
      </c>
      <c r="U218" s="416">
        <v>0</v>
      </c>
      <c r="V218" s="416">
        <v>0</v>
      </c>
      <c r="W218" s="416">
        <v>0</v>
      </c>
      <c r="X218" s="416">
        <v>0</v>
      </c>
      <c r="Y218" s="416">
        <v>0</v>
      </c>
      <c r="Z218" s="416">
        <v>0</v>
      </c>
      <c r="AA218" s="416">
        <v>0</v>
      </c>
      <c r="AB218" s="416">
        <v>0</v>
      </c>
      <c r="AC218" s="416">
        <v>0</v>
      </c>
      <c r="AD218" s="416">
        <v>0</v>
      </c>
      <c r="AE218" s="416">
        <v>0</v>
      </c>
      <c r="AF218" s="416">
        <v>0</v>
      </c>
      <c r="AG218" s="416">
        <v>0</v>
      </c>
      <c r="AH218" s="416">
        <v>0</v>
      </c>
      <c r="AI218" s="416">
        <v>0</v>
      </c>
      <c r="AJ218" s="416">
        <v>0</v>
      </c>
      <c r="AK218" s="416">
        <v>0</v>
      </c>
      <c r="AL218" s="416">
        <v>0</v>
      </c>
      <c r="AM218" s="416">
        <v>0</v>
      </c>
      <c r="AN218" s="416">
        <v>0</v>
      </c>
      <c r="AO218" s="416">
        <v>0</v>
      </c>
      <c r="AP218" s="416">
        <v>0</v>
      </c>
      <c r="AQ218" s="416">
        <v>0</v>
      </c>
      <c r="AR218" s="416">
        <v>0</v>
      </c>
      <c r="AS218" s="416">
        <v>0</v>
      </c>
      <c r="AT218" s="416">
        <v>0</v>
      </c>
      <c r="AU218" s="416">
        <v>0</v>
      </c>
      <c r="AV218" s="416">
        <v>0</v>
      </c>
      <c r="AW218" s="416">
        <v>0</v>
      </c>
      <c r="AX218" s="416">
        <v>0</v>
      </c>
      <c r="AY218" s="416">
        <v>0</v>
      </c>
      <c r="AZ218" s="416">
        <v>0</v>
      </c>
      <c r="BA218" s="416">
        <v>0</v>
      </c>
      <c r="BB218" s="416">
        <v>0</v>
      </c>
      <c r="BC218" s="416">
        <v>0</v>
      </c>
      <c r="BD218" s="416">
        <v>0</v>
      </c>
      <c r="BE218" s="416">
        <v>0</v>
      </c>
      <c r="BF218" s="416">
        <v>0</v>
      </c>
      <c r="BG218" s="416">
        <v>0</v>
      </c>
      <c r="BH218" s="416">
        <v>0</v>
      </c>
      <c r="BI218" s="416">
        <v>0</v>
      </c>
      <c r="BJ218" s="416">
        <v>0</v>
      </c>
      <c r="BK218" s="416">
        <v>0</v>
      </c>
      <c r="BL218" s="416">
        <v>0</v>
      </c>
      <c r="BM218" s="416">
        <v>0</v>
      </c>
      <c r="BN218" s="416">
        <v>0</v>
      </c>
      <c r="BO218" s="416">
        <v>0</v>
      </c>
      <c r="BP218" s="416">
        <v>0</v>
      </c>
      <c r="BQ218" s="416">
        <v>0</v>
      </c>
      <c r="BR218" s="416">
        <v>0</v>
      </c>
      <c r="BS218" s="416">
        <v>0</v>
      </c>
      <c r="BT218" s="416">
        <v>0</v>
      </c>
      <c r="BU218" s="416">
        <v>0</v>
      </c>
      <c r="BV218" s="416">
        <v>0</v>
      </c>
      <c r="BW218" s="416">
        <v>0</v>
      </c>
      <c r="BX218" s="416">
        <v>0</v>
      </c>
      <c r="BY218" s="416">
        <v>0</v>
      </c>
      <c r="BZ218" s="416">
        <v>0</v>
      </c>
      <c r="CC218" s="21"/>
      <c r="CD218" s="437" t="s">
        <v>342</v>
      </c>
      <c r="CE218" s="433">
        <f t="shared" si="45"/>
        <v>0</v>
      </c>
      <c r="CF218" s="433">
        <f t="shared" si="46"/>
        <v>0</v>
      </c>
      <c r="CG218" s="433">
        <f t="shared" si="47"/>
        <v>0</v>
      </c>
      <c r="CH218" s="433">
        <f t="shared" si="48"/>
        <v>0</v>
      </c>
      <c r="CI218" s="433">
        <f t="shared" si="49"/>
        <v>0</v>
      </c>
      <c r="CJ218" s="433">
        <f t="shared" si="50"/>
        <v>0</v>
      </c>
      <c r="CK218" s="433">
        <f t="shared" si="51"/>
        <v>0</v>
      </c>
      <c r="CL218" s="433">
        <f t="shared" si="52"/>
        <v>0</v>
      </c>
      <c r="CM218" s="433">
        <f t="shared" si="53"/>
        <v>0</v>
      </c>
      <c r="CN218" s="433">
        <f t="shared" si="54"/>
        <v>0</v>
      </c>
      <c r="CO218" s="433">
        <f t="shared" si="55"/>
        <v>0</v>
      </c>
      <c r="CP218" s="433">
        <f t="shared" si="56"/>
        <v>0</v>
      </c>
      <c r="CQ218" s="433">
        <f t="shared" si="57"/>
        <v>0</v>
      </c>
      <c r="CR218" s="433">
        <f t="shared" si="58"/>
        <v>0</v>
      </c>
      <c r="CS218" s="433">
        <f t="shared" si="59"/>
        <v>0</v>
      </c>
      <c r="CT218" s="21"/>
    </row>
    <row r="219" spans="1:98" hidden="1" outlineLevel="3">
      <c r="C219" s="437" t="s">
        <v>343</v>
      </c>
      <c r="D219" s="416">
        <v>0</v>
      </c>
      <c r="E219" s="416">
        <v>0</v>
      </c>
      <c r="F219" s="416">
        <v>0</v>
      </c>
      <c r="G219" s="416">
        <v>0</v>
      </c>
      <c r="H219" s="416">
        <v>0</v>
      </c>
      <c r="I219" s="416">
        <v>0</v>
      </c>
      <c r="J219" s="416">
        <v>0</v>
      </c>
      <c r="K219" s="416">
        <v>0</v>
      </c>
      <c r="L219" s="416">
        <v>0</v>
      </c>
      <c r="M219" s="416">
        <v>0</v>
      </c>
      <c r="N219" s="416">
        <v>0</v>
      </c>
      <c r="O219" s="416">
        <v>0</v>
      </c>
      <c r="P219" s="416">
        <v>0</v>
      </c>
      <c r="Q219" s="416">
        <v>0</v>
      </c>
      <c r="R219" s="416">
        <v>0</v>
      </c>
      <c r="S219" s="416">
        <v>0</v>
      </c>
      <c r="T219" s="416">
        <v>0</v>
      </c>
      <c r="U219" s="416">
        <v>0</v>
      </c>
      <c r="V219" s="416">
        <v>0</v>
      </c>
      <c r="W219" s="416">
        <v>0</v>
      </c>
      <c r="X219" s="416">
        <v>0</v>
      </c>
      <c r="Y219" s="416">
        <v>0</v>
      </c>
      <c r="Z219" s="416">
        <v>0</v>
      </c>
      <c r="AA219" s="416">
        <v>0</v>
      </c>
      <c r="AB219" s="416">
        <v>0</v>
      </c>
      <c r="AC219" s="416">
        <v>0</v>
      </c>
      <c r="AD219" s="416">
        <v>0</v>
      </c>
      <c r="AE219" s="416">
        <v>0</v>
      </c>
      <c r="AF219" s="416">
        <v>0</v>
      </c>
      <c r="AG219" s="416">
        <v>0</v>
      </c>
      <c r="AH219" s="416">
        <v>0</v>
      </c>
      <c r="AI219" s="416">
        <v>0</v>
      </c>
      <c r="AJ219" s="416">
        <v>0</v>
      </c>
      <c r="AK219" s="416">
        <v>0</v>
      </c>
      <c r="AL219" s="416">
        <v>0</v>
      </c>
      <c r="AM219" s="416">
        <v>0</v>
      </c>
      <c r="AN219" s="416">
        <v>0</v>
      </c>
      <c r="AO219" s="416">
        <v>0</v>
      </c>
      <c r="AP219" s="416">
        <v>0</v>
      </c>
      <c r="AQ219" s="416">
        <v>0</v>
      </c>
      <c r="AR219" s="416">
        <v>0</v>
      </c>
      <c r="AS219" s="416">
        <v>0</v>
      </c>
      <c r="AT219" s="416">
        <v>0</v>
      </c>
      <c r="AU219" s="416">
        <v>0</v>
      </c>
      <c r="AV219" s="416">
        <v>0</v>
      </c>
      <c r="AW219" s="416">
        <v>0</v>
      </c>
      <c r="AX219" s="416">
        <v>0</v>
      </c>
      <c r="AY219" s="416">
        <v>0</v>
      </c>
      <c r="AZ219" s="416">
        <v>0</v>
      </c>
      <c r="BA219" s="416">
        <v>0</v>
      </c>
      <c r="BB219" s="416">
        <v>0</v>
      </c>
      <c r="BC219" s="416">
        <v>0</v>
      </c>
      <c r="BD219" s="416">
        <v>0</v>
      </c>
      <c r="BE219" s="416">
        <v>0</v>
      </c>
      <c r="BF219" s="416">
        <v>0</v>
      </c>
      <c r="BG219" s="416">
        <v>0</v>
      </c>
      <c r="BH219" s="416">
        <v>0</v>
      </c>
      <c r="BI219" s="416">
        <v>0</v>
      </c>
      <c r="BJ219" s="416">
        <v>0</v>
      </c>
      <c r="BK219" s="416">
        <v>0</v>
      </c>
      <c r="BL219" s="416">
        <v>0</v>
      </c>
      <c r="BM219" s="416">
        <v>0</v>
      </c>
      <c r="BN219" s="416">
        <v>0</v>
      </c>
      <c r="BO219" s="416">
        <v>0</v>
      </c>
      <c r="BP219" s="416">
        <v>0</v>
      </c>
      <c r="BQ219" s="416">
        <v>0</v>
      </c>
      <c r="BR219" s="416">
        <v>0</v>
      </c>
      <c r="BS219" s="416">
        <v>0</v>
      </c>
      <c r="BT219" s="416">
        <v>0</v>
      </c>
      <c r="BU219" s="416">
        <v>0</v>
      </c>
      <c r="BV219" s="416">
        <v>0</v>
      </c>
      <c r="BW219" s="416">
        <v>0</v>
      </c>
      <c r="BX219" s="416">
        <v>0</v>
      </c>
      <c r="BY219" s="416">
        <v>0</v>
      </c>
      <c r="BZ219" s="416">
        <v>0</v>
      </c>
      <c r="CC219" s="21"/>
      <c r="CD219" s="437" t="s">
        <v>343</v>
      </c>
      <c r="CE219" s="433">
        <f t="shared" si="45"/>
        <v>0</v>
      </c>
      <c r="CF219" s="433">
        <f t="shared" si="46"/>
        <v>0</v>
      </c>
      <c r="CG219" s="433">
        <f t="shared" si="47"/>
        <v>0</v>
      </c>
      <c r="CH219" s="433">
        <f t="shared" si="48"/>
        <v>0</v>
      </c>
      <c r="CI219" s="433">
        <f t="shared" si="49"/>
        <v>0</v>
      </c>
      <c r="CJ219" s="433">
        <f t="shared" si="50"/>
        <v>0</v>
      </c>
      <c r="CK219" s="433">
        <f t="shared" si="51"/>
        <v>0</v>
      </c>
      <c r="CL219" s="433">
        <f t="shared" si="52"/>
        <v>0</v>
      </c>
      <c r="CM219" s="433">
        <f t="shared" si="53"/>
        <v>0</v>
      </c>
      <c r="CN219" s="433">
        <f t="shared" si="54"/>
        <v>0</v>
      </c>
      <c r="CO219" s="433">
        <f t="shared" si="55"/>
        <v>0</v>
      </c>
      <c r="CP219" s="433">
        <f t="shared" si="56"/>
        <v>0</v>
      </c>
      <c r="CQ219" s="433">
        <f t="shared" si="57"/>
        <v>0</v>
      </c>
      <c r="CR219" s="433">
        <f t="shared" si="58"/>
        <v>0</v>
      </c>
      <c r="CS219" s="433">
        <f t="shared" si="59"/>
        <v>0</v>
      </c>
      <c r="CT219" s="21"/>
    </row>
    <row r="220" spans="1:98" hidden="1" outlineLevel="3">
      <c r="C220" s="437" t="s">
        <v>344</v>
      </c>
      <c r="D220" s="416">
        <v>0</v>
      </c>
      <c r="E220" s="416">
        <v>0</v>
      </c>
      <c r="F220" s="416">
        <v>0</v>
      </c>
      <c r="G220" s="416">
        <v>0</v>
      </c>
      <c r="H220" s="416">
        <v>0</v>
      </c>
      <c r="I220" s="416">
        <v>0</v>
      </c>
      <c r="J220" s="416">
        <v>0</v>
      </c>
      <c r="K220" s="416">
        <v>0</v>
      </c>
      <c r="L220" s="416">
        <v>0</v>
      </c>
      <c r="M220" s="416">
        <v>0</v>
      </c>
      <c r="N220" s="416">
        <v>0</v>
      </c>
      <c r="O220" s="416">
        <v>0</v>
      </c>
      <c r="P220" s="416">
        <v>0</v>
      </c>
      <c r="Q220" s="416">
        <v>0</v>
      </c>
      <c r="R220" s="416">
        <v>0</v>
      </c>
      <c r="S220" s="416">
        <v>0</v>
      </c>
      <c r="T220" s="416">
        <v>0</v>
      </c>
      <c r="U220" s="416">
        <v>0</v>
      </c>
      <c r="V220" s="416">
        <v>0</v>
      </c>
      <c r="W220" s="416">
        <v>0</v>
      </c>
      <c r="X220" s="416">
        <v>0</v>
      </c>
      <c r="Y220" s="416">
        <v>0</v>
      </c>
      <c r="Z220" s="416">
        <v>0</v>
      </c>
      <c r="AA220" s="416">
        <v>0</v>
      </c>
      <c r="AB220" s="416">
        <v>0</v>
      </c>
      <c r="AC220" s="416">
        <v>0</v>
      </c>
      <c r="AD220" s="416">
        <v>0</v>
      </c>
      <c r="AE220" s="416">
        <v>0</v>
      </c>
      <c r="AF220" s="416">
        <v>0</v>
      </c>
      <c r="AG220" s="416">
        <v>0</v>
      </c>
      <c r="AH220" s="416">
        <v>0</v>
      </c>
      <c r="AI220" s="416">
        <v>0</v>
      </c>
      <c r="AJ220" s="416">
        <v>0</v>
      </c>
      <c r="AK220" s="416">
        <v>0</v>
      </c>
      <c r="AL220" s="416">
        <v>0</v>
      </c>
      <c r="AM220" s="416">
        <v>0</v>
      </c>
      <c r="AN220" s="416">
        <v>0</v>
      </c>
      <c r="AO220" s="416">
        <v>0</v>
      </c>
      <c r="AP220" s="416">
        <v>0</v>
      </c>
      <c r="AQ220" s="416">
        <v>0</v>
      </c>
      <c r="AR220" s="416">
        <v>0</v>
      </c>
      <c r="AS220" s="416">
        <v>0</v>
      </c>
      <c r="AT220" s="416">
        <v>0</v>
      </c>
      <c r="AU220" s="416">
        <v>0</v>
      </c>
      <c r="AV220" s="416">
        <v>0</v>
      </c>
      <c r="AW220" s="416">
        <v>0</v>
      </c>
      <c r="AX220" s="416">
        <v>0</v>
      </c>
      <c r="AY220" s="416">
        <v>0</v>
      </c>
      <c r="AZ220" s="416">
        <v>0</v>
      </c>
      <c r="BA220" s="416">
        <v>0</v>
      </c>
      <c r="BB220" s="416">
        <v>0</v>
      </c>
      <c r="BC220" s="416">
        <v>0</v>
      </c>
      <c r="BD220" s="416">
        <v>0</v>
      </c>
      <c r="BE220" s="416">
        <v>0</v>
      </c>
      <c r="BF220" s="416">
        <v>0</v>
      </c>
      <c r="BG220" s="416">
        <v>0</v>
      </c>
      <c r="BH220" s="416">
        <v>0</v>
      </c>
      <c r="BI220" s="416">
        <v>0</v>
      </c>
      <c r="BJ220" s="416">
        <v>0</v>
      </c>
      <c r="BK220" s="416">
        <v>0</v>
      </c>
      <c r="BL220" s="416">
        <v>0</v>
      </c>
      <c r="BM220" s="416">
        <v>0</v>
      </c>
      <c r="BN220" s="416">
        <v>0</v>
      </c>
      <c r="BO220" s="416">
        <v>0</v>
      </c>
      <c r="BP220" s="416">
        <v>0</v>
      </c>
      <c r="BQ220" s="416">
        <v>0</v>
      </c>
      <c r="BR220" s="416">
        <v>0</v>
      </c>
      <c r="BS220" s="416">
        <v>0</v>
      </c>
      <c r="BT220" s="416">
        <v>0</v>
      </c>
      <c r="BU220" s="416">
        <v>0</v>
      </c>
      <c r="BV220" s="416">
        <v>0</v>
      </c>
      <c r="BW220" s="416">
        <v>0</v>
      </c>
      <c r="BX220" s="416">
        <v>0</v>
      </c>
      <c r="BY220" s="416">
        <v>0</v>
      </c>
      <c r="BZ220" s="416">
        <v>0</v>
      </c>
      <c r="CC220" s="21"/>
      <c r="CD220" s="437" t="s">
        <v>344</v>
      </c>
      <c r="CE220" s="433">
        <f t="shared" si="45"/>
        <v>0</v>
      </c>
      <c r="CF220" s="433">
        <f t="shared" si="46"/>
        <v>0</v>
      </c>
      <c r="CG220" s="433">
        <f t="shared" si="47"/>
        <v>0</v>
      </c>
      <c r="CH220" s="433">
        <f t="shared" si="48"/>
        <v>0</v>
      </c>
      <c r="CI220" s="433">
        <f t="shared" si="49"/>
        <v>0</v>
      </c>
      <c r="CJ220" s="433">
        <f t="shared" si="50"/>
        <v>0</v>
      </c>
      <c r="CK220" s="433">
        <f t="shared" si="51"/>
        <v>0</v>
      </c>
      <c r="CL220" s="433">
        <f t="shared" si="52"/>
        <v>0</v>
      </c>
      <c r="CM220" s="433">
        <f t="shared" si="53"/>
        <v>0</v>
      </c>
      <c r="CN220" s="433">
        <f t="shared" si="54"/>
        <v>0</v>
      </c>
      <c r="CO220" s="433">
        <f t="shared" si="55"/>
        <v>0</v>
      </c>
      <c r="CP220" s="433">
        <f t="shared" si="56"/>
        <v>0</v>
      </c>
      <c r="CQ220" s="433">
        <f t="shared" si="57"/>
        <v>0</v>
      </c>
      <c r="CR220" s="433">
        <f t="shared" si="58"/>
        <v>0</v>
      </c>
      <c r="CS220" s="433">
        <f t="shared" si="59"/>
        <v>0</v>
      </c>
      <c r="CT220" s="21"/>
    </row>
    <row r="221" spans="1:98" hidden="1" outlineLevel="3">
      <c r="C221" s="437" t="s">
        <v>345</v>
      </c>
      <c r="D221" s="416">
        <v>0</v>
      </c>
      <c r="E221" s="416">
        <v>0</v>
      </c>
      <c r="F221" s="416">
        <v>0</v>
      </c>
      <c r="G221" s="416">
        <v>0</v>
      </c>
      <c r="H221" s="416">
        <v>0</v>
      </c>
      <c r="I221" s="416">
        <v>0</v>
      </c>
      <c r="J221" s="416">
        <v>0</v>
      </c>
      <c r="K221" s="416">
        <v>0</v>
      </c>
      <c r="L221" s="416">
        <v>0</v>
      </c>
      <c r="M221" s="416">
        <v>0</v>
      </c>
      <c r="N221" s="416">
        <v>0</v>
      </c>
      <c r="O221" s="416">
        <v>0</v>
      </c>
      <c r="P221" s="416">
        <v>0</v>
      </c>
      <c r="Q221" s="416">
        <v>0</v>
      </c>
      <c r="R221" s="416">
        <v>0</v>
      </c>
      <c r="S221" s="416">
        <v>0</v>
      </c>
      <c r="T221" s="416">
        <v>0</v>
      </c>
      <c r="U221" s="416">
        <v>0</v>
      </c>
      <c r="V221" s="416">
        <v>0</v>
      </c>
      <c r="W221" s="416">
        <v>0</v>
      </c>
      <c r="X221" s="416">
        <v>0</v>
      </c>
      <c r="Y221" s="416">
        <v>0</v>
      </c>
      <c r="Z221" s="416">
        <v>0</v>
      </c>
      <c r="AA221" s="416">
        <v>0</v>
      </c>
      <c r="AB221" s="416">
        <v>0</v>
      </c>
      <c r="AC221" s="416">
        <v>0</v>
      </c>
      <c r="AD221" s="416">
        <v>0</v>
      </c>
      <c r="AE221" s="416">
        <v>0</v>
      </c>
      <c r="AF221" s="416">
        <v>0</v>
      </c>
      <c r="AG221" s="416">
        <v>0</v>
      </c>
      <c r="AH221" s="416">
        <v>0</v>
      </c>
      <c r="AI221" s="416">
        <v>0</v>
      </c>
      <c r="AJ221" s="416">
        <v>0</v>
      </c>
      <c r="AK221" s="416">
        <v>0</v>
      </c>
      <c r="AL221" s="416">
        <v>0</v>
      </c>
      <c r="AM221" s="416">
        <v>0</v>
      </c>
      <c r="AN221" s="416">
        <v>0</v>
      </c>
      <c r="AO221" s="416">
        <v>0</v>
      </c>
      <c r="AP221" s="416">
        <v>0</v>
      </c>
      <c r="AQ221" s="416">
        <v>0</v>
      </c>
      <c r="AR221" s="416">
        <v>0</v>
      </c>
      <c r="AS221" s="416">
        <v>0</v>
      </c>
      <c r="AT221" s="416">
        <v>0</v>
      </c>
      <c r="AU221" s="416">
        <v>0</v>
      </c>
      <c r="AV221" s="416">
        <v>0</v>
      </c>
      <c r="AW221" s="416">
        <v>0</v>
      </c>
      <c r="AX221" s="416">
        <v>0</v>
      </c>
      <c r="AY221" s="416">
        <v>0</v>
      </c>
      <c r="AZ221" s="416">
        <v>0</v>
      </c>
      <c r="BA221" s="416">
        <v>0</v>
      </c>
      <c r="BB221" s="416">
        <v>0</v>
      </c>
      <c r="BC221" s="416">
        <v>0</v>
      </c>
      <c r="BD221" s="416">
        <v>0</v>
      </c>
      <c r="BE221" s="416">
        <v>0</v>
      </c>
      <c r="BF221" s="416">
        <v>0</v>
      </c>
      <c r="BG221" s="416">
        <v>0</v>
      </c>
      <c r="BH221" s="416">
        <v>0</v>
      </c>
      <c r="BI221" s="416">
        <v>0</v>
      </c>
      <c r="BJ221" s="416">
        <v>0</v>
      </c>
      <c r="BK221" s="416">
        <v>0</v>
      </c>
      <c r="BL221" s="416">
        <v>0</v>
      </c>
      <c r="BM221" s="416">
        <v>0</v>
      </c>
      <c r="BN221" s="416">
        <v>0</v>
      </c>
      <c r="BO221" s="416">
        <v>0</v>
      </c>
      <c r="BP221" s="416">
        <v>0</v>
      </c>
      <c r="BQ221" s="416">
        <v>0</v>
      </c>
      <c r="BR221" s="416">
        <v>0</v>
      </c>
      <c r="BS221" s="416">
        <v>0</v>
      </c>
      <c r="BT221" s="416">
        <v>0</v>
      </c>
      <c r="BU221" s="416">
        <v>0</v>
      </c>
      <c r="BV221" s="416">
        <v>0</v>
      </c>
      <c r="BW221" s="416">
        <v>0</v>
      </c>
      <c r="BX221" s="416">
        <v>0</v>
      </c>
      <c r="BY221" s="416">
        <v>0</v>
      </c>
      <c r="BZ221" s="416">
        <v>0</v>
      </c>
      <c r="CC221" s="21"/>
      <c r="CD221" s="437" t="s">
        <v>345</v>
      </c>
      <c r="CE221" s="433">
        <f t="shared" si="45"/>
        <v>0</v>
      </c>
      <c r="CF221" s="433">
        <f t="shared" si="46"/>
        <v>0</v>
      </c>
      <c r="CG221" s="433">
        <f t="shared" si="47"/>
        <v>0</v>
      </c>
      <c r="CH221" s="433">
        <f t="shared" si="48"/>
        <v>0</v>
      </c>
      <c r="CI221" s="433">
        <f t="shared" si="49"/>
        <v>0</v>
      </c>
      <c r="CJ221" s="433">
        <f t="shared" si="50"/>
        <v>0</v>
      </c>
      <c r="CK221" s="433">
        <f t="shared" si="51"/>
        <v>0</v>
      </c>
      <c r="CL221" s="433">
        <f t="shared" si="52"/>
        <v>0</v>
      </c>
      <c r="CM221" s="433">
        <f t="shared" si="53"/>
        <v>0</v>
      </c>
      <c r="CN221" s="433">
        <f t="shared" si="54"/>
        <v>0</v>
      </c>
      <c r="CO221" s="433">
        <f t="shared" si="55"/>
        <v>0</v>
      </c>
      <c r="CP221" s="433">
        <f t="shared" si="56"/>
        <v>0</v>
      </c>
      <c r="CQ221" s="433">
        <f t="shared" si="57"/>
        <v>0</v>
      </c>
      <c r="CR221" s="433">
        <f t="shared" si="58"/>
        <v>0</v>
      </c>
      <c r="CS221" s="433">
        <f t="shared" si="59"/>
        <v>0</v>
      </c>
      <c r="CT221" s="21"/>
    </row>
    <row r="222" spans="1:98" hidden="1" outlineLevel="2">
      <c r="C222" s="426" t="s">
        <v>338</v>
      </c>
      <c r="D222" s="416">
        <v>0</v>
      </c>
      <c r="E222" s="416">
        <v>0</v>
      </c>
      <c r="F222" s="416">
        <v>0</v>
      </c>
      <c r="G222" s="416">
        <v>0</v>
      </c>
      <c r="H222" s="416">
        <v>0</v>
      </c>
      <c r="I222" s="416">
        <v>0</v>
      </c>
      <c r="J222" s="416">
        <v>0</v>
      </c>
      <c r="K222" s="416">
        <v>0</v>
      </c>
      <c r="L222" s="416">
        <v>0</v>
      </c>
      <c r="M222" s="416">
        <v>0</v>
      </c>
      <c r="N222" s="416">
        <v>0</v>
      </c>
      <c r="O222" s="416">
        <v>0</v>
      </c>
      <c r="P222" s="416">
        <v>0</v>
      </c>
      <c r="Q222" s="416">
        <v>0</v>
      </c>
      <c r="R222" s="416">
        <v>0</v>
      </c>
      <c r="S222" s="416">
        <v>0</v>
      </c>
      <c r="T222" s="416">
        <v>0</v>
      </c>
      <c r="U222" s="416">
        <v>0</v>
      </c>
      <c r="V222" s="416">
        <v>0</v>
      </c>
      <c r="W222" s="416">
        <v>0</v>
      </c>
      <c r="X222" s="416">
        <v>0</v>
      </c>
      <c r="Y222" s="416">
        <v>0</v>
      </c>
      <c r="Z222" s="416">
        <v>0</v>
      </c>
      <c r="AA222" s="416">
        <v>0</v>
      </c>
      <c r="AB222" s="416">
        <v>0</v>
      </c>
      <c r="AC222" s="416">
        <v>0</v>
      </c>
      <c r="AD222" s="416">
        <v>0</v>
      </c>
      <c r="AE222" s="416">
        <v>0</v>
      </c>
      <c r="AF222" s="416">
        <v>0</v>
      </c>
      <c r="AG222" s="416">
        <v>0</v>
      </c>
      <c r="AH222" s="416">
        <v>0</v>
      </c>
      <c r="AI222" s="416">
        <v>0</v>
      </c>
      <c r="AJ222" s="416">
        <v>0</v>
      </c>
      <c r="AK222" s="416">
        <v>0</v>
      </c>
      <c r="AL222" s="416">
        <v>0</v>
      </c>
      <c r="AM222" s="416">
        <v>0</v>
      </c>
      <c r="AN222" s="416">
        <v>0</v>
      </c>
      <c r="AO222" s="416">
        <v>0</v>
      </c>
      <c r="AP222" s="416">
        <v>0</v>
      </c>
      <c r="AQ222" s="416">
        <v>0</v>
      </c>
      <c r="AR222" s="416">
        <v>0</v>
      </c>
      <c r="AS222" s="416">
        <v>0</v>
      </c>
      <c r="AT222" s="416">
        <v>0</v>
      </c>
      <c r="AU222" s="416">
        <v>0</v>
      </c>
      <c r="AV222" s="416">
        <v>0</v>
      </c>
      <c r="AW222" s="416">
        <v>0</v>
      </c>
      <c r="AX222" s="416">
        <v>0</v>
      </c>
      <c r="AY222" s="416">
        <v>0</v>
      </c>
      <c r="AZ222" s="416">
        <v>0</v>
      </c>
      <c r="BA222" s="416">
        <v>0</v>
      </c>
      <c r="BB222" s="416">
        <v>0</v>
      </c>
      <c r="BC222" s="416">
        <v>0</v>
      </c>
      <c r="BD222" s="416">
        <v>0</v>
      </c>
      <c r="BE222" s="416">
        <v>0</v>
      </c>
      <c r="BF222" s="416">
        <v>0</v>
      </c>
      <c r="BG222" s="416">
        <v>0</v>
      </c>
      <c r="BH222" s="416">
        <v>0</v>
      </c>
      <c r="BI222" s="416">
        <v>0</v>
      </c>
      <c r="BJ222" s="416">
        <v>0</v>
      </c>
      <c r="BK222" s="416">
        <v>0</v>
      </c>
      <c r="BL222" s="416">
        <v>0</v>
      </c>
      <c r="BM222" s="416">
        <v>1406.9269999999999</v>
      </c>
      <c r="BN222" s="416">
        <v>3382.1849999999999</v>
      </c>
      <c r="BO222" s="416">
        <v>3384.7950000000001</v>
      </c>
      <c r="BP222" s="416">
        <v>3384.7950000000001</v>
      </c>
      <c r="BQ222" s="416">
        <v>3386.8649999999998</v>
      </c>
      <c r="BR222" s="416">
        <v>3389.0329999999999</v>
      </c>
      <c r="BS222" s="416">
        <v>3391.2370000000001</v>
      </c>
      <c r="BT222" s="416">
        <v>3393.4479999999999</v>
      </c>
      <c r="BU222" s="416">
        <v>3393.4479999999999</v>
      </c>
      <c r="BV222" s="416">
        <v>3395.6129999999998</v>
      </c>
      <c r="BW222" s="416">
        <v>3334.2570000000001</v>
      </c>
      <c r="BX222" s="416">
        <v>3076.5990000000002</v>
      </c>
      <c r="BY222" s="416">
        <v>0</v>
      </c>
      <c r="BZ222" s="416">
        <v>0</v>
      </c>
      <c r="CC222" s="21"/>
      <c r="CD222" s="426" t="s">
        <v>338</v>
      </c>
      <c r="CE222" s="433">
        <f t="shared" si="45"/>
        <v>0</v>
      </c>
      <c r="CF222" s="433">
        <f t="shared" si="46"/>
        <v>0</v>
      </c>
      <c r="CG222" s="433">
        <f t="shared" si="47"/>
        <v>0</v>
      </c>
      <c r="CH222" s="433">
        <f t="shared" si="48"/>
        <v>0</v>
      </c>
      <c r="CI222" s="433">
        <f t="shared" si="49"/>
        <v>0</v>
      </c>
      <c r="CJ222" s="433">
        <f t="shared" si="50"/>
        <v>0</v>
      </c>
      <c r="CK222" s="433">
        <f t="shared" si="51"/>
        <v>0</v>
      </c>
      <c r="CL222" s="433">
        <f t="shared" si="52"/>
        <v>0</v>
      </c>
      <c r="CM222" s="433">
        <f t="shared" si="53"/>
        <v>0</v>
      </c>
      <c r="CN222" s="433">
        <f t="shared" si="54"/>
        <v>0</v>
      </c>
      <c r="CO222" s="433">
        <f t="shared" si="55"/>
        <v>0</v>
      </c>
      <c r="CP222" s="433">
        <f t="shared" si="56"/>
        <v>0</v>
      </c>
      <c r="CQ222" s="433">
        <f t="shared" si="57"/>
        <v>3384.7950000000001</v>
      </c>
      <c r="CR222" s="433">
        <f t="shared" si="58"/>
        <v>3393.4479999999999</v>
      </c>
      <c r="CS222" s="433">
        <f t="shared" si="59"/>
        <v>0</v>
      </c>
      <c r="CT222" s="21"/>
    </row>
    <row r="223" spans="1:98" hidden="1" outlineLevel="2">
      <c r="C223" s="426" t="s">
        <v>346</v>
      </c>
      <c r="D223" s="416">
        <v>0</v>
      </c>
      <c r="E223" s="416">
        <v>0</v>
      </c>
      <c r="F223" s="416">
        <v>0</v>
      </c>
      <c r="G223" s="416">
        <v>0</v>
      </c>
      <c r="H223" s="416">
        <v>0</v>
      </c>
      <c r="I223" s="416">
        <v>0</v>
      </c>
      <c r="J223" s="416">
        <v>0</v>
      </c>
      <c r="K223" s="416">
        <v>0</v>
      </c>
      <c r="L223" s="416">
        <v>0</v>
      </c>
      <c r="M223" s="416">
        <v>0</v>
      </c>
      <c r="N223" s="416">
        <v>0</v>
      </c>
      <c r="O223" s="416">
        <v>0</v>
      </c>
      <c r="P223" s="416">
        <v>0</v>
      </c>
      <c r="Q223" s="416">
        <v>0</v>
      </c>
      <c r="R223" s="416">
        <v>0</v>
      </c>
      <c r="S223" s="416">
        <v>0</v>
      </c>
      <c r="T223" s="416">
        <v>0</v>
      </c>
      <c r="U223" s="416">
        <v>0</v>
      </c>
      <c r="V223" s="416">
        <v>0</v>
      </c>
      <c r="W223" s="416">
        <v>0</v>
      </c>
      <c r="X223" s="416">
        <v>0</v>
      </c>
      <c r="Y223" s="416">
        <v>0</v>
      </c>
      <c r="Z223" s="416">
        <v>0</v>
      </c>
      <c r="AA223" s="416">
        <v>0</v>
      </c>
      <c r="AB223" s="416">
        <v>0</v>
      </c>
      <c r="AC223" s="416">
        <v>0</v>
      </c>
      <c r="AD223" s="416">
        <v>0</v>
      </c>
      <c r="AE223" s="416">
        <v>0</v>
      </c>
      <c r="AF223" s="416">
        <v>0</v>
      </c>
      <c r="AG223" s="416">
        <v>0</v>
      </c>
      <c r="AH223" s="416">
        <v>0</v>
      </c>
      <c r="AI223" s="416">
        <v>0</v>
      </c>
      <c r="AJ223" s="416">
        <v>0</v>
      </c>
      <c r="AK223" s="416">
        <v>0</v>
      </c>
      <c r="AL223" s="416">
        <v>0</v>
      </c>
      <c r="AM223" s="416">
        <v>0</v>
      </c>
      <c r="AN223" s="416">
        <v>0</v>
      </c>
      <c r="AO223" s="416">
        <v>0</v>
      </c>
      <c r="AP223" s="416">
        <v>0</v>
      </c>
      <c r="AQ223" s="416">
        <v>0</v>
      </c>
      <c r="AR223" s="416">
        <v>0</v>
      </c>
      <c r="AS223" s="416">
        <v>0</v>
      </c>
      <c r="AT223" s="416">
        <v>0</v>
      </c>
      <c r="AU223" s="416">
        <v>0</v>
      </c>
      <c r="AV223" s="416">
        <v>0</v>
      </c>
      <c r="AW223" s="416">
        <v>0</v>
      </c>
      <c r="AX223" s="416">
        <v>0</v>
      </c>
      <c r="AY223" s="416">
        <v>0</v>
      </c>
      <c r="AZ223" s="416">
        <v>0</v>
      </c>
      <c r="BA223" s="416">
        <v>0</v>
      </c>
      <c r="BB223" s="416">
        <v>0</v>
      </c>
      <c r="BC223" s="416">
        <v>0</v>
      </c>
      <c r="BD223" s="416">
        <v>0</v>
      </c>
      <c r="BE223" s="416">
        <v>0</v>
      </c>
      <c r="BF223" s="416">
        <v>106.542</v>
      </c>
      <c r="BG223" s="416">
        <v>0</v>
      </c>
      <c r="BH223" s="416">
        <v>0</v>
      </c>
      <c r="BI223" s="416">
        <v>0</v>
      </c>
      <c r="BJ223" s="416">
        <v>82.507999999999996</v>
      </c>
      <c r="BK223" s="416">
        <v>82.507999999999996</v>
      </c>
      <c r="BL223" s="416">
        <v>88.519000000000005</v>
      </c>
      <c r="BM223" s="416">
        <v>82.292000000000002</v>
      </c>
      <c r="BN223" s="416">
        <v>81.602000000000004</v>
      </c>
      <c r="BO223" s="416">
        <v>74.078000000000003</v>
      </c>
      <c r="BP223" s="416">
        <v>74.078000000000003</v>
      </c>
      <c r="BQ223" s="416">
        <v>66.424999999999997</v>
      </c>
      <c r="BR223" s="416">
        <v>59.317</v>
      </c>
      <c r="BS223" s="416">
        <v>50.167000000000002</v>
      </c>
      <c r="BT223" s="416">
        <v>42.043999999999997</v>
      </c>
      <c r="BU223" s="416">
        <v>42.043999999999997</v>
      </c>
      <c r="BV223" s="416">
        <v>11.289</v>
      </c>
      <c r="BW223" s="416">
        <v>8.6110000000000007</v>
      </c>
      <c r="BX223" s="416">
        <v>5.69</v>
      </c>
      <c r="BY223" s="416">
        <v>0</v>
      </c>
      <c r="BZ223" s="416">
        <v>0</v>
      </c>
      <c r="CC223" s="21"/>
      <c r="CD223" s="426" t="s">
        <v>346</v>
      </c>
      <c r="CE223" s="433">
        <f t="shared" si="45"/>
        <v>0</v>
      </c>
      <c r="CF223" s="433">
        <f t="shared" si="46"/>
        <v>0</v>
      </c>
      <c r="CG223" s="433">
        <f t="shared" si="47"/>
        <v>0</v>
      </c>
      <c r="CH223" s="433">
        <f t="shared" si="48"/>
        <v>0</v>
      </c>
      <c r="CI223" s="433">
        <f t="shared" si="49"/>
        <v>0</v>
      </c>
      <c r="CJ223" s="433">
        <f t="shared" si="50"/>
        <v>0</v>
      </c>
      <c r="CK223" s="433">
        <f t="shared" si="51"/>
        <v>0</v>
      </c>
      <c r="CL223" s="433">
        <f t="shared" si="52"/>
        <v>0</v>
      </c>
      <c r="CM223" s="433">
        <f t="shared" si="53"/>
        <v>0</v>
      </c>
      <c r="CN223" s="433">
        <f t="shared" si="54"/>
        <v>0</v>
      </c>
      <c r="CO223" s="433">
        <f t="shared" si="55"/>
        <v>106.542</v>
      </c>
      <c r="CP223" s="433">
        <f t="shared" si="56"/>
        <v>82.507999999999996</v>
      </c>
      <c r="CQ223" s="433">
        <f t="shared" si="57"/>
        <v>74.078000000000003</v>
      </c>
      <c r="CR223" s="433">
        <f t="shared" si="58"/>
        <v>42.043999999999997</v>
      </c>
      <c r="CS223" s="433">
        <f t="shared" si="59"/>
        <v>0</v>
      </c>
      <c r="CT223" s="21"/>
    </row>
    <row r="224" spans="1:98" hidden="1" outlineLevel="1">
      <c r="C224" s="424" t="s">
        <v>337</v>
      </c>
      <c r="D224" s="416">
        <v>0</v>
      </c>
      <c r="E224" s="416">
        <v>0</v>
      </c>
      <c r="F224" s="416">
        <v>0</v>
      </c>
      <c r="G224" s="416">
        <v>0</v>
      </c>
      <c r="H224" s="416">
        <v>0</v>
      </c>
      <c r="I224" s="416">
        <v>0</v>
      </c>
      <c r="J224" s="416">
        <v>0</v>
      </c>
      <c r="K224" s="416">
        <v>0</v>
      </c>
      <c r="L224" s="416">
        <v>0</v>
      </c>
      <c r="M224" s="416">
        <v>0</v>
      </c>
      <c r="N224" s="416">
        <v>0</v>
      </c>
      <c r="O224" s="416">
        <v>0</v>
      </c>
      <c r="P224" s="416">
        <v>0</v>
      </c>
      <c r="Q224" s="416">
        <v>0</v>
      </c>
      <c r="R224" s="416">
        <v>0</v>
      </c>
      <c r="S224" s="416">
        <v>0</v>
      </c>
      <c r="T224" s="416">
        <v>0</v>
      </c>
      <c r="U224" s="416">
        <v>0</v>
      </c>
      <c r="V224" s="416">
        <v>0</v>
      </c>
      <c r="W224" s="416">
        <v>0</v>
      </c>
      <c r="X224" s="416">
        <v>0</v>
      </c>
      <c r="Y224" s="416">
        <v>0</v>
      </c>
      <c r="Z224" s="416">
        <v>0</v>
      </c>
      <c r="AA224" s="416">
        <v>0</v>
      </c>
      <c r="AB224" s="416">
        <v>0</v>
      </c>
      <c r="AC224" s="416">
        <v>0</v>
      </c>
      <c r="AD224" s="416">
        <v>0</v>
      </c>
      <c r="AE224" s="416">
        <v>0</v>
      </c>
      <c r="AF224" s="416">
        <v>0</v>
      </c>
      <c r="AG224" s="416">
        <v>0</v>
      </c>
      <c r="AH224" s="416">
        <v>0</v>
      </c>
      <c r="AI224" s="416">
        <v>0</v>
      </c>
      <c r="AJ224" s="416">
        <v>0</v>
      </c>
      <c r="AK224" s="416">
        <v>0</v>
      </c>
      <c r="AL224" s="416">
        <v>0</v>
      </c>
      <c r="AM224" s="416">
        <v>0</v>
      </c>
      <c r="AN224" s="416">
        <v>0</v>
      </c>
      <c r="AO224" s="416">
        <v>0</v>
      </c>
      <c r="AP224" s="416">
        <v>0</v>
      </c>
      <c r="AQ224" s="416">
        <v>0</v>
      </c>
      <c r="AR224" s="416">
        <v>0</v>
      </c>
      <c r="AS224" s="416">
        <v>0</v>
      </c>
      <c r="AT224" s="416">
        <v>0</v>
      </c>
      <c r="AU224" s="416">
        <v>0</v>
      </c>
      <c r="AV224" s="416">
        <v>0</v>
      </c>
      <c r="AW224" s="416">
        <v>0</v>
      </c>
      <c r="AX224" s="416">
        <v>0</v>
      </c>
      <c r="AY224" s="416">
        <v>0</v>
      </c>
      <c r="AZ224" s="416">
        <v>0</v>
      </c>
      <c r="BA224" s="416">
        <v>0</v>
      </c>
      <c r="BB224" s="416">
        <v>0</v>
      </c>
      <c r="BC224" s="416">
        <v>0</v>
      </c>
      <c r="BD224" s="416">
        <v>0</v>
      </c>
      <c r="BE224" s="416">
        <v>0</v>
      </c>
      <c r="BF224" s="416">
        <v>106.542</v>
      </c>
      <c r="BG224" s="416">
        <v>0</v>
      </c>
      <c r="BH224" s="416">
        <v>0</v>
      </c>
      <c r="BI224" s="416">
        <v>0</v>
      </c>
      <c r="BJ224" s="416">
        <v>82.507999999999996</v>
      </c>
      <c r="BK224" s="416">
        <v>82.507999999999996</v>
      </c>
      <c r="BL224" s="416">
        <v>88.519000000000005</v>
      </c>
      <c r="BM224" s="416">
        <v>1489.2190000000001</v>
      </c>
      <c r="BN224" s="416">
        <v>3463.7869999999998</v>
      </c>
      <c r="BO224" s="416">
        <v>3458.873</v>
      </c>
      <c r="BP224" s="416">
        <v>3458.873</v>
      </c>
      <c r="BQ224" s="416">
        <v>3453.29</v>
      </c>
      <c r="BR224" s="416">
        <v>3448.35</v>
      </c>
      <c r="BS224" s="416">
        <v>3441.404</v>
      </c>
      <c r="BT224" s="416">
        <v>3435.4920000000002</v>
      </c>
      <c r="BU224" s="416">
        <v>3435.4920000000002</v>
      </c>
      <c r="BV224" s="416">
        <v>3406.902</v>
      </c>
      <c r="BW224" s="416">
        <v>3342.8679999999999</v>
      </c>
      <c r="BX224" s="416">
        <v>3082.2890000000002</v>
      </c>
      <c r="BY224" s="416">
        <v>0</v>
      </c>
      <c r="BZ224" s="416">
        <v>0</v>
      </c>
      <c r="CC224" s="21"/>
      <c r="CD224" s="424" t="s">
        <v>337</v>
      </c>
      <c r="CE224" s="433">
        <f t="shared" si="45"/>
        <v>0</v>
      </c>
      <c r="CF224" s="433">
        <f t="shared" si="46"/>
        <v>0</v>
      </c>
      <c r="CG224" s="433">
        <f t="shared" si="47"/>
        <v>0</v>
      </c>
      <c r="CH224" s="433">
        <f t="shared" si="48"/>
        <v>0</v>
      </c>
      <c r="CI224" s="433">
        <f t="shared" si="49"/>
        <v>0</v>
      </c>
      <c r="CJ224" s="433">
        <f t="shared" si="50"/>
        <v>0</v>
      </c>
      <c r="CK224" s="433">
        <f t="shared" si="51"/>
        <v>0</v>
      </c>
      <c r="CL224" s="433">
        <f t="shared" si="52"/>
        <v>0</v>
      </c>
      <c r="CM224" s="433">
        <f t="shared" si="53"/>
        <v>0</v>
      </c>
      <c r="CN224" s="433">
        <f t="shared" si="54"/>
        <v>0</v>
      </c>
      <c r="CO224" s="433">
        <f t="shared" si="55"/>
        <v>106.542</v>
      </c>
      <c r="CP224" s="433">
        <f t="shared" si="56"/>
        <v>82.507999999999996</v>
      </c>
      <c r="CQ224" s="433">
        <f t="shared" si="57"/>
        <v>3458.873</v>
      </c>
      <c r="CR224" s="433">
        <f t="shared" si="58"/>
        <v>3435.4920000000002</v>
      </c>
      <c r="CS224" s="433">
        <f t="shared" si="59"/>
        <v>0</v>
      </c>
      <c r="CT224" s="21"/>
    </row>
    <row r="225" spans="3:98" hidden="1" outlineLevel="1">
      <c r="C225" s="424" t="s">
        <v>347</v>
      </c>
      <c r="D225" s="416">
        <v>0</v>
      </c>
      <c r="E225" s="416">
        <v>0</v>
      </c>
      <c r="F225" s="416">
        <v>0</v>
      </c>
      <c r="G225" s="416">
        <v>0</v>
      </c>
      <c r="H225" s="416">
        <v>0</v>
      </c>
      <c r="I225" s="416">
        <v>0</v>
      </c>
      <c r="J225" s="416">
        <v>0</v>
      </c>
      <c r="K225" s="416">
        <v>0</v>
      </c>
      <c r="L225" s="416">
        <v>0</v>
      </c>
      <c r="M225" s="416">
        <v>0</v>
      </c>
      <c r="N225" s="416">
        <v>0</v>
      </c>
      <c r="O225" s="416">
        <v>0</v>
      </c>
      <c r="P225" s="416">
        <v>0</v>
      </c>
      <c r="Q225" s="416">
        <v>0</v>
      </c>
      <c r="R225" s="416">
        <v>0</v>
      </c>
      <c r="S225" s="416">
        <v>0</v>
      </c>
      <c r="T225" s="416">
        <v>0</v>
      </c>
      <c r="U225" s="416">
        <v>0</v>
      </c>
      <c r="V225" s="416">
        <v>0</v>
      </c>
      <c r="W225" s="416">
        <v>0</v>
      </c>
      <c r="X225" s="416">
        <v>0</v>
      </c>
      <c r="Y225" s="416">
        <v>0</v>
      </c>
      <c r="Z225" s="416">
        <v>0</v>
      </c>
      <c r="AA225" s="416">
        <v>0</v>
      </c>
      <c r="AB225" s="416">
        <v>0</v>
      </c>
      <c r="AC225" s="416">
        <v>0</v>
      </c>
      <c r="AD225" s="416">
        <v>0</v>
      </c>
      <c r="AE225" s="416">
        <v>0</v>
      </c>
      <c r="AF225" s="416">
        <v>0</v>
      </c>
      <c r="AG225" s="416">
        <v>0</v>
      </c>
      <c r="AH225" s="416">
        <v>0</v>
      </c>
      <c r="AI225" s="416">
        <v>0</v>
      </c>
      <c r="AJ225" s="416">
        <v>0</v>
      </c>
      <c r="AK225" s="416">
        <v>0</v>
      </c>
      <c r="AL225" s="416">
        <v>0</v>
      </c>
      <c r="AM225" s="416">
        <v>0</v>
      </c>
      <c r="AN225" s="416">
        <v>0</v>
      </c>
      <c r="AO225" s="416">
        <v>0</v>
      </c>
      <c r="AP225" s="416">
        <v>0</v>
      </c>
      <c r="AQ225" s="416">
        <v>0</v>
      </c>
      <c r="AR225" s="416">
        <v>0</v>
      </c>
      <c r="AS225" s="416">
        <v>0</v>
      </c>
      <c r="AT225" s="416">
        <v>0</v>
      </c>
      <c r="AU225" s="416">
        <v>0</v>
      </c>
      <c r="AV225" s="416">
        <v>0</v>
      </c>
      <c r="AW225" s="416">
        <v>0</v>
      </c>
      <c r="AX225" s="416">
        <v>0</v>
      </c>
      <c r="AY225" s="416">
        <v>0</v>
      </c>
      <c r="AZ225" s="416">
        <v>0</v>
      </c>
      <c r="BA225" s="416">
        <v>0</v>
      </c>
      <c r="BB225" s="416">
        <v>0</v>
      </c>
      <c r="BC225" s="416">
        <v>0</v>
      </c>
      <c r="BD225" s="416">
        <v>0</v>
      </c>
      <c r="BE225" s="416">
        <v>0</v>
      </c>
      <c r="BF225" s="416">
        <v>0</v>
      </c>
      <c r="BG225" s="416">
        <v>0</v>
      </c>
      <c r="BH225" s="416">
        <v>0</v>
      </c>
      <c r="BI225" s="416">
        <v>0</v>
      </c>
      <c r="BJ225" s="416">
        <v>0</v>
      </c>
      <c r="BK225" s="416">
        <v>0</v>
      </c>
      <c r="BL225" s="416">
        <v>0</v>
      </c>
      <c r="BM225" s="416">
        <v>0</v>
      </c>
      <c r="BN225" s="416">
        <v>0</v>
      </c>
      <c r="BO225" s="416">
        <v>0</v>
      </c>
      <c r="BP225" s="416">
        <v>0</v>
      </c>
      <c r="BQ225" s="416">
        <v>0</v>
      </c>
      <c r="BR225" s="416">
        <v>0</v>
      </c>
      <c r="BS225" s="416">
        <v>0</v>
      </c>
      <c r="BT225" s="416">
        <v>0</v>
      </c>
      <c r="BU225" s="416">
        <v>0</v>
      </c>
      <c r="BV225" s="416">
        <v>0</v>
      </c>
      <c r="BW225" s="416">
        <v>0</v>
      </c>
      <c r="BX225" s="416">
        <v>0</v>
      </c>
      <c r="BY225" s="416">
        <v>0</v>
      </c>
      <c r="BZ225" s="416">
        <v>0</v>
      </c>
      <c r="CC225" s="21"/>
      <c r="CD225" s="424" t="s">
        <v>347</v>
      </c>
      <c r="CE225" s="433">
        <f t="shared" si="45"/>
        <v>0</v>
      </c>
      <c r="CF225" s="433">
        <f t="shared" si="46"/>
        <v>0</v>
      </c>
      <c r="CG225" s="433">
        <f t="shared" si="47"/>
        <v>0</v>
      </c>
      <c r="CH225" s="433">
        <f t="shared" si="48"/>
        <v>0</v>
      </c>
      <c r="CI225" s="433">
        <f t="shared" si="49"/>
        <v>0</v>
      </c>
      <c r="CJ225" s="433">
        <f t="shared" si="50"/>
        <v>0</v>
      </c>
      <c r="CK225" s="433">
        <f t="shared" si="51"/>
        <v>0</v>
      </c>
      <c r="CL225" s="433">
        <f t="shared" si="52"/>
        <v>0</v>
      </c>
      <c r="CM225" s="433">
        <f t="shared" si="53"/>
        <v>0</v>
      </c>
      <c r="CN225" s="433">
        <f t="shared" si="54"/>
        <v>0</v>
      </c>
      <c r="CO225" s="433">
        <f t="shared" si="55"/>
        <v>0</v>
      </c>
      <c r="CP225" s="433">
        <f t="shared" si="56"/>
        <v>0</v>
      </c>
      <c r="CQ225" s="433">
        <f t="shared" si="57"/>
        <v>0</v>
      </c>
      <c r="CR225" s="433">
        <f t="shared" si="58"/>
        <v>0</v>
      </c>
      <c r="CS225" s="433">
        <f t="shared" si="59"/>
        <v>0</v>
      </c>
      <c r="CT225" s="21"/>
    </row>
    <row r="226" spans="3:98" hidden="1" outlineLevel="1">
      <c r="C226" s="424" t="s">
        <v>348</v>
      </c>
      <c r="D226" s="416">
        <v>0</v>
      </c>
      <c r="E226" s="416">
        <v>0</v>
      </c>
      <c r="F226" s="416">
        <v>0</v>
      </c>
      <c r="G226" s="416">
        <v>0</v>
      </c>
      <c r="H226" s="416">
        <v>0</v>
      </c>
      <c r="I226" s="416">
        <v>0</v>
      </c>
      <c r="J226" s="416">
        <v>0</v>
      </c>
      <c r="K226" s="416">
        <v>0</v>
      </c>
      <c r="L226" s="416">
        <v>0</v>
      </c>
      <c r="M226" s="416">
        <v>0</v>
      </c>
      <c r="N226" s="416">
        <v>0</v>
      </c>
      <c r="O226" s="416">
        <v>0</v>
      </c>
      <c r="P226" s="416">
        <v>0</v>
      </c>
      <c r="Q226" s="416">
        <v>0</v>
      </c>
      <c r="R226" s="416">
        <v>0</v>
      </c>
      <c r="S226" s="416">
        <v>0</v>
      </c>
      <c r="T226" s="416">
        <v>0</v>
      </c>
      <c r="U226" s="416">
        <v>0</v>
      </c>
      <c r="V226" s="416">
        <v>0</v>
      </c>
      <c r="W226" s="416">
        <v>0</v>
      </c>
      <c r="X226" s="416">
        <v>0</v>
      </c>
      <c r="Y226" s="416">
        <v>0</v>
      </c>
      <c r="Z226" s="416">
        <v>0</v>
      </c>
      <c r="AA226" s="416">
        <v>0</v>
      </c>
      <c r="AB226" s="416">
        <v>0</v>
      </c>
      <c r="AC226" s="416">
        <v>0</v>
      </c>
      <c r="AD226" s="416">
        <v>0</v>
      </c>
      <c r="AE226" s="416">
        <v>0</v>
      </c>
      <c r="AF226" s="416">
        <v>0</v>
      </c>
      <c r="AG226" s="416">
        <v>0</v>
      </c>
      <c r="AH226" s="416">
        <v>0</v>
      </c>
      <c r="AI226" s="416">
        <v>0</v>
      </c>
      <c r="AJ226" s="416">
        <v>0</v>
      </c>
      <c r="AK226" s="416">
        <v>0</v>
      </c>
      <c r="AL226" s="416">
        <v>0</v>
      </c>
      <c r="AM226" s="416">
        <v>0</v>
      </c>
      <c r="AN226" s="416">
        <v>0</v>
      </c>
      <c r="AO226" s="416">
        <v>0</v>
      </c>
      <c r="AP226" s="416">
        <v>0</v>
      </c>
      <c r="AQ226" s="416">
        <v>0</v>
      </c>
      <c r="AR226" s="416">
        <v>0</v>
      </c>
      <c r="AS226" s="416">
        <v>0</v>
      </c>
      <c r="AT226" s="416">
        <v>0</v>
      </c>
      <c r="AU226" s="416">
        <v>0</v>
      </c>
      <c r="AV226" s="416">
        <v>0</v>
      </c>
      <c r="AW226" s="416">
        <v>0</v>
      </c>
      <c r="AX226" s="416">
        <v>0</v>
      </c>
      <c r="AY226" s="416">
        <v>0</v>
      </c>
      <c r="AZ226" s="416">
        <v>0</v>
      </c>
      <c r="BA226" s="416">
        <v>0</v>
      </c>
      <c r="BB226" s="416">
        <v>0</v>
      </c>
      <c r="BC226" s="416">
        <v>0</v>
      </c>
      <c r="BD226" s="416">
        <v>0</v>
      </c>
      <c r="BE226" s="416">
        <v>0</v>
      </c>
      <c r="BF226" s="416">
        <v>0</v>
      </c>
      <c r="BG226" s="416">
        <v>0</v>
      </c>
      <c r="BH226" s="416">
        <v>0</v>
      </c>
      <c r="BI226" s="416">
        <v>0</v>
      </c>
      <c r="BJ226" s="416">
        <v>0</v>
      </c>
      <c r="BK226" s="416">
        <v>0</v>
      </c>
      <c r="BL226" s="416">
        <v>0</v>
      </c>
      <c r="BM226" s="416">
        <v>0</v>
      </c>
      <c r="BN226" s="416">
        <v>0</v>
      </c>
      <c r="BO226" s="416">
        <v>0</v>
      </c>
      <c r="BP226" s="416">
        <v>0</v>
      </c>
      <c r="BQ226" s="416">
        <v>0</v>
      </c>
      <c r="BR226" s="416">
        <v>0</v>
      </c>
      <c r="BS226" s="416">
        <v>0</v>
      </c>
      <c r="BT226" s="416">
        <v>0</v>
      </c>
      <c r="BU226" s="416">
        <v>0</v>
      </c>
      <c r="BV226" s="416">
        <v>0</v>
      </c>
      <c r="BW226" s="416">
        <v>0</v>
      </c>
      <c r="BX226" s="416">
        <v>0</v>
      </c>
      <c r="BY226" s="416">
        <v>0</v>
      </c>
      <c r="BZ226" s="416">
        <v>0</v>
      </c>
      <c r="CC226" s="21"/>
      <c r="CD226" s="424" t="s">
        <v>348</v>
      </c>
      <c r="CE226" s="433">
        <f t="shared" si="45"/>
        <v>0</v>
      </c>
      <c r="CF226" s="433">
        <f t="shared" si="46"/>
        <v>0</v>
      </c>
      <c r="CG226" s="433">
        <f t="shared" si="47"/>
        <v>0</v>
      </c>
      <c r="CH226" s="433">
        <f t="shared" si="48"/>
        <v>0</v>
      </c>
      <c r="CI226" s="433">
        <f t="shared" si="49"/>
        <v>0</v>
      </c>
      <c r="CJ226" s="433">
        <f t="shared" si="50"/>
        <v>0</v>
      </c>
      <c r="CK226" s="433">
        <f t="shared" si="51"/>
        <v>0</v>
      </c>
      <c r="CL226" s="433">
        <f t="shared" si="52"/>
        <v>0</v>
      </c>
      <c r="CM226" s="433">
        <f t="shared" si="53"/>
        <v>0</v>
      </c>
      <c r="CN226" s="433">
        <f t="shared" si="54"/>
        <v>0</v>
      </c>
      <c r="CO226" s="433">
        <f t="shared" si="55"/>
        <v>0</v>
      </c>
      <c r="CP226" s="433">
        <f t="shared" si="56"/>
        <v>0</v>
      </c>
      <c r="CQ226" s="433">
        <f t="shared" si="57"/>
        <v>0</v>
      </c>
      <c r="CR226" s="433">
        <f t="shared" si="58"/>
        <v>0</v>
      </c>
      <c r="CS226" s="433">
        <f t="shared" si="59"/>
        <v>0</v>
      </c>
      <c r="CT226" s="21"/>
    </row>
    <row r="227" spans="3:98" collapsed="1">
      <c r="C227" s="415" t="s">
        <v>336</v>
      </c>
      <c r="D227" s="416">
        <v>0</v>
      </c>
      <c r="E227" s="416">
        <v>0</v>
      </c>
      <c r="F227" s="416">
        <v>0</v>
      </c>
      <c r="G227" s="416">
        <v>0</v>
      </c>
      <c r="H227" s="416">
        <v>0</v>
      </c>
      <c r="I227" s="416">
        <v>0</v>
      </c>
      <c r="J227" s="416">
        <v>0</v>
      </c>
      <c r="K227" s="416">
        <v>0</v>
      </c>
      <c r="L227" s="416">
        <v>0</v>
      </c>
      <c r="M227" s="416">
        <v>0</v>
      </c>
      <c r="N227" s="416">
        <v>0</v>
      </c>
      <c r="O227" s="416">
        <v>0</v>
      </c>
      <c r="P227" s="416">
        <v>0</v>
      </c>
      <c r="Q227" s="416">
        <v>0</v>
      </c>
      <c r="R227" s="416">
        <v>0</v>
      </c>
      <c r="S227" s="416">
        <v>0</v>
      </c>
      <c r="T227" s="416">
        <v>0</v>
      </c>
      <c r="U227" s="416">
        <v>0</v>
      </c>
      <c r="V227" s="416">
        <v>0</v>
      </c>
      <c r="W227" s="416">
        <v>0</v>
      </c>
      <c r="X227" s="416">
        <v>0</v>
      </c>
      <c r="Y227" s="416">
        <v>0</v>
      </c>
      <c r="Z227" s="416">
        <v>0</v>
      </c>
      <c r="AA227" s="416">
        <v>0</v>
      </c>
      <c r="AB227" s="416">
        <v>0</v>
      </c>
      <c r="AC227" s="416">
        <v>0</v>
      </c>
      <c r="AD227" s="416">
        <v>0</v>
      </c>
      <c r="AE227" s="416">
        <v>0</v>
      </c>
      <c r="AF227" s="416">
        <v>0</v>
      </c>
      <c r="AG227" s="416">
        <v>0</v>
      </c>
      <c r="AH227" s="416">
        <v>0</v>
      </c>
      <c r="AI227" s="416">
        <v>0</v>
      </c>
      <c r="AJ227" s="416">
        <v>0</v>
      </c>
      <c r="AK227" s="416">
        <v>0</v>
      </c>
      <c r="AL227" s="416">
        <v>0</v>
      </c>
      <c r="AM227" s="416">
        <v>0</v>
      </c>
      <c r="AN227" s="416">
        <v>0</v>
      </c>
      <c r="AO227" s="416">
        <v>0</v>
      </c>
      <c r="AP227" s="416">
        <v>0</v>
      </c>
      <c r="AQ227" s="416">
        <v>0</v>
      </c>
      <c r="AR227" s="416">
        <v>0</v>
      </c>
      <c r="AS227" s="416">
        <v>0</v>
      </c>
      <c r="AT227" s="416">
        <v>0</v>
      </c>
      <c r="AU227" s="416">
        <v>0</v>
      </c>
      <c r="AV227" s="416">
        <v>0</v>
      </c>
      <c r="AW227" s="416">
        <v>0</v>
      </c>
      <c r="AX227" s="416">
        <v>0</v>
      </c>
      <c r="AY227" s="416">
        <v>0</v>
      </c>
      <c r="AZ227" s="416">
        <v>0</v>
      </c>
      <c r="BA227" s="416">
        <v>0</v>
      </c>
      <c r="BB227" s="416">
        <v>0</v>
      </c>
      <c r="BC227" s="416">
        <v>0</v>
      </c>
      <c r="BD227" s="416">
        <v>0</v>
      </c>
      <c r="BE227" s="416">
        <v>0</v>
      </c>
      <c r="BF227" s="416">
        <v>106.542</v>
      </c>
      <c r="BG227" s="416">
        <v>0</v>
      </c>
      <c r="BH227" s="416">
        <v>0</v>
      </c>
      <c r="BI227" s="416">
        <v>0</v>
      </c>
      <c r="BJ227" s="416">
        <v>82.507999999999996</v>
      </c>
      <c r="BK227" s="416">
        <v>82.507999999999996</v>
      </c>
      <c r="BL227" s="416">
        <v>88.519000000000005</v>
      </c>
      <c r="BM227" s="416">
        <v>1489.2190000000001</v>
      </c>
      <c r="BN227" s="416">
        <v>3463.7869999999998</v>
      </c>
      <c r="BO227" s="416">
        <v>3458.873</v>
      </c>
      <c r="BP227" s="416">
        <v>3458.873</v>
      </c>
      <c r="BQ227" s="416">
        <v>3453.29</v>
      </c>
      <c r="BR227" s="416">
        <v>3448.35</v>
      </c>
      <c r="BS227" s="416">
        <v>3441.404</v>
      </c>
      <c r="BT227" s="416">
        <v>3435.4920000000002</v>
      </c>
      <c r="BU227" s="416">
        <v>3435.4920000000002</v>
      </c>
      <c r="BV227" s="416">
        <v>3406.902</v>
      </c>
      <c r="BW227" s="416">
        <v>3342.8679999999999</v>
      </c>
      <c r="BX227" s="416">
        <v>3082.2890000000002</v>
      </c>
      <c r="BY227" s="416">
        <v>0</v>
      </c>
      <c r="BZ227" s="416">
        <v>0</v>
      </c>
      <c r="CC227" s="21"/>
      <c r="CD227" s="415" t="s">
        <v>336</v>
      </c>
      <c r="CE227" s="433">
        <f t="shared" si="45"/>
        <v>0</v>
      </c>
      <c r="CF227" s="433">
        <f t="shared" si="46"/>
        <v>0</v>
      </c>
      <c r="CG227" s="433">
        <f t="shared" si="47"/>
        <v>0</v>
      </c>
      <c r="CH227" s="433">
        <f t="shared" si="48"/>
        <v>0</v>
      </c>
      <c r="CI227" s="433">
        <f t="shared" si="49"/>
        <v>0</v>
      </c>
      <c r="CJ227" s="433">
        <f t="shared" si="50"/>
        <v>0</v>
      </c>
      <c r="CK227" s="433">
        <f t="shared" si="51"/>
        <v>0</v>
      </c>
      <c r="CL227" s="433">
        <f t="shared" si="52"/>
        <v>0</v>
      </c>
      <c r="CM227" s="433">
        <f t="shared" si="53"/>
        <v>0</v>
      </c>
      <c r="CN227" s="433">
        <f t="shared" si="54"/>
        <v>0</v>
      </c>
      <c r="CO227" s="433">
        <f t="shared" si="55"/>
        <v>106.542</v>
      </c>
      <c r="CP227" s="433">
        <f t="shared" si="56"/>
        <v>82.507999999999996</v>
      </c>
      <c r="CQ227" s="433">
        <f t="shared" si="57"/>
        <v>3458.873</v>
      </c>
      <c r="CR227" s="433">
        <f t="shared" si="58"/>
        <v>3435.4920000000002</v>
      </c>
      <c r="CS227" s="433">
        <f t="shared" si="59"/>
        <v>0</v>
      </c>
      <c r="CT227" s="21"/>
    </row>
    <row r="228" spans="3:98" hidden="1" outlineLevel="2">
      <c r="C228" s="426" t="s">
        <v>351</v>
      </c>
      <c r="D228" s="416">
        <v>0</v>
      </c>
      <c r="E228" s="416">
        <v>0</v>
      </c>
      <c r="F228" s="416">
        <v>0</v>
      </c>
      <c r="G228" s="416">
        <v>0</v>
      </c>
      <c r="H228" s="416">
        <v>0</v>
      </c>
      <c r="I228" s="416">
        <v>0</v>
      </c>
      <c r="J228" s="416">
        <v>0</v>
      </c>
      <c r="K228" s="416">
        <v>0</v>
      </c>
      <c r="L228" s="416">
        <v>0</v>
      </c>
      <c r="M228" s="416">
        <v>0</v>
      </c>
      <c r="N228" s="416">
        <v>0</v>
      </c>
      <c r="O228" s="416">
        <v>0</v>
      </c>
      <c r="P228" s="416">
        <v>0</v>
      </c>
      <c r="Q228" s="416">
        <v>0</v>
      </c>
      <c r="R228" s="416">
        <v>0</v>
      </c>
      <c r="S228" s="416">
        <v>0</v>
      </c>
      <c r="T228" s="416">
        <v>0</v>
      </c>
      <c r="U228" s="416">
        <v>0</v>
      </c>
      <c r="V228" s="416">
        <v>0</v>
      </c>
      <c r="W228" s="416">
        <v>0</v>
      </c>
      <c r="X228" s="416">
        <v>0</v>
      </c>
      <c r="Y228" s="416">
        <v>0</v>
      </c>
      <c r="Z228" s="416">
        <v>0</v>
      </c>
      <c r="AA228" s="416">
        <v>0</v>
      </c>
      <c r="AB228" s="416">
        <v>0</v>
      </c>
      <c r="AC228" s="416">
        <v>0</v>
      </c>
      <c r="AD228" s="416">
        <v>0</v>
      </c>
      <c r="AE228" s="416">
        <v>0</v>
      </c>
      <c r="AF228" s="416">
        <v>0</v>
      </c>
      <c r="AG228" s="416">
        <v>0</v>
      </c>
      <c r="AH228" s="416">
        <v>0</v>
      </c>
      <c r="AI228" s="416">
        <v>0</v>
      </c>
      <c r="AJ228" s="416">
        <v>0</v>
      </c>
      <c r="AK228" s="416">
        <v>0</v>
      </c>
      <c r="AL228" s="416">
        <v>0</v>
      </c>
      <c r="AM228" s="416">
        <v>0</v>
      </c>
      <c r="AN228" s="416">
        <v>0</v>
      </c>
      <c r="AO228" s="416">
        <v>0</v>
      </c>
      <c r="AP228" s="416">
        <v>0</v>
      </c>
      <c r="AQ228" s="416">
        <v>0</v>
      </c>
      <c r="AR228" s="416">
        <v>0</v>
      </c>
      <c r="AS228" s="416">
        <v>0</v>
      </c>
      <c r="AT228" s="416">
        <v>0</v>
      </c>
      <c r="AU228" s="416">
        <v>0</v>
      </c>
      <c r="AV228" s="416">
        <v>0</v>
      </c>
      <c r="AW228" s="416">
        <v>0</v>
      </c>
      <c r="AX228" s="416">
        <v>0</v>
      </c>
      <c r="AY228" s="416">
        <v>0</v>
      </c>
      <c r="AZ228" s="416">
        <v>0</v>
      </c>
      <c r="BA228" s="416">
        <v>0</v>
      </c>
      <c r="BB228" s="416">
        <v>0</v>
      </c>
      <c r="BC228" s="416">
        <v>0</v>
      </c>
      <c r="BD228" s="416">
        <v>0</v>
      </c>
      <c r="BE228" s="416">
        <v>0</v>
      </c>
      <c r="BF228" s="416">
        <v>0</v>
      </c>
      <c r="BG228" s="416">
        <v>0</v>
      </c>
      <c r="BH228" s="416">
        <v>0</v>
      </c>
      <c r="BI228" s="416">
        <v>0</v>
      </c>
      <c r="BJ228" s="416">
        <v>0</v>
      </c>
      <c r="BK228" s="416">
        <v>0</v>
      </c>
      <c r="BL228" s="416">
        <v>0</v>
      </c>
      <c r="BM228" s="416">
        <v>0</v>
      </c>
      <c r="BN228" s="416">
        <v>0</v>
      </c>
      <c r="BO228" s="416">
        <v>0</v>
      </c>
      <c r="BP228" s="416">
        <v>0</v>
      </c>
      <c r="BQ228" s="416">
        <v>0</v>
      </c>
      <c r="BR228" s="416">
        <v>0</v>
      </c>
      <c r="BS228" s="416">
        <v>0</v>
      </c>
      <c r="BT228" s="416">
        <v>0</v>
      </c>
      <c r="BU228" s="416">
        <v>0</v>
      </c>
      <c r="BV228" s="416">
        <v>0</v>
      </c>
      <c r="BW228" s="416">
        <v>0</v>
      </c>
      <c r="BX228" s="416">
        <v>0</v>
      </c>
      <c r="BY228" s="416">
        <v>0</v>
      </c>
      <c r="BZ228" s="416">
        <v>0</v>
      </c>
      <c r="CC228" s="21"/>
      <c r="CD228" s="426" t="s">
        <v>351</v>
      </c>
      <c r="CE228" s="433">
        <f t="shared" si="45"/>
        <v>0</v>
      </c>
      <c r="CF228" s="433">
        <f t="shared" si="46"/>
        <v>0</v>
      </c>
      <c r="CG228" s="433">
        <f t="shared" si="47"/>
        <v>0</v>
      </c>
      <c r="CH228" s="433">
        <f t="shared" si="48"/>
        <v>0</v>
      </c>
      <c r="CI228" s="433">
        <f t="shared" si="49"/>
        <v>0</v>
      </c>
      <c r="CJ228" s="433">
        <f t="shared" si="50"/>
        <v>0</v>
      </c>
      <c r="CK228" s="433">
        <f t="shared" si="51"/>
        <v>0</v>
      </c>
      <c r="CL228" s="433">
        <f t="shared" si="52"/>
        <v>0</v>
      </c>
      <c r="CM228" s="433">
        <f t="shared" si="53"/>
        <v>0</v>
      </c>
      <c r="CN228" s="433">
        <f t="shared" si="54"/>
        <v>0</v>
      </c>
      <c r="CO228" s="433">
        <f t="shared" si="55"/>
        <v>0</v>
      </c>
      <c r="CP228" s="433">
        <f t="shared" si="56"/>
        <v>0</v>
      </c>
      <c r="CQ228" s="433">
        <f t="shared" si="57"/>
        <v>0</v>
      </c>
      <c r="CR228" s="433">
        <f t="shared" si="58"/>
        <v>0</v>
      </c>
      <c r="CS228" s="433">
        <f t="shared" si="59"/>
        <v>0</v>
      </c>
      <c r="CT228" s="21"/>
    </row>
    <row r="229" spans="3:98" hidden="1" outlineLevel="2">
      <c r="C229" s="426" t="s">
        <v>352</v>
      </c>
      <c r="D229" s="416">
        <v>0</v>
      </c>
      <c r="E229" s="416">
        <v>0</v>
      </c>
      <c r="F229" s="416">
        <v>0</v>
      </c>
      <c r="G229" s="416">
        <v>0</v>
      </c>
      <c r="H229" s="416">
        <v>0</v>
      </c>
      <c r="I229" s="416">
        <v>0</v>
      </c>
      <c r="J229" s="416">
        <v>0</v>
      </c>
      <c r="K229" s="416">
        <v>0</v>
      </c>
      <c r="L229" s="416">
        <v>0</v>
      </c>
      <c r="M229" s="416">
        <v>0</v>
      </c>
      <c r="N229" s="416">
        <v>0</v>
      </c>
      <c r="O229" s="416">
        <v>0</v>
      </c>
      <c r="P229" s="416">
        <v>0</v>
      </c>
      <c r="Q229" s="416">
        <v>0</v>
      </c>
      <c r="R229" s="416">
        <v>0</v>
      </c>
      <c r="S229" s="416">
        <v>0</v>
      </c>
      <c r="T229" s="416">
        <v>0</v>
      </c>
      <c r="U229" s="416">
        <v>0</v>
      </c>
      <c r="V229" s="416">
        <v>0</v>
      </c>
      <c r="W229" s="416">
        <v>0</v>
      </c>
      <c r="X229" s="416">
        <v>0</v>
      </c>
      <c r="Y229" s="416">
        <v>0</v>
      </c>
      <c r="Z229" s="416">
        <v>0</v>
      </c>
      <c r="AA229" s="416">
        <v>0</v>
      </c>
      <c r="AB229" s="416">
        <v>0</v>
      </c>
      <c r="AC229" s="416">
        <v>0</v>
      </c>
      <c r="AD229" s="416">
        <v>0</v>
      </c>
      <c r="AE229" s="416">
        <v>0</v>
      </c>
      <c r="AF229" s="416">
        <v>0</v>
      </c>
      <c r="AG229" s="416">
        <v>0</v>
      </c>
      <c r="AH229" s="416">
        <v>0</v>
      </c>
      <c r="AI229" s="416">
        <v>0</v>
      </c>
      <c r="AJ229" s="416">
        <v>0</v>
      </c>
      <c r="AK229" s="416">
        <v>0</v>
      </c>
      <c r="AL229" s="416">
        <v>0</v>
      </c>
      <c r="AM229" s="416">
        <v>0</v>
      </c>
      <c r="AN229" s="416">
        <v>0</v>
      </c>
      <c r="AO229" s="416">
        <v>0</v>
      </c>
      <c r="AP229" s="416">
        <v>0</v>
      </c>
      <c r="AQ229" s="416">
        <v>0</v>
      </c>
      <c r="AR229" s="416">
        <v>0</v>
      </c>
      <c r="AS229" s="416">
        <v>0</v>
      </c>
      <c r="AT229" s="416">
        <v>0</v>
      </c>
      <c r="AU229" s="416">
        <v>0</v>
      </c>
      <c r="AV229" s="416">
        <v>0</v>
      </c>
      <c r="AW229" s="416">
        <v>0</v>
      </c>
      <c r="AX229" s="416">
        <v>0</v>
      </c>
      <c r="AY229" s="416">
        <v>0</v>
      </c>
      <c r="AZ229" s="416">
        <v>0</v>
      </c>
      <c r="BA229" s="416">
        <v>0</v>
      </c>
      <c r="BB229" s="416">
        <v>0</v>
      </c>
      <c r="BC229" s="416">
        <v>0</v>
      </c>
      <c r="BD229" s="416">
        <v>0</v>
      </c>
      <c r="BE229" s="416">
        <v>0</v>
      </c>
      <c r="BF229" s="416">
        <v>0</v>
      </c>
      <c r="BG229" s="416">
        <v>0</v>
      </c>
      <c r="BH229" s="416">
        <v>0</v>
      </c>
      <c r="BI229" s="416">
        <v>0</v>
      </c>
      <c r="BJ229" s="416">
        <v>0</v>
      </c>
      <c r="BK229" s="416">
        <v>0</v>
      </c>
      <c r="BL229" s="416">
        <v>0</v>
      </c>
      <c r="BM229" s="416">
        <v>0</v>
      </c>
      <c r="BN229" s="416">
        <v>0</v>
      </c>
      <c r="BO229" s="416">
        <v>0</v>
      </c>
      <c r="BP229" s="416">
        <v>0</v>
      </c>
      <c r="BQ229" s="416">
        <v>0</v>
      </c>
      <c r="BR229" s="416">
        <v>0</v>
      </c>
      <c r="BS229" s="416">
        <v>0</v>
      </c>
      <c r="BT229" s="416">
        <v>0</v>
      </c>
      <c r="BU229" s="416">
        <v>0</v>
      </c>
      <c r="BV229" s="416">
        <v>0</v>
      </c>
      <c r="BW229" s="416">
        <v>0</v>
      </c>
      <c r="BX229" s="416">
        <v>0</v>
      </c>
      <c r="BY229" s="416">
        <v>0</v>
      </c>
      <c r="BZ229" s="416">
        <v>0</v>
      </c>
      <c r="CC229" s="21"/>
      <c r="CD229" s="426" t="s">
        <v>352</v>
      </c>
      <c r="CE229" s="433">
        <f t="shared" si="45"/>
        <v>0</v>
      </c>
      <c r="CF229" s="433">
        <f t="shared" si="46"/>
        <v>0</v>
      </c>
      <c r="CG229" s="433">
        <f t="shared" si="47"/>
        <v>0</v>
      </c>
      <c r="CH229" s="433">
        <f t="shared" si="48"/>
        <v>0</v>
      </c>
      <c r="CI229" s="433">
        <f t="shared" si="49"/>
        <v>0</v>
      </c>
      <c r="CJ229" s="433">
        <f t="shared" si="50"/>
        <v>0</v>
      </c>
      <c r="CK229" s="433">
        <f t="shared" si="51"/>
        <v>0</v>
      </c>
      <c r="CL229" s="433">
        <f t="shared" si="52"/>
        <v>0</v>
      </c>
      <c r="CM229" s="433">
        <f t="shared" si="53"/>
        <v>0</v>
      </c>
      <c r="CN229" s="433">
        <f t="shared" si="54"/>
        <v>0</v>
      </c>
      <c r="CO229" s="433">
        <f t="shared" si="55"/>
        <v>0</v>
      </c>
      <c r="CP229" s="433">
        <f t="shared" si="56"/>
        <v>0</v>
      </c>
      <c r="CQ229" s="433">
        <f t="shared" si="57"/>
        <v>0</v>
      </c>
      <c r="CR229" s="433">
        <f t="shared" si="58"/>
        <v>0</v>
      </c>
      <c r="CS229" s="433">
        <f t="shared" si="59"/>
        <v>0</v>
      </c>
      <c r="CT229" s="21"/>
    </row>
    <row r="230" spans="3:98" hidden="1" outlineLevel="1">
      <c r="C230" s="424" t="s">
        <v>350</v>
      </c>
      <c r="D230" s="416">
        <v>0</v>
      </c>
      <c r="E230" s="416">
        <v>0</v>
      </c>
      <c r="F230" s="416">
        <v>0</v>
      </c>
      <c r="G230" s="416">
        <v>0</v>
      </c>
      <c r="H230" s="416">
        <v>0</v>
      </c>
      <c r="I230" s="416">
        <v>0</v>
      </c>
      <c r="J230" s="416">
        <v>0</v>
      </c>
      <c r="K230" s="416">
        <v>0</v>
      </c>
      <c r="L230" s="416">
        <v>0</v>
      </c>
      <c r="M230" s="416">
        <v>0</v>
      </c>
      <c r="N230" s="416">
        <v>0</v>
      </c>
      <c r="O230" s="416">
        <v>0</v>
      </c>
      <c r="P230" s="416">
        <v>0</v>
      </c>
      <c r="Q230" s="416">
        <v>0</v>
      </c>
      <c r="R230" s="416">
        <v>0</v>
      </c>
      <c r="S230" s="416">
        <v>0</v>
      </c>
      <c r="T230" s="416">
        <v>0</v>
      </c>
      <c r="U230" s="416">
        <v>0</v>
      </c>
      <c r="V230" s="416">
        <v>0</v>
      </c>
      <c r="W230" s="416">
        <v>0</v>
      </c>
      <c r="X230" s="416">
        <v>0</v>
      </c>
      <c r="Y230" s="416">
        <v>0</v>
      </c>
      <c r="Z230" s="416">
        <v>0</v>
      </c>
      <c r="AA230" s="416">
        <v>0</v>
      </c>
      <c r="AB230" s="416">
        <v>0</v>
      </c>
      <c r="AC230" s="416">
        <v>0</v>
      </c>
      <c r="AD230" s="416">
        <v>0</v>
      </c>
      <c r="AE230" s="416">
        <v>0</v>
      </c>
      <c r="AF230" s="416">
        <v>0</v>
      </c>
      <c r="AG230" s="416">
        <v>0</v>
      </c>
      <c r="AH230" s="416">
        <v>0</v>
      </c>
      <c r="AI230" s="416">
        <v>0</v>
      </c>
      <c r="AJ230" s="416">
        <v>0</v>
      </c>
      <c r="AK230" s="416">
        <v>0</v>
      </c>
      <c r="AL230" s="416">
        <v>0</v>
      </c>
      <c r="AM230" s="416">
        <v>0</v>
      </c>
      <c r="AN230" s="416">
        <v>0</v>
      </c>
      <c r="AO230" s="416">
        <v>0</v>
      </c>
      <c r="AP230" s="416">
        <v>0</v>
      </c>
      <c r="AQ230" s="416">
        <v>0</v>
      </c>
      <c r="AR230" s="416">
        <v>0</v>
      </c>
      <c r="AS230" s="416">
        <v>0</v>
      </c>
      <c r="AT230" s="416">
        <v>0</v>
      </c>
      <c r="AU230" s="416">
        <v>0</v>
      </c>
      <c r="AV230" s="416">
        <v>0</v>
      </c>
      <c r="AW230" s="416">
        <v>0</v>
      </c>
      <c r="AX230" s="416">
        <v>0</v>
      </c>
      <c r="AY230" s="416">
        <v>0</v>
      </c>
      <c r="AZ230" s="416">
        <v>0</v>
      </c>
      <c r="BA230" s="416">
        <v>0</v>
      </c>
      <c r="BB230" s="416">
        <v>0</v>
      </c>
      <c r="BC230" s="416">
        <v>0</v>
      </c>
      <c r="BD230" s="416">
        <v>0</v>
      </c>
      <c r="BE230" s="416">
        <v>0</v>
      </c>
      <c r="BF230" s="416">
        <v>0</v>
      </c>
      <c r="BG230" s="416">
        <v>0</v>
      </c>
      <c r="BH230" s="416">
        <v>0</v>
      </c>
      <c r="BI230" s="416">
        <v>0</v>
      </c>
      <c r="BJ230" s="416">
        <v>0</v>
      </c>
      <c r="BK230" s="416">
        <v>0</v>
      </c>
      <c r="BL230" s="416">
        <v>0</v>
      </c>
      <c r="BM230" s="416">
        <v>0</v>
      </c>
      <c r="BN230" s="416">
        <v>0</v>
      </c>
      <c r="BO230" s="416">
        <v>0</v>
      </c>
      <c r="BP230" s="416">
        <v>0</v>
      </c>
      <c r="BQ230" s="416">
        <v>0</v>
      </c>
      <c r="BR230" s="416">
        <v>0</v>
      </c>
      <c r="BS230" s="416">
        <v>0</v>
      </c>
      <c r="BT230" s="416">
        <v>0</v>
      </c>
      <c r="BU230" s="416">
        <v>0</v>
      </c>
      <c r="BV230" s="416">
        <v>0</v>
      </c>
      <c r="BW230" s="416">
        <v>0</v>
      </c>
      <c r="BX230" s="416">
        <v>0</v>
      </c>
      <c r="BY230" s="416">
        <v>0</v>
      </c>
      <c r="BZ230" s="416">
        <v>0</v>
      </c>
      <c r="CC230" s="21"/>
      <c r="CD230" s="424" t="s">
        <v>350</v>
      </c>
      <c r="CE230" s="433">
        <f t="shared" si="45"/>
        <v>0</v>
      </c>
      <c r="CF230" s="433">
        <f t="shared" si="46"/>
        <v>0</v>
      </c>
      <c r="CG230" s="433">
        <f t="shared" si="47"/>
        <v>0</v>
      </c>
      <c r="CH230" s="433">
        <f t="shared" si="48"/>
        <v>0</v>
      </c>
      <c r="CI230" s="433">
        <f t="shared" si="49"/>
        <v>0</v>
      </c>
      <c r="CJ230" s="433">
        <f t="shared" si="50"/>
        <v>0</v>
      </c>
      <c r="CK230" s="433">
        <f t="shared" si="51"/>
        <v>0</v>
      </c>
      <c r="CL230" s="433">
        <f t="shared" si="52"/>
        <v>0</v>
      </c>
      <c r="CM230" s="433">
        <f t="shared" si="53"/>
        <v>0</v>
      </c>
      <c r="CN230" s="433">
        <f t="shared" si="54"/>
        <v>0</v>
      </c>
      <c r="CO230" s="433">
        <f t="shared" si="55"/>
        <v>0</v>
      </c>
      <c r="CP230" s="433">
        <f t="shared" si="56"/>
        <v>0</v>
      </c>
      <c r="CQ230" s="433">
        <f t="shared" si="57"/>
        <v>0</v>
      </c>
      <c r="CR230" s="433">
        <f t="shared" si="58"/>
        <v>0</v>
      </c>
      <c r="CS230" s="433">
        <f t="shared" si="59"/>
        <v>0</v>
      </c>
      <c r="CT230" s="21"/>
    </row>
    <row r="231" spans="3:98" hidden="1" outlineLevel="1">
      <c r="C231" s="424" t="s">
        <v>353</v>
      </c>
      <c r="D231" s="416">
        <v>0</v>
      </c>
      <c r="E231" s="416">
        <v>0</v>
      </c>
      <c r="F231" s="416">
        <v>0</v>
      </c>
      <c r="G231" s="416">
        <v>0</v>
      </c>
      <c r="H231" s="416">
        <v>0</v>
      </c>
      <c r="I231" s="416">
        <v>0</v>
      </c>
      <c r="J231" s="416">
        <v>0</v>
      </c>
      <c r="K231" s="416">
        <v>0</v>
      </c>
      <c r="L231" s="416">
        <v>0</v>
      </c>
      <c r="M231" s="416">
        <v>0</v>
      </c>
      <c r="N231" s="416">
        <v>0</v>
      </c>
      <c r="O231" s="416">
        <v>0</v>
      </c>
      <c r="P231" s="416">
        <v>0</v>
      </c>
      <c r="Q231" s="416">
        <v>0</v>
      </c>
      <c r="R231" s="416">
        <v>0</v>
      </c>
      <c r="S231" s="416">
        <v>0</v>
      </c>
      <c r="T231" s="416">
        <v>0</v>
      </c>
      <c r="U231" s="416">
        <v>0</v>
      </c>
      <c r="V231" s="416">
        <v>0</v>
      </c>
      <c r="W231" s="416">
        <v>0</v>
      </c>
      <c r="X231" s="416">
        <v>0</v>
      </c>
      <c r="Y231" s="416">
        <v>0</v>
      </c>
      <c r="Z231" s="416">
        <v>0</v>
      </c>
      <c r="AA231" s="416">
        <v>0</v>
      </c>
      <c r="AB231" s="416">
        <v>0</v>
      </c>
      <c r="AC231" s="416">
        <v>0</v>
      </c>
      <c r="AD231" s="416">
        <v>0</v>
      </c>
      <c r="AE231" s="416">
        <v>0</v>
      </c>
      <c r="AF231" s="416">
        <v>0</v>
      </c>
      <c r="AG231" s="416">
        <v>0</v>
      </c>
      <c r="AH231" s="416">
        <v>0</v>
      </c>
      <c r="AI231" s="416">
        <v>0</v>
      </c>
      <c r="AJ231" s="416">
        <v>0</v>
      </c>
      <c r="AK231" s="416">
        <v>0</v>
      </c>
      <c r="AL231" s="416">
        <v>0</v>
      </c>
      <c r="AM231" s="416">
        <v>0</v>
      </c>
      <c r="AN231" s="416">
        <v>0</v>
      </c>
      <c r="AO231" s="416">
        <v>0</v>
      </c>
      <c r="AP231" s="416">
        <v>0</v>
      </c>
      <c r="AQ231" s="416">
        <v>0</v>
      </c>
      <c r="AR231" s="416">
        <v>0</v>
      </c>
      <c r="AS231" s="416">
        <v>0</v>
      </c>
      <c r="AT231" s="416">
        <v>0</v>
      </c>
      <c r="AU231" s="416">
        <v>0</v>
      </c>
      <c r="AV231" s="416">
        <v>0</v>
      </c>
      <c r="AW231" s="416">
        <v>0</v>
      </c>
      <c r="AX231" s="416">
        <v>0</v>
      </c>
      <c r="AY231" s="416">
        <v>0</v>
      </c>
      <c r="AZ231" s="416">
        <v>0</v>
      </c>
      <c r="BA231" s="416">
        <v>0</v>
      </c>
      <c r="BB231" s="416">
        <v>0</v>
      </c>
      <c r="BC231" s="416">
        <v>0</v>
      </c>
      <c r="BD231" s="416">
        <v>0</v>
      </c>
      <c r="BE231" s="416">
        <v>0</v>
      </c>
      <c r="BF231" s="416">
        <v>0</v>
      </c>
      <c r="BG231" s="416">
        <v>0</v>
      </c>
      <c r="BH231" s="416">
        <v>0</v>
      </c>
      <c r="BI231" s="416">
        <v>0</v>
      </c>
      <c r="BJ231" s="416">
        <v>0</v>
      </c>
      <c r="BK231" s="416">
        <v>0</v>
      </c>
      <c r="BL231" s="416">
        <v>0</v>
      </c>
      <c r="BM231" s="416">
        <v>0</v>
      </c>
      <c r="BN231" s="416">
        <v>0</v>
      </c>
      <c r="BO231" s="416">
        <v>0</v>
      </c>
      <c r="BP231" s="416">
        <v>0</v>
      </c>
      <c r="BQ231" s="416">
        <v>0</v>
      </c>
      <c r="BR231" s="416">
        <v>0</v>
      </c>
      <c r="BS231" s="416">
        <v>0</v>
      </c>
      <c r="BT231" s="416">
        <v>0</v>
      </c>
      <c r="BU231" s="416">
        <v>0</v>
      </c>
      <c r="BV231" s="416">
        <v>0</v>
      </c>
      <c r="BW231" s="416">
        <v>0</v>
      </c>
      <c r="BX231" s="416">
        <v>0</v>
      </c>
      <c r="BY231" s="416">
        <v>0</v>
      </c>
      <c r="BZ231" s="416">
        <v>0</v>
      </c>
      <c r="CC231" s="21"/>
      <c r="CD231" s="424" t="s">
        <v>353</v>
      </c>
      <c r="CE231" s="433">
        <f t="shared" si="45"/>
        <v>0</v>
      </c>
      <c r="CF231" s="433">
        <f t="shared" si="46"/>
        <v>0</v>
      </c>
      <c r="CG231" s="433">
        <f t="shared" si="47"/>
        <v>0</v>
      </c>
      <c r="CH231" s="433">
        <f t="shared" si="48"/>
        <v>0</v>
      </c>
      <c r="CI231" s="433">
        <f t="shared" si="49"/>
        <v>0</v>
      </c>
      <c r="CJ231" s="433">
        <f t="shared" si="50"/>
        <v>0</v>
      </c>
      <c r="CK231" s="433">
        <f t="shared" si="51"/>
        <v>0</v>
      </c>
      <c r="CL231" s="433">
        <f t="shared" si="52"/>
        <v>0</v>
      </c>
      <c r="CM231" s="433">
        <f t="shared" si="53"/>
        <v>0</v>
      </c>
      <c r="CN231" s="433">
        <f t="shared" si="54"/>
        <v>0</v>
      </c>
      <c r="CO231" s="433">
        <f t="shared" si="55"/>
        <v>0</v>
      </c>
      <c r="CP231" s="433">
        <f t="shared" si="56"/>
        <v>0</v>
      </c>
      <c r="CQ231" s="433">
        <f t="shared" si="57"/>
        <v>0</v>
      </c>
      <c r="CR231" s="433">
        <f t="shared" si="58"/>
        <v>0</v>
      </c>
      <c r="CS231" s="433">
        <f t="shared" si="59"/>
        <v>0</v>
      </c>
      <c r="CT231" s="21"/>
    </row>
    <row r="232" spans="3:98" hidden="1" outlineLevel="1">
      <c r="C232" s="424" t="s">
        <v>354</v>
      </c>
      <c r="D232" s="416">
        <v>0</v>
      </c>
      <c r="E232" s="416">
        <v>0</v>
      </c>
      <c r="F232" s="416">
        <v>0</v>
      </c>
      <c r="G232" s="416">
        <v>0</v>
      </c>
      <c r="H232" s="416">
        <v>0</v>
      </c>
      <c r="I232" s="416">
        <v>0</v>
      </c>
      <c r="J232" s="416">
        <v>0</v>
      </c>
      <c r="K232" s="416">
        <v>0</v>
      </c>
      <c r="L232" s="416">
        <v>0</v>
      </c>
      <c r="M232" s="416">
        <v>0</v>
      </c>
      <c r="N232" s="416">
        <v>0</v>
      </c>
      <c r="O232" s="416">
        <v>0</v>
      </c>
      <c r="P232" s="416">
        <v>0</v>
      </c>
      <c r="Q232" s="416">
        <v>0</v>
      </c>
      <c r="R232" s="416">
        <v>0</v>
      </c>
      <c r="S232" s="416">
        <v>0</v>
      </c>
      <c r="T232" s="416">
        <v>0</v>
      </c>
      <c r="U232" s="416">
        <v>0</v>
      </c>
      <c r="V232" s="416">
        <v>0</v>
      </c>
      <c r="W232" s="416">
        <v>0</v>
      </c>
      <c r="X232" s="416">
        <v>0</v>
      </c>
      <c r="Y232" s="416">
        <v>0</v>
      </c>
      <c r="Z232" s="416">
        <v>0</v>
      </c>
      <c r="AA232" s="416">
        <v>0</v>
      </c>
      <c r="AB232" s="416">
        <v>0</v>
      </c>
      <c r="AC232" s="416">
        <v>0</v>
      </c>
      <c r="AD232" s="416">
        <v>0</v>
      </c>
      <c r="AE232" s="416">
        <v>0</v>
      </c>
      <c r="AF232" s="416">
        <v>0</v>
      </c>
      <c r="AG232" s="416">
        <v>0</v>
      </c>
      <c r="AH232" s="416">
        <v>0</v>
      </c>
      <c r="AI232" s="416">
        <v>0</v>
      </c>
      <c r="AJ232" s="416">
        <v>0</v>
      </c>
      <c r="AK232" s="416">
        <v>0</v>
      </c>
      <c r="AL232" s="416">
        <v>0</v>
      </c>
      <c r="AM232" s="416">
        <v>0</v>
      </c>
      <c r="AN232" s="416">
        <v>0</v>
      </c>
      <c r="AO232" s="416">
        <v>0</v>
      </c>
      <c r="AP232" s="416">
        <v>0</v>
      </c>
      <c r="AQ232" s="416">
        <v>0</v>
      </c>
      <c r="AR232" s="416">
        <v>0</v>
      </c>
      <c r="AS232" s="416">
        <v>0</v>
      </c>
      <c r="AT232" s="416">
        <v>0</v>
      </c>
      <c r="AU232" s="416">
        <v>0</v>
      </c>
      <c r="AV232" s="416">
        <v>0</v>
      </c>
      <c r="AW232" s="416">
        <v>0</v>
      </c>
      <c r="AX232" s="416">
        <v>0</v>
      </c>
      <c r="AY232" s="416">
        <v>0</v>
      </c>
      <c r="AZ232" s="416">
        <v>0</v>
      </c>
      <c r="BA232" s="416">
        <v>0</v>
      </c>
      <c r="BB232" s="416">
        <v>0</v>
      </c>
      <c r="BC232" s="416">
        <v>0</v>
      </c>
      <c r="BD232" s="416">
        <v>0</v>
      </c>
      <c r="BE232" s="416">
        <v>0</v>
      </c>
      <c r="BF232" s="416">
        <v>0</v>
      </c>
      <c r="BG232" s="416">
        <v>0</v>
      </c>
      <c r="BH232" s="416">
        <v>0</v>
      </c>
      <c r="BI232" s="416">
        <v>0</v>
      </c>
      <c r="BJ232" s="416">
        <v>0</v>
      </c>
      <c r="BK232" s="416">
        <v>0</v>
      </c>
      <c r="BL232" s="416">
        <v>0</v>
      </c>
      <c r="BM232" s="416">
        <v>0</v>
      </c>
      <c r="BN232" s="416">
        <v>0</v>
      </c>
      <c r="BO232" s="416">
        <v>0</v>
      </c>
      <c r="BP232" s="416">
        <v>0</v>
      </c>
      <c r="BQ232" s="416">
        <v>0</v>
      </c>
      <c r="BR232" s="416">
        <v>0</v>
      </c>
      <c r="BS232" s="416">
        <v>0</v>
      </c>
      <c r="BT232" s="416">
        <v>0</v>
      </c>
      <c r="BU232" s="416">
        <v>0</v>
      </c>
      <c r="BV232" s="416">
        <v>0</v>
      </c>
      <c r="BW232" s="416">
        <v>0</v>
      </c>
      <c r="BX232" s="416">
        <v>0</v>
      </c>
      <c r="BY232" s="416">
        <v>0</v>
      </c>
      <c r="BZ232" s="416">
        <v>0</v>
      </c>
      <c r="CC232" s="21"/>
      <c r="CD232" s="424" t="s">
        <v>354</v>
      </c>
      <c r="CE232" s="433">
        <f t="shared" si="45"/>
        <v>0</v>
      </c>
      <c r="CF232" s="433">
        <f t="shared" si="46"/>
        <v>0</v>
      </c>
      <c r="CG232" s="433">
        <f t="shared" si="47"/>
        <v>0</v>
      </c>
      <c r="CH232" s="433">
        <f t="shared" si="48"/>
        <v>0</v>
      </c>
      <c r="CI232" s="433">
        <f t="shared" si="49"/>
        <v>0</v>
      </c>
      <c r="CJ232" s="433">
        <f t="shared" si="50"/>
        <v>0</v>
      </c>
      <c r="CK232" s="433">
        <f t="shared" si="51"/>
        <v>0</v>
      </c>
      <c r="CL232" s="433">
        <f t="shared" si="52"/>
        <v>0</v>
      </c>
      <c r="CM232" s="433">
        <f t="shared" si="53"/>
        <v>0</v>
      </c>
      <c r="CN232" s="433">
        <f t="shared" si="54"/>
        <v>0</v>
      </c>
      <c r="CO232" s="433">
        <f t="shared" si="55"/>
        <v>0</v>
      </c>
      <c r="CP232" s="433">
        <f t="shared" si="56"/>
        <v>0</v>
      </c>
      <c r="CQ232" s="433">
        <f t="shared" si="57"/>
        <v>0</v>
      </c>
      <c r="CR232" s="433">
        <f t="shared" si="58"/>
        <v>0</v>
      </c>
      <c r="CS232" s="433">
        <f t="shared" si="59"/>
        <v>0</v>
      </c>
      <c r="CT232" s="21"/>
    </row>
    <row r="233" spans="3:98" hidden="1" outlineLevel="1">
      <c r="C233" s="424" t="s">
        <v>355</v>
      </c>
      <c r="D233" s="416">
        <v>0</v>
      </c>
      <c r="E233" s="416">
        <v>0</v>
      </c>
      <c r="F233" s="416">
        <v>0</v>
      </c>
      <c r="G233" s="416">
        <v>0</v>
      </c>
      <c r="H233" s="416">
        <v>0</v>
      </c>
      <c r="I233" s="416">
        <v>0</v>
      </c>
      <c r="J233" s="416">
        <v>0</v>
      </c>
      <c r="K233" s="416">
        <v>0</v>
      </c>
      <c r="L233" s="416">
        <v>0</v>
      </c>
      <c r="M233" s="416">
        <v>0</v>
      </c>
      <c r="N233" s="416">
        <v>0</v>
      </c>
      <c r="O233" s="416">
        <v>0</v>
      </c>
      <c r="P233" s="416">
        <v>0</v>
      </c>
      <c r="Q233" s="416">
        <v>0</v>
      </c>
      <c r="R233" s="416">
        <v>0</v>
      </c>
      <c r="S233" s="416">
        <v>0</v>
      </c>
      <c r="T233" s="416">
        <v>0</v>
      </c>
      <c r="U233" s="416">
        <v>0</v>
      </c>
      <c r="V233" s="416">
        <v>0</v>
      </c>
      <c r="W233" s="416">
        <v>0</v>
      </c>
      <c r="X233" s="416">
        <v>0</v>
      </c>
      <c r="Y233" s="416">
        <v>0</v>
      </c>
      <c r="Z233" s="416">
        <v>0</v>
      </c>
      <c r="AA233" s="416">
        <v>0</v>
      </c>
      <c r="AB233" s="416">
        <v>0</v>
      </c>
      <c r="AC233" s="416">
        <v>0</v>
      </c>
      <c r="AD233" s="416">
        <v>0</v>
      </c>
      <c r="AE233" s="416">
        <v>0</v>
      </c>
      <c r="AF233" s="416">
        <v>0</v>
      </c>
      <c r="AG233" s="416">
        <v>0</v>
      </c>
      <c r="AH233" s="416">
        <v>0</v>
      </c>
      <c r="AI233" s="416">
        <v>0</v>
      </c>
      <c r="AJ233" s="416">
        <v>0</v>
      </c>
      <c r="AK233" s="416">
        <v>0</v>
      </c>
      <c r="AL233" s="416">
        <v>0</v>
      </c>
      <c r="AM233" s="416">
        <v>0</v>
      </c>
      <c r="AN233" s="416">
        <v>0</v>
      </c>
      <c r="AO233" s="416">
        <v>0</v>
      </c>
      <c r="AP233" s="416">
        <v>0</v>
      </c>
      <c r="AQ233" s="416">
        <v>0</v>
      </c>
      <c r="AR233" s="416">
        <v>0</v>
      </c>
      <c r="AS233" s="416">
        <v>0</v>
      </c>
      <c r="AT233" s="416">
        <v>0</v>
      </c>
      <c r="AU233" s="416">
        <v>0</v>
      </c>
      <c r="AV233" s="416">
        <v>0</v>
      </c>
      <c r="AW233" s="416">
        <v>0</v>
      </c>
      <c r="AX233" s="416">
        <v>0</v>
      </c>
      <c r="AY233" s="416">
        <v>0</v>
      </c>
      <c r="AZ233" s="416">
        <v>0</v>
      </c>
      <c r="BA233" s="416">
        <v>0</v>
      </c>
      <c r="BB233" s="416">
        <v>0</v>
      </c>
      <c r="BC233" s="416">
        <v>0</v>
      </c>
      <c r="BD233" s="416">
        <v>0</v>
      </c>
      <c r="BE233" s="416">
        <v>0</v>
      </c>
      <c r="BF233" s="416">
        <v>0</v>
      </c>
      <c r="BG233" s="416">
        <v>0</v>
      </c>
      <c r="BH233" s="416">
        <v>0</v>
      </c>
      <c r="BI233" s="416">
        <v>0</v>
      </c>
      <c r="BJ233" s="416">
        <v>0</v>
      </c>
      <c r="BK233" s="416">
        <v>0</v>
      </c>
      <c r="BL233" s="416">
        <v>0</v>
      </c>
      <c r="BM233" s="416">
        <v>0</v>
      </c>
      <c r="BN233" s="416">
        <v>0</v>
      </c>
      <c r="BO233" s="416">
        <v>0</v>
      </c>
      <c r="BP233" s="416">
        <v>0</v>
      </c>
      <c r="BQ233" s="416">
        <v>0</v>
      </c>
      <c r="BR233" s="416">
        <v>0</v>
      </c>
      <c r="BS233" s="416">
        <v>0</v>
      </c>
      <c r="BT233" s="416">
        <v>0</v>
      </c>
      <c r="BU233" s="416">
        <v>0</v>
      </c>
      <c r="BV233" s="416">
        <v>0</v>
      </c>
      <c r="BW233" s="416">
        <v>0</v>
      </c>
      <c r="BX233" s="416">
        <v>0</v>
      </c>
      <c r="BY233" s="416">
        <v>0</v>
      </c>
      <c r="BZ233" s="416">
        <v>0</v>
      </c>
      <c r="CC233" s="21"/>
      <c r="CD233" s="424" t="s">
        <v>355</v>
      </c>
      <c r="CE233" s="433">
        <f t="shared" si="45"/>
        <v>0</v>
      </c>
      <c r="CF233" s="433">
        <f t="shared" si="46"/>
        <v>0</v>
      </c>
      <c r="CG233" s="433">
        <f t="shared" si="47"/>
        <v>0</v>
      </c>
      <c r="CH233" s="433">
        <f t="shared" si="48"/>
        <v>0</v>
      </c>
      <c r="CI233" s="433">
        <f t="shared" si="49"/>
        <v>0</v>
      </c>
      <c r="CJ233" s="433">
        <f t="shared" si="50"/>
        <v>0</v>
      </c>
      <c r="CK233" s="433">
        <f t="shared" si="51"/>
        <v>0</v>
      </c>
      <c r="CL233" s="433">
        <f t="shared" si="52"/>
        <v>0</v>
      </c>
      <c r="CM233" s="433">
        <f t="shared" si="53"/>
        <v>0</v>
      </c>
      <c r="CN233" s="433">
        <f t="shared" si="54"/>
        <v>0</v>
      </c>
      <c r="CO233" s="433">
        <f t="shared" si="55"/>
        <v>0</v>
      </c>
      <c r="CP233" s="433">
        <f t="shared" si="56"/>
        <v>0</v>
      </c>
      <c r="CQ233" s="433">
        <f t="shared" si="57"/>
        <v>0</v>
      </c>
      <c r="CR233" s="433">
        <f t="shared" si="58"/>
        <v>0</v>
      </c>
      <c r="CS233" s="433">
        <f t="shared" si="59"/>
        <v>0</v>
      </c>
      <c r="CT233" s="21"/>
    </row>
    <row r="234" spans="3:98" collapsed="1">
      <c r="C234" s="415" t="s">
        <v>349</v>
      </c>
      <c r="D234" s="416">
        <v>0</v>
      </c>
      <c r="E234" s="416">
        <v>0</v>
      </c>
      <c r="F234" s="416">
        <v>0</v>
      </c>
      <c r="G234" s="416">
        <v>0</v>
      </c>
      <c r="H234" s="416">
        <v>0</v>
      </c>
      <c r="I234" s="416">
        <v>0</v>
      </c>
      <c r="J234" s="416">
        <v>0</v>
      </c>
      <c r="K234" s="416">
        <v>0</v>
      </c>
      <c r="L234" s="416">
        <v>0</v>
      </c>
      <c r="M234" s="416">
        <v>0</v>
      </c>
      <c r="N234" s="416">
        <v>0</v>
      </c>
      <c r="O234" s="416">
        <v>0</v>
      </c>
      <c r="P234" s="416">
        <v>0</v>
      </c>
      <c r="Q234" s="416">
        <v>0</v>
      </c>
      <c r="R234" s="416">
        <v>0</v>
      </c>
      <c r="S234" s="416">
        <v>0</v>
      </c>
      <c r="T234" s="416">
        <v>0</v>
      </c>
      <c r="U234" s="416">
        <v>0</v>
      </c>
      <c r="V234" s="416">
        <v>0</v>
      </c>
      <c r="W234" s="416">
        <v>0</v>
      </c>
      <c r="X234" s="416">
        <v>0</v>
      </c>
      <c r="Y234" s="416">
        <v>0</v>
      </c>
      <c r="Z234" s="416">
        <v>0</v>
      </c>
      <c r="AA234" s="416">
        <v>0</v>
      </c>
      <c r="AB234" s="416">
        <v>0</v>
      </c>
      <c r="AC234" s="416">
        <v>0</v>
      </c>
      <c r="AD234" s="416">
        <v>0</v>
      </c>
      <c r="AE234" s="416">
        <v>0</v>
      </c>
      <c r="AF234" s="416">
        <v>0</v>
      </c>
      <c r="AG234" s="416">
        <v>0</v>
      </c>
      <c r="AH234" s="416">
        <v>0</v>
      </c>
      <c r="AI234" s="416">
        <v>0</v>
      </c>
      <c r="AJ234" s="416">
        <v>0</v>
      </c>
      <c r="AK234" s="416">
        <v>0</v>
      </c>
      <c r="AL234" s="416">
        <v>0</v>
      </c>
      <c r="AM234" s="416">
        <v>0</v>
      </c>
      <c r="AN234" s="416">
        <v>0</v>
      </c>
      <c r="AO234" s="416">
        <v>0</v>
      </c>
      <c r="AP234" s="416">
        <v>0</v>
      </c>
      <c r="AQ234" s="416">
        <v>0</v>
      </c>
      <c r="AR234" s="416">
        <v>0</v>
      </c>
      <c r="AS234" s="416">
        <v>0</v>
      </c>
      <c r="AT234" s="416">
        <v>0</v>
      </c>
      <c r="AU234" s="416">
        <v>0</v>
      </c>
      <c r="AV234" s="416">
        <v>0</v>
      </c>
      <c r="AW234" s="416">
        <v>0</v>
      </c>
      <c r="AX234" s="416">
        <v>0</v>
      </c>
      <c r="AY234" s="416">
        <v>0</v>
      </c>
      <c r="AZ234" s="416">
        <v>0</v>
      </c>
      <c r="BA234" s="416">
        <v>0</v>
      </c>
      <c r="BB234" s="416">
        <v>0</v>
      </c>
      <c r="BC234" s="416">
        <v>0</v>
      </c>
      <c r="BD234" s="416">
        <v>0</v>
      </c>
      <c r="BE234" s="416">
        <v>0</v>
      </c>
      <c r="BF234" s="416">
        <v>0</v>
      </c>
      <c r="BG234" s="416">
        <v>0</v>
      </c>
      <c r="BH234" s="416">
        <v>0</v>
      </c>
      <c r="BI234" s="416">
        <v>0</v>
      </c>
      <c r="BJ234" s="416">
        <v>0</v>
      </c>
      <c r="BK234" s="416">
        <v>0</v>
      </c>
      <c r="BL234" s="416">
        <v>0</v>
      </c>
      <c r="BM234" s="416">
        <v>0</v>
      </c>
      <c r="BN234" s="416">
        <v>0</v>
      </c>
      <c r="BO234" s="416">
        <v>0</v>
      </c>
      <c r="BP234" s="416">
        <v>0</v>
      </c>
      <c r="BQ234" s="416">
        <v>0</v>
      </c>
      <c r="BR234" s="416">
        <v>0</v>
      </c>
      <c r="BS234" s="416">
        <v>0</v>
      </c>
      <c r="BT234" s="416">
        <v>0</v>
      </c>
      <c r="BU234" s="416">
        <v>0</v>
      </c>
      <c r="BV234" s="416">
        <v>0</v>
      </c>
      <c r="BW234" s="416">
        <v>0</v>
      </c>
      <c r="BX234" s="416">
        <v>0</v>
      </c>
      <c r="BY234" s="416">
        <v>0</v>
      </c>
      <c r="BZ234" s="416">
        <v>0</v>
      </c>
      <c r="CC234" s="21"/>
      <c r="CD234" s="415" t="s">
        <v>349</v>
      </c>
      <c r="CE234" s="433">
        <f t="shared" si="45"/>
        <v>0</v>
      </c>
      <c r="CF234" s="433">
        <f t="shared" si="46"/>
        <v>0</v>
      </c>
      <c r="CG234" s="433">
        <f t="shared" si="47"/>
        <v>0</v>
      </c>
      <c r="CH234" s="433">
        <f t="shared" si="48"/>
        <v>0</v>
      </c>
      <c r="CI234" s="433">
        <f t="shared" si="49"/>
        <v>0</v>
      </c>
      <c r="CJ234" s="433">
        <f t="shared" si="50"/>
        <v>0</v>
      </c>
      <c r="CK234" s="433">
        <f t="shared" si="51"/>
        <v>0</v>
      </c>
      <c r="CL234" s="433">
        <f t="shared" si="52"/>
        <v>0</v>
      </c>
      <c r="CM234" s="433">
        <f t="shared" si="53"/>
        <v>0</v>
      </c>
      <c r="CN234" s="433">
        <f t="shared" si="54"/>
        <v>0</v>
      </c>
      <c r="CO234" s="433">
        <f t="shared" si="55"/>
        <v>0</v>
      </c>
      <c r="CP234" s="433">
        <f t="shared" si="56"/>
        <v>0</v>
      </c>
      <c r="CQ234" s="433">
        <f t="shared" si="57"/>
        <v>0</v>
      </c>
      <c r="CR234" s="433">
        <f t="shared" si="58"/>
        <v>0</v>
      </c>
      <c r="CS234" s="433">
        <f t="shared" si="59"/>
        <v>0</v>
      </c>
      <c r="CT234" s="21"/>
    </row>
    <row r="235" spans="3:98" hidden="1" outlineLevel="1">
      <c r="C235" s="424" t="s">
        <v>357</v>
      </c>
      <c r="D235" s="416">
        <v>0</v>
      </c>
      <c r="E235" s="416">
        <v>0</v>
      </c>
      <c r="F235" s="416">
        <v>0</v>
      </c>
      <c r="G235" s="416">
        <v>0</v>
      </c>
      <c r="H235" s="416">
        <v>0</v>
      </c>
      <c r="I235" s="416">
        <v>0</v>
      </c>
      <c r="J235" s="416">
        <v>0</v>
      </c>
      <c r="K235" s="416">
        <v>0</v>
      </c>
      <c r="L235" s="416">
        <v>0</v>
      </c>
      <c r="M235" s="416">
        <v>0</v>
      </c>
      <c r="N235" s="416">
        <v>0</v>
      </c>
      <c r="O235" s="416">
        <v>0</v>
      </c>
      <c r="P235" s="416">
        <v>0</v>
      </c>
      <c r="Q235" s="416">
        <v>0</v>
      </c>
      <c r="R235" s="416">
        <v>0</v>
      </c>
      <c r="S235" s="416">
        <v>0</v>
      </c>
      <c r="T235" s="416">
        <v>0</v>
      </c>
      <c r="U235" s="416">
        <v>0</v>
      </c>
      <c r="V235" s="416">
        <v>0</v>
      </c>
      <c r="W235" s="416">
        <v>0</v>
      </c>
      <c r="X235" s="416">
        <v>0</v>
      </c>
      <c r="Y235" s="416">
        <v>0</v>
      </c>
      <c r="Z235" s="416">
        <v>0</v>
      </c>
      <c r="AA235" s="416">
        <v>0</v>
      </c>
      <c r="AB235" s="416">
        <v>0</v>
      </c>
      <c r="AC235" s="416">
        <v>0</v>
      </c>
      <c r="AD235" s="416">
        <v>0</v>
      </c>
      <c r="AE235" s="416">
        <v>0</v>
      </c>
      <c r="AF235" s="416">
        <v>0</v>
      </c>
      <c r="AG235" s="416">
        <v>0</v>
      </c>
      <c r="AH235" s="416">
        <v>0</v>
      </c>
      <c r="AI235" s="416">
        <v>0</v>
      </c>
      <c r="AJ235" s="416">
        <v>0</v>
      </c>
      <c r="AK235" s="416">
        <v>0</v>
      </c>
      <c r="AL235" s="416">
        <v>0</v>
      </c>
      <c r="AM235" s="416">
        <v>0</v>
      </c>
      <c r="AN235" s="416">
        <v>0</v>
      </c>
      <c r="AO235" s="416">
        <v>0</v>
      </c>
      <c r="AP235" s="416">
        <v>0</v>
      </c>
      <c r="AQ235" s="416">
        <v>0</v>
      </c>
      <c r="AR235" s="416">
        <v>0</v>
      </c>
      <c r="AS235" s="416">
        <v>0</v>
      </c>
      <c r="AT235" s="416">
        <v>0</v>
      </c>
      <c r="AU235" s="416">
        <v>0</v>
      </c>
      <c r="AV235" s="416">
        <v>0</v>
      </c>
      <c r="AW235" s="416">
        <v>0</v>
      </c>
      <c r="AX235" s="416">
        <v>0</v>
      </c>
      <c r="AY235" s="416">
        <v>0</v>
      </c>
      <c r="AZ235" s="416">
        <v>0</v>
      </c>
      <c r="BA235" s="416">
        <v>0</v>
      </c>
      <c r="BB235" s="416">
        <v>0</v>
      </c>
      <c r="BC235" s="416">
        <v>0</v>
      </c>
      <c r="BD235" s="416">
        <v>0</v>
      </c>
      <c r="BE235" s="416">
        <v>0</v>
      </c>
      <c r="BF235" s="416">
        <v>0</v>
      </c>
      <c r="BG235" s="416">
        <v>0</v>
      </c>
      <c r="BH235" s="416">
        <v>0</v>
      </c>
      <c r="BI235" s="416">
        <v>0</v>
      </c>
      <c r="BJ235" s="416">
        <v>0</v>
      </c>
      <c r="BK235" s="416">
        <v>0</v>
      </c>
      <c r="BL235" s="416">
        <v>0</v>
      </c>
      <c r="BM235" s="416">
        <v>0</v>
      </c>
      <c r="BN235" s="416">
        <v>0</v>
      </c>
      <c r="BO235" s="416">
        <v>0</v>
      </c>
      <c r="BP235" s="416">
        <v>0</v>
      </c>
      <c r="BQ235" s="416">
        <v>0</v>
      </c>
      <c r="BR235" s="416">
        <v>0</v>
      </c>
      <c r="BS235" s="416">
        <v>0</v>
      </c>
      <c r="BT235" s="416">
        <v>0</v>
      </c>
      <c r="BU235" s="416">
        <v>0</v>
      </c>
      <c r="BV235" s="416">
        <v>0</v>
      </c>
      <c r="BW235" s="416">
        <v>0</v>
      </c>
      <c r="BX235" s="416">
        <v>0</v>
      </c>
      <c r="BY235" s="416">
        <v>0</v>
      </c>
      <c r="BZ235" s="416">
        <v>0</v>
      </c>
      <c r="CC235" s="21"/>
      <c r="CD235" s="424" t="s">
        <v>357</v>
      </c>
      <c r="CE235" s="433">
        <f t="shared" si="45"/>
        <v>0</v>
      </c>
      <c r="CF235" s="433">
        <f t="shared" si="46"/>
        <v>0</v>
      </c>
      <c r="CG235" s="433">
        <f t="shared" si="47"/>
        <v>0</v>
      </c>
      <c r="CH235" s="433">
        <f t="shared" si="48"/>
        <v>0</v>
      </c>
      <c r="CI235" s="433">
        <f t="shared" si="49"/>
        <v>0</v>
      </c>
      <c r="CJ235" s="433">
        <f t="shared" si="50"/>
        <v>0</v>
      </c>
      <c r="CK235" s="433">
        <f t="shared" si="51"/>
        <v>0</v>
      </c>
      <c r="CL235" s="433">
        <f t="shared" si="52"/>
        <v>0</v>
      </c>
      <c r="CM235" s="433">
        <f t="shared" si="53"/>
        <v>0</v>
      </c>
      <c r="CN235" s="433">
        <f t="shared" si="54"/>
        <v>0</v>
      </c>
      <c r="CO235" s="433">
        <f t="shared" si="55"/>
        <v>0</v>
      </c>
      <c r="CP235" s="433">
        <f t="shared" si="56"/>
        <v>0</v>
      </c>
      <c r="CQ235" s="433">
        <f t="shared" si="57"/>
        <v>0</v>
      </c>
      <c r="CR235" s="433">
        <f t="shared" si="58"/>
        <v>0</v>
      </c>
      <c r="CS235" s="433">
        <f t="shared" si="59"/>
        <v>0</v>
      </c>
      <c r="CT235" s="21"/>
    </row>
    <row r="236" spans="3:98" hidden="1" outlineLevel="1">
      <c r="C236" s="424" t="s">
        <v>358</v>
      </c>
      <c r="D236" s="416">
        <v>0</v>
      </c>
      <c r="E236" s="416">
        <v>0</v>
      </c>
      <c r="F236" s="416">
        <v>0</v>
      </c>
      <c r="G236" s="416">
        <v>0</v>
      </c>
      <c r="H236" s="416">
        <v>0</v>
      </c>
      <c r="I236" s="416">
        <v>0</v>
      </c>
      <c r="J236" s="416">
        <v>0</v>
      </c>
      <c r="K236" s="416">
        <v>0</v>
      </c>
      <c r="L236" s="416">
        <v>0</v>
      </c>
      <c r="M236" s="416">
        <v>0</v>
      </c>
      <c r="N236" s="416">
        <v>0</v>
      </c>
      <c r="O236" s="416">
        <v>0</v>
      </c>
      <c r="P236" s="416">
        <v>0</v>
      </c>
      <c r="Q236" s="416">
        <v>0</v>
      </c>
      <c r="R236" s="416">
        <v>0</v>
      </c>
      <c r="S236" s="416">
        <v>0</v>
      </c>
      <c r="T236" s="416">
        <v>0</v>
      </c>
      <c r="U236" s="416">
        <v>0</v>
      </c>
      <c r="V236" s="416">
        <v>0</v>
      </c>
      <c r="W236" s="416">
        <v>0</v>
      </c>
      <c r="X236" s="416">
        <v>0</v>
      </c>
      <c r="Y236" s="416">
        <v>0</v>
      </c>
      <c r="Z236" s="416">
        <v>0</v>
      </c>
      <c r="AA236" s="416">
        <v>0</v>
      </c>
      <c r="AB236" s="416">
        <v>0</v>
      </c>
      <c r="AC236" s="416">
        <v>0</v>
      </c>
      <c r="AD236" s="416">
        <v>0</v>
      </c>
      <c r="AE236" s="416">
        <v>0</v>
      </c>
      <c r="AF236" s="416">
        <v>0</v>
      </c>
      <c r="AG236" s="416">
        <v>0</v>
      </c>
      <c r="AH236" s="416">
        <v>0</v>
      </c>
      <c r="AI236" s="416">
        <v>0</v>
      </c>
      <c r="AJ236" s="416">
        <v>0</v>
      </c>
      <c r="AK236" s="416">
        <v>0</v>
      </c>
      <c r="AL236" s="416">
        <v>0</v>
      </c>
      <c r="AM236" s="416">
        <v>0</v>
      </c>
      <c r="AN236" s="416">
        <v>0</v>
      </c>
      <c r="AO236" s="416">
        <v>0</v>
      </c>
      <c r="AP236" s="416">
        <v>0</v>
      </c>
      <c r="AQ236" s="416">
        <v>0</v>
      </c>
      <c r="AR236" s="416">
        <v>0</v>
      </c>
      <c r="AS236" s="416">
        <v>0</v>
      </c>
      <c r="AT236" s="416">
        <v>0</v>
      </c>
      <c r="AU236" s="416">
        <v>0</v>
      </c>
      <c r="AV236" s="416">
        <v>0</v>
      </c>
      <c r="AW236" s="416">
        <v>0</v>
      </c>
      <c r="AX236" s="416">
        <v>0</v>
      </c>
      <c r="AY236" s="416">
        <v>0</v>
      </c>
      <c r="AZ236" s="416">
        <v>0</v>
      </c>
      <c r="BA236" s="416">
        <v>0</v>
      </c>
      <c r="BB236" s="416">
        <v>0</v>
      </c>
      <c r="BC236" s="416">
        <v>0</v>
      </c>
      <c r="BD236" s="416">
        <v>0</v>
      </c>
      <c r="BE236" s="416">
        <v>0</v>
      </c>
      <c r="BF236" s="416">
        <v>0</v>
      </c>
      <c r="BG236" s="416">
        <v>0</v>
      </c>
      <c r="BH236" s="416">
        <v>0</v>
      </c>
      <c r="BI236" s="416">
        <v>0</v>
      </c>
      <c r="BJ236" s="416">
        <v>0</v>
      </c>
      <c r="BK236" s="416">
        <v>0</v>
      </c>
      <c r="BL236" s="416">
        <v>0</v>
      </c>
      <c r="BM236" s="416">
        <v>0</v>
      </c>
      <c r="BN236" s="416">
        <v>0</v>
      </c>
      <c r="BO236" s="416">
        <v>0</v>
      </c>
      <c r="BP236" s="416">
        <v>0</v>
      </c>
      <c r="BQ236" s="416">
        <v>0</v>
      </c>
      <c r="BR236" s="416">
        <v>0</v>
      </c>
      <c r="BS236" s="416">
        <v>0</v>
      </c>
      <c r="BT236" s="416">
        <v>0</v>
      </c>
      <c r="BU236" s="416">
        <v>0</v>
      </c>
      <c r="BV236" s="416">
        <v>0</v>
      </c>
      <c r="BW236" s="416">
        <v>0</v>
      </c>
      <c r="BX236" s="416">
        <v>0</v>
      </c>
      <c r="BY236" s="416">
        <v>0</v>
      </c>
      <c r="BZ236" s="416">
        <v>0</v>
      </c>
      <c r="CC236" s="21"/>
      <c r="CD236" s="424" t="s">
        <v>358</v>
      </c>
      <c r="CE236" s="433">
        <f t="shared" si="45"/>
        <v>0</v>
      </c>
      <c r="CF236" s="433">
        <f t="shared" si="46"/>
        <v>0</v>
      </c>
      <c r="CG236" s="433">
        <f t="shared" si="47"/>
        <v>0</v>
      </c>
      <c r="CH236" s="433">
        <f t="shared" si="48"/>
        <v>0</v>
      </c>
      <c r="CI236" s="433">
        <f t="shared" si="49"/>
        <v>0</v>
      </c>
      <c r="CJ236" s="433">
        <f t="shared" si="50"/>
        <v>0</v>
      </c>
      <c r="CK236" s="433">
        <f t="shared" si="51"/>
        <v>0</v>
      </c>
      <c r="CL236" s="433">
        <f t="shared" si="52"/>
        <v>0</v>
      </c>
      <c r="CM236" s="433">
        <f t="shared" si="53"/>
        <v>0</v>
      </c>
      <c r="CN236" s="433">
        <f t="shared" si="54"/>
        <v>0</v>
      </c>
      <c r="CO236" s="433">
        <f t="shared" si="55"/>
        <v>0</v>
      </c>
      <c r="CP236" s="433">
        <f t="shared" si="56"/>
        <v>0</v>
      </c>
      <c r="CQ236" s="433">
        <f t="shared" si="57"/>
        <v>0</v>
      </c>
      <c r="CR236" s="433">
        <f t="shared" si="58"/>
        <v>0</v>
      </c>
      <c r="CS236" s="433">
        <f t="shared" si="59"/>
        <v>0</v>
      </c>
      <c r="CT236" s="21"/>
    </row>
    <row r="237" spans="3:98" collapsed="1">
      <c r="C237" s="415" t="s">
        <v>356</v>
      </c>
      <c r="D237" s="416">
        <v>0</v>
      </c>
      <c r="E237" s="416">
        <v>0</v>
      </c>
      <c r="F237" s="416">
        <v>0</v>
      </c>
      <c r="G237" s="416">
        <v>0</v>
      </c>
      <c r="H237" s="416">
        <v>0</v>
      </c>
      <c r="I237" s="416">
        <v>0</v>
      </c>
      <c r="J237" s="416">
        <v>0</v>
      </c>
      <c r="K237" s="416">
        <v>0</v>
      </c>
      <c r="L237" s="416">
        <v>0</v>
      </c>
      <c r="M237" s="416">
        <v>0</v>
      </c>
      <c r="N237" s="416">
        <v>0</v>
      </c>
      <c r="O237" s="416">
        <v>0</v>
      </c>
      <c r="P237" s="416">
        <v>0</v>
      </c>
      <c r="Q237" s="416">
        <v>0</v>
      </c>
      <c r="R237" s="416">
        <v>0</v>
      </c>
      <c r="S237" s="416">
        <v>0</v>
      </c>
      <c r="T237" s="416">
        <v>0</v>
      </c>
      <c r="U237" s="416">
        <v>0</v>
      </c>
      <c r="V237" s="416">
        <v>0</v>
      </c>
      <c r="W237" s="416">
        <v>0</v>
      </c>
      <c r="X237" s="416">
        <v>0</v>
      </c>
      <c r="Y237" s="416">
        <v>0</v>
      </c>
      <c r="Z237" s="416">
        <v>0</v>
      </c>
      <c r="AA237" s="416">
        <v>0</v>
      </c>
      <c r="AB237" s="416">
        <v>0</v>
      </c>
      <c r="AC237" s="416">
        <v>0</v>
      </c>
      <c r="AD237" s="416">
        <v>0</v>
      </c>
      <c r="AE237" s="416">
        <v>0</v>
      </c>
      <c r="AF237" s="416">
        <v>0</v>
      </c>
      <c r="AG237" s="416">
        <v>0</v>
      </c>
      <c r="AH237" s="416">
        <v>0</v>
      </c>
      <c r="AI237" s="416">
        <v>0</v>
      </c>
      <c r="AJ237" s="416">
        <v>0</v>
      </c>
      <c r="AK237" s="416">
        <v>0</v>
      </c>
      <c r="AL237" s="416">
        <v>0</v>
      </c>
      <c r="AM237" s="416">
        <v>0</v>
      </c>
      <c r="AN237" s="416">
        <v>0</v>
      </c>
      <c r="AO237" s="416">
        <v>0</v>
      </c>
      <c r="AP237" s="416">
        <v>0</v>
      </c>
      <c r="AQ237" s="416">
        <v>0</v>
      </c>
      <c r="AR237" s="416">
        <v>0</v>
      </c>
      <c r="AS237" s="416">
        <v>0</v>
      </c>
      <c r="AT237" s="416">
        <v>0</v>
      </c>
      <c r="AU237" s="416">
        <v>0</v>
      </c>
      <c r="AV237" s="416">
        <v>0</v>
      </c>
      <c r="AW237" s="416">
        <v>0</v>
      </c>
      <c r="AX237" s="416">
        <v>0</v>
      </c>
      <c r="AY237" s="416">
        <v>0</v>
      </c>
      <c r="AZ237" s="416">
        <v>0</v>
      </c>
      <c r="BA237" s="416">
        <v>0</v>
      </c>
      <c r="BB237" s="416">
        <v>0</v>
      </c>
      <c r="BC237" s="416">
        <v>0</v>
      </c>
      <c r="BD237" s="416">
        <v>0</v>
      </c>
      <c r="BE237" s="416">
        <v>0</v>
      </c>
      <c r="BF237" s="416">
        <v>0</v>
      </c>
      <c r="BG237" s="416">
        <v>0</v>
      </c>
      <c r="BH237" s="416">
        <v>0</v>
      </c>
      <c r="BI237" s="416">
        <v>0</v>
      </c>
      <c r="BJ237" s="416">
        <v>0</v>
      </c>
      <c r="BK237" s="416">
        <v>0</v>
      </c>
      <c r="BL237" s="416">
        <v>0</v>
      </c>
      <c r="BM237" s="416">
        <v>0</v>
      </c>
      <c r="BN237" s="416">
        <v>0</v>
      </c>
      <c r="BO237" s="416">
        <v>0</v>
      </c>
      <c r="BP237" s="416">
        <v>0</v>
      </c>
      <c r="BQ237" s="416">
        <v>0</v>
      </c>
      <c r="BR237" s="416">
        <v>0</v>
      </c>
      <c r="BS237" s="416">
        <v>0</v>
      </c>
      <c r="BT237" s="416">
        <v>0</v>
      </c>
      <c r="BU237" s="416">
        <v>0</v>
      </c>
      <c r="BV237" s="416">
        <v>0</v>
      </c>
      <c r="BW237" s="416">
        <v>0</v>
      </c>
      <c r="BX237" s="416">
        <v>0</v>
      </c>
      <c r="BY237" s="416">
        <v>0</v>
      </c>
      <c r="BZ237" s="416">
        <v>0</v>
      </c>
      <c r="CC237" s="21"/>
      <c r="CD237" s="415" t="s">
        <v>356</v>
      </c>
      <c r="CE237" s="433">
        <f t="shared" si="45"/>
        <v>0</v>
      </c>
      <c r="CF237" s="433">
        <f t="shared" si="46"/>
        <v>0</v>
      </c>
      <c r="CG237" s="433">
        <f t="shared" si="47"/>
        <v>0</v>
      </c>
      <c r="CH237" s="433">
        <f t="shared" si="48"/>
        <v>0</v>
      </c>
      <c r="CI237" s="433">
        <f t="shared" si="49"/>
        <v>0</v>
      </c>
      <c r="CJ237" s="433">
        <f t="shared" si="50"/>
        <v>0</v>
      </c>
      <c r="CK237" s="433">
        <f t="shared" si="51"/>
        <v>0</v>
      </c>
      <c r="CL237" s="433">
        <f t="shared" si="52"/>
        <v>0</v>
      </c>
      <c r="CM237" s="433">
        <f t="shared" si="53"/>
        <v>0</v>
      </c>
      <c r="CN237" s="433">
        <f t="shared" si="54"/>
        <v>0</v>
      </c>
      <c r="CO237" s="433">
        <f t="shared" si="55"/>
        <v>0</v>
      </c>
      <c r="CP237" s="433">
        <f t="shared" si="56"/>
        <v>0</v>
      </c>
      <c r="CQ237" s="433">
        <f t="shared" si="57"/>
        <v>0</v>
      </c>
      <c r="CR237" s="433">
        <f t="shared" si="58"/>
        <v>0</v>
      </c>
      <c r="CS237" s="433">
        <f t="shared" si="59"/>
        <v>0</v>
      </c>
      <c r="CT237" s="21"/>
    </row>
    <row r="238" spans="3:98" hidden="1" outlineLevel="1">
      <c r="C238" s="424" t="s">
        <v>360</v>
      </c>
      <c r="D238" s="416">
        <v>0</v>
      </c>
      <c r="E238" s="416">
        <v>0</v>
      </c>
      <c r="F238" s="416">
        <v>0</v>
      </c>
      <c r="G238" s="416">
        <v>0</v>
      </c>
      <c r="H238" s="416">
        <v>0</v>
      </c>
      <c r="I238" s="416">
        <v>0</v>
      </c>
      <c r="J238" s="416">
        <v>0</v>
      </c>
      <c r="K238" s="416">
        <v>0</v>
      </c>
      <c r="L238" s="416">
        <v>0</v>
      </c>
      <c r="M238" s="416">
        <v>0</v>
      </c>
      <c r="N238" s="416">
        <v>0</v>
      </c>
      <c r="O238" s="416">
        <v>0</v>
      </c>
      <c r="P238" s="416">
        <v>0</v>
      </c>
      <c r="Q238" s="416">
        <v>0</v>
      </c>
      <c r="R238" s="416">
        <v>0</v>
      </c>
      <c r="S238" s="416">
        <v>0</v>
      </c>
      <c r="T238" s="416">
        <v>0</v>
      </c>
      <c r="U238" s="416">
        <v>0</v>
      </c>
      <c r="V238" s="416">
        <v>0</v>
      </c>
      <c r="W238" s="416">
        <v>0</v>
      </c>
      <c r="X238" s="416">
        <v>0</v>
      </c>
      <c r="Y238" s="416">
        <v>0</v>
      </c>
      <c r="Z238" s="416">
        <v>0</v>
      </c>
      <c r="AA238" s="416">
        <v>0</v>
      </c>
      <c r="AB238" s="416">
        <v>0</v>
      </c>
      <c r="AC238" s="416">
        <v>0</v>
      </c>
      <c r="AD238" s="416">
        <v>0</v>
      </c>
      <c r="AE238" s="416">
        <v>0</v>
      </c>
      <c r="AF238" s="416">
        <v>0</v>
      </c>
      <c r="AG238" s="416">
        <v>0</v>
      </c>
      <c r="AH238" s="416">
        <v>0</v>
      </c>
      <c r="AI238" s="416">
        <v>0</v>
      </c>
      <c r="AJ238" s="416">
        <v>0</v>
      </c>
      <c r="AK238" s="416">
        <v>0</v>
      </c>
      <c r="AL238" s="416">
        <v>0</v>
      </c>
      <c r="AM238" s="416">
        <v>0</v>
      </c>
      <c r="AN238" s="416">
        <v>0</v>
      </c>
      <c r="AO238" s="416">
        <v>0</v>
      </c>
      <c r="AP238" s="416">
        <v>0</v>
      </c>
      <c r="AQ238" s="416">
        <v>0</v>
      </c>
      <c r="AR238" s="416">
        <v>0</v>
      </c>
      <c r="AS238" s="416">
        <v>0</v>
      </c>
      <c r="AT238" s="416">
        <v>0</v>
      </c>
      <c r="AU238" s="416">
        <v>0</v>
      </c>
      <c r="AV238" s="416">
        <v>0</v>
      </c>
      <c r="AW238" s="416">
        <v>0</v>
      </c>
      <c r="AX238" s="416">
        <v>0</v>
      </c>
      <c r="AY238" s="416">
        <v>0</v>
      </c>
      <c r="AZ238" s="416">
        <v>0</v>
      </c>
      <c r="BA238" s="416">
        <v>0</v>
      </c>
      <c r="BB238" s="416">
        <v>0</v>
      </c>
      <c r="BC238" s="416">
        <v>0</v>
      </c>
      <c r="BD238" s="416">
        <v>0</v>
      </c>
      <c r="BE238" s="416">
        <v>0</v>
      </c>
      <c r="BF238" s="416">
        <v>0</v>
      </c>
      <c r="BG238" s="416">
        <v>0</v>
      </c>
      <c r="BH238" s="416">
        <v>0</v>
      </c>
      <c r="BI238" s="416">
        <v>0</v>
      </c>
      <c r="BJ238" s="416">
        <v>0</v>
      </c>
      <c r="BK238" s="416">
        <v>0</v>
      </c>
      <c r="BL238" s="416">
        <v>0</v>
      </c>
      <c r="BM238" s="416">
        <v>0</v>
      </c>
      <c r="BN238" s="416">
        <v>0</v>
      </c>
      <c r="BO238" s="416">
        <v>0</v>
      </c>
      <c r="BP238" s="416">
        <v>0</v>
      </c>
      <c r="BQ238" s="416">
        <v>0</v>
      </c>
      <c r="BR238" s="416">
        <v>0</v>
      </c>
      <c r="BS238" s="416">
        <v>0</v>
      </c>
      <c r="BT238" s="416">
        <v>0</v>
      </c>
      <c r="BU238" s="416">
        <v>0</v>
      </c>
      <c r="BV238" s="416">
        <v>0</v>
      </c>
      <c r="BW238" s="416">
        <v>0</v>
      </c>
      <c r="BX238" s="416">
        <v>0</v>
      </c>
      <c r="BY238" s="416">
        <v>0</v>
      </c>
      <c r="BZ238" s="416">
        <v>0</v>
      </c>
      <c r="CC238" s="21"/>
      <c r="CD238" s="424" t="s">
        <v>360</v>
      </c>
      <c r="CE238" s="433">
        <f t="shared" si="45"/>
        <v>0</v>
      </c>
      <c r="CF238" s="433">
        <f t="shared" si="46"/>
        <v>0</v>
      </c>
      <c r="CG238" s="433">
        <f t="shared" si="47"/>
        <v>0</v>
      </c>
      <c r="CH238" s="433">
        <f t="shared" si="48"/>
        <v>0</v>
      </c>
      <c r="CI238" s="433">
        <f t="shared" si="49"/>
        <v>0</v>
      </c>
      <c r="CJ238" s="433">
        <f t="shared" si="50"/>
        <v>0</v>
      </c>
      <c r="CK238" s="433">
        <f t="shared" si="51"/>
        <v>0</v>
      </c>
      <c r="CL238" s="433">
        <f t="shared" si="52"/>
        <v>0</v>
      </c>
      <c r="CM238" s="433">
        <f t="shared" si="53"/>
        <v>0</v>
      </c>
      <c r="CN238" s="433">
        <f t="shared" si="54"/>
        <v>0</v>
      </c>
      <c r="CO238" s="433">
        <f t="shared" si="55"/>
        <v>0</v>
      </c>
      <c r="CP238" s="433">
        <f t="shared" si="56"/>
        <v>0</v>
      </c>
      <c r="CQ238" s="433">
        <f t="shared" si="57"/>
        <v>0</v>
      </c>
      <c r="CR238" s="433">
        <f t="shared" si="58"/>
        <v>0</v>
      </c>
      <c r="CS238" s="433">
        <f t="shared" si="59"/>
        <v>0</v>
      </c>
      <c r="CT238" s="21"/>
    </row>
    <row r="239" spans="3:98" hidden="1" outlineLevel="1">
      <c r="C239" s="424" t="s">
        <v>361</v>
      </c>
      <c r="D239" s="416">
        <v>0</v>
      </c>
      <c r="E239" s="416">
        <v>0</v>
      </c>
      <c r="F239" s="416">
        <v>0</v>
      </c>
      <c r="G239" s="416">
        <v>0</v>
      </c>
      <c r="H239" s="416">
        <v>0</v>
      </c>
      <c r="I239" s="416">
        <v>0</v>
      </c>
      <c r="J239" s="416">
        <v>0</v>
      </c>
      <c r="K239" s="416">
        <v>0</v>
      </c>
      <c r="L239" s="416">
        <v>0</v>
      </c>
      <c r="M239" s="416">
        <v>0</v>
      </c>
      <c r="N239" s="416">
        <v>0</v>
      </c>
      <c r="O239" s="416">
        <v>0</v>
      </c>
      <c r="P239" s="416">
        <v>0</v>
      </c>
      <c r="Q239" s="416">
        <v>0</v>
      </c>
      <c r="R239" s="416">
        <v>0</v>
      </c>
      <c r="S239" s="416">
        <v>0</v>
      </c>
      <c r="T239" s="416">
        <v>0</v>
      </c>
      <c r="U239" s="416">
        <v>0</v>
      </c>
      <c r="V239" s="416">
        <v>0</v>
      </c>
      <c r="W239" s="416">
        <v>0</v>
      </c>
      <c r="X239" s="416">
        <v>0</v>
      </c>
      <c r="Y239" s="416">
        <v>0</v>
      </c>
      <c r="Z239" s="416">
        <v>0</v>
      </c>
      <c r="AA239" s="416">
        <v>0</v>
      </c>
      <c r="AB239" s="416">
        <v>0</v>
      </c>
      <c r="AC239" s="416">
        <v>0</v>
      </c>
      <c r="AD239" s="416">
        <v>0</v>
      </c>
      <c r="AE239" s="416">
        <v>0</v>
      </c>
      <c r="AF239" s="416">
        <v>0</v>
      </c>
      <c r="AG239" s="416">
        <v>0</v>
      </c>
      <c r="AH239" s="416">
        <v>0</v>
      </c>
      <c r="AI239" s="416">
        <v>0</v>
      </c>
      <c r="AJ239" s="416">
        <v>0</v>
      </c>
      <c r="AK239" s="416">
        <v>0</v>
      </c>
      <c r="AL239" s="416">
        <v>0</v>
      </c>
      <c r="AM239" s="416">
        <v>0</v>
      </c>
      <c r="AN239" s="416">
        <v>0</v>
      </c>
      <c r="AO239" s="416">
        <v>0</v>
      </c>
      <c r="AP239" s="416">
        <v>0</v>
      </c>
      <c r="AQ239" s="416">
        <v>0</v>
      </c>
      <c r="AR239" s="416">
        <v>0</v>
      </c>
      <c r="AS239" s="416">
        <v>0</v>
      </c>
      <c r="AT239" s="416">
        <v>0</v>
      </c>
      <c r="AU239" s="416">
        <v>0</v>
      </c>
      <c r="AV239" s="416">
        <v>0</v>
      </c>
      <c r="AW239" s="416">
        <v>0</v>
      </c>
      <c r="AX239" s="416">
        <v>0</v>
      </c>
      <c r="AY239" s="416">
        <v>0</v>
      </c>
      <c r="AZ239" s="416">
        <v>0</v>
      </c>
      <c r="BA239" s="416">
        <v>0</v>
      </c>
      <c r="BB239" s="416">
        <v>0</v>
      </c>
      <c r="BC239" s="416">
        <v>0</v>
      </c>
      <c r="BD239" s="416">
        <v>0</v>
      </c>
      <c r="BE239" s="416">
        <v>0</v>
      </c>
      <c r="BF239" s="416">
        <v>0</v>
      </c>
      <c r="BG239" s="416">
        <v>0</v>
      </c>
      <c r="BH239" s="416">
        <v>0</v>
      </c>
      <c r="BI239" s="416">
        <v>0</v>
      </c>
      <c r="BJ239" s="416">
        <v>0</v>
      </c>
      <c r="BK239" s="416">
        <v>0</v>
      </c>
      <c r="BL239" s="416">
        <v>0</v>
      </c>
      <c r="BM239" s="416">
        <v>0</v>
      </c>
      <c r="BN239" s="416">
        <v>0</v>
      </c>
      <c r="BO239" s="416">
        <v>0</v>
      </c>
      <c r="BP239" s="416">
        <v>0</v>
      </c>
      <c r="BQ239" s="416">
        <v>0</v>
      </c>
      <c r="BR239" s="416">
        <v>0</v>
      </c>
      <c r="BS239" s="416">
        <v>0</v>
      </c>
      <c r="BT239" s="416">
        <v>0</v>
      </c>
      <c r="BU239" s="416">
        <v>0</v>
      </c>
      <c r="BV239" s="416">
        <v>0</v>
      </c>
      <c r="BW239" s="416">
        <v>0</v>
      </c>
      <c r="BX239" s="416">
        <v>0</v>
      </c>
      <c r="BY239" s="416">
        <v>0</v>
      </c>
      <c r="BZ239" s="416">
        <v>0</v>
      </c>
      <c r="CC239" s="21"/>
      <c r="CD239" s="424" t="s">
        <v>361</v>
      </c>
      <c r="CE239" s="433">
        <f t="shared" si="45"/>
        <v>0</v>
      </c>
      <c r="CF239" s="433">
        <f t="shared" si="46"/>
        <v>0</v>
      </c>
      <c r="CG239" s="433">
        <f t="shared" si="47"/>
        <v>0</v>
      </c>
      <c r="CH239" s="433">
        <f t="shared" si="48"/>
        <v>0</v>
      </c>
      <c r="CI239" s="433">
        <f t="shared" si="49"/>
        <v>0</v>
      </c>
      <c r="CJ239" s="433">
        <f t="shared" si="50"/>
        <v>0</v>
      </c>
      <c r="CK239" s="433">
        <f t="shared" si="51"/>
        <v>0</v>
      </c>
      <c r="CL239" s="433">
        <f t="shared" si="52"/>
        <v>0</v>
      </c>
      <c r="CM239" s="433">
        <f t="shared" si="53"/>
        <v>0</v>
      </c>
      <c r="CN239" s="433">
        <f t="shared" si="54"/>
        <v>0</v>
      </c>
      <c r="CO239" s="433">
        <f t="shared" si="55"/>
        <v>0</v>
      </c>
      <c r="CP239" s="433">
        <f t="shared" si="56"/>
        <v>0</v>
      </c>
      <c r="CQ239" s="433">
        <f t="shared" si="57"/>
        <v>0</v>
      </c>
      <c r="CR239" s="433">
        <f t="shared" si="58"/>
        <v>0</v>
      </c>
      <c r="CS239" s="433">
        <f t="shared" si="59"/>
        <v>0</v>
      </c>
      <c r="CT239" s="21"/>
    </row>
    <row r="240" spans="3:98" collapsed="1">
      <c r="C240" s="415" t="s">
        <v>359</v>
      </c>
      <c r="D240" s="416">
        <v>0</v>
      </c>
      <c r="E240" s="416">
        <v>0</v>
      </c>
      <c r="F240" s="416">
        <v>0</v>
      </c>
      <c r="G240" s="416">
        <v>0</v>
      </c>
      <c r="H240" s="416">
        <v>0</v>
      </c>
      <c r="I240" s="416">
        <v>0</v>
      </c>
      <c r="J240" s="416">
        <v>0</v>
      </c>
      <c r="K240" s="416">
        <v>0</v>
      </c>
      <c r="L240" s="416">
        <v>0</v>
      </c>
      <c r="M240" s="416">
        <v>0</v>
      </c>
      <c r="N240" s="416">
        <v>0</v>
      </c>
      <c r="O240" s="416">
        <v>0</v>
      </c>
      <c r="P240" s="416">
        <v>0</v>
      </c>
      <c r="Q240" s="416">
        <v>0</v>
      </c>
      <c r="R240" s="416">
        <v>0</v>
      </c>
      <c r="S240" s="416">
        <v>0</v>
      </c>
      <c r="T240" s="416">
        <v>0</v>
      </c>
      <c r="U240" s="416">
        <v>0</v>
      </c>
      <c r="V240" s="416">
        <v>0</v>
      </c>
      <c r="W240" s="416">
        <v>0</v>
      </c>
      <c r="X240" s="416">
        <v>0</v>
      </c>
      <c r="Y240" s="416">
        <v>0</v>
      </c>
      <c r="Z240" s="416">
        <v>0</v>
      </c>
      <c r="AA240" s="416">
        <v>0</v>
      </c>
      <c r="AB240" s="416">
        <v>0</v>
      </c>
      <c r="AC240" s="416">
        <v>0</v>
      </c>
      <c r="AD240" s="416">
        <v>0</v>
      </c>
      <c r="AE240" s="416">
        <v>0</v>
      </c>
      <c r="AF240" s="416">
        <v>0</v>
      </c>
      <c r="AG240" s="416">
        <v>0</v>
      </c>
      <c r="AH240" s="416">
        <v>0</v>
      </c>
      <c r="AI240" s="416">
        <v>0</v>
      </c>
      <c r="AJ240" s="416">
        <v>0</v>
      </c>
      <c r="AK240" s="416">
        <v>0</v>
      </c>
      <c r="AL240" s="416">
        <v>0</v>
      </c>
      <c r="AM240" s="416">
        <v>0</v>
      </c>
      <c r="AN240" s="416">
        <v>0</v>
      </c>
      <c r="AO240" s="416">
        <v>0</v>
      </c>
      <c r="AP240" s="416">
        <v>0</v>
      </c>
      <c r="AQ240" s="416">
        <v>0</v>
      </c>
      <c r="AR240" s="416">
        <v>0</v>
      </c>
      <c r="AS240" s="416">
        <v>0</v>
      </c>
      <c r="AT240" s="416">
        <v>0</v>
      </c>
      <c r="AU240" s="416">
        <v>0</v>
      </c>
      <c r="AV240" s="416">
        <v>0</v>
      </c>
      <c r="AW240" s="416">
        <v>0</v>
      </c>
      <c r="AX240" s="416">
        <v>0</v>
      </c>
      <c r="AY240" s="416">
        <v>0</v>
      </c>
      <c r="AZ240" s="416">
        <v>0</v>
      </c>
      <c r="BA240" s="416">
        <v>0</v>
      </c>
      <c r="BB240" s="416">
        <v>0</v>
      </c>
      <c r="BC240" s="416">
        <v>0</v>
      </c>
      <c r="BD240" s="416">
        <v>0</v>
      </c>
      <c r="BE240" s="416">
        <v>0</v>
      </c>
      <c r="BF240" s="416">
        <v>0</v>
      </c>
      <c r="BG240" s="416">
        <v>0</v>
      </c>
      <c r="BH240" s="416">
        <v>0</v>
      </c>
      <c r="BI240" s="416">
        <v>0</v>
      </c>
      <c r="BJ240" s="416">
        <v>0</v>
      </c>
      <c r="BK240" s="416">
        <v>0</v>
      </c>
      <c r="BL240" s="416">
        <v>0</v>
      </c>
      <c r="BM240" s="416">
        <v>0</v>
      </c>
      <c r="BN240" s="416">
        <v>0</v>
      </c>
      <c r="BO240" s="416">
        <v>0</v>
      </c>
      <c r="BP240" s="416">
        <v>0</v>
      </c>
      <c r="BQ240" s="416">
        <v>0</v>
      </c>
      <c r="BR240" s="416">
        <v>0</v>
      </c>
      <c r="BS240" s="416">
        <v>0</v>
      </c>
      <c r="BT240" s="416">
        <v>0</v>
      </c>
      <c r="BU240" s="416">
        <v>0</v>
      </c>
      <c r="BV240" s="416">
        <v>0</v>
      </c>
      <c r="BW240" s="416">
        <v>0</v>
      </c>
      <c r="BX240" s="416">
        <v>0</v>
      </c>
      <c r="BY240" s="416">
        <v>0</v>
      </c>
      <c r="BZ240" s="416">
        <v>0</v>
      </c>
      <c r="CC240" s="21"/>
      <c r="CD240" s="415" t="s">
        <v>359</v>
      </c>
      <c r="CE240" s="433">
        <f t="shared" si="45"/>
        <v>0</v>
      </c>
      <c r="CF240" s="433">
        <f t="shared" si="46"/>
        <v>0</v>
      </c>
      <c r="CG240" s="433">
        <f t="shared" si="47"/>
        <v>0</v>
      </c>
      <c r="CH240" s="433">
        <f t="shared" si="48"/>
        <v>0</v>
      </c>
      <c r="CI240" s="433">
        <f t="shared" si="49"/>
        <v>0</v>
      </c>
      <c r="CJ240" s="433">
        <f t="shared" si="50"/>
        <v>0</v>
      </c>
      <c r="CK240" s="433">
        <f t="shared" si="51"/>
        <v>0</v>
      </c>
      <c r="CL240" s="433">
        <f t="shared" si="52"/>
        <v>0</v>
      </c>
      <c r="CM240" s="433">
        <f t="shared" si="53"/>
        <v>0</v>
      </c>
      <c r="CN240" s="433">
        <f t="shared" si="54"/>
        <v>0</v>
      </c>
      <c r="CO240" s="433">
        <f t="shared" si="55"/>
        <v>0</v>
      </c>
      <c r="CP240" s="433">
        <f t="shared" si="56"/>
        <v>0</v>
      </c>
      <c r="CQ240" s="433">
        <f t="shared" si="57"/>
        <v>0</v>
      </c>
      <c r="CR240" s="433">
        <f t="shared" si="58"/>
        <v>0</v>
      </c>
      <c r="CS240" s="433">
        <f t="shared" si="59"/>
        <v>0</v>
      </c>
      <c r="CT240" s="21"/>
    </row>
    <row r="241" spans="1:98" hidden="1" outlineLevel="2">
      <c r="C241" s="426" t="s">
        <v>364</v>
      </c>
      <c r="D241" s="416">
        <v>0</v>
      </c>
      <c r="E241" s="416">
        <v>0</v>
      </c>
      <c r="F241" s="416">
        <v>0</v>
      </c>
      <c r="G241" s="416">
        <v>0</v>
      </c>
      <c r="H241" s="416">
        <v>0</v>
      </c>
      <c r="I241" s="416">
        <v>0</v>
      </c>
      <c r="J241" s="416">
        <v>0</v>
      </c>
      <c r="K241" s="416">
        <v>0</v>
      </c>
      <c r="L241" s="416">
        <v>0</v>
      </c>
      <c r="M241" s="416">
        <v>0</v>
      </c>
      <c r="N241" s="416">
        <v>0</v>
      </c>
      <c r="O241" s="416">
        <v>0</v>
      </c>
      <c r="P241" s="416">
        <v>0</v>
      </c>
      <c r="Q241" s="416">
        <v>0</v>
      </c>
      <c r="R241" s="416">
        <v>0</v>
      </c>
      <c r="S241" s="416">
        <v>0</v>
      </c>
      <c r="T241" s="416">
        <v>0</v>
      </c>
      <c r="U241" s="416">
        <v>0</v>
      </c>
      <c r="V241" s="416">
        <v>0</v>
      </c>
      <c r="W241" s="416">
        <v>0</v>
      </c>
      <c r="X241" s="416">
        <v>0</v>
      </c>
      <c r="Y241" s="416">
        <v>0</v>
      </c>
      <c r="Z241" s="416">
        <v>0</v>
      </c>
      <c r="AA241" s="416">
        <v>0</v>
      </c>
      <c r="AB241" s="416">
        <v>0</v>
      </c>
      <c r="AC241" s="416">
        <v>0</v>
      </c>
      <c r="AD241" s="416">
        <v>0</v>
      </c>
      <c r="AE241" s="416">
        <v>0</v>
      </c>
      <c r="AF241" s="416">
        <v>0</v>
      </c>
      <c r="AG241" s="416">
        <v>0</v>
      </c>
      <c r="AH241" s="416">
        <v>0</v>
      </c>
      <c r="AI241" s="416">
        <v>0</v>
      </c>
      <c r="AJ241" s="416">
        <v>0</v>
      </c>
      <c r="AK241" s="416">
        <v>0</v>
      </c>
      <c r="AL241" s="416">
        <v>0</v>
      </c>
      <c r="AM241" s="416">
        <v>0</v>
      </c>
      <c r="AN241" s="416">
        <v>0</v>
      </c>
      <c r="AO241" s="416">
        <v>0</v>
      </c>
      <c r="AP241" s="416">
        <v>0</v>
      </c>
      <c r="AQ241" s="416">
        <v>0</v>
      </c>
      <c r="AR241" s="416">
        <v>0</v>
      </c>
      <c r="AS241" s="416">
        <v>0</v>
      </c>
      <c r="AT241" s="416">
        <v>0</v>
      </c>
      <c r="AU241" s="416">
        <v>0</v>
      </c>
      <c r="AV241" s="416">
        <v>0</v>
      </c>
      <c r="AW241" s="416">
        <v>0</v>
      </c>
      <c r="AX241" s="416">
        <v>0</v>
      </c>
      <c r="AY241" s="416">
        <v>0</v>
      </c>
      <c r="AZ241" s="416">
        <v>0</v>
      </c>
      <c r="BA241" s="416">
        <v>0</v>
      </c>
      <c r="BB241" s="416">
        <v>0</v>
      </c>
      <c r="BC241" s="416">
        <v>0</v>
      </c>
      <c r="BD241" s="416">
        <v>0</v>
      </c>
      <c r="BE241" s="416">
        <v>0</v>
      </c>
      <c r="BF241" s="416">
        <v>0</v>
      </c>
      <c r="BG241" s="416">
        <v>0</v>
      </c>
      <c r="BH241" s="416">
        <v>0</v>
      </c>
      <c r="BI241" s="416">
        <v>0</v>
      </c>
      <c r="BJ241" s="416">
        <v>0</v>
      </c>
      <c r="BK241" s="416">
        <v>0</v>
      </c>
      <c r="BL241" s="416">
        <v>0</v>
      </c>
      <c r="BM241" s="416">
        <v>0</v>
      </c>
      <c r="BN241" s="416">
        <v>0</v>
      </c>
      <c r="BO241" s="416">
        <v>0</v>
      </c>
      <c r="BP241" s="416">
        <v>0</v>
      </c>
      <c r="BQ241" s="416">
        <v>0</v>
      </c>
      <c r="BR241" s="416">
        <v>0</v>
      </c>
      <c r="BS241" s="416">
        <v>0</v>
      </c>
      <c r="BT241" s="416">
        <v>0</v>
      </c>
      <c r="BU241" s="416">
        <v>0</v>
      </c>
      <c r="BV241" s="416">
        <v>0</v>
      </c>
      <c r="BW241" s="416">
        <v>0</v>
      </c>
      <c r="BX241" s="416">
        <v>0</v>
      </c>
      <c r="BY241" s="416">
        <v>0</v>
      </c>
      <c r="BZ241" s="416">
        <v>0</v>
      </c>
      <c r="CC241" s="21"/>
      <c r="CD241" s="426" t="s">
        <v>364</v>
      </c>
      <c r="CE241" s="433">
        <f t="shared" si="45"/>
        <v>0</v>
      </c>
      <c r="CF241" s="433">
        <f t="shared" si="46"/>
        <v>0</v>
      </c>
      <c r="CG241" s="433">
        <f t="shared" si="47"/>
        <v>0</v>
      </c>
      <c r="CH241" s="433">
        <f t="shared" si="48"/>
        <v>0</v>
      </c>
      <c r="CI241" s="433">
        <f t="shared" si="49"/>
        <v>0</v>
      </c>
      <c r="CJ241" s="433">
        <f t="shared" si="50"/>
        <v>0</v>
      </c>
      <c r="CK241" s="433">
        <f t="shared" si="51"/>
        <v>0</v>
      </c>
      <c r="CL241" s="433">
        <f t="shared" si="52"/>
        <v>0</v>
      </c>
      <c r="CM241" s="433">
        <f t="shared" si="53"/>
        <v>0</v>
      </c>
      <c r="CN241" s="433">
        <f t="shared" si="54"/>
        <v>0</v>
      </c>
      <c r="CO241" s="433">
        <f t="shared" si="55"/>
        <v>0</v>
      </c>
      <c r="CP241" s="433">
        <f t="shared" si="56"/>
        <v>0</v>
      </c>
      <c r="CQ241" s="433">
        <f t="shared" si="57"/>
        <v>0</v>
      </c>
      <c r="CR241" s="433">
        <f t="shared" si="58"/>
        <v>0</v>
      </c>
      <c r="CS241" s="433">
        <f t="shared" si="59"/>
        <v>0</v>
      </c>
      <c r="CT241" s="21"/>
    </row>
    <row r="242" spans="1:98" hidden="1" outlineLevel="2">
      <c r="C242" s="426" t="s">
        <v>365</v>
      </c>
      <c r="D242" s="416">
        <v>0</v>
      </c>
      <c r="E242" s="416">
        <v>0</v>
      </c>
      <c r="F242" s="416">
        <v>0</v>
      </c>
      <c r="G242" s="416">
        <v>0</v>
      </c>
      <c r="H242" s="416">
        <v>0</v>
      </c>
      <c r="I242" s="416">
        <v>0</v>
      </c>
      <c r="J242" s="416">
        <v>0</v>
      </c>
      <c r="K242" s="416">
        <v>0</v>
      </c>
      <c r="L242" s="416">
        <v>0</v>
      </c>
      <c r="M242" s="416">
        <v>0</v>
      </c>
      <c r="N242" s="416">
        <v>0</v>
      </c>
      <c r="O242" s="416">
        <v>0</v>
      </c>
      <c r="P242" s="416">
        <v>0</v>
      </c>
      <c r="Q242" s="416">
        <v>0</v>
      </c>
      <c r="R242" s="416">
        <v>0</v>
      </c>
      <c r="S242" s="416">
        <v>0</v>
      </c>
      <c r="T242" s="416">
        <v>0</v>
      </c>
      <c r="U242" s="416">
        <v>0</v>
      </c>
      <c r="V242" s="416">
        <v>0</v>
      </c>
      <c r="W242" s="416">
        <v>0</v>
      </c>
      <c r="X242" s="416">
        <v>0</v>
      </c>
      <c r="Y242" s="416">
        <v>0</v>
      </c>
      <c r="Z242" s="416">
        <v>0</v>
      </c>
      <c r="AA242" s="416">
        <v>0</v>
      </c>
      <c r="AB242" s="416">
        <v>0</v>
      </c>
      <c r="AC242" s="416">
        <v>0</v>
      </c>
      <c r="AD242" s="416">
        <v>0</v>
      </c>
      <c r="AE242" s="416">
        <v>0</v>
      </c>
      <c r="AF242" s="416">
        <v>0</v>
      </c>
      <c r="AG242" s="416">
        <v>0</v>
      </c>
      <c r="AH242" s="416">
        <v>0</v>
      </c>
      <c r="AI242" s="416">
        <v>0</v>
      </c>
      <c r="AJ242" s="416">
        <v>0</v>
      </c>
      <c r="AK242" s="416">
        <v>0</v>
      </c>
      <c r="AL242" s="416">
        <v>0</v>
      </c>
      <c r="AM242" s="416">
        <v>0</v>
      </c>
      <c r="AN242" s="416">
        <v>0</v>
      </c>
      <c r="AO242" s="416">
        <v>0</v>
      </c>
      <c r="AP242" s="416">
        <v>0</v>
      </c>
      <c r="AQ242" s="416">
        <v>0</v>
      </c>
      <c r="AR242" s="416">
        <v>0</v>
      </c>
      <c r="AS242" s="416">
        <v>0</v>
      </c>
      <c r="AT242" s="416">
        <v>0</v>
      </c>
      <c r="AU242" s="416">
        <v>0</v>
      </c>
      <c r="AV242" s="416">
        <v>0</v>
      </c>
      <c r="AW242" s="416">
        <v>0</v>
      </c>
      <c r="AX242" s="416">
        <v>0</v>
      </c>
      <c r="AY242" s="416">
        <v>0</v>
      </c>
      <c r="AZ242" s="416">
        <v>0</v>
      </c>
      <c r="BA242" s="416">
        <v>0</v>
      </c>
      <c r="BB242" s="416">
        <v>0</v>
      </c>
      <c r="BC242" s="416">
        <v>0</v>
      </c>
      <c r="BD242" s="416">
        <v>0</v>
      </c>
      <c r="BE242" s="416">
        <v>0</v>
      </c>
      <c r="BF242" s="416">
        <v>0</v>
      </c>
      <c r="BG242" s="416">
        <v>0</v>
      </c>
      <c r="BH242" s="416">
        <v>0</v>
      </c>
      <c r="BI242" s="416">
        <v>0</v>
      </c>
      <c r="BJ242" s="416">
        <v>0</v>
      </c>
      <c r="BK242" s="416">
        <v>0</v>
      </c>
      <c r="BL242" s="416">
        <v>0</v>
      </c>
      <c r="BM242" s="416">
        <v>0</v>
      </c>
      <c r="BN242" s="416">
        <v>0</v>
      </c>
      <c r="BO242" s="416">
        <v>0</v>
      </c>
      <c r="BP242" s="416">
        <v>0</v>
      </c>
      <c r="BQ242" s="416">
        <v>0</v>
      </c>
      <c r="BR242" s="416">
        <v>0</v>
      </c>
      <c r="BS242" s="416">
        <v>0</v>
      </c>
      <c r="BT242" s="416">
        <v>0</v>
      </c>
      <c r="BU242" s="416">
        <v>0</v>
      </c>
      <c r="BV242" s="416">
        <v>0</v>
      </c>
      <c r="BW242" s="416">
        <v>0</v>
      </c>
      <c r="BX242" s="416">
        <v>0</v>
      </c>
      <c r="BY242" s="416">
        <v>0</v>
      </c>
      <c r="BZ242" s="416">
        <v>0</v>
      </c>
      <c r="CC242" s="21"/>
      <c r="CD242" s="426" t="s">
        <v>365</v>
      </c>
      <c r="CE242" s="433">
        <f t="shared" si="45"/>
        <v>0</v>
      </c>
      <c r="CF242" s="433">
        <f t="shared" si="46"/>
        <v>0</v>
      </c>
      <c r="CG242" s="433">
        <f t="shared" si="47"/>
        <v>0</v>
      </c>
      <c r="CH242" s="433">
        <f t="shared" si="48"/>
        <v>0</v>
      </c>
      <c r="CI242" s="433">
        <f t="shared" si="49"/>
        <v>0</v>
      </c>
      <c r="CJ242" s="433">
        <f t="shared" si="50"/>
        <v>0</v>
      </c>
      <c r="CK242" s="433">
        <f t="shared" si="51"/>
        <v>0</v>
      </c>
      <c r="CL242" s="433">
        <f t="shared" si="52"/>
        <v>0</v>
      </c>
      <c r="CM242" s="433">
        <f t="shared" si="53"/>
        <v>0</v>
      </c>
      <c r="CN242" s="433">
        <f t="shared" si="54"/>
        <v>0</v>
      </c>
      <c r="CO242" s="433">
        <f t="shared" si="55"/>
        <v>0</v>
      </c>
      <c r="CP242" s="433">
        <f t="shared" si="56"/>
        <v>0</v>
      </c>
      <c r="CQ242" s="433">
        <f t="shared" si="57"/>
        <v>0</v>
      </c>
      <c r="CR242" s="433">
        <f t="shared" si="58"/>
        <v>0</v>
      </c>
      <c r="CS242" s="433">
        <f t="shared" si="59"/>
        <v>0</v>
      </c>
      <c r="CT242" s="21"/>
    </row>
    <row r="243" spans="1:98" hidden="1" outlineLevel="2">
      <c r="C243" s="426" t="s">
        <v>366</v>
      </c>
      <c r="D243" s="416">
        <v>0</v>
      </c>
      <c r="E243" s="416">
        <v>0</v>
      </c>
      <c r="F243" s="416">
        <v>0</v>
      </c>
      <c r="G243" s="416">
        <v>0</v>
      </c>
      <c r="H243" s="416">
        <v>0</v>
      </c>
      <c r="I243" s="416">
        <v>0</v>
      </c>
      <c r="J243" s="416">
        <v>0</v>
      </c>
      <c r="K243" s="416">
        <v>0</v>
      </c>
      <c r="L243" s="416">
        <v>0</v>
      </c>
      <c r="M243" s="416">
        <v>0</v>
      </c>
      <c r="N243" s="416">
        <v>0</v>
      </c>
      <c r="O243" s="416">
        <v>0</v>
      </c>
      <c r="P243" s="416">
        <v>0</v>
      </c>
      <c r="Q243" s="416">
        <v>0</v>
      </c>
      <c r="R243" s="416">
        <v>0</v>
      </c>
      <c r="S243" s="416">
        <v>0</v>
      </c>
      <c r="T243" s="416">
        <v>0</v>
      </c>
      <c r="U243" s="416">
        <v>0</v>
      </c>
      <c r="V243" s="416">
        <v>0</v>
      </c>
      <c r="W243" s="416">
        <v>0</v>
      </c>
      <c r="X243" s="416">
        <v>0</v>
      </c>
      <c r="Y243" s="416">
        <v>0</v>
      </c>
      <c r="Z243" s="416">
        <v>0</v>
      </c>
      <c r="AA243" s="416">
        <v>0</v>
      </c>
      <c r="AB243" s="416">
        <v>0</v>
      </c>
      <c r="AC243" s="416">
        <v>0</v>
      </c>
      <c r="AD243" s="416">
        <v>0</v>
      </c>
      <c r="AE243" s="416">
        <v>0</v>
      </c>
      <c r="AF243" s="416">
        <v>0</v>
      </c>
      <c r="AG243" s="416">
        <v>0</v>
      </c>
      <c r="AH243" s="416">
        <v>0</v>
      </c>
      <c r="AI243" s="416">
        <v>0</v>
      </c>
      <c r="AJ243" s="416">
        <v>0</v>
      </c>
      <c r="AK243" s="416">
        <v>0</v>
      </c>
      <c r="AL243" s="416">
        <v>0</v>
      </c>
      <c r="AM243" s="416">
        <v>0</v>
      </c>
      <c r="AN243" s="416">
        <v>0</v>
      </c>
      <c r="AO243" s="416">
        <v>0</v>
      </c>
      <c r="AP243" s="416">
        <v>0</v>
      </c>
      <c r="AQ243" s="416">
        <v>0</v>
      </c>
      <c r="AR243" s="416">
        <v>0</v>
      </c>
      <c r="AS243" s="416">
        <v>0</v>
      </c>
      <c r="AT243" s="416">
        <v>0</v>
      </c>
      <c r="AU243" s="416">
        <v>0</v>
      </c>
      <c r="AV243" s="416">
        <v>0</v>
      </c>
      <c r="AW243" s="416">
        <v>0</v>
      </c>
      <c r="AX243" s="416">
        <v>0</v>
      </c>
      <c r="AY243" s="416">
        <v>0</v>
      </c>
      <c r="AZ243" s="416">
        <v>0</v>
      </c>
      <c r="BA243" s="416">
        <v>0</v>
      </c>
      <c r="BB243" s="416">
        <v>0</v>
      </c>
      <c r="BC243" s="416">
        <v>0</v>
      </c>
      <c r="BD243" s="416">
        <v>0</v>
      </c>
      <c r="BE243" s="416">
        <v>0</v>
      </c>
      <c r="BF243" s="416">
        <v>0</v>
      </c>
      <c r="BG243" s="416">
        <v>0</v>
      </c>
      <c r="BH243" s="416">
        <v>0</v>
      </c>
      <c r="BI243" s="416">
        <v>0</v>
      </c>
      <c r="BJ243" s="416">
        <v>0</v>
      </c>
      <c r="BK243" s="416">
        <v>0</v>
      </c>
      <c r="BL243" s="416">
        <v>0</v>
      </c>
      <c r="BM243" s="416">
        <v>0</v>
      </c>
      <c r="BN243" s="416">
        <v>0</v>
      </c>
      <c r="BO243" s="416">
        <v>0</v>
      </c>
      <c r="BP243" s="416">
        <v>0</v>
      </c>
      <c r="BQ243" s="416">
        <v>0</v>
      </c>
      <c r="BR243" s="416">
        <v>0</v>
      </c>
      <c r="BS243" s="416">
        <v>0</v>
      </c>
      <c r="BT243" s="416">
        <v>0</v>
      </c>
      <c r="BU243" s="416">
        <v>0</v>
      </c>
      <c r="BV243" s="416">
        <v>0</v>
      </c>
      <c r="BW243" s="416">
        <v>0</v>
      </c>
      <c r="BX243" s="416">
        <v>0</v>
      </c>
      <c r="BY243" s="416">
        <v>0</v>
      </c>
      <c r="BZ243" s="416">
        <v>0</v>
      </c>
      <c r="CC243" s="21"/>
      <c r="CD243" s="426" t="s">
        <v>366</v>
      </c>
      <c r="CE243" s="433">
        <f t="shared" si="45"/>
        <v>0</v>
      </c>
      <c r="CF243" s="433">
        <f t="shared" si="46"/>
        <v>0</v>
      </c>
      <c r="CG243" s="433">
        <f t="shared" si="47"/>
        <v>0</v>
      </c>
      <c r="CH243" s="433">
        <f t="shared" si="48"/>
        <v>0</v>
      </c>
      <c r="CI243" s="433">
        <f t="shared" si="49"/>
        <v>0</v>
      </c>
      <c r="CJ243" s="433">
        <f t="shared" si="50"/>
        <v>0</v>
      </c>
      <c r="CK243" s="433">
        <f t="shared" si="51"/>
        <v>0</v>
      </c>
      <c r="CL243" s="433">
        <f t="shared" si="52"/>
        <v>0</v>
      </c>
      <c r="CM243" s="433">
        <f t="shared" si="53"/>
        <v>0</v>
      </c>
      <c r="CN243" s="433">
        <f t="shared" si="54"/>
        <v>0</v>
      </c>
      <c r="CO243" s="433">
        <f t="shared" si="55"/>
        <v>0</v>
      </c>
      <c r="CP243" s="433">
        <f t="shared" si="56"/>
        <v>0</v>
      </c>
      <c r="CQ243" s="433">
        <f t="shared" si="57"/>
        <v>0</v>
      </c>
      <c r="CR243" s="433">
        <f t="shared" si="58"/>
        <v>0</v>
      </c>
      <c r="CS243" s="433">
        <f t="shared" si="59"/>
        <v>0</v>
      </c>
      <c r="CT243" s="21"/>
    </row>
    <row r="244" spans="1:98" hidden="1" outlineLevel="2">
      <c r="C244" s="426" t="s">
        <v>367</v>
      </c>
      <c r="D244" s="416">
        <v>0</v>
      </c>
      <c r="E244" s="416">
        <v>0</v>
      </c>
      <c r="F244" s="416">
        <v>0</v>
      </c>
      <c r="G244" s="416">
        <v>0</v>
      </c>
      <c r="H244" s="416">
        <v>0</v>
      </c>
      <c r="I244" s="416">
        <v>0</v>
      </c>
      <c r="J244" s="416">
        <v>0</v>
      </c>
      <c r="K244" s="416">
        <v>0</v>
      </c>
      <c r="L244" s="416">
        <v>0</v>
      </c>
      <c r="M244" s="416">
        <v>0</v>
      </c>
      <c r="N244" s="416">
        <v>0</v>
      </c>
      <c r="O244" s="416">
        <v>0</v>
      </c>
      <c r="P244" s="416">
        <v>0</v>
      </c>
      <c r="Q244" s="416">
        <v>0</v>
      </c>
      <c r="R244" s="416">
        <v>0</v>
      </c>
      <c r="S244" s="416">
        <v>0</v>
      </c>
      <c r="T244" s="416">
        <v>0</v>
      </c>
      <c r="U244" s="416">
        <v>0</v>
      </c>
      <c r="V244" s="416">
        <v>0</v>
      </c>
      <c r="W244" s="416">
        <v>0</v>
      </c>
      <c r="X244" s="416">
        <v>0</v>
      </c>
      <c r="Y244" s="416">
        <v>0</v>
      </c>
      <c r="Z244" s="416">
        <v>0</v>
      </c>
      <c r="AA244" s="416">
        <v>0</v>
      </c>
      <c r="AB244" s="416">
        <v>0</v>
      </c>
      <c r="AC244" s="416">
        <v>0</v>
      </c>
      <c r="AD244" s="416">
        <v>0</v>
      </c>
      <c r="AE244" s="416">
        <v>0</v>
      </c>
      <c r="AF244" s="416">
        <v>0</v>
      </c>
      <c r="AG244" s="416">
        <v>0</v>
      </c>
      <c r="AH244" s="416">
        <v>0</v>
      </c>
      <c r="AI244" s="416">
        <v>0</v>
      </c>
      <c r="AJ244" s="416">
        <v>0</v>
      </c>
      <c r="AK244" s="416">
        <v>0</v>
      </c>
      <c r="AL244" s="416">
        <v>0</v>
      </c>
      <c r="AM244" s="416">
        <v>0</v>
      </c>
      <c r="AN244" s="416">
        <v>0</v>
      </c>
      <c r="AO244" s="416">
        <v>0</v>
      </c>
      <c r="AP244" s="416">
        <v>0</v>
      </c>
      <c r="AQ244" s="416">
        <v>0</v>
      </c>
      <c r="AR244" s="416">
        <v>0</v>
      </c>
      <c r="AS244" s="416">
        <v>0</v>
      </c>
      <c r="AT244" s="416">
        <v>0</v>
      </c>
      <c r="AU244" s="416">
        <v>0</v>
      </c>
      <c r="AV244" s="416">
        <v>0</v>
      </c>
      <c r="AW244" s="416">
        <v>0</v>
      </c>
      <c r="AX244" s="416">
        <v>0</v>
      </c>
      <c r="AY244" s="416">
        <v>0</v>
      </c>
      <c r="AZ244" s="416">
        <v>0</v>
      </c>
      <c r="BA244" s="416">
        <v>0</v>
      </c>
      <c r="BB244" s="416">
        <v>0</v>
      </c>
      <c r="BC244" s="416">
        <v>0</v>
      </c>
      <c r="BD244" s="416">
        <v>0</v>
      </c>
      <c r="BE244" s="416">
        <v>0</v>
      </c>
      <c r="BF244" s="416">
        <v>0</v>
      </c>
      <c r="BG244" s="416">
        <v>0</v>
      </c>
      <c r="BH244" s="416">
        <v>0</v>
      </c>
      <c r="BI244" s="416">
        <v>0</v>
      </c>
      <c r="BJ244" s="416">
        <v>0</v>
      </c>
      <c r="BK244" s="416">
        <v>0</v>
      </c>
      <c r="BL244" s="416">
        <v>0</v>
      </c>
      <c r="BM244" s="416">
        <v>0</v>
      </c>
      <c r="BN244" s="416">
        <v>0</v>
      </c>
      <c r="BO244" s="416">
        <v>0</v>
      </c>
      <c r="BP244" s="416">
        <v>0</v>
      </c>
      <c r="BQ244" s="416">
        <v>0</v>
      </c>
      <c r="BR244" s="416">
        <v>0</v>
      </c>
      <c r="BS244" s="416">
        <v>0</v>
      </c>
      <c r="BT244" s="416">
        <v>0</v>
      </c>
      <c r="BU244" s="416">
        <v>0</v>
      </c>
      <c r="BV244" s="416">
        <v>0</v>
      </c>
      <c r="BW244" s="416">
        <v>0</v>
      </c>
      <c r="BX244" s="416">
        <v>0</v>
      </c>
      <c r="BY244" s="416">
        <v>0</v>
      </c>
      <c r="BZ244" s="416">
        <v>0</v>
      </c>
      <c r="CC244" s="21"/>
      <c r="CD244" s="426" t="s">
        <v>367</v>
      </c>
      <c r="CE244" s="433">
        <f t="shared" si="45"/>
        <v>0</v>
      </c>
      <c r="CF244" s="433">
        <f t="shared" si="46"/>
        <v>0</v>
      </c>
      <c r="CG244" s="433">
        <f t="shared" si="47"/>
        <v>0</v>
      </c>
      <c r="CH244" s="433">
        <f t="shared" si="48"/>
        <v>0</v>
      </c>
      <c r="CI244" s="433">
        <f t="shared" si="49"/>
        <v>0</v>
      </c>
      <c r="CJ244" s="433">
        <f t="shared" si="50"/>
        <v>0</v>
      </c>
      <c r="CK244" s="433">
        <f t="shared" si="51"/>
        <v>0</v>
      </c>
      <c r="CL244" s="433">
        <f t="shared" si="52"/>
        <v>0</v>
      </c>
      <c r="CM244" s="433">
        <f t="shared" si="53"/>
        <v>0</v>
      </c>
      <c r="CN244" s="433">
        <f t="shared" si="54"/>
        <v>0</v>
      </c>
      <c r="CO244" s="433">
        <f t="shared" si="55"/>
        <v>0</v>
      </c>
      <c r="CP244" s="433">
        <f t="shared" si="56"/>
        <v>0</v>
      </c>
      <c r="CQ244" s="433">
        <f t="shared" si="57"/>
        <v>0</v>
      </c>
      <c r="CR244" s="433">
        <f t="shared" si="58"/>
        <v>0</v>
      </c>
      <c r="CS244" s="433">
        <f t="shared" si="59"/>
        <v>0</v>
      </c>
      <c r="CT244" s="21"/>
    </row>
    <row r="245" spans="1:98" hidden="1" outlineLevel="2">
      <c r="C245" s="426" t="s">
        <v>368</v>
      </c>
      <c r="D245" s="416">
        <v>0</v>
      </c>
      <c r="E245" s="416">
        <v>0</v>
      </c>
      <c r="F245" s="416">
        <v>0</v>
      </c>
      <c r="G245" s="416">
        <v>0</v>
      </c>
      <c r="H245" s="416">
        <v>0</v>
      </c>
      <c r="I245" s="416">
        <v>0</v>
      </c>
      <c r="J245" s="416">
        <v>0</v>
      </c>
      <c r="K245" s="416">
        <v>0</v>
      </c>
      <c r="L245" s="416">
        <v>0</v>
      </c>
      <c r="M245" s="416">
        <v>0</v>
      </c>
      <c r="N245" s="416">
        <v>0</v>
      </c>
      <c r="O245" s="416">
        <v>0</v>
      </c>
      <c r="P245" s="416">
        <v>0</v>
      </c>
      <c r="Q245" s="416">
        <v>0</v>
      </c>
      <c r="R245" s="416">
        <v>0</v>
      </c>
      <c r="S245" s="416">
        <v>0</v>
      </c>
      <c r="T245" s="416">
        <v>0</v>
      </c>
      <c r="U245" s="416">
        <v>0</v>
      </c>
      <c r="V245" s="416">
        <v>0</v>
      </c>
      <c r="W245" s="416">
        <v>0</v>
      </c>
      <c r="X245" s="416">
        <v>0</v>
      </c>
      <c r="Y245" s="416">
        <v>0</v>
      </c>
      <c r="Z245" s="416">
        <v>0</v>
      </c>
      <c r="AA245" s="416">
        <v>0</v>
      </c>
      <c r="AB245" s="416">
        <v>0</v>
      </c>
      <c r="AC245" s="416">
        <v>0</v>
      </c>
      <c r="AD245" s="416">
        <v>0</v>
      </c>
      <c r="AE245" s="416">
        <v>0</v>
      </c>
      <c r="AF245" s="416">
        <v>0</v>
      </c>
      <c r="AG245" s="416">
        <v>0</v>
      </c>
      <c r="AH245" s="416">
        <v>0</v>
      </c>
      <c r="AI245" s="416">
        <v>0</v>
      </c>
      <c r="AJ245" s="416">
        <v>0</v>
      </c>
      <c r="AK245" s="416">
        <v>0</v>
      </c>
      <c r="AL245" s="416">
        <v>0</v>
      </c>
      <c r="AM245" s="416">
        <v>0</v>
      </c>
      <c r="AN245" s="416">
        <v>0</v>
      </c>
      <c r="AO245" s="416">
        <v>0</v>
      </c>
      <c r="AP245" s="416">
        <v>0</v>
      </c>
      <c r="AQ245" s="416">
        <v>0</v>
      </c>
      <c r="AR245" s="416">
        <v>0</v>
      </c>
      <c r="AS245" s="416">
        <v>0</v>
      </c>
      <c r="AT245" s="416">
        <v>0</v>
      </c>
      <c r="AU245" s="416">
        <v>0</v>
      </c>
      <c r="AV245" s="416">
        <v>0</v>
      </c>
      <c r="AW245" s="416">
        <v>0</v>
      </c>
      <c r="AX245" s="416">
        <v>0</v>
      </c>
      <c r="AY245" s="416">
        <v>0</v>
      </c>
      <c r="AZ245" s="416">
        <v>0</v>
      </c>
      <c r="BA245" s="416">
        <v>0</v>
      </c>
      <c r="BB245" s="416">
        <v>0</v>
      </c>
      <c r="BC245" s="416">
        <v>0</v>
      </c>
      <c r="BD245" s="416">
        <v>0</v>
      </c>
      <c r="BE245" s="416">
        <v>0</v>
      </c>
      <c r="BF245" s="416">
        <v>0</v>
      </c>
      <c r="BG245" s="416">
        <v>0</v>
      </c>
      <c r="BH245" s="416">
        <v>0</v>
      </c>
      <c r="BI245" s="416">
        <v>0</v>
      </c>
      <c r="BJ245" s="416">
        <v>0</v>
      </c>
      <c r="BK245" s="416">
        <v>0</v>
      </c>
      <c r="BL245" s="416">
        <v>0</v>
      </c>
      <c r="BM245" s="416">
        <v>0</v>
      </c>
      <c r="BN245" s="416">
        <v>0</v>
      </c>
      <c r="BO245" s="416">
        <v>0</v>
      </c>
      <c r="BP245" s="416">
        <v>0</v>
      </c>
      <c r="BQ245" s="416">
        <v>0</v>
      </c>
      <c r="BR245" s="416">
        <v>0</v>
      </c>
      <c r="BS245" s="416">
        <v>0</v>
      </c>
      <c r="BT245" s="416">
        <v>0</v>
      </c>
      <c r="BU245" s="416">
        <v>0</v>
      </c>
      <c r="BV245" s="416">
        <v>0</v>
      </c>
      <c r="BW245" s="416">
        <v>0</v>
      </c>
      <c r="BX245" s="416">
        <v>0</v>
      </c>
      <c r="BY245" s="416">
        <v>0</v>
      </c>
      <c r="BZ245" s="416">
        <v>0</v>
      </c>
      <c r="CC245" s="21"/>
      <c r="CD245" s="426" t="s">
        <v>368</v>
      </c>
      <c r="CE245" s="433">
        <f t="shared" si="45"/>
        <v>0</v>
      </c>
      <c r="CF245" s="433">
        <f t="shared" si="46"/>
        <v>0</v>
      </c>
      <c r="CG245" s="433">
        <f t="shared" si="47"/>
        <v>0</v>
      </c>
      <c r="CH245" s="433">
        <f t="shared" si="48"/>
        <v>0</v>
      </c>
      <c r="CI245" s="433">
        <f t="shared" si="49"/>
        <v>0</v>
      </c>
      <c r="CJ245" s="433">
        <f t="shared" si="50"/>
        <v>0</v>
      </c>
      <c r="CK245" s="433">
        <f t="shared" si="51"/>
        <v>0</v>
      </c>
      <c r="CL245" s="433">
        <f t="shared" si="52"/>
        <v>0</v>
      </c>
      <c r="CM245" s="433">
        <f t="shared" si="53"/>
        <v>0</v>
      </c>
      <c r="CN245" s="433">
        <f t="shared" si="54"/>
        <v>0</v>
      </c>
      <c r="CO245" s="433">
        <f t="shared" si="55"/>
        <v>0</v>
      </c>
      <c r="CP245" s="433">
        <f t="shared" si="56"/>
        <v>0</v>
      </c>
      <c r="CQ245" s="433">
        <f t="shared" si="57"/>
        <v>0</v>
      </c>
      <c r="CR245" s="433">
        <f t="shared" si="58"/>
        <v>0</v>
      </c>
      <c r="CS245" s="433">
        <f t="shared" si="59"/>
        <v>0</v>
      </c>
      <c r="CT245" s="21"/>
    </row>
    <row r="246" spans="1:98" hidden="1" outlineLevel="1">
      <c r="C246" s="424" t="s">
        <v>363</v>
      </c>
      <c r="D246" s="416">
        <v>0</v>
      </c>
      <c r="E246" s="416">
        <v>0</v>
      </c>
      <c r="F246" s="416">
        <v>0</v>
      </c>
      <c r="G246" s="416">
        <v>0</v>
      </c>
      <c r="H246" s="416">
        <v>0</v>
      </c>
      <c r="I246" s="416">
        <v>0</v>
      </c>
      <c r="J246" s="416">
        <v>0</v>
      </c>
      <c r="K246" s="416">
        <v>0</v>
      </c>
      <c r="L246" s="416">
        <v>0</v>
      </c>
      <c r="M246" s="416">
        <v>0</v>
      </c>
      <c r="N246" s="416">
        <v>0</v>
      </c>
      <c r="O246" s="416">
        <v>0</v>
      </c>
      <c r="P246" s="416">
        <v>0</v>
      </c>
      <c r="Q246" s="416">
        <v>0</v>
      </c>
      <c r="R246" s="416">
        <v>0</v>
      </c>
      <c r="S246" s="416">
        <v>0</v>
      </c>
      <c r="T246" s="416">
        <v>0</v>
      </c>
      <c r="U246" s="416">
        <v>0</v>
      </c>
      <c r="V246" s="416">
        <v>0</v>
      </c>
      <c r="W246" s="416">
        <v>0</v>
      </c>
      <c r="X246" s="416">
        <v>0</v>
      </c>
      <c r="Y246" s="416">
        <v>0</v>
      </c>
      <c r="Z246" s="416">
        <v>0</v>
      </c>
      <c r="AA246" s="416">
        <v>0</v>
      </c>
      <c r="AB246" s="416">
        <v>0</v>
      </c>
      <c r="AC246" s="416">
        <v>0</v>
      </c>
      <c r="AD246" s="416">
        <v>0</v>
      </c>
      <c r="AE246" s="416">
        <v>0</v>
      </c>
      <c r="AF246" s="416">
        <v>0</v>
      </c>
      <c r="AG246" s="416">
        <v>0</v>
      </c>
      <c r="AH246" s="416">
        <v>0</v>
      </c>
      <c r="AI246" s="416">
        <v>0</v>
      </c>
      <c r="AJ246" s="416">
        <v>0</v>
      </c>
      <c r="AK246" s="416">
        <v>0</v>
      </c>
      <c r="AL246" s="416">
        <v>0</v>
      </c>
      <c r="AM246" s="416">
        <v>0</v>
      </c>
      <c r="AN246" s="416">
        <v>0</v>
      </c>
      <c r="AO246" s="416">
        <v>0</v>
      </c>
      <c r="AP246" s="416">
        <v>0</v>
      </c>
      <c r="AQ246" s="416">
        <v>0</v>
      </c>
      <c r="AR246" s="416">
        <v>0</v>
      </c>
      <c r="AS246" s="416">
        <v>0</v>
      </c>
      <c r="AT246" s="416">
        <v>0</v>
      </c>
      <c r="AU246" s="416">
        <v>0</v>
      </c>
      <c r="AV246" s="416">
        <v>0</v>
      </c>
      <c r="AW246" s="416">
        <v>0</v>
      </c>
      <c r="AX246" s="416">
        <v>0</v>
      </c>
      <c r="AY246" s="416">
        <v>0</v>
      </c>
      <c r="AZ246" s="416">
        <v>0</v>
      </c>
      <c r="BA246" s="416">
        <v>0</v>
      </c>
      <c r="BB246" s="416">
        <v>0</v>
      </c>
      <c r="BC246" s="416">
        <v>0</v>
      </c>
      <c r="BD246" s="416">
        <v>0</v>
      </c>
      <c r="BE246" s="416">
        <v>0</v>
      </c>
      <c r="BF246" s="416">
        <v>0</v>
      </c>
      <c r="BG246" s="416">
        <v>0</v>
      </c>
      <c r="BH246" s="416">
        <v>0</v>
      </c>
      <c r="BI246" s="416">
        <v>0</v>
      </c>
      <c r="BJ246" s="416">
        <v>0</v>
      </c>
      <c r="BK246" s="416">
        <v>0</v>
      </c>
      <c r="BL246" s="416">
        <v>0</v>
      </c>
      <c r="BM246" s="416">
        <v>0</v>
      </c>
      <c r="BN246" s="416">
        <v>0</v>
      </c>
      <c r="BO246" s="416">
        <v>0</v>
      </c>
      <c r="BP246" s="416">
        <v>0</v>
      </c>
      <c r="BQ246" s="416">
        <v>0</v>
      </c>
      <c r="BR246" s="416">
        <v>0</v>
      </c>
      <c r="BS246" s="416">
        <v>0</v>
      </c>
      <c r="BT246" s="416">
        <v>0</v>
      </c>
      <c r="BU246" s="416">
        <v>0</v>
      </c>
      <c r="BV246" s="416">
        <v>0</v>
      </c>
      <c r="BW246" s="416">
        <v>0</v>
      </c>
      <c r="BX246" s="416">
        <v>0</v>
      </c>
      <c r="BY246" s="416">
        <v>0</v>
      </c>
      <c r="BZ246" s="416">
        <v>0</v>
      </c>
      <c r="CC246" s="21"/>
      <c r="CD246" s="424" t="s">
        <v>363</v>
      </c>
      <c r="CE246" s="433">
        <f t="shared" si="45"/>
        <v>0</v>
      </c>
      <c r="CF246" s="433">
        <f t="shared" si="46"/>
        <v>0</v>
      </c>
      <c r="CG246" s="433">
        <f t="shared" si="47"/>
        <v>0</v>
      </c>
      <c r="CH246" s="433">
        <f t="shared" si="48"/>
        <v>0</v>
      </c>
      <c r="CI246" s="433">
        <f t="shared" si="49"/>
        <v>0</v>
      </c>
      <c r="CJ246" s="433">
        <f t="shared" si="50"/>
        <v>0</v>
      </c>
      <c r="CK246" s="433">
        <f t="shared" si="51"/>
        <v>0</v>
      </c>
      <c r="CL246" s="433">
        <f t="shared" si="52"/>
        <v>0</v>
      </c>
      <c r="CM246" s="433">
        <f t="shared" si="53"/>
        <v>0</v>
      </c>
      <c r="CN246" s="433">
        <f t="shared" si="54"/>
        <v>0</v>
      </c>
      <c r="CO246" s="433">
        <f t="shared" si="55"/>
        <v>0</v>
      </c>
      <c r="CP246" s="433">
        <f t="shared" si="56"/>
        <v>0</v>
      </c>
      <c r="CQ246" s="433">
        <f t="shared" si="57"/>
        <v>0</v>
      </c>
      <c r="CR246" s="433">
        <f t="shared" si="58"/>
        <v>0</v>
      </c>
      <c r="CS246" s="433">
        <f t="shared" si="59"/>
        <v>0</v>
      </c>
      <c r="CT246" s="21"/>
    </row>
    <row r="247" spans="1:98" hidden="1" outlineLevel="1">
      <c r="C247" s="424" t="s">
        <v>369</v>
      </c>
      <c r="D247" s="416">
        <v>0</v>
      </c>
      <c r="E247" s="416">
        <v>0</v>
      </c>
      <c r="F247" s="416">
        <v>0</v>
      </c>
      <c r="G247" s="416">
        <v>0</v>
      </c>
      <c r="H247" s="416">
        <v>0</v>
      </c>
      <c r="I247" s="416">
        <v>0</v>
      </c>
      <c r="J247" s="416">
        <v>0</v>
      </c>
      <c r="K247" s="416">
        <v>0</v>
      </c>
      <c r="L247" s="416">
        <v>0</v>
      </c>
      <c r="M247" s="416">
        <v>0</v>
      </c>
      <c r="N247" s="416">
        <v>0</v>
      </c>
      <c r="O247" s="416">
        <v>0</v>
      </c>
      <c r="P247" s="416">
        <v>0</v>
      </c>
      <c r="Q247" s="416">
        <v>0</v>
      </c>
      <c r="R247" s="416">
        <v>0</v>
      </c>
      <c r="S247" s="416">
        <v>0</v>
      </c>
      <c r="T247" s="416">
        <v>0</v>
      </c>
      <c r="U247" s="416">
        <v>0</v>
      </c>
      <c r="V247" s="416">
        <v>0</v>
      </c>
      <c r="W247" s="416">
        <v>0</v>
      </c>
      <c r="X247" s="416">
        <v>0</v>
      </c>
      <c r="Y247" s="416">
        <v>0</v>
      </c>
      <c r="Z247" s="416">
        <v>0</v>
      </c>
      <c r="AA247" s="416">
        <v>0</v>
      </c>
      <c r="AB247" s="416">
        <v>0</v>
      </c>
      <c r="AC247" s="416">
        <v>0</v>
      </c>
      <c r="AD247" s="416">
        <v>0</v>
      </c>
      <c r="AE247" s="416">
        <v>0</v>
      </c>
      <c r="AF247" s="416">
        <v>0</v>
      </c>
      <c r="AG247" s="416">
        <v>0</v>
      </c>
      <c r="AH247" s="416">
        <v>0</v>
      </c>
      <c r="AI247" s="416">
        <v>0</v>
      </c>
      <c r="AJ247" s="416">
        <v>0</v>
      </c>
      <c r="AK247" s="416">
        <v>0</v>
      </c>
      <c r="AL247" s="416">
        <v>0</v>
      </c>
      <c r="AM247" s="416">
        <v>0</v>
      </c>
      <c r="AN247" s="416">
        <v>0</v>
      </c>
      <c r="AO247" s="416">
        <v>0</v>
      </c>
      <c r="AP247" s="416">
        <v>0</v>
      </c>
      <c r="AQ247" s="416">
        <v>0</v>
      </c>
      <c r="AR247" s="416">
        <v>0</v>
      </c>
      <c r="AS247" s="416">
        <v>0</v>
      </c>
      <c r="AT247" s="416">
        <v>0</v>
      </c>
      <c r="AU247" s="416">
        <v>0</v>
      </c>
      <c r="AV247" s="416">
        <v>0</v>
      </c>
      <c r="AW247" s="416">
        <v>0</v>
      </c>
      <c r="AX247" s="416">
        <v>0</v>
      </c>
      <c r="AY247" s="416">
        <v>0</v>
      </c>
      <c r="AZ247" s="416">
        <v>0</v>
      </c>
      <c r="BA247" s="416">
        <v>0</v>
      </c>
      <c r="BB247" s="416">
        <v>0</v>
      </c>
      <c r="BC247" s="416">
        <v>0</v>
      </c>
      <c r="BD247" s="416">
        <v>0</v>
      </c>
      <c r="BE247" s="416">
        <v>0</v>
      </c>
      <c r="BF247" s="416">
        <v>0</v>
      </c>
      <c r="BG247" s="416">
        <v>0</v>
      </c>
      <c r="BH247" s="416">
        <v>0</v>
      </c>
      <c r="BI247" s="416">
        <v>0</v>
      </c>
      <c r="BJ247" s="416">
        <v>0</v>
      </c>
      <c r="BK247" s="416">
        <v>0</v>
      </c>
      <c r="BL247" s="416">
        <v>0</v>
      </c>
      <c r="BM247" s="416">
        <v>0</v>
      </c>
      <c r="BN247" s="416">
        <v>0</v>
      </c>
      <c r="BO247" s="416">
        <v>0</v>
      </c>
      <c r="BP247" s="416">
        <v>0</v>
      </c>
      <c r="BQ247" s="416">
        <v>0</v>
      </c>
      <c r="BR247" s="416">
        <v>0</v>
      </c>
      <c r="BS247" s="416">
        <v>0</v>
      </c>
      <c r="BT247" s="416">
        <v>0</v>
      </c>
      <c r="BU247" s="416">
        <v>0</v>
      </c>
      <c r="BV247" s="416">
        <v>0</v>
      </c>
      <c r="BW247" s="416">
        <v>0</v>
      </c>
      <c r="BX247" s="416">
        <v>0</v>
      </c>
      <c r="BY247" s="416">
        <v>0</v>
      </c>
      <c r="BZ247" s="416">
        <v>0</v>
      </c>
      <c r="CC247" s="21"/>
      <c r="CD247" s="424" t="s">
        <v>369</v>
      </c>
      <c r="CE247" s="433">
        <f t="shared" si="45"/>
        <v>0</v>
      </c>
      <c r="CF247" s="433">
        <f t="shared" si="46"/>
        <v>0</v>
      </c>
      <c r="CG247" s="433">
        <f t="shared" si="47"/>
        <v>0</v>
      </c>
      <c r="CH247" s="433">
        <f t="shared" si="48"/>
        <v>0</v>
      </c>
      <c r="CI247" s="433">
        <f t="shared" si="49"/>
        <v>0</v>
      </c>
      <c r="CJ247" s="433">
        <f t="shared" si="50"/>
        <v>0</v>
      </c>
      <c r="CK247" s="433">
        <f t="shared" si="51"/>
        <v>0</v>
      </c>
      <c r="CL247" s="433">
        <f t="shared" si="52"/>
        <v>0</v>
      </c>
      <c r="CM247" s="433">
        <f t="shared" si="53"/>
        <v>0</v>
      </c>
      <c r="CN247" s="433">
        <f t="shared" si="54"/>
        <v>0</v>
      </c>
      <c r="CO247" s="433">
        <f t="shared" si="55"/>
        <v>0</v>
      </c>
      <c r="CP247" s="433">
        <f t="shared" si="56"/>
        <v>0</v>
      </c>
      <c r="CQ247" s="433">
        <f t="shared" si="57"/>
        <v>0</v>
      </c>
      <c r="CR247" s="433">
        <f t="shared" si="58"/>
        <v>0</v>
      </c>
      <c r="CS247" s="433">
        <f t="shared" si="59"/>
        <v>0</v>
      </c>
      <c r="CT247" s="21"/>
    </row>
    <row r="248" spans="1:98" collapsed="1">
      <c r="C248" s="415" t="s">
        <v>362</v>
      </c>
      <c r="D248" s="416">
        <v>0</v>
      </c>
      <c r="E248" s="416">
        <v>0</v>
      </c>
      <c r="F248" s="416">
        <v>0</v>
      </c>
      <c r="G248" s="416">
        <v>0</v>
      </c>
      <c r="H248" s="416">
        <v>0</v>
      </c>
      <c r="I248" s="416">
        <v>0</v>
      </c>
      <c r="J248" s="416">
        <v>0</v>
      </c>
      <c r="K248" s="416">
        <v>0</v>
      </c>
      <c r="L248" s="416">
        <v>0</v>
      </c>
      <c r="M248" s="416">
        <v>0</v>
      </c>
      <c r="N248" s="416">
        <v>0</v>
      </c>
      <c r="O248" s="416">
        <v>0</v>
      </c>
      <c r="P248" s="416">
        <v>0</v>
      </c>
      <c r="Q248" s="416">
        <v>0</v>
      </c>
      <c r="R248" s="416">
        <v>0</v>
      </c>
      <c r="S248" s="416">
        <v>0</v>
      </c>
      <c r="T248" s="416">
        <v>0</v>
      </c>
      <c r="U248" s="416">
        <v>0</v>
      </c>
      <c r="V248" s="416">
        <v>0</v>
      </c>
      <c r="W248" s="416">
        <v>0</v>
      </c>
      <c r="X248" s="416">
        <v>0</v>
      </c>
      <c r="Y248" s="416">
        <v>0</v>
      </c>
      <c r="Z248" s="416">
        <v>0</v>
      </c>
      <c r="AA248" s="416">
        <v>0</v>
      </c>
      <c r="AB248" s="416">
        <v>0</v>
      </c>
      <c r="AC248" s="416">
        <v>0</v>
      </c>
      <c r="AD248" s="416">
        <v>0</v>
      </c>
      <c r="AE248" s="416">
        <v>0</v>
      </c>
      <c r="AF248" s="416">
        <v>0</v>
      </c>
      <c r="AG248" s="416">
        <v>0</v>
      </c>
      <c r="AH248" s="416">
        <v>0</v>
      </c>
      <c r="AI248" s="416">
        <v>0</v>
      </c>
      <c r="AJ248" s="416">
        <v>0</v>
      </c>
      <c r="AK248" s="416">
        <v>0</v>
      </c>
      <c r="AL248" s="416">
        <v>0</v>
      </c>
      <c r="AM248" s="416">
        <v>0</v>
      </c>
      <c r="AN248" s="416">
        <v>0</v>
      </c>
      <c r="AO248" s="416">
        <v>0</v>
      </c>
      <c r="AP248" s="416">
        <v>0</v>
      </c>
      <c r="AQ248" s="416">
        <v>0</v>
      </c>
      <c r="AR248" s="416">
        <v>0</v>
      </c>
      <c r="AS248" s="416">
        <v>0</v>
      </c>
      <c r="AT248" s="416">
        <v>0</v>
      </c>
      <c r="AU248" s="416">
        <v>0</v>
      </c>
      <c r="AV248" s="416">
        <v>0</v>
      </c>
      <c r="AW248" s="416">
        <v>0</v>
      </c>
      <c r="AX248" s="416">
        <v>0</v>
      </c>
      <c r="AY248" s="416">
        <v>0</v>
      </c>
      <c r="AZ248" s="416">
        <v>0</v>
      </c>
      <c r="BA248" s="416">
        <v>0</v>
      </c>
      <c r="BB248" s="416">
        <v>0</v>
      </c>
      <c r="BC248" s="416">
        <v>0</v>
      </c>
      <c r="BD248" s="416">
        <v>0</v>
      </c>
      <c r="BE248" s="416">
        <v>0</v>
      </c>
      <c r="BF248" s="416">
        <v>0</v>
      </c>
      <c r="BG248" s="416">
        <v>0</v>
      </c>
      <c r="BH248" s="416">
        <v>0</v>
      </c>
      <c r="BI248" s="416">
        <v>0</v>
      </c>
      <c r="BJ248" s="416">
        <v>0</v>
      </c>
      <c r="BK248" s="416">
        <v>0</v>
      </c>
      <c r="BL248" s="416">
        <v>0</v>
      </c>
      <c r="BM248" s="416">
        <v>0</v>
      </c>
      <c r="BN248" s="416">
        <v>0</v>
      </c>
      <c r="BO248" s="416">
        <v>0</v>
      </c>
      <c r="BP248" s="416">
        <v>0</v>
      </c>
      <c r="BQ248" s="416">
        <v>0</v>
      </c>
      <c r="BR248" s="416">
        <v>0</v>
      </c>
      <c r="BS248" s="416">
        <v>0</v>
      </c>
      <c r="BT248" s="416">
        <v>0</v>
      </c>
      <c r="BU248" s="416">
        <v>0</v>
      </c>
      <c r="BV248" s="416">
        <v>0</v>
      </c>
      <c r="BW248" s="416">
        <v>0</v>
      </c>
      <c r="BX248" s="416">
        <v>0</v>
      </c>
      <c r="BY248" s="416">
        <v>0</v>
      </c>
      <c r="BZ248" s="416">
        <v>0</v>
      </c>
      <c r="CC248" s="21"/>
      <c r="CD248" s="415" t="s">
        <v>362</v>
      </c>
      <c r="CE248" s="433">
        <f t="shared" si="45"/>
        <v>0</v>
      </c>
      <c r="CF248" s="433">
        <f t="shared" si="46"/>
        <v>0</v>
      </c>
      <c r="CG248" s="433">
        <f t="shared" si="47"/>
        <v>0</v>
      </c>
      <c r="CH248" s="433">
        <f t="shared" si="48"/>
        <v>0</v>
      </c>
      <c r="CI248" s="433">
        <f t="shared" si="49"/>
        <v>0</v>
      </c>
      <c r="CJ248" s="433">
        <f t="shared" si="50"/>
        <v>0</v>
      </c>
      <c r="CK248" s="433">
        <f t="shared" si="51"/>
        <v>0</v>
      </c>
      <c r="CL248" s="433">
        <f t="shared" si="52"/>
        <v>0</v>
      </c>
      <c r="CM248" s="433">
        <f t="shared" si="53"/>
        <v>0</v>
      </c>
      <c r="CN248" s="433">
        <f t="shared" si="54"/>
        <v>0</v>
      </c>
      <c r="CO248" s="433">
        <f t="shared" si="55"/>
        <v>0</v>
      </c>
      <c r="CP248" s="433">
        <f t="shared" si="56"/>
        <v>0</v>
      </c>
      <c r="CQ248" s="433">
        <f t="shared" si="57"/>
        <v>0</v>
      </c>
      <c r="CR248" s="433">
        <f t="shared" si="58"/>
        <v>0</v>
      </c>
      <c r="CS248" s="433">
        <f t="shared" si="59"/>
        <v>0</v>
      </c>
      <c r="CT248" s="21"/>
    </row>
    <row r="249" spans="1:98">
      <c r="C249" s="415" t="s">
        <v>370</v>
      </c>
      <c r="D249" s="416">
        <v>0</v>
      </c>
      <c r="E249" s="416">
        <v>0</v>
      </c>
      <c r="F249" s="416">
        <v>0</v>
      </c>
      <c r="G249" s="416">
        <v>0</v>
      </c>
      <c r="H249" s="416">
        <v>0</v>
      </c>
      <c r="I249" s="416">
        <v>0</v>
      </c>
      <c r="J249" s="416">
        <v>0</v>
      </c>
      <c r="K249" s="416">
        <v>0</v>
      </c>
      <c r="L249" s="416">
        <v>0</v>
      </c>
      <c r="M249" s="416">
        <v>0</v>
      </c>
      <c r="N249" s="416">
        <v>0</v>
      </c>
      <c r="O249" s="416">
        <v>0</v>
      </c>
      <c r="P249" s="416">
        <v>0</v>
      </c>
      <c r="Q249" s="416">
        <v>0</v>
      </c>
      <c r="R249" s="416">
        <v>0</v>
      </c>
      <c r="S249" s="416">
        <v>0</v>
      </c>
      <c r="T249" s="416">
        <v>0</v>
      </c>
      <c r="U249" s="416">
        <v>0</v>
      </c>
      <c r="V249" s="416">
        <v>0</v>
      </c>
      <c r="W249" s="416">
        <v>0</v>
      </c>
      <c r="X249" s="416">
        <v>0</v>
      </c>
      <c r="Y249" s="416">
        <v>0</v>
      </c>
      <c r="Z249" s="416">
        <v>0</v>
      </c>
      <c r="AA249" s="416">
        <v>0</v>
      </c>
      <c r="AB249" s="416">
        <v>0</v>
      </c>
      <c r="AC249" s="416">
        <v>0</v>
      </c>
      <c r="AD249" s="416">
        <v>0</v>
      </c>
      <c r="AE249" s="416">
        <v>0</v>
      </c>
      <c r="AF249" s="416">
        <v>0</v>
      </c>
      <c r="AG249" s="416">
        <v>0</v>
      </c>
      <c r="AH249" s="416">
        <v>0</v>
      </c>
      <c r="AI249" s="416">
        <v>0</v>
      </c>
      <c r="AJ249" s="416">
        <v>0</v>
      </c>
      <c r="AK249" s="416">
        <v>0</v>
      </c>
      <c r="AL249" s="416">
        <v>0</v>
      </c>
      <c r="AM249" s="416">
        <v>0</v>
      </c>
      <c r="AN249" s="416">
        <v>0</v>
      </c>
      <c r="AO249" s="416">
        <v>0</v>
      </c>
      <c r="AP249" s="416">
        <v>0</v>
      </c>
      <c r="AQ249" s="416">
        <v>0</v>
      </c>
      <c r="AR249" s="416">
        <v>0</v>
      </c>
      <c r="AS249" s="416">
        <v>0</v>
      </c>
      <c r="AT249" s="416">
        <v>0</v>
      </c>
      <c r="AU249" s="416">
        <v>0</v>
      </c>
      <c r="AV249" s="416">
        <v>0</v>
      </c>
      <c r="AW249" s="416">
        <v>0</v>
      </c>
      <c r="AX249" s="416">
        <v>0</v>
      </c>
      <c r="AY249" s="416">
        <v>0</v>
      </c>
      <c r="AZ249" s="416">
        <v>0</v>
      </c>
      <c r="BA249" s="416">
        <v>0</v>
      </c>
      <c r="BB249" s="416">
        <v>0</v>
      </c>
      <c r="BC249" s="416">
        <v>0</v>
      </c>
      <c r="BD249" s="416">
        <v>0</v>
      </c>
      <c r="BE249" s="416">
        <v>0</v>
      </c>
      <c r="BF249" s="416">
        <v>0</v>
      </c>
      <c r="BG249" s="416">
        <v>0</v>
      </c>
      <c r="BH249" s="416">
        <v>0</v>
      </c>
      <c r="BI249" s="416">
        <v>0</v>
      </c>
      <c r="BJ249" s="416">
        <v>0</v>
      </c>
      <c r="BK249" s="416">
        <v>0</v>
      </c>
      <c r="BL249" s="416">
        <v>0</v>
      </c>
      <c r="BM249" s="416">
        <v>0</v>
      </c>
      <c r="BN249" s="416">
        <v>0</v>
      </c>
      <c r="BO249" s="416">
        <v>0</v>
      </c>
      <c r="BP249" s="416">
        <v>0</v>
      </c>
      <c r="BQ249" s="416">
        <v>0</v>
      </c>
      <c r="BR249" s="416">
        <v>0</v>
      </c>
      <c r="BS249" s="416">
        <v>0</v>
      </c>
      <c r="BT249" s="416">
        <v>0</v>
      </c>
      <c r="BU249" s="416">
        <v>0</v>
      </c>
      <c r="BV249" s="416">
        <v>0</v>
      </c>
      <c r="BW249" s="416">
        <v>0</v>
      </c>
      <c r="BX249" s="416">
        <v>0</v>
      </c>
      <c r="BY249" s="416">
        <v>0</v>
      </c>
      <c r="BZ249" s="416">
        <v>0</v>
      </c>
      <c r="CC249" s="21"/>
      <c r="CD249" s="415" t="s">
        <v>370</v>
      </c>
      <c r="CE249" s="433">
        <f t="shared" si="45"/>
        <v>0</v>
      </c>
      <c r="CF249" s="433">
        <f t="shared" si="46"/>
        <v>0</v>
      </c>
      <c r="CG249" s="433">
        <f t="shared" si="47"/>
        <v>0</v>
      </c>
      <c r="CH249" s="433">
        <f t="shared" si="48"/>
        <v>0</v>
      </c>
      <c r="CI249" s="433">
        <f t="shared" si="49"/>
        <v>0</v>
      </c>
      <c r="CJ249" s="433">
        <f t="shared" si="50"/>
        <v>0</v>
      </c>
      <c r="CK249" s="433">
        <f t="shared" si="51"/>
        <v>0</v>
      </c>
      <c r="CL249" s="433">
        <f t="shared" si="52"/>
        <v>0</v>
      </c>
      <c r="CM249" s="433">
        <f t="shared" si="53"/>
        <v>0</v>
      </c>
      <c r="CN249" s="433">
        <f t="shared" si="54"/>
        <v>0</v>
      </c>
      <c r="CO249" s="433">
        <f t="shared" si="55"/>
        <v>0</v>
      </c>
      <c r="CP249" s="433">
        <f t="shared" si="56"/>
        <v>0</v>
      </c>
      <c r="CQ249" s="433">
        <f t="shared" si="57"/>
        <v>0</v>
      </c>
      <c r="CR249" s="433">
        <f t="shared" si="58"/>
        <v>0</v>
      </c>
      <c r="CS249" s="433">
        <f t="shared" si="59"/>
        <v>0</v>
      </c>
      <c r="CT249" s="21"/>
    </row>
    <row r="250" spans="1:98">
      <c r="C250" s="415" t="s">
        <v>371</v>
      </c>
      <c r="D250" s="416">
        <v>0</v>
      </c>
      <c r="E250" s="416">
        <v>0</v>
      </c>
      <c r="F250" s="416">
        <v>0</v>
      </c>
      <c r="G250" s="416">
        <v>0</v>
      </c>
      <c r="H250" s="416">
        <v>0</v>
      </c>
      <c r="I250" s="416">
        <v>0</v>
      </c>
      <c r="J250" s="416">
        <v>0</v>
      </c>
      <c r="K250" s="416">
        <v>0</v>
      </c>
      <c r="L250" s="416">
        <v>0</v>
      </c>
      <c r="M250" s="416">
        <v>0</v>
      </c>
      <c r="N250" s="416">
        <v>0</v>
      </c>
      <c r="O250" s="416">
        <v>0</v>
      </c>
      <c r="P250" s="416">
        <v>0</v>
      </c>
      <c r="Q250" s="416">
        <v>0</v>
      </c>
      <c r="R250" s="416">
        <v>0</v>
      </c>
      <c r="S250" s="416">
        <v>0</v>
      </c>
      <c r="T250" s="416">
        <v>0</v>
      </c>
      <c r="U250" s="416">
        <v>0</v>
      </c>
      <c r="V250" s="416">
        <v>0</v>
      </c>
      <c r="W250" s="416">
        <v>0</v>
      </c>
      <c r="X250" s="416">
        <v>0</v>
      </c>
      <c r="Y250" s="416">
        <v>0</v>
      </c>
      <c r="Z250" s="416">
        <v>0</v>
      </c>
      <c r="AA250" s="416">
        <v>0</v>
      </c>
      <c r="AB250" s="416">
        <v>0</v>
      </c>
      <c r="AC250" s="416">
        <v>0</v>
      </c>
      <c r="AD250" s="416">
        <v>0</v>
      </c>
      <c r="AE250" s="416">
        <v>0</v>
      </c>
      <c r="AF250" s="416">
        <v>0</v>
      </c>
      <c r="AG250" s="416">
        <v>0</v>
      </c>
      <c r="AH250" s="416">
        <v>0</v>
      </c>
      <c r="AI250" s="416">
        <v>0</v>
      </c>
      <c r="AJ250" s="416">
        <v>0</v>
      </c>
      <c r="AK250" s="416">
        <v>0</v>
      </c>
      <c r="AL250" s="416">
        <v>0</v>
      </c>
      <c r="AM250" s="416">
        <v>0</v>
      </c>
      <c r="AN250" s="416">
        <v>0</v>
      </c>
      <c r="AO250" s="416">
        <v>0</v>
      </c>
      <c r="AP250" s="416">
        <v>0</v>
      </c>
      <c r="AQ250" s="416">
        <v>0</v>
      </c>
      <c r="AR250" s="416">
        <v>0</v>
      </c>
      <c r="AS250" s="416">
        <v>0</v>
      </c>
      <c r="AT250" s="416">
        <v>0</v>
      </c>
      <c r="AU250" s="416">
        <v>0</v>
      </c>
      <c r="AV250" s="416">
        <v>0</v>
      </c>
      <c r="AW250" s="416">
        <v>0</v>
      </c>
      <c r="AX250" s="416">
        <v>0</v>
      </c>
      <c r="AY250" s="416">
        <v>0</v>
      </c>
      <c r="AZ250" s="416">
        <v>0</v>
      </c>
      <c r="BA250" s="416">
        <v>0</v>
      </c>
      <c r="BB250" s="416">
        <v>0</v>
      </c>
      <c r="BC250" s="416">
        <v>0</v>
      </c>
      <c r="BD250" s="416">
        <v>0</v>
      </c>
      <c r="BE250" s="416">
        <v>0</v>
      </c>
      <c r="BF250" s="416">
        <v>0</v>
      </c>
      <c r="BG250" s="416">
        <v>0</v>
      </c>
      <c r="BH250" s="416">
        <v>0</v>
      </c>
      <c r="BI250" s="416">
        <v>0</v>
      </c>
      <c r="BJ250" s="416">
        <v>0</v>
      </c>
      <c r="BK250" s="416">
        <v>0</v>
      </c>
      <c r="BL250" s="416">
        <v>0</v>
      </c>
      <c r="BM250" s="416">
        <v>0</v>
      </c>
      <c r="BN250" s="416">
        <v>0</v>
      </c>
      <c r="BO250" s="416">
        <v>0</v>
      </c>
      <c r="BP250" s="416">
        <v>0</v>
      </c>
      <c r="BQ250" s="416">
        <v>0</v>
      </c>
      <c r="BR250" s="416">
        <v>0</v>
      </c>
      <c r="BS250" s="416">
        <v>0</v>
      </c>
      <c r="BT250" s="416">
        <v>0</v>
      </c>
      <c r="BU250" s="416">
        <v>0</v>
      </c>
      <c r="BV250" s="416">
        <v>0</v>
      </c>
      <c r="BW250" s="416">
        <v>0</v>
      </c>
      <c r="BX250" s="416">
        <v>0</v>
      </c>
      <c r="BY250" s="416">
        <v>0</v>
      </c>
      <c r="BZ250" s="416">
        <v>0</v>
      </c>
      <c r="CC250" s="21"/>
      <c r="CD250" s="415" t="s">
        <v>371</v>
      </c>
      <c r="CE250" s="433">
        <f t="shared" si="45"/>
        <v>0</v>
      </c>
      <c r="CF250" s="433">
        <f t="shared" si="46"/>
        <v>0</v>
      </c>
      <c r="CG250" s="433">
        <f t="shared" si="47"/>
        <v>0</v>
      </c>
      <c r="CH250" s="433">
        <f t="shared" si="48"/>
        <v>0</v>
      </c>
      <c r="CI250" s="433">
        <f t="shared" si="49"/>
        <v>0</v>
      </c>
      <c r="CJ250" s="433">
        <f t="shared" si="50"/>
        <v>0</v>
      </c>
      <c r="CK250" s="433">
        <f t="shared" si="51"/>
        <v>0</v>
      </c>
      <c r="CL250" s="433">
        <f t="shared" si="52"/>
        <v>0</v>
      </c>
      <c r="CM250" s="433">
        <f t="shared" si="53"/>
        <v>0</v>
      </c>
      <c r="CN250" s="433">
        <f t="shared" si="54"/>
        <v>0</v>
      </c>
      <c r="CO250" s="433">
        <f t="shared" si="55"/>
        <v>0</v>
      </c>
      <c r="CP250" s="433">
        <f t="shared" si="56"/>
        <v>0</v>
      </c>
      <c r="CQ250" s="433">
        <f t="shared" si="57"/>
        <v>0</v>
      </c>
      <c r="CR250" s="433">
        <f t="shared" si="58"/>
        <v>0</v>
      </c>
      <c r="CS250" s="433">
        <f t="shared" si="59"/>
        <v>0</v>
      </c>
      <c r="CT250" s="21"/>
    </row>
    <row r="251" spans="1:98">
      <c r="C251" s="415" t="s">
        <v>372</v>
      </c>
      <c r="D251" s="416">
        <v>0</v>
      </c>
      <c r="E251" s="416">
        <v>0</v>
      </c>
      <c r="F251" s="416">
        <v>0</v>
      </c>
      <c r="G251" s="416">
        <v>0</v>
      </c>
      <c r="H251" s="416">
        <v>0</v>
      </c>
      <c r="I251" s="416">
        <v>0</v>
      </c>
      <c r="J251" s="416">
        <v>0</v>
      </c>
      <c r="K251" s="416">
        <v>0</v>
      </c>
      <c r="L251" s="416">
        <v>0</v>
      </c>
      <c r="M251" s="416">
        <v>0</v>
      </c>
      <c r="N251" s="416">
        <v>0</v>
      </c>
      <c r="O251" s="416">
        <v>0</v>
      </c>
      <c r="P251" s="416">
        <v>0</v>
      </c>
      <c r="Q251" s="416">
        <v>0</v>
      </c>
      <c r="R251" s="416">
        <v>0</v>
      </c>
      <c r="S251" s="416">
        <v>0</v>
      </c>
      <c r="T251" s="416">
        <v>0</v>
      </c>
      <c r="U251" s="416">
        <v>0</v>
      </c>
      <c r="V251" s="416">
        <v>0</v>
      </c>
      <c r="W251" s="416">
        <v>0</v>
      </c>
      <c r="X251" s="416">
        <v>0</v>
      </c>
      <c r="Y251" s="416">
        <v>0</v>
      </c>
      <c r="Z251" s="416">
        <v>0</v>
      </c>
      <c r="AA251" s="416">
        <v>0</v>
      </c>
      <c r="AB251" s="416">
        <v>0</v>
      </c>
      <c r="AC251" s="416">
        <v>0</v>
      </c>
      <c r="AD251" s="416">
        <v>0</v>
      </c>
      <c r="AE251" s="416">
        <v>0</v>
      </c>
      <c r="AF251" s="416">
        <v>0</v>
      </c>
      <c r="AG251" s="416">
        <v>0</v>
      </c>
      <c r="AH251" s="416">
        <v>0</v>
      </c>
      <c r="AI251" s="416">
        <v>0</v>
      </c>
      <c r="AJ251" s="416">
        <v>0</v>
      </c>
      <c r="AK251" s="416">
        <v>0</v>
      </c>
      <c r="AL251" s="416">
        <v>0</v>
      </c>
      <c r="AM251" s="416">
        <v>0</v>
      </c>
      <c r="AN251" s="416">
        <v>0</v>
      </c>
      <c r="AO251" s="416">
        <v>0</v>
      </c>
      <c r="AP251" s="416">
        <v>0</v>
      </c>
      <c r="AQ251" s="416">
        <v>0</v>
      </c>
      <c r="AR251" s="416">
        <v>0</v>
      </c>
      <c r="AS251" s="416">
        <v>0</v>
      </c>
      <c r="AT251" s="416">
        <v>0</v>
      </c>
      <c r="AU251" s="416">
        <v>0</v>
      </c>
      <c r="AV251" s="416">
        <v>0</v>
      </c>
      <c r="AW251" s="416">
        <v>0</v>
      </c>
      <c r="AX251" s="416">
        <v>0</v>
      </c>
      <c r="AY251" s="416">
        <v>0</v>
      </c>
      <c r="AZ251" s="416">
        <v>0</v>
      </c>
      <c r="BA251" s="416">
        <v>0</v>
      </c>
      <c r="BB251" s="416">
        <v>0</v>
      </c>
      <c r="BC251" s="416">
        <v>0</v>
      </c>
      <c r="BD251" s="416">
        <v>0</v>
      </c>
      <c r="BE251" s="416">
        <v>0</v>
      </c>
      <c r="BF251" s="416">
        <v>0</v>
      </c>
      <c r="BG251" s="416">
        <v>0</v>
      </c>
      <c r="BH251" s="416">
        <v>0</v>
      </c>
      <c r="BI251" s="416">
        <v>0</v>
      </c>
      <c r="BJ251" s="416">
        <v>0</v>
      </c>
      <c r="BK251" s="416">
        <v>0</v>
      </c>
      <c r="BL251" s="416">
        <v>0</v>
      </c>
      <c r="BM251" s="416">
        <v>0</v>
      </c>
      <c r="BN251" s="416">
        <v>0</v>
      </c>
      <c r="BO251" s="416">
        <v>0</v>
      </c>
      <c r="BP251" s="416">
        <v>0</v>
      </c>
      <c r="BQ251" s="416">
        <v>0</v>
      </c>
      <c r="BR251" s="416">
        <v>0</v>
      </c>
      <c r="BS251" s="416">
        <v>0</v>
      </c>
      <c r="BT251" s="416">
        <v>0</v>
      </c>
      <c r="BU251" s="416">
        <v>0</v>
      </c>
      <c r="BV251" s="416">
        <v>0</v>
      </c>
      <c r="BW251" s="416">
        <v>0</v>
      </c>
      <c r="BX251" s="416">
        <v>0</v>
      </c>
      <c r="BY251" s="416">
        <v>0</v>
      </c>
      <c r="BZ251" s="416">
        <v>0</v>
      </c>
      <c r="CC251" s="21"/>
      <c r="CD251" s="415" t="s">
        <v>372</v>
      </c>
      <c r="CE251" s="433">
        <f t="shared" si="45"/>
        <v>0</v>
      </c>
      <c r="CF251" s="433">
        <f t="shared" si="46"/>
        <v>0</v>
      </c>
      <c r="CG251" s="433">
        <f t="shared" si="47"/>
        <v>0</v>
      </c>
      <c r="CH251" s="433">
        <f t="shared" si="48"/>
        <v>0</v>
      </c>
      <c r="CI251" s="433">
        <f t="shared" si="49"/>
        <v>0</v>
      </c>
      <c r="CJ251" s="433">
        <f t="shared" si="50"/>
        <v>0</v>
      </c>
      <c r="CK251" s="433">
        <f t="shared" si="51"/>
        <v>0</v>
      </c>
      <c r="CL251" s="433">
        <f t="shared" si="52"/>
        <v>0</v>
      </c>
      <c r="CM251" s="433">
        <f t="shared" si="53"/>
        <v>0</v>
      </c>
      <c r="CN251" s="433">
        <f t="shared" si="54"/>
        <v>0</v>
      </c>
      <c r="CO251" s="433">
        <f t="shared" si="55"/>
        <v>0</v>
      </c>
      <c r="CP251" s="433">
        <f t="shared" si="56"/>
        <v>0</v>
      </c>
      <c r="CQ251" s="433">
        <f t="shared" si="57"/>
        <v>0</v>
      </c>
      <c r="CR251" s="433">
        <f t="shared" si="58"/>
        <v>0</v>
      </c>
      <c r="CS251" s="433">
        <f t="shared" si="59"/>
        <v>0</v>
      </c>
      <c r="CT251" s="21"/>
    </row>
    <row r="252" spans="1:98">
      <c r="C252" s="415" t="s">
        <v>373</v>
      </c>
      <c r="D252" s="416">
        <v>0</v>
      </c>
      <c r="E252" s="416">
        <v>0</v>
      </c>
      <c r="F252" s="416">
        <v>0</v>
      </c>
      <c r="G252" s="416">
        <v>0</v>
      </c>
      <c r="H252" s="416">
        <v>0</v>
      </c>
      <c r="I252" s="416">
        <v>0</v>
      </c>
      <c r="J252" s="416">
        <v>0</v>
      </c>
      <c r="K252" s="416">
        <v>0</v>
      </c>
      <c r="L252" s="416">
        <v>0</v>
      </c>
      <c r="M252" s="416">
        <v>0</v>
      </c>
      <c r="N252" s="416">
        <v>0</v>
      </c>
      <c r="O252" s="416">
        <v>0</v>
      </c>
      <c r="P252" s="416">
        <v>0</v>
      </c>
      <c r="Q252" s="416">
        <v>0</v>
      </c>
      <c r="R252" s="416">
        <v>0</v>
      </c>
      <c r="S252" s="416">
        <v>0</v>
      </c>
      <c r="T252" s="416">
        <v>0</v>
      </c>
      <c r="U252" s="416">
        <v>0</v>
      </c>
      <c r="V252" s="416">
        <v>0</v>
      </c>
      <c r="W252" s="416">
        <v>0</v>
      </c>
      <c r="X252" s="416">
        <v>0</v>
      </c>
      <c r="Y252" s="416">
        <v>0</v>
      </c>
      <c r="Z252" s="416">
        <v>0</v>
      </c>
      <c r="AA252" s="416">
        <v>0</v>
      </c>
      <c r="AB252" s="416">
        <v>0</v>
      </c>
      <c r="AC252" s="416">
        <v>0</v>
      </c>
      <c r="AD252" s="416">
        <v>0</v>
      </c>
      <c r="AE252" s="416">
        <v>0</v>
      </c>
      <c r="AF252" s="416">
        <v>0</v>
      </c>
      <c r="AG252" s="416">
        <v>0</v>
      </c>
      <c r="AH252" s="416">
        <v>0</v>
      </c>
      <c r="AI252" s="416">
        <v>0</v>
      </c>
      <c r="AJ252" s="416">
        <v>0</v>
      </c>
      <c r="AK252" s="416">
        <v>0</v>
      </c>
      <c r="AL252" s="416">
        <v>0</v>
      </c>
      <c r="AM252" s="416">
        <v>0</v>
      </c>
      <c r="AN252" s="416">
        <v>0</v>
      </c>
      <c r="AO252" s="416">
        <v>0</v>
      </c>
      <c r="AP252" s="416">
        <v>0</v>
      </c>
      <c r="AQ252" s="416">
        <v>0</v>
      </c>
      <c r="AR252" s="416">
        <v>0</v>
      </c>
      <c r="AS252" s="416">
        <v>0</v>
      </c>
      <c r="AT252" s="416">
        <v>0</v>
      </c>
      <c r="AU252" s="416">
        <v>0</v>
      </c>
      <c r="AV252" s="416">
        <v>0</v>
      </c>
      <c r="AW252" s="416">
        <v>0</v>
      </c>
      <c r="AX252" s="416">
        <v>0</v>
      </c>
      <c r="AY252" s="416">
        <v>0</v>
      </c>
      <c r="AZ252" s="416">
        <v>0</v>
      </c>
      <c r="BA252" s="416">
        <v>0</v>
      </c>
      <c r="BB252" s="416">
        <v>0</v>
      </c>
      <c r="BC252" s="416">
        <v>0</v>
      </c>
      <c r="BD252" s="416">
        <v>0</v>
      </c>
      <c r="BE252" s="416">
        <v>0</v>
      </c>
      <c r="BF252" s="416">
        <v>0</v>
      </c>
      <c r="BG252" s="416">
        <v>0</v>
      </c>
      <c r="BH252" s="416">
        <v>0</v>
      </c>
      <c r="BI252" s="416">
        <v>0</v>
      </c>
      <c r="BJ252" s="416">
        <v>0</v>
      </c>
      <c r="BK252" s="416">
        <v>0</v>
      </c>
      <c r="BL252" s="416">
        <v>0</v>
      </c>
      <c r="BM252" s="416">
        <v>0</v>
      </c>
      <c r="BN252" s="416">
        <v>14.827999999999999</v>
      </c>
      <c r="BO252" s="416">
        <v>14.827999999999999</v>
      </c>
      <c r="BP252" s="416">
        <v>14.827999999999999</v>
      </c>
      <c r="BQ252" s="416">
        <v>23.988</v>
      </c>
      <c r="BR252" s="416">
        <v>12.208</v>
      </c>
      <c r="BS252" s="416">
        <v>27.545000000000002</v>
      </c>
      <c r="BT252" s="416">
        <v>19.530999999999999</v>
      </c>
      <c r="BU252" s="416">
        <v>19.530999999999999</v>
      </c>
      <c r="BV252" s="416">
        <v>17.187999999999999</v>
      </c>
      <c r="BW252" s="416">
        <v>14.252000000000001</v>
      </c>
      <c r="BX252" s="416">
        <v>3.395</v>
      </c>
      <c r="BY252" s="416">
        <v>0</v>
      </c>
      <c r="BZ252" s="416">
        <v>0</v>
      </c>
      <c r="CC252" s="21"/>
      <c r="CD252" s="415" t="s">
        <v>373</v>
      </c>
      <c r="CE252" s="433">
        <f t="shared" si="45"/>
        <v>0</v>
      </c>
      <c r="CF252" s="433">
        <f t="shared" si="46"/>
        <v>0</v>
      </c>
      <c r="CG252" s="433">
        <f t="shared" si="47"/>
        <v>0</v>
      </c>
      <c r="CH252" s="433">
        <f t="shared" si="48"/>
        <v>0</v>
      </c>
      <c r="CI252" s="433">
        <f t="shared" si="49"/>
        <v>0</v>
      </c>
      <c r="CJ252" s="433">
        <f t="shared" si="50"/>
        <v>0</v>
      </c>
      <c r="CK252" s="433">
        <f t="shared" si="51"/>
        <v>0</v>
      </c>
      <c r="CL252" s="433">
        <f t="shared" si="52"/>
        <v>0</v>
      </c>
      <c r="CM252" s="433">
        <f t="shared" si="53"/>
        <v>0</v>
      </c>
      <c r="CN252" s="433">
        <f t="shared" si="54"/>
        <v>0</v>
      </c>
      <c r="CO252" s="433">
        <f t="shared" si="55"/>
        <v>0</v>
      </c>
      <c r="CP252" s="433">
        <f t="shared" si="56"/>
        <v>0</v>
      </c>
      <c r="CQ252" s="433">
        <f t="shared" si="57"/>
        <v>14.827999999999999</v>
      </c>
      <c r="CR252" s="433">
        <f t="shared" si="58"/>
        <v>19.530999999999999</v>
      </c>
      <c r="CS252" s="433">
        <f t="shared" si="59"/>
        <v>0</v>
      </c>
      <c r="CT252" s="21"/>
    </row>
    <row r="253" spans="1:98">
      <c r="C253" s="415" t="s">
        <v>374</v>
      </c>
      <c r="D253" s="416">
        <v>0</v>
      </c>
      <c r="E253" s="416">
        <v>0</v>
      </c>
      <c r="F253" s="416">
        <v>0</v>
      </c>
      <c r="G253" s="416">
        <v>0</v>
      </c>
      <c r="H253" s="416">
        <v>0</v>
      </c>
      <c r="I253" s="416">
        <v>0</v>
      </c>
      <c r="J253" s="416">
        <v>0</v>
      </c>
      <c r="K253" s="416">
        <v>0</v>
      </c>
      <c r="L253" s="416">
        <v>0</v>
      </c>
      <c r="M253" s="416">
        <v>0</v>
      </c>
      <c r="N253" s="416">
        <v>0</v>
      </c>
      <c r="O253" s="416">
        <v>0</v>
      </c>
      <c r="P253" s="416">
        <v>0</v>
      </c>
      <c r="Q253" s="416">
        <v>0</v>
      </c>
      <c r="R253" s="416">
        <v>0</v>
      </c>
      <c r="S253" s="416">
        <v>0</v>
      </c>
      <c r="T253" s="416">
        <v>0</v>
      </c>
      <c r="U253" s="416">
        <v>0</v>
      </c>
      <c r="V253" s="416">
        <v>0</v>
      </c>
      <c r="W253" s="416">
        <v>0</v>
      </c>
      <c r="X253" s="416">
        <v>0</v>
      </c>
      <c r="Y253" s="416">
        <v>0</v>
      </c>
      <c r="Z253" s="416">
        <v>0</v>
      </c>
      <c r="AA253" s="416">
        <v>0</v>
      </c>
      <c r="AB253" s="416">
        <v>0</v>
      </c>
      <c r="AC253" s="416">
        <v>0</v>
      </c>
      <c r="AD253" s="416">
        <v>0</v>
      </c>
      <c r="AE253" s="416">
        <v>0</v>
      </c>
      <c r="AF253" s="416">
        <v>0</v>
      </c>
      <c r="AG253" s="416">
        <v>0</v>
      </c>
      <c r="AH253" s="416">
        <v>0</v>
      </c>
      <c r="AI253" s="416">
        <v>0</v>
      </c>
      <c r="AJ253" s="416">
        <v>0</v>
      </c>
      <c r="AK253" s="416">
        <v>0</v>
      </c>
      <c r="AL253" s="416">
        <v>0</v>
      </c>
      <c r="AM253" s="416">
        <v>0</v>
      </c>
      <c r="AN253" s="416">
        <v>0</v>
      </c>
      <c r="AO253" s="416">
        <v>0</v>
      </c>
      <c r="AP253" s="416">
        <v>0</v>
      </c>
      <c r="AQ253" s="416">
        <v>0</v>
      </c>
      <c r="AR253" s="416">
        <v>0</v>
      </c>
      <c r="AS253" s="416">
        <v>0</v>
      </c>
      <c r="AT253" s="416">
        <v>0</v>
      </c>
      <c r="AU253" s="416">
        <v>0</v>
      </c>
      <c r="AV253" s="416">
        <v>0</v>
      </c>
      <c r="AW253" s="416">
        <v>0</v>
      </c>
      <c r="AX253" s="416">
        <v>0</v>
      </c>
      <c r="AY253" s="416">
        <v>0</v>
      </c>
      <c r="AZ253" s="416">
        <v>0</v>
      </c>
      <c r="BA253" s="416">
        <v>0</v>
      </c>
      <c r="BB253" s="416">
        <v>0</v>
      </c>
      <c r="BC253" s="416">
        <v>0</v>
      </c>
      <c r="BD253" s="416">
        <v>0</v>
      </c>
      <c r="BE253" s="416">
        <v>0</v>
      </c>
      <c r="BF253" s="416">
        <v>564.697</v>
      </c>
      <c r="BG253" s="416">
        <v>0</v>
      </c>
      <c r="BH253" s="416">
        <v>0</v>
      </c>
      <c r="BI253" s="416">
        <v>0</v>
      </c>
      <c r="BJ253" s="416">
        <v>562.46699999999998</v>
      </c>
      <c r="BK253" s="416">
        <v>562.46699999999998</v>
      </c>
      <c r="BL253" s="416">
        <v>552.03700000000003</v>
      </c>
      <c r="BM253" s="416">
        <v>0</v>
      </c>
      <c r="BN253" s="416">
        <v>0</v>
      </c>
      <c r="BO253" s="416">
        <v>0</v>
      </c>
      <c r="BP253" s="416">
        <v>0</v>
      </c>
      <c r="BQ253" s="416">
        <v>0</v>
      </c>
      <c r="BR253" s="416">
        <v>0</v>
      </c>
      <c r="BS253" s="416">
        <v>0</v>
      </c>
      <c r="BT253" s="416">
        <v>0</v>
      </c>
      <c r="BU253" s="416">
        <v>0</v>
      </c>
      <c r="BV253" s="416">
        <v>0</v>
      </c>
      <c r="BW253" s="416">
        <v>0</v>
      </c>
      <c r="BX253" s="416">
        <v>0</v>
      </c>
      <c r="BY253" s="416">
        <v>0</v>
      </c>
      <c r="BZ253" s="416">
        <v>0</v>
      </c>
      <c r="CC253" s="21"/>
      <c r="CD253" s="415" t="s">
        <v>374</v>
      </c>
      <c r="CE253" s="444">
        <f t="shared" si="45"/>
        <v>0</v>
      </c>
      <c r="CF253" s="444">
        <f t="shared" si="46"/>
        <v>0</v>
      </c>
      <c r="CG253" s="444">
        <f t="shared" si="47"/>
        <v>0</v>
      </c>
      <c r="CH253" s="444">
        <f t="shared" si="48"/>
        <v>0</v>
      </c>
      <c r="CI253" s="444">
        <f t="shared" si="49"/>
        <v>0</v>
      </c>
      <c r="CJ253" s="444">
        <f t="shared" si="50"/>
        <v>0</v>
      </c>
      <c r="CK253" s="444">
        <f t="shared" si="51"/>
        <v>0</v>
      </c>
      <c r="CL253" s="444">
        <f t="shared" si="52"/>
        <v>0</v>
      </c>
      <c r="CM253" s="444">
        <f t="shared" si="53"/>
        <v>0</v>
      </c>
      <c r="CN253" s="444">
        <f t="shared" si="54"/>
        <v>0</v>
      </c>
      <c r="CO253" s="444">
        <f t="shared" si="55"/>
        <v>564.697</v>
      </c>
      <c r="CP253" s="444">
        <f t="shared" si="56"/>
        <v>562.46699999999998</v>
      </c>
      <c r="CQ253" s="444">
        <f t="shared" si="57"/>
        <v>0</v>
      </c>
      <c r="CR253" s="444">
        <f t="shared" si="58"/>
        <v>0</v>
      </c>
      <c r="CS253" s="444">
        <f t="shared" si="59"/>
        <v>0</v>
      </c>
      <c r="CT253" s="21"/>
    </row>
    <row r="254" spans="1:98" s="439" customFormat="1" ht="15">
      <c r="A254" s="51"/>
      <c r="B254" s="7"/>
      <c r="C254" s="435" t="s">
        <v>335</v>
      </c>
      <c r="D254" s="422">
        <v>0</v>
      </c>
      <c r="E254" s="422">
        <v>0</v>
      </c>
      <c r="F254" s="422">
        <v>0</v>
      </c>
      <c r="G254" s="422">
        <v>0</v>
      </c>
      <c r="H254" s="422">
        <v>0</v>
      </c>
      <c r="I254" s="422">
        <v>0</v>
      </c>
      <c r="J254" s="422">
        <v>0</v>
      </c>
      <c r="K254" s="422">
        <v>0</v>
      </c>
      <c r="L254" s="422">
        <v>0</v>
      </c>
      <c r="M254" s="422">
        <v>0</v>
      </c>
      <c r="N254" s="422">
        <v>0</v>
      </c>
      <c r="O254" s="422">
        <v>0</v>
      </c>
      <c r="P254" s="422">
        <v>0</v>
      </c>
      <c r="Q254" s="422">
        <v>0</v>
      </c>
      <c r="R254" s="422">
        <v>0</v>
      </c>
      <c r="S254" s="422">
        <v>0</v>
      </c>
      <c r="T254" s="422">
        <v>0</v>
      </c>
      <c r="U254" s="422">
        <v>0</v>
      </c>
      <c r="V254" s="422">
        <v>0</v>
      </c>
      <c r="W254" s="422">
        <v>0</v>
      </c>
      <c r="X254" s="422">
        <v>0</v>
      </c>
      <c r="Y254" s="422">
        <v>0</v>
      </c>
      <c r="Z254" s="422">
        <v>0</v>
      </c>
      <c r="AA254" s="422">
        <v>0</v>
      </c>
      <c r="AB254" s="422">
        <v>0</v>
      </c>
      <c r="AC254" s="422">
        <v>0</v>
      </c>
      <c r="AD254" s="422">
        <v>0</v>
      </c>
      <c r="AE254" s="422">
        <v>0</v>
      </c>
      <c r="AF254" s="422">
        <v>0</v>
      </c>
      <c r="AG254" s="422">
        <v>0</v>
      </c>
      <c r="AH254" s="422">
        <v>0</v>
      </c>
      <c r="AI254" s="422">
        <v>0</v>
      </c>
      <c r="AJ254" s="422">
        <v>0</v>
      </c>
      <c r="AK254" s="422">
        <v>0</v>
      </c>
      <c r="AL254" s="422">
        <v>0</v>
      </c>
      <c r="AM254" s="422">
        <v>0</v>
      </c>
      <c r="AN254" s="422">
        <v>0</v>
      </c>
      <c r="AO254" s="422">
        <v>0</v>
      </c>
      <c r="AP254" s="422">
        <v>0</v>
      </c>
      <c r="AQ254" s="422">
        <v>0</v>
      </c>
      <c r="AR254" s="422">
        <v>0</v>
      </c>
      <c r="AS254" s="422">
        <v>0</v>
      </c>
      <c r="AT254" s="422">
        <v>0</v>
      </c>
      <c r="AU254" s="422">
        <v>0</v>
      </c>
      <c r="AV254" s="422">
        <v>0</v>
      </c>
      <c r="AW254" s="422">
        <v>0</v>
      </c>
      <c r="AX254" s="422">
        <v>0</v>
      </c>
      <c r="AY254" s="422">
        <v>0</v>
      </c>
      <c r="AZ254" s="422">
        <v>0</v>
      </c>
      <c r="BA254" s="422">
        <v>0</v>
      </c>
      <c r="BB254" s="422">
        <v>0</v>
      </c>
      <c r="BC254" s="422">
        <v>0</v>
      </c>
      <c r="BD254" s="422">
        <v>0</v>
      </c>
      <c r="BE254" s="422">
        <v>0</v>
      </c>
      <c r="BF254" s="422">
        <v>671.23900000000003</v>
      </c>
      <c r="BG254" s="422">
        <v>0</v>
      </c>
      <c r="BH254" s="422">
        <v>0</v>
      </c>
      <c r="BI254" s="422">
        <v>0</v>
      </c>
      <c r="BJ254" s="422">
        <v>644.97500000000002</v>
      </c>
      <c r="BK254" s="422">
        <v>644.97500000000002</v>
      </c>
      <c r="BL254" s="422">
        <v>640.55600000000004</v>
      </c>
      <c r="BM254" s="422">
        <v>1489.2190000000001</v>
      </c>
      <c r="BN254" s="422">
        <v>3478.6149999999998</v>
      </c>
      <c r="BO254" s="422">
        <v>3473.701</v>
      </c>
      <c r="BP254" s="422">
        <v>3473.701</v>
      </c>
      <c r="BQ254" s="422">
        <v>3477.2779999999998</v>
      </c>
      <c r="BR254" s="422">
        <v>3460.558</v>
      </c>
      <c r="BS254" s="422">
        <v>3468.9490000000001</v>
      </c>
      <c r="BT254" s="422">
        <v>3455.0230000000001</v>
      </c>
      <c r="BU254" s="422">
        <v>3455.0230000000001</v>
      </c>
      <c r="BV254" s="422">
        <v>3424.09</v>
      </c>
      <c r="BW254" s="422">
        <v>3357.12</v>
      </c>
      <c r="BX254" s="422">
        <v>3085.6840000000002</v>
      </c>
      <c r="BY254" s="422">
        <v>0</v>
      </c>
      <c r="BZ254" s="422">
        <v>0</v>
      </c>
      <c r="CA254" s="227"/>
      <c r="CC254" s="46"/>
      <c r="CD254" s="435" t="s">
        <v>335</v>
      </c>
      <c r="CE254" s="440">
        <f t="shared" si="45"/>
        <v>0</v>
      </c>
      <c r="CF254" s="440">
        <f t="shared" si="46"/>
        <v>0</v>
      </c>
      <c r="CG254" s="440">
        <f t="shared" si="47"/>
        <v>0</v>
      </c>
      <c r="CH254" s="440">
        <f t="shared" si="48"/>
        <v>0</v>
      </c>
      <c r="CI254" s="440">
        <f t="shared" si="49"/>
        <v>0</v>
      </c>
      <c r="CJ254" s="440">
        <f t="shared" si="50"/>
        <v>0</v>
      </c>
      <c r="CK254" s="440">
        <f t="shared" si="51"/>
        <v>0</v>
      </c>
      <c r="CL254" s="440">
        <f t="shared" si="52"/>
        <v>0</v>
      </c>
      <c r="CM254" s="440">
        <f t="shared" si="53"/>
        <v>0</v>
      </c>
      <c r="CN254" s="440">
        <f t="shared" si="54"/>
        <v>0</v>
      </c>
      <c r="CO254" s="440">
        <f t="shared" si="55"/>
        <v>671.23900000000003</v>
      </c>
      <c r="CP254" s="440">
        <f t="shared" si="56"/>
        <v>644.97500000000002</v>
      </c>
      <c r="CQ254" s="440">
        <f t="shared" si="57"/>
        <v>3473.701</v>
      </c>
      <c r="CR254" s="440">
        <f t="shared" si="58"/>
        <v>3455.0230000000001</v>
      </c>
      <c r="CS254" s="440">
        <f t="shared" si="59"/>
        <v>0</v>
      </c>
      <c r="CT254" s="46"/>
    </row>
    <row r="255" spans="1:98" ht="4.5" customHeight="1">
      <c r="C255" s="426"/>
      <c r="D255" s="416">
        <v>0</v>
      </c>
      <c r="E255" s="416">
        <v>0</v>
      </c>
      <c r="F255" s="416">
        <v>0</v>
      </c>
      <c r="G255" s="416">
        <v>0</v>
      </c>
      <c r="H255" s="416">
        <v>0</v>
      </c>
      <c r="I255" s="416">
        <v>0</v>
      </c>
      <c r="J255" s="416">
        <v>0</v>
      </c>
      <c r="K255" s="416">
        <v>0</v>
      </c>
      <c r="L255" s="416">
        <v>0</v>
      </c>
      <c r="M255" s="416">
        <v>0</v>
      </c>
      <c r="N255" s="416">
        <v>0</v>
      </c>
      <c r="O255" s="416">
        <v>0</v>
      </c>
      <c r="P255" s="416">
        <v>0</v>
      </c>
      <c r="Q255" s="416">
        <v>0</v>
      </c>
      <c r="R255" s="416">
        <v>0</v>
      </c>
      <c r="S255" s="416">
        <v>0</v>
      </c>
      <c r="T255" s="416">
        <v>0</v>
      </c>
      <c r="U255" s="416">
        <v>0</v>
      </c>
      <c r="V255" s="416">
        <v>0</v>
      </c>
      <c r="W255" s="416">
        <v>0</v>
      </c>
      <c r="X255" s="416">
        <v>0</v>
      </c>
      <c r="Y255" s="416">
        <v>0</v>
      </c>
      <c r="Z255" s="416">
        <v>0</v>
      </c>
      <c r="AA255" s="416">
        <v>0</v>
      </c>
      <c r="AB255" s="416">
        <v>0</v>
      </c>
      <c r="AC255" s="416">
        <v>0</v>
      </c>
      <c r="AD255" s="416">
        <v>0</v>
      </c>
      <c r="AE255" s="416">
        <v>0</v>
      </c>
      <c r="AF255" s="416">
        <v>0</v>
      </c>
      <c r="AG255" s="416">
        <v>0</v>
      </c>
      <c r="AH255" s="416">
        <v>0</v>
      </c>
      <c r="AI255" s="416">
        <v>0</v>
      </c>
      <c r="AJ255" s="416">
        <v>0</v>
      </c>
      <c r="AK255" s="416">
        <v>0</v>
      </c>
      <c r="AL255" s="416">
        <v>0</v>
      </c>
      <c r="AM255" s="416">
        <v>0</v>
      </c>
      <c r="AN255" s="416">
        <v>0</v>
      </c>
      <c r="AO255" s="416">
        <v>0</v>
      </c>
      <c r="AP255" s="416">
        <v>0</v>
      </c>
      <c r="AQ255" s="416">
        <v>0</v>
      </c>
      <c r="AR255" s="416">
        <v>0</v>
      </c>
      <c r="AS255" s="416">
        <v>0</v>
      </c>
      <c r="AT255" s="416">
        <v>0</v>
      </c>
      <c r="AU255" s="416">
        <v>0</v>
      </c>
      <c r="AV255" s="416">
        <v>0</v>
      </c>
      <c r="AW255" s="416">
        <v>0</v>
      </c>
      <c r="AX255" s="416">
        <v>0</v>
      </c>
      <c r="AY255" s="416">
        <v>0</v>
      </c>
      <c r="AZ255" s="416">
        <v>0</v>
      </c>
      <c r="BA255" s="416">
        <v>0</v>
      </c>
      <c r="BB255" s="416">
        <v>0</v>
      </c>
      <c r="BC255" s="416">
        <v>0</v>
      </c>
      <c r="BD255" s="416">
        <v>0</v>
      </c>
      <c r="BE255" s="416">
        <v>0</v>
      </c>
      <c r="BF255" s="416">
        <v>0</v>
      </c>
      <c r="BG255" s="416">
        <v>0</v>
      </c>
      <c r="BH255" s="416">
        <v>0</v>
      </c>
      <c r="BI255" s="416">
        <v>0</v>
      </c>
      <c r="BJ255" s="416">
        <v>0</v>
      </c>
      <c r="BK255" s="416">
        <v>0</v>
      </c>
      <c r="BL255" s="416">
        <v>0</v>
      </c>
      <c r="BM255" s="416">
        <v>0</v>
      </c>
      <c r="BN255" s="416">
        <v>0</v>
      </c>
      <c r="BO255" s="416">
        <v>0</v>
      </c>
      <c r="BP255" s="416">
        <v>0</v>
      </c>
      <c r="BQ255" s="416">
        <v>0</v>
      </c>
      <c r="BR255" s="416">
        <v>0</v>
      </c>
      <c r="BS255" s="416">
        <v>0</v>
      </c>
      <c r="BT255" s="416">
        <v>0</v>
      </c>
      <c r="BU255" s="416">
        <v>0</v>
      </c>
      <c r="BV255" s="416">
        <v>0</v>
      </c>
      <c r="BW255" s="416">
        <v>0</v>
      </c>
      <c r="BX255" s="416">
        <v>0</v>
      </c>
      <c r="BY255" s="416">
        <v>0</v>
      </c>
      <c r="BZ255" s="416">
        <v>0</v>
      </c>
      <c r="CC255" s="21"/>
      <c r="CD255" s="426"/>
      <c r="CE255" s="440">
        <f t="shared" si="45"/>
        <v>0</v>
      </c>
      <c r="CF255" s="440">
        <f t="shared" si="46"/>
        <v>0</v>
      </c>
      <c r="CG255" s="440">
        <f t="shared" si="47"/>
        <v>0</v>
      </c>
      <c r="CH255" s="440">
        <f t="shared" si="48"/>
        <v>0</v>
      </c>
      <c r="CI255" s="440">
        <f t="shared" si="49"/>
        <v>0</v>
      </c>
      <c r="CJ255" s="440">
        <f t="shared" si="50"/>
        <v>0</v>
      </c>
      <c r="CK255" s="440">
        <f t="shared" si="51"/>
        <v>0</v>
      </c>
      <c r="CL255" s="440">
        <f t="shared" si="52"/>
        <v>0</v>
      </c>
      <c r="CM255" s="440">
        <f t="shared" si="53"/>
        <v>0</v>
      </c>
      <c r="CN255" s="440">
        <f t="shared" si="54"/>
        <v>0</v>
      </c>
      <c r="CO255" s="440">
        <f t="shared" si="55"/>
        <v>0</v>
      </c>
      <c r="CP255" s="440">
        <f t="shared" si="56"/>
        <v>0</v>
      </c>
      <c r="CQ255" s="440">
        <f t="shared" si="57"/>
        <v>0</v>
      </c>
      <c r="CR255" s="440">
        <f t="shared" si="58"/>
        <v>0</v>
      </c>
      <c r="CS255" s="440">
        <f t="shared" si="59"/>
        <v>0</v>
      </c>
      <c r="CT255" s="21"/>
    </row>
    <row r="256" spans="1:98" ht="15">
      <c r="C256" s="421" t="s">
        <v>285</v>
      </c>
      <c r="D256" s="422">
        <v>0</v>
      </c>
      <c r="E256" s="422">
        <v>0</v>
      </c>
      <c r="F256" s="422">
        <v>0</v>
      </c>
      <c r="G256" s="422">
        <v>0</v>
      </c>
      <c r="H256" s="422">
        <v>0</v>
      </c>
      <c r="I256" s="422">
        <v>0</v>
      </c>
      <c r="J256" s="422">
        <v>0</v>
      </c>
      <c r="K256" s="422">
        <v>0</v>
      </c>
      <c r="L256" s="422">
        <v>0</v>
      </c>
      <c r="M256" s="422">
        <v>0</v>
      </c>
      <c r="N256" s="422">
        <v>0</v>
      </c>
      <c r="O256" s="422">
        <v>0</v>
      </c>
      <c r="P256" s="422">
        <v>0</v>
      </c>
      <c r="Q256" s="422">
        <v>0</v>
      </c>
      <c r="R256" s="422">
        <v>0</v>
      </c>
      <c r="S256" s="422">
        <v>0</v>
      </c>
      <c r="T256" s="422">
        <v>0</v>
      </c>
      <c r="U256" s="422">
        <v>0</v>
      </c>
      <c r="V256" s="422">
        <v>0</v>
      </c>
      <c r="W256" s="422">
        <v>0</v>
      </c>
      <c r="X256" s="422">
        <v>0</v>
      </c>
      <c r="Y256" s="422">
        <v>0</v>
      </c>
      <c r="Z256" s="422">
        <v>0</v>
      </c>
      <c r="AA256" s="422">
        <v>0</v>
      </c>
      <c r="AB256" s="422">
        <v>0</v>
      </c>
      <c r="AC256" s="422">
        <v>0</v>
      </c>
      <c r="AD256" s="422">
        <v>0</v>
      </c>
      <c r="AE256" s="422">
        <v>0</v>
      </c>
      <c r="AF256" s="422">
        <v>0</v>
      </c>
      <c r="AG256" s="422">
        <v>0</v>
      </c>
      <c r="AH256" s="422">
        <v>0</v>
      </c>
      <c r="AI256" s="422">
        <v>0</v>
      </c>
      <c r="AJ256" s="422">
        <v>0</v>
      </c>
      <c r="AK256" s="422">
        <v>0</v>
      </c>
      <c r="AL256" s="422">
        <v>0</v>
      </c>
      <c r="AM256" s="422">
        <v>0</v>
      </c>
      <c r="AN256" s="422">
        <v>0</v>
      </c>
      <c r="AO256" s="422">
        <v>0</v>
      </c>
      <c r="AP256" s="422">
        <v>0</v>
      </c>
      <c r="AQ256" s="422">
        <v>0</v>
      </c>
      <c r="AR256" s="422">
        <v>0</v>
      </c>
      <c r="AS256" s="422">
        <v>0</v>
      </c>
      <c r="AT256" s="422">
        <v>0</v>
      </c>
      <c r="AU256" s="422">
        <v>0</v>
      </c>
      <c r="AV256" s="422">
        <v>0</v>
      </c>
      <c r="AW256" s="422">
        <v>0</v>
      </c>
      <c r="AX256" s="422">
        <v>0</v>
      </c>
      <c r="AY256" s="422">
        <v>0</v>
      </c>
      <c r="AZ256" s="422">
        <v>0</v>
      </c>
      <c r="BA256" s="422">
        <v>0</v>
      </c>
      <c r="BB256" s="422">
        <v>0</v>
      </c>
      <c r="BC256" s="422">
        <v>0</v>
      </c>
      <c r="BD256" s="422">
        <v>0</v>
      </c>
      <c r="BE256" s="422">
        <v>0</v>
      </c>
      <c r="BF256" s="422">
        <v>1894.683</v>
      </c>
      <c r="BG256" s="422">
        <v>0</v>
      </c>
      <c r="BH256" s="422">
        <v>0</v>
      </c>
      <c r="BI256" s="422">
        <v>0</v>
      </c>
      <c r="BJ256" s="422">
        <v>4891.83</v>
      </c>
      <c r="BK256" s="422">
        <v>4891.83</v>
      </c>
      <c r="BL256" s="422">
        <v>7896.7039999999997</v>
      </c>
      <c r="BM256" s="422">
        <v>11166.782999999999</v>
      </c>
      <c r="BN256" s="422">
        <v>13093.773999999999</v>
      </c>
      <c r="BO256" s="422">
        <v>14892.736000000001</v>
      </c>
      <c r="BP256" s="422">
        <v>14892.736000000001</v>
      </c>
      <c r="BQ256" s="422">
        <v>14399.101000000001</v>
      </c>
      <c r="BR256" s="422">
        <v>99654.854000000007</v>
      </c>
      <c r="BS256" s="422">
        <v>105542.048</v>
      </c>
      <c r="BT256" s="422">
        <v>84270.316000000006</v>
      </c>
      <c r="BU256" s="422">
        <v>84270.316000000006</v>
      </c>
      <c r="BV256" s="422">
        <v>133626.913</v>
      </c>
      <c r="BW256" s="422">
        <v>131895.872</v>
      </c>
      <c r="BX256" s="422">
        <v>121384.47</v>
      </c>
      <c r="BY256" s="422">
        <v>0</v>
      </c>
      <c r="BZ256" s="422">
        <v>0</v>
      </c>
      <c r="CC256" s="21"/>
      <c r="CD256" s="421" t="s">
        <v>285</v>
      </c>
      <c r="CE256" s="436">
        <f t="shared" si="45"/>
        <v>0</v>
      </c>
      <c r="CF256" s="436">
        <f t="shared" si="46"/>
        <v>0</v>
      </c>
      <c r="CG256" s="436">
        <f t="shared" si="47"/>
        <v>0</v>
      </c>
      <c r="CH256" s="436">
        <f t="shared" si="48"/>
        <v>0</v>
      </c>
      <c r="CI256" s="436">
        <f t="shared" si="49"/>
        <v>0</v>
      </c>
      <c r="CJ256" s="436">
        <f t="shared" si="50"/>
        <v>0</v>
      </c>
      <c r="CK256" s="436">
        <f t="shared" si="51"/>
        <v>0</v>
      </c>
      <c r="CL256" s="436">
        <f t="shared" si="52"/>
        <v>0</v>
      </c>
      <c r="CM256" s="436">
        <f t="shared" si="53"/>
        <v>0</v>
      </c>
      <c r="CN256" s="436">
        <f t="shared" si="54"/>
        <v>0</v>
      </c>
      <c r="CO256" s="436">
        <f t="shared" si="55"/>
        <v>1894.683</v>
      </c>
      <c r="CP256" s="436">
        <f t="shared" si="56"/>
        <v>4891.83</v>
      </c>
      <c r="CQ256" s="436">
        <f t="shared" si="57"/>
        <v>14892.736000000001</v>
      </c>
      <c r="CR256" s="436">
        <f t="shared" si="58"/>
        <v>84270.316000000006</v>
      </c>
      <c r="CS256" s="436">
        <f t="shared" si="59"/>
        <v>0</v>
      </c>
      <c r="CT256" s="21"/>
    </row>
    <row r="257" spans="3:98">
      <c r="C257" s="426"/>
      <c r="D257" s="416"/>
      <c r="E257" s="416"/>
      <c r="F257" s="416"/>
      <c r="G257" s="416"/>
      <c r="H257" s="416"/>
      <c r="I257" s="416"/>
      <c r="J257" s="416"/>
      <c r="K257" s="416"/>
      <c r="L257" s="416"/>
      <c r="M257" s="416"/>
      <c r="N257" s="416"/>
      <c r="O257" s="416"/>
      <c r="P257" s="416"/>
      <c r="Q257" s="416"/>
      <c r="R257" s="416"/>
      <c r="S257" s="416"/>
      <c r="T257" s="416"/>
      <c r="U257" s="416"/>
      <c r="V257" s="416"/>
      <c r="W257" s="416"/>
      <c r="X257" s="416"/>
      <c r="Y257" s="416"/>
      <c r="Z257" s="416"/>
      <c r="AA257" s="416"/>
      <c r="AB257" s="416"/>
      <c r="AC257" s="416"/>
      <c r="AD257" s="416"/>
      <c r="AE257" s="416"/>
      <c r="AF257" s="416"/>
      <c r="AG257" s="416"/>
      <c r="AH257" s="416"/>
      <c r="AI257" s="416"/>
      <c r="AJ257" s="416"/>
      <c r="AK257" s="416"/>
      <c r="AL257" s="416"/>
      <c r="AM257" s="416"/>
      <c r="AN257" s="416"/>
      <c r="AO257" s="416"/>
      <c r="AP257" s="416"/>
      <c r="AQ257" s="416"/>
      <c r="AR257" s="416"/>
      <c r="AS257" s="416"/>
      <c r="AT257" s="416"/>
      <c r="AU257" s="416"/>
      <c r="AV257" s="416"/>
      <c r="AW257" s="416"/>
      <c r="AX257" s="416"/>
      <c r="AY257" s="416"/>
      <c r="AZ257" s="416"/>
      <c r="BA257" s="416"/>
      <c r="BB257" s="416"/>
      <c r="BC257" s="416"/>
      <c r="BD257" s="416"/>
      <c r="BE257" s="416"/>
      <c r="BF257" s="416"/>
      <c r="BG257" s="416"/>
      <c r="BH257" s="416"/>
      <c r="BI257" s="416"/>
      <c r="BJ257" s="416"/>
      <c r="BK257" s="416"/>
      <c r="BL257" s="416"/>
      <c r="BM257" s="416"/>
      <c r="BN257" s="416"/>
      <c r="BO257" s="416"/>
      <c r="BP257" s="416"/>
      <c r="BQ257" s="416"/>
      <c r="BR257" s="416"/>
      <c r="BS257" s="416"/>
      <c r="BT257" s="416"/>
      <c r="BU257" s="416"/>
      <c r="BV257" s="416"/>
      <c r="BW257" s="416"/>
      <c r="BX257" s="416"/>
      <c r="BY257" s="416"/>
      <c r="BZ257" s="416"/>
      <c r="CC257" s="21"/>
      <c r="CD257" s="426"/>
      <c r="CE257" s="433"/>
      <c r="CF257" s="433"/>
      <c r="CG257" s="433"/>
      <c r="CH257" s="433"/>
      <c r="CI257" s="433"/>
      <c r="CJ257" s="433"/>
      <c r="CK257" s="433"/>
      <c r="CL257" s="433"/>
      <c r="CM257" s="433"/>
      <c r="CN257" s="433"/>
      <c r="CO257" s="433"/>
      <c r="CP257" s="433"/>
      <c r="CQ257" s="433"/>
      <c r="CR257" s="433"/>
      <c r="CS257" s="433"/>
      <c r="CT257" s="21"/>
    </row>
    <row r="258" spans="3:98" hidden="1" outlineLevel="3">
      <c r="C258" s="426" t="s">
        <v>379</v>
      </c>
      <c r="D258" s="416">
        <v>0</v>
      </c>
      <c r="E258" s="416">
        <v>0</v>
      </c>
      <c r="F258" s="416">
        <v>0</v>
      </c>
      <c r="G258" s="416">
        <v>0</v>
      </c>
      <c r="H258" s="416">
        <v>0</v>
      </c>
      <c r="I258" s="416">
        <v>0</v>
      </c>
      <c r="J258" s="416">
        <v>0</v>
      </c>
      <c r="K258" s="416">
        <v>0</v>
      </c>
      <c r="L258" s="416">
        <v>0</v>
      </c>
      <c r="M258" s="416">
        <v>0</v>
      </c>
      <c r="N258" s="416">
        <v>0</v>
      </c>
      <c r="O258" s="416">
        <v>0</v>
      </c>
      <c r="P258" s="416">
        <v>0</v>
      </c>
      <c r="Q258" s="416">
        <v>0</v>
      </c>
      <c r="R258" s="416">
        <v>0</v>
      </c>
      <c r="S258" s="416">
        <v>0</v>
      </c>
      <c r="T258" s="416">
        <v>0</v>
      </c>
      <c r="U258" s="416">
        <v>0</v>
      </c>
      <c r="V258" s="416">
        <v>0</v>
      </c>
      <c r="W258" s="416">
        <v>0</v>
      </c>
      <c r="X258" s="416">
        <v>0</v>
      </c>
      <c r="Y258" s="416">
        <v>0</v>
      </c>
      <c r="Z258" s="416">
        <v>0</v>
      </c>
      <c r="AA258" s="416">
        <v>0</v>
      </c>
      <c r="AB258" s="416">
        <v>0</v>
      </c>
      <c r="AC258" s="416">
        <v>0</v>
      </c>
      <c r="AD258" s="416">
        <v>0</v>
      </c>
      <c r="AE258" s="416">
        <v>0</v>
      </c>
      <c r="AF258" s="416">
        <v>0</v>
      </c>
      <c r="AG258" s="416">
        <v>0</v>
      </c>
      <c r="AH258" s="416">
        <v>0</v>
      </c>
      <c r="AI258" s="416">
        <v>0</v>
      </c>
      <c r="AJ258" s="416">
        <v>0</v>
      </c>
      <c r="AK258" s="416">
        <v>0</v>
      </c>
      <c r="AL258" s="416">
        <v>0</v>
      </c>
      <c r="AM258" s="416">
        <v>0</v>
      </c>
      <c r="AN258" s="416">
        <v>0</v>
      </c>
      <c r="AO258" s="416">
        <v>0</v>
      </c>
      <c r="AP258" s="416">
        <v>0</v>
      </c>
      <c r="AQ258" s="416">
        <v>0</v>
      </c>
      <c r="AR258" s="416">
        <v>0</v>
      </c>
      <c r="AS258" s="416">
        <v>0</v>
      </c>
      <c r="AT258" s="416">
        <v>0</v>
      </c>
      <c r="AU258" s="416">
        <v>0</v>
      </c>
      <c r="AV258" s="416">
        <v>0</v>
      </c>
      <c r="AW258" s="416">
        <v>0</v>
      </c>
      <c r="AX258" s="416">
        <v>0</v>
      </c>
      <c r="AY258" s="416">
        <v>0</v>
      </c>
      <c r="AZ258" s="416">
        <v>0</v>
      </c>
      <c r="BA258" s="416">
        <v>0</v>
      </c>
      <c r="BB258" s="416">
        <v>0</v>
      </c>
      <c r="BC258" s="416">
        <v>0</v>
      </c>
      <c r="BD258" s="416">
        <v>0</v>
      </c>
      <c r="BE258" s="416">
        <v>0</v>
      </c>
      <c r="BF258" s="416">
        <v>0</v>
      </c>
      <c r="BG258" s="416">
        <v>0</v>
      </c>
      <c r="BH258" s="416">
        <v>0</v>
      </c>
      <c r="BI258" s="416">
        <v>0</v>
      </c>
      <c r="BJ258" s="416">
        <v>0</v>
      </c>
      <c r="BK258" s="416">
        <v>0</v>
      </c>
      <c r="BL258" s="416">
        <v>0</v>
      </c>
      <c r="BM258" s="416">
        <v>2E-3</v>
      </c>
      <c r="BN258" s="416">
        <v>2E-3</v>
      </c>
      <c r="BO258" s="416">
        <v>2E-3</v>
      </c>
      <c r="BP258" s="416">
        <v>2E-3</v>
      </c>
      <c r="BQ258" s="416">
        <v>2E-3</v>
      </c>
      <c r="BR258" s="416">
        <v>2E-3</v>
      </c>
      <c r="BS258" s="416">
        <v>2E-3</v>
      </c>
      <c r="BT258" s="416">
        <v>2E-3</v>
      </c>
      <c r="BU258" s="416">
        <v>2E-3</v>
      </c>
      <c r="BV258" s="416">
        <v>2E-3</v>
      </c>
      <c r="BW258" s="416">
        <v>2E-3</v>
      </c>
      <c r="BX258" s="416">
        <v>2E-3</v>
      </c>
      <c r="BY258" s="416">
        <v>0</v>
      </c>
      <c r="BZ258" s="416">
        <v>0</v>
      </c>
      <c r="CC258" s="21"/>
      <c r="CD258" s="426" t="s">
        <v>379</v>
      </c>
      <c r="CE258" s="433">
        <f t="shared" si="45"/>
        <v>0</v>
      </c>
      <c r="CF258" s="433">
        <f t="shared" si="46"/>
        <v>0</v>
      </c>
      <c r="CG258" s="433">
        <f t="shared" si="47"/>
        <v>0</v>
      </c>
      <c r="CH258" s="433">
        <f t="shared" si="48"/>
        <v>0</v>
      </c>
      <c r="CI258" s="433">
        <f t="shared" si="49"/>
        <v>0</v>
      </c>
      <c r="CJ258" s="433">
        <f t="shared" si="50"/>
        <v>0</v>
      </c>
      <c r="CK258" s="433">
        <f t="shared" si="51"/>
        <v>0</v>
      </c>
      <c r="CL258" s="433">
        <f t="shared" si="52"/>
        <v>0</v>
      </c>
      <c r="CM258" s="433">
        <f t="shared" si="53"/>
        <v>0</v>
      </c>
      <c r="CN258" s="433">
        <f t="shared" si="54"/>
        <v>0</v>
      </c>
      <c r="CO258" s="433">
        <f t="shared" si="55"/>
        <v>0</v>
      </c>
      <c r="CP258" s="433">
        <f t="shared" si="56"/>
        <v>0</v>
      </c>
      <c r="CQ258" s="433">
        <f t="shared" si="57"/>
        <v>2E-3</v>
      </c>
      <c r="CR258" s="433">
        <f t="shared" si="58"/>
        <v>2E-3</v>
      </c>
      <c r="CS258" s="433">
        <f t="shared" si="59"/>
        <v>0</v>
      </c>
      <c r="CT258" s="21"/>
    </row>
    <row r="259" spans="3:98" hidden="1" outlineLevel="3">
      <c r="C259" s="426" t="s">
        <v>380</v>
      </c>
      <c r="D259" s="416">
        <v>0</v>
      </c>
      <c r="E259" s="416">
        <v>0</v>
      </c>
      <c r="F259" s="416">
        <v>0</v>
      </c>
      <c r="G259" s="416">
        <v>0</v>
      </c>
      <c r="H259" s="416">
        <v>0</v>
      </c>
      <c r="I259" s="416">
        <v>0</v>
      </c>
      <c r="J259" s="416">
        <v>0</v>
      </c>
      <c r="K259" s="416">
        <v>0</v>
      </c>
      <c r="L259" s="416">
        <v>0</v>
      </c>
      <c r="M259" s="416">
        <v>0</v>
      </c>
      <c r="N259" s="416">
        <v>0</v>
      </c>
      <c r="O259" s="416">
        <v>0</v>
      </c>
      <c r="P259" s="416">
        <v>0</v>
      </c>
      <c r="Q259" s="416">
        <v>0</v>
      </c>
      <c r="R259" s="416">
        <v>0</v>
      </c>
      <c r="S259" s="416">
        <v>0</v>
      </c>
      <c r="T259" s="416">
        <v>0</v>
      </c>
      <c r="U259" s="416">
        <v>0</v>
      </c>
      <c r="V259" s="416">
        <v>0</v>
      </c>
      <c r="W259" s="416">
        <v>0</v>
      </c>
      <c r="X259" s="416">
        <v>0</v>
      </c>
      <c r="Y259" s="416">
        <v>0</v>
      </c>
      <c r="Z259" s="416">
        <v>0</v>
      </c>
      <c r="AA259" s="416">
        <v>0</v>
      </c>
      <c r="AB259" s="416">
        <v>0</v>
      </c>
      <c r="AC259" s="416">
        <v>0</v>
      </c>
      <c r="AD259" s="416">
        <v>0</v>
      </c>
      <c r="AE259" s="416">
        <v>0</v>
      </c>
      <c r="AF259" s="416">
        <v>0</v>
      </c>
      <c r="AG259" s="416">
        <v>0</v>
      </c>
      <c r="AH259" s="416">
        <v>0</v>
      </c>
      <c r="AI259" s="416">
        <v>0</v>
      </c>
      <c r="AJ259" s="416">
        <v>0</v>
      </c>
      <c r="AK259" s="416">
        <v>0</v>
      </c>
      <c r="AL259" s="416">
        <v>0</v>
      </c>
      <c r="AM259" s="416">
        <v>0</v>
      </c>
      <c r="AN259" s="416">
        <v>0</v>
      </c>
      <c r="AO259" s="416">
        <v>0</v>
      </c>
      <c r="AP259" s="416">
        <v>0</v>
      </c>
      <c r="AQ259" s="416">
        <v>0</v>
      </c>
      <c r="AR259" s="416">
        <v>0</v>
      </c>
      <c r="AS259" s="416">
        <v>0</v>
      </c>
      <c r="AT259" s="416">
        <v>0</v>
      </c>
      <c r="AU259" s="416">
        <v>0</v>
      </c>
      <c r="AV259" s="416">
        <v>0</v>
      </c>
      <c r="AW259" s="416">
        <v>0</v>
      </c>
      <c r="AX259" s="416">
        <v>0</v>
      </c>
      <c r="AY259" s="416">
        <v>0</v>
      </c>
      <c r="AZ259" s="416">
        <v>0</v>
      </c>
      <c r="BA259" s="416">
        <v>0</v>
      </c>
      <c r="BB259" s="416">
        <v>0</v>
      </c>
      <c r="BC259" s="416">
        <v>0</v>
      </c>
      <c r="BD259" s="416">
        <v>0</v>
      </c>
      <c r="BE259" s="416">
        <v>0</v>
      </c>
      <c r="BF259" s="416">
        <v>0</v>
      </c>
      <c r="BG259" s="416">
        <v>0</v>
      </c>
      <c r="BH259" s="416">
        <v>0</v>
      </c>
      <c r="BI259" s="416">
        <v>0</v>
      </c>
      <c r="BJ259" s="416">
        <v>0</v>
      </c>
      <c r="BK259" s="416">
        <v>0</v>
      </c>
      <c r="BL259" s="416">
        <v>0</v>
      </c>
      <c r="BM259" s="416">
        <v>0</v>
      </c>
      <c r="BN259" s="416">
        <v>0</v>
      </c>
      <c r="BO259" s="416">
        <v>0</v>
      </c>
      <c r="BP259" s="416">
        <v>0</v>
      </c>
      <c r="BQ259" s="416">
        <v>0</v>
      </c>
      <c r="BR259" s="416">
        <v>0</v>
      </c>
      <c r="BS259" s="416">
        <v>0</v>
      </c>
      <c r="BT259" s="416">
        <v>0</v>
      </c>
      <c r="BU259" s="416">
        <v>0</v>
      </c>
      <c r="BV259" s="416">
        <v>0</v>
      </c>
      <c r="BW259" s="416">
        <v>0</v>
      </c>
      <c r="BX259" s="416">
        <v>0</v>
      </c>
      <c r="BY259" s="416">
        <v>0</v>
      </c>
      <c r="BZ259" s="416">
        <v>0</v>
      </c>
      <c r="CC259" s="21"/>
      <c r="CD259" s="426" t="s">
        <v>380</v>
      </c>
      <c r="CE259" s="433">
        <f t="shared" si="45"/>
        <v>0</v>
      </c>
      <c r="CF259" s="433">
        <f t="shared" si="46"/>
        <v>0</v>
      </c>
      <c r="CG259" s="433">
        <f t="shared" si="47"/>
        <v>0</v>
      </c>
      <c r="CH259" s="433">
        <f t="shared" si="48"/>
        <v>0</v>
      </c>
      <c r="CI259" s="433">
        <f t="shared" si="49"/>
        <v>0</v>
      </c>
      <c r="CJ259" s="433">
        <f t="shared" si="50"/>
        <v>0</v>
      </c>
      <c r="CK259" s="433">
        <f t="shared" si="51"/>
        <v>0</v>
      </c>
      <c r="CL259" s="433">
        <f t="shared" si="52"/>
        <v>0</v>
      </c>
      <c r="CM259" s="433">
        <f t="shared" si="53"/>
        <v>0</v>
      </c>
      <c r="CN259" s="433">
        <f t="shared" si="54"/>
        <v>0</v>
      </c>
      <c r="CO259" s="433">
        <f t="shared" si="55"/>
        <v>0</v>
      </c>
      <c r="CP259" s="433">
        <f t="shared" si="56"/>
        <v>0</v>
      </c>
      <c r="CQ259" s="433">
        <f t="shared" si="57"/>
        <v>0</v>
      </c>
      <c r="CR259" s="433">
        <f t="shared" si="58"/>
        <v>0</v>
      </c>
      <c r="CS259" s="433">
        <f t="shared" si="59"/>
        <v>0</v>
      </c>
      <c r="CT259" s="21"/>
    </row>
    <row r="260" spans="3:98" hidden="1" outlineLevel="3">
      <c r="C260" s="426" t="s">
        <v>381</v>
      </c>
      <c r="D260" s="416">
        <v>0</v>
      </c>
      <c r="E260" s="416">
        <v>0</v>
      </c>
      <c r="F260" s="416">
        <v>0</v>
      </c>
      <c r="G260" s="416">
        <v>0</v>
      </c>
      <c r="H260" s="416">
        <v>0</v>
      </c>
      <c r="I260" s="416">
        <v>0</v>
      </c>
      <c r="J260" s="416">
        <v>0</v>
      </c>
      <c r="K260" s="416">
        <v>0</v>
      </c>
      <c r="L260" s="416">
        <v>0</v>
      </c>
      <c r="M260" s="416">
        <v>0</v>
      </c>
      <c r="N260" s="416">
        <v>0</v>
      </c>
      <c r="O260" s="416">
        <v>0</v>
      </c>
      <c r="P260" s="416">
        <v>0</v>
      </c>
      <c r="Q260" s="416">
        <v>0</v>
      </c>
      <c r="R260" s="416">
        <v>0</v>
      </c>
      <c r="S260" s="416">
        <v>0</v>
      </c>
      <c r="T260" s="416">
        <v>0</v>
      </c>
      <c r="U260" s="416">
        <v>0</v>
      </c>
      <c r="V260" s="416">
        <v>0</v>
      </c>
      <c r="W260" s="416">
        <v>0</v>
      </c>
      <c r="X260" s="416">
        <v>0</v>
      </c>
      <c r="Y260" s="416">
        <v>0</v>
      </c>
      <c r="Z260" s="416">
        <v>0</v>
      </c>
      <c r="AA260" s="416">
        <v>0</v>
      </c>
      <c r="AB260" s="416">
        <v>0</v>
      </c>
      <c r="AC260" s="416">
        <v>0</v>
      </c>
      <c r="AD260" s="416">
        <v>0</v>
      </c>
      <c r="AE260" s="416">
        <v>0</v>
      </c>
      <c r="AF260" s="416">
        <v>0</v>
      </c>
      <c r="AG260" s="416">
        <v>0</v>
      </c>
      <c r="AH260" s="416">
        <v>0</v>
      </c>
      <c r="AI260" s="416">
        <v>0</v>
      </c>
      <c r="AJ260" s="416">
        <v>0</v>
      </c>
      <c r="AK260" s="416">
        <v>0</v>
      </c>
      <c r="AL260" s="416">
        <v>0</v>
      </c>
      <c r="AM260" s="416">
        <v>0</v>
      </c>
      <c r="AN260" s="416">
        <v>0</v>
      </c>
      <c r="AO260" s="416">
        <v>0</v>
      </c>
      <c r="AP260" s="416">
        <v>0</v>
      </c>
      <c r="AQ260" s="416">
        <v>0</v>
      </c>
      <c r="AR260" s="416">
        <v>0</v>
      </c>
      <c r="AS260" s="416">
        <v>0</v>
      </c>
      <c r="AT260" s="416">
        <v>0</v>
      </c>
      <c r="AU260" s="416">
        <v>0</v>
      </c>
      <c r="AV260" s="416">
        <v>0</v>
      </c>
      <c r="AW260" s="416">
        <v>0</v>
      </c>
      <c r="AX260" s="416">
        <v>0</v>
      </c>
      <c r="AY260" s="416">
        <v>0</v>
      </c>
      <c r="AZ260" s="416">
        <v>0</v>
      </c>
      <c r="BA260" s="416">
        <v>0</v>
      </c>
      <c r="BB260" s="416">
        <v>0</v>
      </c>
      <c r="BC260" s="416">
        <v>0</v>
      </c>
      <c r="BD260" s="416">
        <v>0</v>
      </c>
      <c r="BE260" s="416">
        <v>0</v>
      </c>
      <c r="BF260" s="416">
        <v>93.82</v>
      </c>
      <c r="BG260" s="416">
        <v>0</v>
      </c>
      <c r="BH260" s="416">
        <v>0</v>
      </c>
      <c r="BI260" s="416">
        <v>0</v>
      </c>
      <c r="BJ260" s="416">
        <v>231.024</v>
      </c>
      <c r="BK260" s="416">
        <v>231.024</v>
      </c>
      <c r="BL260" s="416">
        <v>804.52300000000002</v>
      </c>
      <c r="BM260" s="416">
        <v>1516.5329999999999</v>
      </c>
      <c r="BN260" s="416">
        <v>1850.711</v>
      </c>
      <c r="BO260" s="416">
        <v>2034.6579999999999</v>
      </c>
      <c r="BP260" s="416">
        <v>2034.6579999999999</v>
      </c>
      <c r="BQ260" s="416">
        <v>2579.2159999999999</v>
      </c>
      <c r="BR260" s="416">
        <v>3004.4589999999998</v>
      </c>
      <c r="BS260" s="416">
        <v>3380.33</v>
      </c>
      <c r="BT260" s="416">
        <v>3767.6860000000001</v>
      </c>
      <c r="BU260" s="416">
        <v>3767.6860000000001</v>
      </c>
      <c r="BV260" s="416">
        <v>4056.7739999999999</v>
      </c>
      <c r="BW260" s="416">
        <v>4239.3190000000004</v>
      </c>
      <c r="BX260" s="416">
        <v>4418.3270000000002</v>
      </c>
      <c r="BY260" s="416">
        <v>0</v>
      </c>
      <c r="BZ260" s="416">
        <v>0</v>
      </c>
      <c r="CC260" s="21"/>
      <c r="CD260" s="426" t="s">
        <v>381</v>
      </c>
      <c r="CE260" s="433">
        <f t="shared" si="45"/>
        <v>0</v>
      </c>
      <c r="CF260" s="433">
        <f t="shared" si="46"/>
        <v>0</v>
      </c>
      <c r="CG260" s="433">
        <f t="shared" si="47"/>
        <v>0</v>
      </c>
      <c r="CH260" s="433">
        <f t="shared" si="48"/>
        <v>0</v>
      </c>
      <c r="CI260" s="433">
        <f t="shared" si="49"/>
        <v>0</v>
      </c>
      <c r="CJ260" s="433">
        <f t="shared" si="50"/>
        <v>0</v>
      </c>
      <c r="CK260" s="433">
        <f t="shared" si="51"/>
        <v>0</v>
      </c>
      <c r="CL260" s="433">
        <f t="shared" si="52"/>
        <v>0</v>
      </c>
      <c r="CM260" s="433">
        <f t="shared" si="53"/>
        <v>0</v>
      </c>
      <c r="CN260" s="433">
        <f t="shared" si="54"/>
        <v>0</v>
      </c>
      <c r="CO260" s="433">
        <f t="shared" si="55"/>
        <v>93.82</v>
      </c>
      <c r="CP260" s="433">
        <f t="shared" si="56"/>
        <v>231.024</v>
      </c>
      <c r="CQ260" s="433">
        <f t="shared" si="57"/>
        <v>2034.6579999999999</v>
      </c>
      <c r="CR260" s="433">
        <f t="shared" si="58"/>
        <v>3767.6860000000001</v>
      </c>
      <c r="CS260" s="433">
        <f t="shared" si="59"/>
        <v>0</v>
      </c>
      <c r="CT260" s="21"/>
    </row>
    <row r="261" spans="3:98" hidden="1" outlineLevel="2">
      <c r="C261" s="424" t="s">
        <v>378</v>
      </c>
      <c r="D261" s="416">
        <v>0</v>
      </c>
      <c r="E261" s="416">
        <v>0</v>
      </c>
      <c r="F261" s="416">
        <v>0</v>
      </c>
      <c r="G261" s="416">
        <v>0</v>
      </c>
      <c r="H261" s="416">
        <v>0</v>
      </c>
      <c r="I261" s="416">
        <v>0</v>
      </c>
      <c r="J261" s="416">
        <v>0</v>
      </c>
      <c r="K261" s="416">
        <v>0</v>
      </c>
      <c r="L261" s="416">
        <v>0</v>
      </c>
      <c r="M261" s="416">
        <v>0</v>
      </c>
      <c r="N261" s="416">
        <v>0</v>
      </c>
      <c r="O261" s="416">
        <v>0</v>
      </c>
      <c r="P261" s="416">
        <v>0</v>
      </c>
      <c r="Q261" s="416">
        <v>0</v>
      </c>
      <c r="R261" s="416">
        <v>0</v>
      </c>
      <c r="S261" s="416">
        <v>0</v>
      </c>
      <c r="T261" s="416">
        <v>0</v>
      </c>
      <c r="U261" s="416">
        <v>0</v>
      </c>
      <c r="V261" s="416">
        <v>0</v>
      </c>
      <c r="W261" s="416">
        <v>0</v>
      </c>
      <c r="X261" s="416">
        <v>0</v>
      </c>
      <c r="Y261" s="416">
        <v>0</v>
      </c>
      <c r="Z261" s="416">
        <v>0</v>
      </c>
      <c r="AA261" s="416">
        <v>0</v>
      </c>
      <c r="AB261" s="416">
        <v>0</v>
      </c>
      <c r="AC261" s="416">
        <v>0</v>
      </c>
      <c r="AD261" s="416">
        <v>0</v>
      </c>
      <c r="AE261" s="416">
        <v>0</v>
      </c>
      <c r="AF261" s="416">
        <v>0</v>
      </c>
      <c r="AG261" s="416">
        <v>0</v>
      </c>
      <c r="AH261" s="416">
        <v>0</v>
      </c>
      <c r="AI261" s="416">
        <v>0</v>
      </c>
      <c r="AJ261" s="416">
        <v>0</v>
      </c>
      <c r="AK261" s="416">
        <v>0</v>
      </c>
      <c r="AL261" s="416">
        <v>0</v>
      </c>
      <c r="AM261" s="416">
        <v>0</v>
      </c>
      <c r="AN261" s="416">
        <v>0</v>
      </c>
      <c r="AO261" s="416">
        <v>0</v>
      </c>
      <c r="AP261" s="416">
        <v>0</v>
      </c>
      <c r="AQ261" s="416">
        <v>0</v>
      </c>
      <c r="AR261" s="416">
        <v>0</v>
      </c>
      <c r="AS261" s="416">
        <v>0</v>
      </c>
      <c r="AT261" s="416">
        <v>0</v>
      </c>
      <c r="AU261" s="416">
        <v>0</v>
      </c>
      <c r="AV261" s="416">
        <v>0</v>
      </c>
      <c r="AW261" s="416">
        <v>0</v>
      </c>
      <c r="AX261" s="416">
        <v>0</v>
      </c>
      <c r="AY261" s="416">
        <v>0</v>
      </c>
      <c r="AZ261" s="416">
        <v>0</v>
      </c>
      <c r="BA261" s="416">
        <v>0</v>
      </c>
      <c r="BB261" s="416">
        <v>0</v>
      </c>
      <c r="BC261" s="416">
        <v>0</v>
      </c>
      <c r="BD261" s="416">
        <v>0</v>
      </c>
      <c r="BE261" s="416">
        <v>0</v>
      </c>
      <c r="BF261" s="416">
        <v>93.82</v>
      </c>
      <c r="BG261" s="416">
        <v>0</v>
      </c>
      <c r="BH261" s="416">
        <v>0</v>
      </c>
      <c r="BI261" s="416">
        <v>0</v>
      </c>
      <c r="BJ261" s="416">
        <v>231.024</v>
      </c>
      <c r="BK261" s="416">
        <v>231.024</v>
      </c>
      <c r="BL261" s="416">
        <v>804.52300000000002</v>
      </c>
      <c r="BM261" s="416">
        <v>1516.5350000000001</v>
      </c>
      <c r="BN261" s="416">
        <v>1850.713</v>
      </c>
      <c r="BO261" s="416">
        <v>2034.66</v>
      </c>
      <c r="BP261" s="416">
        <v>2034.66</v>
      </c>
      <c r="BQ261" s="416">
        <v>2579.2179999999998</v>
      </c>
      <c r="BR261" s="416">
        <v>3004.4609999999998</v>
      </c>
      <c r="BS261" s="416">
        <v>3380.3319999999999</v>
      </c>
      <c r="BT261" s="416">
        <v>3767.6880000000001</v>
      </c>
      <c r="BU261" s="416">
        <v>3767.6880000000001</v>
      </c>
      <c r="BV261" s="416">
        <v>4056.7759999999998</v>
      </c>
      <c r="BW261" s="416">
        <v>4239.3209999999999</v>
      </c>
      <c r="BX261" s="416">
        <v>4418.3289999999997</v>
      </c>
      <c r="BY261" s="416">
        <v>0</v>
      </c>
      <c r="BZ261" s="416">
        <v>0</v>
      </c>
      <c r="CC261" s="21"/>
      <c r="CD261" s="424" t="s">
        <v>378</v>
      </c>
      <c r="CE261" s="433">
        <f t="shared" si="45"/>
        <v>0</v>
      </c>
      <c r="CF261" s="433">
        <f t="shared" si="46"/>
        <v>0</v>
      </c>
      <c r="CG261" s="433">
        <f t="shared" si="47"/>
        <v>0</v>
      </c>
      <c r="CH261" s="433">
        <f t="shared" si="48"/>
        <v>0</v>
      </c>
      <c r="CI261" s="433">
        <f t="shared" si="49"/>
        <v>0</v>
      </c>
      <c r="CJ261" s="433">
        <f t="shared" si="50"/>
        <v>0</v>
      </c>
      <c r="CK261" s="433">
        <f t="shared" si="51"/>
        <v>0</v>
      </c>
      <c r="CL261" s="433">
        <f t="shared" si="52"/>
        <v>0</v>
      </c>
      <c r="CM261" s="433">
        <f t="shared" si="53"/>
        <v>0</v>
      </c>
      <c r="CN261" s="433">
        <f t="shared" si="54"/>
        <v>0</v>
      </c>
      <c r="CO261" s="433">
        <f t="shared" si="55"/>
        <v>93.82</v>
      </c>
      <c r="CP261" s="433">
        <f t="shared" si="56"/>
        <v>231.024</v>
      </c>
      <c r="CQ261" s="433">
        <f t="shared" si="57"/>
        <v>2034.66</v>
      </c>
      <c r="CR261" s="433">
        <f t="shared" si="58"/>
        <v>3767.6880000000001</v>
      </c>
      <c r="CS261" s="433">
        <f t="shared" si="59"/>
        <v>0</v>
      </c>
      <c r="CT261" s="21"/>
    </row>
    <row r="262" spans="3:98" hidden="1" outlineLevel="2">
      <c r="C262" s="424" t="s">
        <v>382</v>
      </c>
      <c r="D262" s="416">
        <v>0</v>
      </c>
      <c r="E262" s="416">
        <v>0</v>
      </c>
      <c r="F262" s="416">
        <v>0</v>
      </c>
      <c r="G262" s="416">
        <v>0</v>
      </c>
      <c r="H262" s="416">
        <v>0</v>
      </c>
      <c r="I262" s="416">
        <v>0</v>
      </c>
      <c r="J262" s="416">
        <v>0</v>
      </c>
      <c r="K262" s="416">
        <v>0</v>
      </c>
      <c r="L262" s="416">
        <v>0</v>
      </c>
      <c r="M262" s="416">
        <v>0</v>
      </c>
      <c r="N262" s="416">
        <v>0</v>
      </c>
      <c r="O262" s="416">
        <v>0</v>
      </c>
      <c r="P262" s="416">
        <v>0</v>
      </c>
      <c r="Q262" s="416">
        <v>0</v>
      </c>
      <c r="R262" s="416">
        <v>0</v>
      </c>
      <c r="S262" s="416">
        <v>0</v>
      </c>
      <c r="T262" s="416">
        <v>0</v>
      </c>
      <c r="U262" s="416">
        <v>0</v>
      </c>
      <c r="V262" s="416">
        <v>0</v>
      </c>
      <c r="W262" s="416">
        <v>0</v>
      </c>
      <c r="X262" s="416">
        <v>0</v>
      </c>
      <c r="Y262" s="416">
        <v>0</v>
      </c>
      <c r="Z262" s="416">
        <v>0</v>
      </c>
      <c r="AA262" s="416">
        <v>0</v>
      </c>
      <c r="AB262" s="416">
        <v>0</v>
      </c>
      <c r="AC262" s="416">
        <v>0</v>
      </c>
      <c r="AD262" s="416">
        <v>0</v>
      </c>
      <c r="AE262" s="416">
        <v>0</v>
      </c>
      <c r="AF262" s="416">
        <v>0</v>
      </c>
      <c r="AG262" s="416">
        <v>0</v>
      </c>
      <c r="AH262" s="416">
        <v>0</v>
      </c>
      <c r="AI262" s="416">
        <v>0</v>
      </c>
      <c r="AJ262" s="416">
        <v>0</v>
      </c>
      <c r="AK262" s="416">
        <v>0</v>
      </c>
      <c r="AL262" s="416">
        <v>0</v>
      </c>
      <c r="AM262" s="416">
        <v>0</v>
      </c>
      <c r="AN262" s="416">
        <v>0</v>
      </c>
      <c r="AO262" s="416">
        <v>0</v>
      </c>
      <c r="AP262" s="416">
        <v>0</v>
      </c>
      <c r="AQ262" s="416">
        <v>0</v>
      </c>
      <c r="AR262" s="416">
        <v>0</v>
      </c>
      <c r="AS262" s="416">
        <v>0</v>
      </c>
      <c r="AT262" s="416">
        <v>0</v>
      </c>
      <c r="AU262" s="416">
        <v>0</v>
      </c>
      <c r="AV262" s="416">
        <v>0</v>
      </c>
      <c r="AW262" s="416">
        <v>0</v>
      </c>
      <c r="AX262" s="416">
        <v>0</v>
      </c>
      <c r="AY262" s="416">
        <v>0</v>
      </c>
      <c r="AZ262" s="416">
        <v>0</v>
      </c>
      <c r="BA262" s="416">
        <v>0</v>
      </c>
      <c r="BB262" s="416">
        <v>0</v>
      </c>
      <c r="BC262" s="416">
        <v>0</v>
      </c>
      <c r="BD262" s="416">
        <v>0</v>
      </c>
      <c r="BE262" s="416">
        <v>0</v>
      </c>
      <c r="BF262" s="416">
        <v>0</v>
      </c>
      <c r="BG262" s="416">
        <v>0</v>
      </c>
      <c r="BH262" s="416">
        <v>0</v>
      </c>
      <c r="BI262" s="416">
        <v>0</v>
      </c>
      <c r="BJ262" s="416">
        <v>0</v>
      </c>
      <c r="BK262" s="416">
        <v>0</v>
      </c>
      <c r="BL262" s="416">
        <v>0</v>
      </c>
      <c r="BM262" s="416">
        <v>0</v>
      </c>
      <c r="BN262" s="416">
        <v>0</v>
      </c>
      <c r="BO262" s="416">
        <v>0</v>
      </c>
      <c r="BP262" s="416">
        <v>0</v>
      </c>
      <c r="BQ262" s="416">
        <v>0</v>
      </c>
      <c r="BR262" s="416">
        <v>0</v>
      </c>
      <c r="BS262" s="416">
        <v>0</v>
      </c>
      <c r="BT262" s="416">
        <v>0</v>
      </c>
      <c r="BU262" s="416">
        <v>0</v>
      </c>
      <c r="BV262" s="416">
        <v>0</v>
      </c>
      <c r="BW262" s="416">
        <v>0</v>
      </c>
      <c r="BX262" s="416">
        <v>0</v>
      </c>
      <c r="BY262" s="416">
        <v>0</v>
      </c>
      <c r="BZ262" s="416">
        <v>0</v>
      </c>
      <c r="CC262" s="21"/>
      <c r="CD262" s="424" t="s">
        <v>382</v>
      </c>
      <c r="CE262" s="433">
        <f t="shared" si="45"/>
        <v>0</v>
      </c>
      <c r="CF262" s="433">
        <f t="shared" si="46"/>
        <v>0</v>
      </c>
      <c r="CG262" s="433">
        <f t="shared" si="47"/>
        <v>0</v>
      </c>
      <c r="CH262" s="433">
        <f t="shared" si="48"/>
        <v>0</v>
      </c>
      <c r="CI262" s="433">
        <f t="shared" si="49"/>
        <v>0</v>
      </c>
      <c r="CJ262" s="433">
        <f t="shared" si="50"/>
        <v>0</v>
      </c>
      <c r="CK262" s="433">
        <f t="shared" si="51"/>
        <v>0</v>
      </c>
      <c r="CL262" s="433">
        <f t="shared" si="52"/>
        <v>0</v>
      </c>
      <c r="CM262" s="433">
        <f t="shared" si="53"/>
        <v>0</v>
      </c>
      <c r="CN262" s="433">
        <f t="shared" si="54"/>
        <v>0</v>
      </c>
      <c r="CO262" s="433">
        <f t="shared" si="55"/>
        <v>0</v>
      </c>
      <c r="CP262" s="433">
        <f t="shared" si="56"/>
        <v>0</v>
      </c>
      <c r="CQ262" s="433">
        <f t="shared" si="57"/>
        <v>0</v>
      </c>
      <c r="CR262" s="433">
        <f t="shared" si="58"/>
        <v>0</v>
      </c>
      <c r="CS262" s="433">
        <f t="shared" si="59"/>
        <v>0</v>
      </c>
      <c r="CT262" s="21"/>
    </row>
    <row r="263" spans="3:98" hidden="1" outlineLevel="2">
      <c r="C263" s="424" t="s">
        <v>383</v>
      </c>
      <c r="D263" s="416">
        <v>0</v>
      </c>
      <c r="E263" s="416">
        <v>0</v>
      </c>
      <c r="F263" s="416">
        <v>0</v>
      </c>
      <c r="G263" s="416">
        <v>0</v>
      </c>
      <c r="H263" s="416">
        <v>0</v>
      </c>
      <c r="I263" s="416">
        <v>0</v>
      </c>
      <c r="J263" s="416">
        <v>0</v>
      </c>
      <c r="K263" s="416">
        <v>0</v>
      </c>
      <c r="L263" s="416">
        <v>0</v>
      </c>
      <c r="M263" s="416">
        <v>0</v>
      </c>
      <c r="N263" s="416">
        <v>0</v>
      </c>
      <c r="O263" s="416">
        <v>0</v>
      </c>
      <c r="P263" s="416">
        <v>0</v>
      </c>
      <c r="Q263" s="416">
        <v>0</v>
      </c>
      <c r="R263" s="416">
        <v>0</v>
      </c>
      <c r="S263" s="416">
        <v>0</v>
      </c>
      <c r="T263" s="416">
        <v>0</v>
      </c>
      <c r="U263" s="416">
        <v>0</v>
      </c>
      <c r="V263" s="416">
        <v>0</v>
      </c>
      <c r="W263" s="416">
        <v>0</v>
      </c>
      <c r="X263" s="416">
        <v>0</v>
      </c>
      <c r="Y263" s="416">
        <v>0</v>
      </c>
      <c r="Z263" s="416">
        <v>0</v>
      </c>
      <c r="AA263" s="416">
        <v>0</v>
      </c>
      <c r="AB263" s="416">
        <v>0</v>
      </c>
      <c r="AC263" s="416">
        <v>0</v>
      </c>
      <c r="AD263" s="416">
        <v>0</v>
      </c>
      <c r="AE263" s="416">
        <v>0</v>
      </c>
      <c r="AF263" s="416">
        <v>0</v>
      </c>
      <c r="AG263" s="416">
        <v>0</v>
      </c>
      <c r="AH263" s="416">
        <v>0</v>
      </c>
      <c r="AI263" s="416">
        <v>0</v>
      </c>
      <c r="AJ263" s="416">
        <v>0</v>
      </c>
      <c r="AK263" s="416">
        <v>0</v>
      </c>
      <c r="AL263" s="416">
        <v>0</v>
      </c>
      <c r="AM263" s="416">
        <v>0</v>
      </c>
      <c r="AN263" s="416">
        <v>0</v>
      </c>
      <c r="AO263" s="416">
        <v>0</v>
      </c>
      <c r="AP263" s="416">
        <v>0</v>
      </c>
      <c r="AQ263" s="416">
        <v>0</v>
      </c>
      <c r="AR263" s="416">
        <v>0</v>
      </c>
      <c r="AS263" s="416">
        <v>0</v>
      </c>
      <c r="AT263" s="416">
        <v>0</v>
      </c>
      <c r="AU263" s="416">
        <v>0</v>
      </c>
      <c r="AV263" s="416">
        <v>0</v>
      </c>
      <c r="AW263" s="416">
        <v>0</v>
      </c>
      <c r="AX263" s="416">
        <v>0</v>
      </c>
      <c r="AY263" s="416">
        <v>0</v>
      </c>
      <c r="AZ263" s="416">
        <v>0</v>
      </c>
      <c r="BA263" s="416">
        <v>0</v>
      </c>
      <c r="BB263" s="416">
        <v>0</v>
      </c>
      <c r="BC263" s="416">
        <v>0</v>
      </c>
      <c r="BD263" s="416">
        <v>0</v>
      </c>
      <c r="BE263" s="416">
        <v>0</v>
      </c>
      <c r="BF263" s="416">
        <v>0</v>
      </c>
      <c r="BG263" s="416">
        <v>0</v>
      </c>
      <c r="BH263" s="416">
        <v>0</v>
      </c>
      <c r="BI263" s="416">
        <v>0</v>
      </c>
      <c r="BJ263" s="416">
        <v>0</v>
      </c>
      <c r="BK263" s="416">
        <v>0</v>
      </c>
      <c r="BL263" s="416">
        <v>0</v>
      </c>
      <c r="BM263" s="416">
        <v>0</v>
      </c>
      <c r="BN263" s="416">
        <v>0</v>
      </c>
      <c r="BO263" s="416">
        <v>0</v>
      </c>
      <c r="BP263" s="416">
        <v>0</v>
      </c>
      <c r="BQ263" s="416">
        <v>0</v>
      </c>
      <c r="BR263" s="416">
        <v>0</v>
      </c>
      <c r="BS263" s="416">
        <v>0</v>
      </c>
      <c r="BT263" s="416">
        <v>0</v>
      </c>
      <c r="BU263" s="416">
        <v>0</v>
      </c>
      <c r="BV263" s="416">
        <v>0</v>
      </c>
      <c r="BW263" s="416">
        <v>0</v>
      </c>
      <c r="BX263" s="416">
        <v>0</v>
      </c>
      <c r="BY263" s="416">
        <v>0</v>
      </c>
      <c r="BZ263" s="416">
        <v>0</v>
      </c>
      <c r="CC263" s="21"/>
      <c r="CD263" s="424" t="s">
        <v>383</v>
      </c>
      <c r="CE263" s="433">
        <f t="shared" si="45"/>
        <v>0</v>
      </c>
      <c r="CF263" s="433">
        <f t="shared" si="46"/>
        <v>0</v>
      </c>
      <c r="CG263" s="433">
        <f t="shared" si="47"/>
        <v>0</v>
      </c>
      <c r="CH263" s="433">
        <f t="shared" si="48"/>
        <v>0</v>
      </c>
      <c r="CI263" s="433">
        <f t="shared" si="49"/>
        <v>0</v>
      </c>
      <c r="CJ263" s="433">
        <f t="shared" si="50"/>
        <v>0</v>
      </c>
      <c r="CK263" s="433">
        <f t="shared" si="51"/>
        <v>0</v>
      </c>
      <c r="CL263" s="433">
        <f t="shared" si="52"/>
        <v>0</v>
      </c>
      <c r="CM263" s="433">
        <f t="shared" si="53"/>
        <v>0</v>
      </c>
      <c r="CN263" s="433">
        <f t="shared" si="54"/>
        <v>0</v>
      </c>
      <c r="CO263" s="433">
        <f t="shared" si="55"/>
        <v>0</v>
      </c>
      <c r="CP263" s="433">
        <f t="shared" si="56"/>
        <v>0</v>
      </c>
      <c r="CQ263" s="433">
        <f t="shared" si="57"/>
        <v>0</v>
      </c>
      <c r="CR263" s="433">
        <f t="shared" si="58"/>
        <v>0</v>
      </c>
      <c r="CS263" s="433">
        <f t="shared" si="59"/>
        <v>0</v>
      </c>
      <c r="CT263" s="21"/>
    </row>
    <row r="264" spans="3:98" hidden="1" outlineLevel="1">
      <c r="C264" s="415" t="s">
        <v>377</v>
      </c>
      <c r="D264" s="416">
        <v>0</v>
      </c>
      <c r="E264" s="416">
        <v>0</v>
      </c>
      <c r="F264" s="416">
        <v>0</v>
      </c>
      <c r="G264" s="416">
        <v>0</v>
      </c>
      <c r="H264" s="416">
        <v>0</v>
      </c>
      <c r="I264" s="416">
        <v>0</v>
      </c>
      <c r="J264" s="416">
        <v>0</v>
      </c>
      <c r="K264" s="416">
        <v>0</v>
      </c>
      <c r="L264" s="416">
        <v>0</v>
      </c>
      <c r="M264" s="416">
        <v>0</v>
      </c>
      <c r="N264" s="416">
        <v>0</v>
      </c>
      <c r="O264" s="416">
        <v>0</v>
      </c>
      <c r="P264" s="416">
        <v>0</v>
      </c>
      <c r="Q264" s="416">
        <v>0</v>
      </c>
      <c r="R264" s="416">
        <v>0</v>
      </c>
      <c r="S264" s="416">
        <v>0</v>
      </c>
      <c r="T264" s="416">
        <v>0</v>
      </c>
      <c r="U264" s="416">
        <v>0</v>
      </c>
      <c r="V264" s="416">
        <v>0</v>
      </c>
      <c r="W264" s="416">
        <v>0</v>
      </c>
      <c r="X264" s="416">
        <v>0</v>
      </c>
      <c r="Y264" s="416">
        <v>0</v>
      </c>
      <c r="Z264" s="416">
        <v>0</v>
      </c>
      <c r="AA264" s="416">
        <v>0</v>
      </c>
      <c r="AB264" s="416">
        <v>0</v>
      </c>
      <c r="AC264" s="416">
        <v>0</v>
      </c>
      <c r="AD264" s="416">
        <v>0</v>
      </c>
      <c r="AE264" s="416">
        <v>0</v>
      </c>
      <c r="AF264" s="416">
        <v>0</v>
      </c>
      <c r="AG264" s="416">
        <v>0</v>
      </c>
      <c r="AH264" s="416">
        <v>0</v>
      </c>
      <c r="AI264" s="416">
        <v>0</v>
      </c>
      <c r="AJ264" s="416">
        <v>0</v>
      </c>
      <c r="AK264" s="416">
        <v>0</v>
      </c>
      <c r="AL264" s="416">
        <v>0</v>
      </c>
      <c r="AM264" s="416">
        <v>0</v>
      </c>
      <c r="AN264" s="416">
        <v>0</v>
      </c>
      <c r="AO264" s="416">
        <v>0</v>
      </c>
      <c r="AP264" s="416">
        <v>0</v>
      </c>
      <c r="AQ264" s="416">
        <v>0</v>
      </c>
      <c r="AR264" s="416">
        <v>0</v>
      </c>
      <c r="AS264" s="416">
        <v>0</v>
      </c>
      <c r="AT264" s="416">
        <v>0</v>
      </c>
      <c r="AU264" s="416">
        <v>0</v>
      </c>
      <c r="AV264" s="416">
        <v>0</v>
      </c>
      <c r="AW264" s="416">
        <v>0</v>
      </c>
      <c r="AX264" s="416">
        <v>0</v>
      </c>
      <c r="AY264" s="416">
        <v>0</v>
      </c>
      <c r="AZ264" s="416">
        <v>0</v>
      </c>
      <c r="BA264" s="416">
        <v>0</v>
      </c>
      <c r="BB264" s="416">
        <v>0</v>
      </c>
      <c r="BC264" s="416">
        <v>0</v>
      </c>
      <c r="BD264" s="416">
        <v>0</v>
      </c>
      <c r="BE264" s="416">
        <v>0</v>
      </c>
      <c r="BF264" s="416">
        <v>93.82</v>
      </c>
      <c r="BG264" s="416">
        <v>0</v>
      </c>
      <c r="BH264" s="416">
        <v>0</v>
      </c>
      <c r="BI264" s="416">
        <v>0</v>
      </c>
      <c r="BJ264" s="416">
        <v>231.024</v>
      </c>
      <c r="BK264" s="416">
        <v>231.024</v>
      </c>
      <c r="BL264" s="416">
        <v>804.52300000000002</v>
      </c>
      <c r="BM264" s="416">
        <v>1516.5350000000001</v>
      </c>
      <c r="BN264" s="416">
        <v>1850.713</v>
      </c>
      <c r="BO264" s="416">
        <v>2034.66</v>
      </c>
      <c r="BP264" s="416">
        <v>2034.66</v>
      </c>
      <c r="BQ264" s="416">
        <v>2579.2179999999998</v>
      </c>
      <c r="BR264" s="416">
        <v>3004.4609999999998</v>
      </c>
      <c r="BS264" s="416">
        <v>3380.3319999999999</v>
      </c>
      <c r="BT264" s="416">
        <v>3767.6880000000001</v>
      </c>
      <c r="BU264" s="416">
        <v>3767.6880000000001</v>
      </c>
      <c r="BV264" s="416">
        <v>4056.7759999999998</v>
      </c>
      <c r="BW264" s="416">
        <v>4239.3209999999999</v>
      </c>
      <c r="BX264" s="416">
        <v>4418.3289999999997</v>
      </c>
      <c r="BY264" s="416">
        <v>0</v>
      </c>
      <c r="BZ264" s="416">
        <v>0</v>
      </c>
      <c r="CC264" s="21"/>
      <c r="CD264" s="415" t="s">
        <v>377</v>
      </c>
      <c r="CE264" s="433">
        <f t="shared" ref="CE264:CE327" si="60">H264</f>
        <v>0</v>
      </c>
      <c r="CF264" s="433">
        <f t="shared" ref="CF264:CF327" si="61">M264</f>
        <v>0</v>
      </c>
      <c r="CG264" s="433">
        <f t="shared" ref="CG264:CG327" si="62">R264</f>
        <v>0</v>
      </c>
      <c r="CH264" s="433">
        <f t="shared" ref="CH264:CH327" si="63">W264</f>
        <v>0</v>
      </c>
      <c r="CI264" s="433">
        <f t="shared" ref="CI264:CI327" si="64">AB264</f>
        <v>0</v>
      </c>
      <c r="CJ264" s="433">
        <f t="shared" ref="CJ264:CJ327" si="65">AG264</f>
        <v>0</v>
      </c>
      <c r="CK264" s="433">
        <f t="shared" ref="CK264:CK327" si="66">AL264</f>
        <v>0</v>
      </c>
      <c r="CL264" s="433">
        <f t="shared" ref="CL264:CL327" si="67">AQ264</f>
        <v>0</v>
      </c>
      <c r="CM264" s="433">
        <f t="shared" ref="CM264:CM327" si="68">AV264</f>
        <v>0</v>
      </c>
      <c r="CN264" s="433">
        <f t="shared" ref="CN264:CN327" si="69">BA264</f>
        <v>0</v>
      </c>
      <c r="CO264" s="433">
        <f t="shared" ref="CO264:CO327" si="70">BF264</f>
        <v>93.82</v>
      </c>
      <c r="CP264" s="433">
        <f t="shared" ref="CP264:CP327" si="71">BK264</f>
        <v>231.024</v>
      </c>
      <c r="CQ264" s="433">
        <f t="shared" ref="CQ264:CQ327" si="72">BP264</f>
        <v>2034.66</v>
      </c>
      <c r="CR264" s="433">
        <f t="shared" ref="CR264:CR327" si="73">BU264</f>
        <v>3767.6880000000001</v>
      </c>
      <c r="CS264" s="433">
        <f t="shared" ref="CS264:CS327" si="74">BZ264</f>
        <v>0</v>
      </c>
      <c r="CT264" s="21"/>
    </row>
    <row r="265" spans="3:98" hidden="1" outlineLevel="1">
      <c r="C265" s="415" t="s">
        <v>384</v>
      </c>
      <c r="D265" s="416">
        <v>0</v>
      </c>
      <c r="E265" s="416">
        <v>0</v>
      </c>
      <c r="F265" s="416">
        <v>0</v>
      </c>
      <c r="G265" s="416">
        <v>0</v>
      </c>
      <c r="H265" s="416">
        <v>0</v>
      </c>
      <c r="I265" s="416">
        <v>0</v>
      </c>
      <c r="J265" s="416">
        <v>0</v>
      </c>
      <c r="K265" s="416">
        <v>0</v>
      </c>
      <c r="L265" s="416">
        <v>0</v>
      </c>
      <c r="M265" s="416">
        <v>0</v>
      </c>
      <c r="N265" s="416">
        <v>0</v>
      </c>
      <c r="O265" s="416">
        <v>0</v>
      </c>
      <c r="P265" s="416">
        <v>0</v>
      </c>
      <c r="Q265" s="416">
        <v>0</v>
      </c>
      <c r="R265" s="416">
        <v>0</v>
      </c>
      <c r="S265" s="416">
        <v>0</v>
      </c>
      <c r="T265" s="416">
        <v>0</v>
      </c>
      <c r="U265" s="416">
        <v>0</v>
      </c>
      <c r="V265" s="416">
        <v>0</v>
      </c>
      <c r="W265" s="416">
        <v>0</v>
      </c>
      <c r="X265" s="416">
        <v>0</v>
      </c>
      <c r="Y265" s="416">
        <v>0</v>
      </c>
      <c r="Z265" s="416">
        <v>0</v>
      </c>
      <c r="AA265" s="416">
        <v>0</v>
      </c>
      <c r="AB265" s="416">
        <v>0</v>
      </c>
      <c r="AC265" s="416">
        <v>0</v>
      </c>
      <c r="AD265" s="416">
        <v>0</v>
      </c>
      <c r="AE265" s="416">
        <v>0</v>
      </c>
      <c r="AF265" s="416">
        <v>0</v>
      </c>
      <c r="AG265" s="416">
        <v>0</v>
      </c>
      <c r="AH265" s="416">
        <v>0</v>
      </c>
      <c r="AI265" s="416">
        <v>0</v>
      </c>
      <c r="AJ265" s="416">
        <v>0</v>
      </c>
      <c r="AK265" s="416">
        <v>0</v>
      </c>
      <c r="AL265" s="416">
        <v>0</v>
      </c>
      <c r="AM265" s="416">
        <v>0</v>
      </c>
      <c r="AN265" s="416">
        <v>0</v>
      </c>
      <c r="AO265" s="416">
        <v>0</v>
      </c>
      <c r="AP265" s="416">
        <v>0</v>
      </c>
      <c r="AQ265" s="416">
        <v>0</v>
      </c>
      <c r="AR265" s="416">
        <v>0</v>
      </c>
      <c r="AS265" s="416">
        <v>0</v>
      </c>
      <c r="AT265" s="416">
        <v>0</v>
      </c>
      <c r="AU265" s="416">
        <v>0</v>
      </c>
      <c r="AV265" s="416">
        <v>0</v>
      </c>
      <c r="AW265" s="416">
        <v>0</v>
      </c>
      <c r="AX265" s="416">
        <v>0</v>
      </c>
      <c r="AY265" s="416">
        <v>0</v>
      </c>
      <c r="AZ265" s="416">
        <v>0</v>
      </c>
      <c r="BA265" s="416">
        <v>0</v>
      </c>
      <c r="BB265" s="416">
        <v>0</v>
      </c>
      <c r="BC265" s="416">
        <v>0</v>
      </c>
      <c r="BD265" s="416">
        <v>0</v>
      </c>
      <c r="BE265" s="416">
        <v>0</v>
      </c>
      <c r="BF265" s="416">
        <v>0</v>
      </c>
      <c r="BG265" s="416">
        <v>0</v>
      </c>
      <c r="BH265" s="416">
        <v>0</v>
      </c>
      <c r="BI265" s="416">
        <v>0</v>
      </c>
      <c r="BJ265" s="416">
        <v>0</v>
      </c>
      <c r="BK265" s="416">
        <v>0</v>
      </c>
      <c r="BL265" s="416">
        <v>0</v>
      </c>
      <c r="BM265" s="416">
        <v>0</v>
      </c>
      <c r="BN265" s="416">
        <v>0</v>
      </c>
      <c r="BO265" s="416">
        <v>0</v>
      </c>
      <c r="BP265" s="416">
        <v>0</v>
      </c>
      <c r="BQ265" s="416">
        <v>0</v>
      </c>
      <c r="BR265" s="416">
        <v>0</v>
      </c>
      <c r="BS265" s="416">
        <v>0</v>
      </c>
      <c r="BT265" s="416">
        <v>0</v>
      </c>
      <c r="BU265" s="416">
        <v>0</v>
      </c>
      <c r="BV265" s="416">
        <v>0</v>
      </c>
      <c r="BW265" s="416">
        <v>0</v>
      </c>
      <c r="BX265" s="416">
        <v>0</v>
      </c>
      <c r="BY265" s="416">
        <v>0</v>
      </c>
      <c r="BZ265" s="416">
        <v>0</v>
      </c>
      <c r="CC265" s="21"/>
      <c r="CD265" s="415" t="s">
        <v>384</v>
      </c>
      <c r="CE265" s="433">
        <f t="shared" si="60"/>
        <v>0</v>
      </c>
      <c r="CF265" s="433">
        <f t="shared" si="61"/>
        <v>0</v>
      </c>
      <c r="CG265" s="433">
        <f t="shared" si="62"/>
        <v>0</v>
      </c>
      <c r="CH265" s="433">
        <f t="shared" si="63"/>
        <v>0</v>
      </c>
      <c r="CI265" s="433">
        <f t="shared" si="64"/>
        <v>0</v>
      </c>
      <c r="CJ265" s="433">
        <f t="shared" si="65"/>
        <v>0</v>
      </c>
      <c r="CK265" s="433">
        <f t="shared" si="66"/>
        <v>0</v>
      </c>
      <c r="CL265" s="433">
        <f t="shared" si="67"/>
        <v>0</v>
      </c>
      <c r="CM265" s="433">
        <f t="shared" si="68"/>
        <v>0</v>
      </c>
      <c r="CN265" s="433">
        <f t="shared" si="69"/>
        <v>0</v>
      </c>
      <c r="CO265" s="433">
        <f t="shared" si="70"/>
        <v>0</v>
      </c>
      <c r="CP265" s="433">
        <f t="shared" si="71"/>
        <v>0</v>
      </c>
      <c r="CQ265" s="433">
        <f t="shared" si="72"/>
        <v>0</v>
      </c>
      <c r="CR265" s="433">
        <f t="shared" si="73"/>
        <v>0</v>
      </c>
      <c r="CS265" s="433">
        <f t="shared" si="74"/>
        <v>0</v>
      </c>
      <c r="CT265" s="21"/>
    </row>
    <row r="266" spans="3:98" hidden="1" outlineLevel="1">
      <c r="C266" s="415" t="s">
        <v>385</v>
      </c>
      <c r="D266" s="416">
        <v>0</v>
      </c>
      <c r="E266" s="416">
        <v>0</v>
      </c>
      <c r="F266" s="416">
        <v>0</v>
      </c>
      <c r="G266" s="416">
        <v>0</v>
      </c>
      <c r="H266" s="416">
        <v>0</v>
      </c>
      <c r="I266" s="416">
        <v>0</v>
      </c>
      <c r="J266" s="416">
        <v>0</v>
      </c>
      <c r="K266" s="416">
        <v>0</v>
      </c>
      <c r="L266" s="416">
        <v>0</v>
      </c>
      <c r="M266" s="416">
        <v>0</v>
      </c>
      <c r="N266" s="416">
        <v>0</v>
      </c>
      <c r="O266" s="416">
        <v>0</v>
      </c>
      <c r="P266" s="416">
        <v>0</v>
      </c>
      <c r="Q266" s="416">
        <v>0</v>
      </c>
      <c r="R266" s="416">
        <v>0</v>
      </c>
      <c r="S266" s="416">
        <v>0</v>
      </c>
      <c r="T266" s="416">
        <v>0</v>
      </c>
      <c r="U266" s="416">
        <v>0</v>
      </c>
      <c r="V266" s="416">
        <v>0</v>
      </c>
      <c r="W266" s="416">
        <v>0</v>
      </c>
      <c r="X266" s="416">
        <v>0</v>
      </c>
      <c r="Y266" s="416">
        <v>0</v>
      </c>
      <c r="Z266" s="416">
        <v>0</v>
      </c>
      <c r="AA266" s="416">
        <v>0</v>
      </c>
      <c r="AB266" s="416">
        <v>0</v>
      </c>
      <c r="AC266" s="416">
        <v>0</v>
      </c>
      <c r="AD266" s="416">
        <v>0</v>
      </c>
      <c r="AE266" s="416">
        <v>0</v>
      </c>
      <c r="AF266" s="416">
        <v>0</v>
      </c>
      <c r="AG266" s="416">
        <v>0</v>
      </c>
      <c r="AH266" s="416">
        <v>0</v>
      </c>
      <c r="AI266" s="416">
        <v>0</v>
      </c>
      <c r="AJ266" s="416">
        <v>0</v>
      </c>
      <c r="AK266" s="416">
        <v>0</v>
      </c>
      <c r="AL266" s="416">
        <v>0</v>
      </c>
      <c r="AM266" s="416">
        <v>0</v>
      </c>
      <c r="AN266" s="416">
        <v>0</v>
      </c>
      <c r="AO266" s="416">
        <v>0</v>
      </c>
      <c r="AP266" s="416">
        <v>0</v>
      </c>
      <c r="AQ266" s="416">
        <v>0</v>
      </c>
      <c r="AR266" s="416">
        <v>0</v>
      </c>
      <c r="AS266" s="416">
        <v>0</v>
      </c>
      <c r="AT266" s="416">
        <v>0</v>
      </c>
      <c r="AU266" s="416">
        <v>0</v>
      </c>
      <c r="AV266" s="416">
        <v>0</v>
      </c>
      <c r="AW266" s="416">
        <v>0</v>
      </c>
      <c r="AX266" s="416">
        <v>0</v>
      </c>
      <c r="AY266" s="416">
        <v>0</v>
      </c>
      <c r="AZ266" s="416">
        <v>0</v>
      </c>
      <c r="BA266" s="416">
        <v>0</v>
      </c>
      <c r="BB266" s="416">
        <v>0</v>
      </c>
      <c r="BC266" s="416">
        <v>0</v>
      </c>
      <c r="BD266" s="416">
        <v>0</v>
      </c>
      <c r="BE266" s="416">
        <v>0</v>
      </c>
      <c r="BF266" s="416">
        <v>0</v>
      </c>
      <c r="BG266" s="416">
        <v>0</v>
      </c>
      <c r="BH266" s="416">
        <v>0</v>
      </c>
      <c r="BI266" s="416">
        <v>0</v>
      </c>
      <c r="BJ266" s="416">
        <v>0</v>
      </c>
      <c r="BK266" s="416">
        <v>0</v>
      </c>
      <c r="BL266" s="416">
        <v>0</v>
      </c>
      <c r="BM266" s="416">
        <v>0</v>
      </c>
      <c r="BN266" s="416">
        <v>0</v>
      </c>
      <c r="BO266" s="416">
        <v>0</v>
      </c>
      <c r="BP266" s="416">
        <v>0</v>
      </c>
      <c r="BQ266" s="416">
        <v>0</v>
      </c>
      <c r="BR266" s="416">
        <v>0</v>
      </c>
      <c r="BS266" s="416">
        <v>0</v>
      </c>
      <c r="BT266" s="416">
        <v>0</v>
      </c>
      <c r="BU266" s="416">
        <v>0</v>
      </c>
      <c r="BV266" s="416">
        <v>0</v>
      </c>
      <c r="BW266" s="416">
        <v>0</v>
      </c>
      <c r="BX266" s="416">
        <v>0</v>
      </c>
      <c r="BY266" s="416">
        <v>0</v>
      </c>
      <c r="BZ266" s="416">
        <v>0</v>
      </c>
      <c r="CC266" s="21"/>
      <c r="CD266" s="415" t="s">
        <v>385</v>
      </c>
      <c r="CE266" s="433">
        <f t="shared" si="60"/>
        <v>0</v>
      </c>
      <c r="CF266" s="433">
        <f t="shared" si="61"/>
        <v>0</v>
      </c>
      <c r="CG266" s="433">
        <f t="shared" si="62"/>
        <v>0</v>
      </c>
      <c r="CH266" s="433">
        <f t="shared" si="63"/>
        <v>0</v>
      </c>
      <c r="CI266" s="433">
        <f t="shared" si="64"/>
        <v>0</v>
      </c>
      <c r="CJ266" s="433">
        <f t="shared" si="65"/>
        <v>0</v>
      </c>
      <c r="CK266" s="433">
        <f t="shared" si="66"/>
        <v>0</v>
      </c>
      <c r="CL266" s="433">
        <f t="shared" si="67"/>
        <v>0</v>
      </c>
      <c r="CM266" s="433">
        <f t="shared" si="68"/>
        <v>0</v>
      </c>
      <c r="CN266" s="433">
        <f t="shared" si="69"/>
        <v>0</v>
      </c>
      <c r="CO266" s="433">
        <f t="shared" si="70"/>
        <v>0</v>
      </c>
      <c r="CP266" s="433">
        <f t="shared" si="71"/>
        <v>0</v>
      </c>
      <c r="CQ266" s="433">
        <f t="shared" si="72"/>
        <v>0</v>
      </c>
      <c r="CR266" s="433">
        <f t="shared" si="73"/>
        <v>0</v>
      </c>
      <c r="CS266" s="433">
        <f t="shared" si="74"/>
        <v>0</v>
      </c>
      <c r="CT266" s="21"/>
    </row>
    <row r="267" spans="3:98" hidden="1" outlineLevel="1">
      <c r="C267" s="415" t="s">
        <v>386</v>
      </c>
      <c r="D267" s="416">
        <v>0</v>
      </c>
      <c r="E267" s="416">
        <v>0</v>
      </c>
      <c r="F267" s="416">
        <v>0</v>
      </c>
      <c r="G267" s="416">
        <v>0</v>
      </c>
      <c r="H267" s="416">
        <v>0</v>
      </c>
      <c r="I267" s="416">
        <v>0</v>
      </c>
      <c r="J267" s="416">
        <v>0</v>
      </c>
      <c r="K267" s="416">
        <v>0</v>
      </c>
      <c r="L267" s="416">
        <v>0</v>
      </c>
      <c r="M267" s="416">
        <v>0</v>
      </c>
      <c r="N267" s="416">
        <v>0</v>
      </c>
      <c r="O267" s="416">
        <v>0</v>
      </c>
      <c r="P267" s="416">
        <v>0</v>
      </c>
      <c r="Q267" s="416">
        <v>0</v>
      </c>
      <c r="R267" s="416">
        <v>0</v>
      </c>
      <c r="S267" s="416">
        <v>0</v>
      </c>
      <c r="T267" s="416">
        <v>0</v>
      </c>
      <c r="U267" s="416">
        <v>0</v>
      </c>
      <c r="V267" s="416">
        <v>0</v>
      </c>
      <c r="W267" s="416">
        <v>0</v>
      </c>
      <c r="X267" s="416">
        <v>0</v>
      </c>
      <c r="Y267" s="416">
        <v>0</v>
      </c>
      <c r="Z267" s="416">
        <v>0</v>
      </c>
      <c r="AA267" s="416">
        <v>0</v>
      </c>
      <c r="AB267" s="416">
        <v>0</v>
      </c>
      <c r="AC267" s="416">
        <v>0</v>
      </c>
      <c r="AD267" s="416">
        <v>0</v>
      </c>
      <c r="AE267" s="416">
        <v>0</v>
      </c>
      <c r="AF267" s="416">
        <v>0</v>
      </c>
      <c r="AG267" s="416">
        <v>0</v>
      </c>
      <c r="AH267" s="416">
        <v>0</v>
      </c>
      <c r="AI267" s="416">
        <v>0</v>
      </c>
      <c r="AJ267" s="416">
        <v>0</v>
      </c>
      <c r="AK267" s="416">
        <v>0</v>
      </c>
      <c r="AL267" s="416">
        <v>0</v>
      </c>
      <c r="AM267" s="416">
        <v>0</v>
      </c>
      <c r="AN267" s="416">
        <v>0</v>
      </c>
      <c r="AO267" s="416">
        <v>0</v>
      </c>
      <c r="AP267" s="416">
        <v>0</v>
      </c>
      <c r="AQ267" s="416">
        <v>0</v>
      </c>
      <c r="AR267" s="416">
        <v>0</v>
      </c>
      <c r="AS267" s="416">
        <v>0</v>
      </c>
      <c r="AT267" s="416">
        <v>0</v>
      </c>
      <c r="AU267" s="416">
        <v>0</v>
      </c>
      <c r="AV267" s="416">
        <v>0</v>
      </c>
      <c r="AW267" s="416">
        <v>0</v>
      </c>
      <c r="AX267" s="416">
        <v>0</v>
      </c>
      <c r="AY267" s="416">
        <v>0</v>
      </c>
      <c r="AZ267" s="416">
        <v>0</v>
      </c>
      <c r="BA267" s="416">
        <v>0</v>
      </c>
      <c r="BB267" s="416">
        <v>0</v>
      </c>
      <c r="BC267" s="416">
        <v>0</v>
      </c>
      <c r="BD267" s="416">
        <v>0</v>
      </c>
      <c r="BE267" s="416">
        <v>0</v>
      </c>
      <c r="BF267" s="416">
        <v>403.98700000000002</v>
      </c>
      <c r="BG267" s="416">
        <v>0</v>
      </c>
      <c r="BH267" s="416">
        <v>0</v>
      </c>
      <c r="BI267" s="416">
        <v>0</v>
      </c>
      <c r="BJ267" s="416">
        <v>726.30399999999997</v>
      </c>
      <c r="BK267" s="416">
        <v>726.30399999999997</v>
      </c>
      <c r="BL267" s="416">
        <v>1497.7670000000001</v>
      </c>
      <c r="BM267" s="416">
        <v>3104.116</v>
      </c>
      <c r="BN267" s="416">
        <v>3510.2159999999999</v>
      </c>
      <c r="BO267" s="416">
        <v>4350.424</v>
      </c>
      <c r="BP267" s="416">
        <v>4350.424</v>
      </c>
      <c r="BQ267" s="416">
        <v>3920.7649999999999</v>
      </c>
      <c r="BR267" s="416">
        <v>2827.1109999999999</v>
      </c>
      <c r="BS267" s="416">
        <v>2282.4760000000001</v>
      </c>
      <c r="BT267" s="416">
        <v>1725.4749999999999</v>
      </c>
      <c r="BU267" s="416">
        <v>1725.4749999999999</v>
      </c>
      <c r="BV267" s="416">
        <v>1646.579</v>
      </c>
      <c r="BW267" s="416">
        <v>1549.174</v>
      </c>
      <c r="BX267" s="416">
        <v>1546.9090000000001</v>
      </c>
      <c r="BY267" s="416">
        <v>0</v>
      </c>
      <c r="BZ267" s="416">
        <v>0</v>
      </c>
      <c r="CC267" s="21"/>
      <c r="CD267" s="415" t="s">
        <v>386</v>
      </c>
      <c r="CE267" s="433">
        <f t="shared" si="60"/>
        <v>0</v>
      </c>
      <c r="CF267" s="433">
        <f t="shared" si="61"/>
        <v>0</v>
      </c>
      <c r="CG267" s="433">
        <f t="shared" si="62"/>
        <v>0</v>
      </c>
      <c r="CH267" s="433">
        <f t="shared" si="63"/>
        <v>0</v>
      </c>
      <c r="CI267" s="433">
        <f t="shared" si="64"/>
        <v>0</v>
      </c>
      <c r="CJ267" s="433">
        <f t="shared" si="65"/>
        <v>0</v>
      </c>
      <c r="CK267" s="433">
        <f t="shared" si="66"/>
        <v>0</v>
      </c>
      <c r="CL267" s="433">
        <f t="shared" si="67"/>
        <v>0</v>
      </c>
      <c r="CM267" s="433">
        <f t="shared" si="68"/>
        <v>0</v>
      </c>
      <c r="CN267" s="433">
        <f t="shared" si="69"/>
        <v>0</v>
      </c>
      <c r="CO267" s="433">
        <f t="shared" si="70"/>
        <v>403.98700000000002</v>
      </c>
      <c r="CP267" s="433">
        <f t="shared" si="71"/>
        <v>726.30399999999997</v>
      </c>
      <c r="CQ267" s="433">
        <f t="shared" si="72"/>
        <v>4350.424</v>
      </c>
      <c r="CR267" s="433">
        <f t="shared" si="73"/>
        <v>1725.4749999999999</v>
      </c>
      <c r="CS267" s="433">
        <f t="shared" si="74"/>
        <v>0</v>
      </c>
      <c r="CT267" s="21"/>
    </row>
    <row r="268" spans="3:98" hidden="1" outlineLevel="2">
      <c r="C268" s="424" t="s">
        <v>388</v>
      </c>
      <c r="D268" s="416">
        <v>0</v>
      </c>
      <c r="E268" s="416">
        <v>0</v>
      </c>
      <c r="F268" s="416">
        <v>0</v>
      </c>
      <c r="G268" s="416">
        <v>0</v>
      </c>
      <c r="H268" s="416">
        <v>0</v>
      </c>
      <c r="I268" s="416">
        <v>0</v>
      </c>
      <c r="J268" s="416">
        <v>0</v>
      </c>
      <c r="K268" s="416">
        <v>0</v>
      </c>
      <c r="L268" s="416">
        <v>0</v>
      </c>
      <c r="M268" s="416">
        <v>0</v>
      </c>
      <c r="N268" s="416">
        <v>0</v>
      </c>
      <c r="O268" s="416">
        <v>0</v>
      </c>
      <c r="P268" s="416">
        <v>0</v>
      </c>
      <c r="Q268" s="416">
        <v>0</v>
      </c>
      <c r="R268" s="416">
        <v>0</v>
      </c>
      <c r="S268" s="416">
        <v>0</v>
      </c>
      <c r="T268" s="416">
        <v>0</v>
      </c>
      <c r="U268" s="416">
        <v>0</v>
      </c>
      <c r="V268" s="416">
        <v>0</v>
      </c>
      <c r="W268" s="416">
        <v>0</v>
      </c>
      <c r="X268" s="416">
        <v>0</v>
      </c>
      <c r="Y268" s="416">
        <v>0</v>
      </c>
      <c r="Z268" s="416">
        <v>0</v>
      </c>
      <c r="AA268" s="416">
        <v>0</v>
      </c>
      <c r="AB268" s="416">
        <v>0</v>
      </c>
      <c r="AC268" s="416">
        <v>0</v>
      </c>
      <c r="AD268" s="416">
        <v>0</v>
      </c>
      <c r="AE268" s="416">
        <v>0</v>
      </c>
      <c r="AF268" s="416">
        <v>0</v>
      </c>
      <c r="AG268" s="416">
        <v>0</v>
      </c>
      <c r="AH268" s="416">
        <v>0</v>
      </c>
      <c r="AI268" s="416">
        <v>0</v>
      </c>
      <c r="AJ268" s="416">
        <v>0</v>
      </c>
      <c r="AK268" s="416">
        <v>0</v>
      </c>
      <c r="AL268" s="416">
        <v>0</v>
      </c>
      <c r="AM268" s="416">
        <v>0</v>
      </c>
      <c r="AN268" s="416">
        <v>0</v>
      </c>
      <c r="AO268" s="416">
        <v>0</v>
      </c>
      <c r="AP268" s="416">
        <v>0</v>
      </c>
      <c r="AQ268" s="416">
        <v>0</v>
      </c>
      <c r="AR268" s="416">
        <v>0</v>
      </c>
      <c r="AS268" s="416">
        <v>0</v>
      </c>
      <c r="AT268" s="416">
        <v>0</v>
      </c>
      <c r="AU268" s="416">
        <v>0</v>
      </c>
      <c r="AV268" s="416">
        <v>0</v>
      </c>
      <c r="AW268" s="416">
        <v>0</v>
      </c>
      <c r="AX268" s="416">
        <v>0</v>
      </c>
      <c r="AY268" s="416">
        <v>0</v>
      </c>
      <c r="AZ268" s="416">
        <v>0</v>
      </c>
      <c r="BA268" s="416">
        <v>0</v>
      </c>
      <c r="BB268" s="416">
        <v>0</v>
      </c>
      <c r="BC268" s="416">
        <v>0</v>
      </c>
      <c r="BD268" s="416">
        <v>0</v>
      </c>
      <c r="BE268" s="416">
        <v>0</v>
      </c>
      <c r="BF268" s="416">
        <v>0</v>
      </c>
      <c r="BG268" s="416">
        <v>0</v>
      </c>
      <c r="BH268" s="416">
        <v>0</v>
      </c>
      <c r="BI268" s="416">
        <v>0</v>
      </c>
      <c r="BJ268" s="416">
        <v>0</v>
      </c>
      <c r="BK268" s="416">
        <v>0</v>
      </c>
      <c r="BL268" s="416">
        <v>0</v>
      </c>
      <c r="BM268" s="416">
        <v>0</v>
      </c>
      <c r="BN268" s="416">
        <v>0</v>
      </c>
      <c r="BO268" s="416">
        <v>0</v>
      </c>
      <c r="BP268" s="416">
        <v>0</v>
      </c>
      <c r="BQ268" s="416">
        <v>0</v>
      </c>
      <c r="BR268" s="416">
        <v>0</v>
      </c>
      <c r="BS268" s="416">
        <v>0</v>
      </c>
      <c r="BT268" s="416">
        <v>0</v>
      </c>
      <c r="BU268" s="416">
        <v>0</v>
      </c>
      <c r="BV268" s="416">
        <v>0</v>
      </c>
      <c r="BW268" s="416">
        <v>0</v>
      </c>
      <c r="BX268" s="416">
        <v>0</v>
      </c>
      <c r="BY268" s="416">
        <v>0</v>
      </c>
      <c r="BZ268" s="416">
        <v>0</v>
      </c>
      <c r="CC268" s="21"/>
      <c r="CD268" s="424" t="s">
        <v>388</v>
      </c>
      <c r="CE268" s="433">
        <f t="shared" si="60"/>
        <v>0</v>
      </c>
      <c r="CF268" s="433">
        <f t="shared" si="61"/>
        <v>0</v>
      </c>
      <c r="CG268" s="433">
        <f t="shared" si="62"/>
        <v>0</v>
      </c>
      <c r="CH268" s="433">
        <f t="shared" si="63"/>
        <v>0</v>
      </c>
      <c r="CI268" s="433">
        <f t="shared" si="64"/>
        <v>0</v>
      </c>
      <c r="CJ268" s="433">
        <f t="shared" si="65"/>
        <v>0</v>
      </c>
      <c r="CK268" s="433">
        <f t="shared" si="66"/>
        <v>0</v>
      </c>
      <c r="CL268" s="433">
        <f t="shared" si="67"/>
        <v>0</v>
      </c>
      <c r="CM268" s="433">
        <f t="shared" si="68"/>
        <v>0</v>
      </c>
      <c r="CN268" s="433">
        <f t="shared" si="69"/>
        <v>0</v>
      </c>
      <c r="CO268" s="433">
        <f t="shared" si="70"/>
        <v>0</v>
      </c>
      <c r="CP268" s="433">
        <f t="shared" si="71"/>
        <v>0</v>
      </c>
      <c r="CQ268" s="433">
        <f t="shared" si="72"/>
        <v>0</v>
      </c>
      <c r="CR268" s="433">
        <f t="shared" si="73"/>
        <v>0</v>
      </c>
      <c r="CS268" s="433">
        <f t="shared" si="74"/>
        <v>0</v>
      </c>
      <c r="CT268" s="21"/>
    </row>
    <row r="269" spans="3:98" hidden="1" outlineLevel="2">
      <c r="C269" s="424" t="s">
        <v>389</v>
      </c>
      <c r="D269" s="416">
        <v>0</v>
      </c>
      <c r="E269" s="416">
        <v>0</v>
      </c>
      <c r="F269" s="416">
        <v>0</v>
      </c>
      <c r="G269" s="416">
        <v>0</v>
      </c>
      <c r="H269" s="416">
        <v>0</v>
      </c>
      <c r="I269" s="416">
        <v>0</v>
      </c>
      <c r="J269" s="416">
        <v>0</v>
      </c>
      <c r="K269" s="416">
        <v>0</v>
      </c>
      <c r="L269" s="416">
        <v>0</v>
      </c>
      <c r="M269" s="416">
        <v>0</v>
      </c>
      <c r="N269" s="416">
        <v>0</v>
      </c>
      <c r="O269" s="416">
        <v>0</v>
      </c>
      <c r="P269" s="416">
        <v>0</v>
      </c>
      <c r="Q269" s="416">
        <v>0</v>
      </c>
      <c r="R269" s="416">
        <v>0</v>
      </c>
      <c r="S269" s="416">
        <v>0</v>
      </c>
      <c r="T269" s="416">
        <v>0</v>
      </c>
      <c r="U269" s="416">
        <v>0</v>
      </c>
      <c r="V269" s="416">
        <v>0</v>
      </c>
      <c r="W269" s="416">
        <v>0</v>
      </c>
      <c r="X269" s="416">
        <v>0</v>
      </c>
      <c r="Y269" s="416">
        <v>0</v>
      </c>
      <c r="Z269" s="416">
        <v>0</v>
      </c>
      <c r="AA269" s="416">
        <v>0</v>
      </c>
      <c r="AB269" s="416">
        <v>0</v>
      </c>
      <c r="AC269" s="416">
        <v>0</v>
      </c>
      <c r="AD269" s="416">
        <v>0</v>
      </c>
      <c r="AE269" s="416">
        <v>0</v>
      </c>
      <c r="AF269" s="416">
        <v>0</v>
      </c>
      <c r="AG269" s="416">
        <v>0</v>
      </c>
      <c r="AH269" s="416">
        <v>0</v>
      </c>
      <c r="AI269" s="416">
        <v>0</v>
      </c>
      <c r="AJ269" s="416">
        <v>0</v>
      </c>
      <c r="AK269" s="416">
        <v>0</v>
      </c>
      <c r="AL269" s="416">
        <v>0</v>
      </c>
      <c r="AM269" s="416">
        <v>0</v>
      </c>
      <c r="AN269" s="416">
        <v>0</v>
      </c>
      <c r="AO269" s="416">
        <v>0</v>
      </c>
      <c r="AP269" s="416">
        <v>0</v>
      </c>
      <c r="AQ269" s="416">
        <v>0</v>
      </c>
      <c r="AR269" s="416">
        <v>0</v>
      </c>
      <c r="AS269" s="416">
        <v>0</v>
      </c>
      <c r="AT269" s="416">
        <v>0</v>
      </c>
      <c r="AU269" s="416">
        <v>0</v>
      </c>
      <c r="AV269" s="416">
        <v>0</v>
      </c>
      <c r="AW269" s="416">
        <v>0</v>
      </c>
      <c r="AX269" s="416">
        <v>0</v>
      </c>
      <c r="AY269" s="416">
        <v>0</v>
      </c>
      <c r="AZ269" s="416">
        <v>0</v>
      </c>
      <c r="BA269" s="416">
        <v>0</v>
      </c>
      <c r="BB269" s="416">
        <v>0</v>
      </c>
      <c r="BC269" s="416">
        <v>0</v>
      </c>
      <c r="BD269" s="416">
        <v>0</v>
      </c>
      <c r="BE269" s="416">
        <v>0</v>
      </c>
      <c r="BF269" s="416">
        <v>0</v>
      </c>
      <c r="BG269" s="416">
        <v>0</v>
      </c>
      <c r="BH269" s="416">
        <v>0</v>
      </c>
      <c r="BI269" s="416">
        <v>0</v>
      </c>
      <c r="BJ269" s="416">
        <v>0</v>
      </c>
      <c r="BK269" s="416">
        <v>0</v>
      </c>
      <c r="BL269" s="416">
        <v>0</v>
      </c>
      <c r="BM269" s="416">
        <v>0</v>
      </c>
      <c r="BN269" s="416">
        <v>0</v>
      </c>
      <c r="BO269" s="416">
        <v>0</v>
      </c>
      <c r="BP269" s="416">
        <v>0</v>
      </c>
      <c r="BQ269" s="416">
        <v>0</v>
      </c>
      <c r="BR269" s="416">
        <v>0</v>
      </c>
      <c r="BS269" s="416">
        <v>0</v>
      </c>
      <c r="BT269" s="416">
        <v>0</v>
      </c>
      <c r="BU269" s="416">
        <v>0</v>
      </c>
      <c r="BV269" s="416">
        <v>0</v>
      </c>
      <c r="BW269" s="416">
        <v>0</v>
      </c>
      <c r="BX269" s="416">
        <v>0</v>
      </c>
      <c r="BY269" s="416">
        <v>0</v>
      </c>
      <c r="BZ269" s="416">
        <v>0</v>
      </c>
      <c r="CC269" s="21"/>
      <c r="CD269" s="424" t="s">
        <v>389</v>
      </c>
      <c r="CE269" s="433">
        <f t="shared" si="60"/>
        <v>0</v>
      </c>
      <c r="CF269" s="433">
        <f t="shared" si="61"/>
        <v>0</v>
      </c>
      <c r="CG269" s="433">
        <f t="shared" si="62"/>
        <v>0</v>
      </c>
      <c r="CH269" s="433">
        <f t="shared" si="63"/>
        <v>0</v>
      </c>
      <c r="CI269" s="433">
        <f t="shared" si="64"/>
        <v>0</v>
      </c>
      <c r="CJ269" s="433">
        <f t="shared" si="65"/>
        <v>0</v>
      </c>
      <c r="CK269" s="433">
        <f t="shared" si="66"/>
        <v>0</v>
      </c>
      <c r="CL269" s="433">
        <f t="shared" si="67"/>
        <v>0</v>
      </c>
      <c r="CM269" s="433">
        <f t="shared" si="68"/>
        <v>0</v>
      </c>
      <c r="CN269" s="433">
        <f t="shared" si="69"/>
        <v>0</v>
      </c>
      <c r="CO269" s="433">
        <f t="shared" si="70"/>
        <v>0</v>
      </c>
      <c r="CP269" s="433">
        <f t="shared" si="71"/>
        <v>0</v>
      </c>
      <c r="CQ269" s="433">
        <f t="shared" si="72"/>
        <v>0</v>
      </c>
      <c r="CR269" s="433">
        <f t="shared" si="73"/>
        <v>0</v>
      </c>
      <c r="CS269" s="433">
        <f t="shared" si="74"/>
        <v>0</v>
      </c>
      <c r="CT269" s="21"/>
    </row>
    <row r="270" spans="3:98" hidden="1" outlineLevel="2">
      <c r="C270" s="424" t="s">
        <v>748</v>
      </c>
      <c r="D270" s="416">
        <v>0</v>
      </c>
      <c r="E270" s="416">
        <v>0</v>
      </c>
      <c r="F270" s="416">
        <v>0</v>
      </c>
      <c r="G270" s="416">
        <v>0</v>
      </c>
      <c r="H270" s="416">
        <v>0</v>
      </c>
      <c r="I270" s="416">
        <v>0</v>
      </c>
      <c r="J270" s="416">
        <v>0</v>
      </c>
      <c r="K270" s="416">
        <v>0</v>
      </c>
      <c r="L270" s="416">
        <v>0</v>
      </c>
      <c r="M270" s="416">
        <v>0</v>
      </c>
      <c r="N270" s="416">
        <v>0</v>
      </c>
      <c r="O270" s="416">
        <v>0</v>
      </c>
      <c r="P270" s="416">
        <v>0</v>
      </c>
      <c r="Q270" s="416">
        <v>0</v>
      </c>
      <c r="R270" s="416">
        <v>0</v>
      </c>
      <c r="S270" s="416">
        <v>0</v>
      </c>
      <c r="T270" s="416">
        <v>0</v>
      </c>
      <c r="U270" s="416">
        <v>0</v>
      </c>
      <c r="V270" s="416">
        <v>0</v>
      </c>
      <c r="W270" s="416">
        <v>0</v>
      </c>
      <c r="X270" s="416">
        <v>0</v>
      </c>
      <c r="Y270" s="416">
        <v>0</v>
      </c>
      <c r="Z270" s="416">
        <v>0</v>
      </c>
      <c r="AA270" s="416">
        <v>0</v>
      </c>
      <c r="AB270" s="416">
        <v>0</v>
      </c>
      <c r="AC270" s="416">
        <v>0</v>
      </c>
      <c r="AD270" s="416">
        <v>0</v>
      </c>
      <c r="AE270" s="416">
        <v>0</v>
      </c>
      <c r="AF270" s="416">
        <v>0</v>
      </c>
      <c r="AG270" s="416">
        <v>0</v>
      </c>
      <c r="AH270" s="416">
        <v>0</v>
      </c>
      <c r="AI270" s="416">
        <v>0</v>
      </c>
      <c r="AJ270" s="416">
        <v>0</v>
      </c>
      <c r="AK270" s="416">
        <v>0</v>
      </c>
      <c r="AL270" s="416">
        <v>0</v>
      </c>
      <c r="AM270" s="416">
        <v>0</v>
      </c>
      <c r="AN270" s="416">
        <v>0</v>
      </c>
      <c r="AO270" s="416">
        <v>0</v>
      </c>
      <c r="AP270" s="416">
        <v>0</v>
      </c>
      <c r="AQ270" s="416">
        <v>0</v>
      </c>
      <c r="AR270" s="416">
        <v>0</v>
      </c>
      <c r="AS270" s="416">
        <v>0</v>
      </c>
      <c r="AT270" s="416">
        <v>0</v>
      </c>
      <c r="AU270" s="416">
        <v>0</v>
      </c>
      <c r="AV270" s="416">
        <v>0</v>
      </c>
      <c r="AW270" s="416">
        <v>0</v>
      </c>
      <c r="AX270" s="416">
        <v>0</v>
      </c>
      <c r="AY270" s="416">
        <v>0</v>
      </c>
      <c r="AZ270" s="416">
        <v>0</v>
      </c>
      <c r="BA270" s="416">
        <v>0</v>
      </c>
      <c r="BB270" s="416">
        <v>0</v>
      </c>
      <c r="BC270" s="416">
        <v>0</v>
      </c>
      <c r="BD270" s="416">
        <v>0</v>
      </c>
      <c r="BE270" s="416">
        <v>0</v>
      </c>
      <c r="BF270" s="416">
        <v>0</v>
      </c>
      <c r="BG270" s="416">
        <v>0</v>
      </c>
      <c r="BH270" s="416">
        <v>0</v>
      </c>
      <c r="BI270" s="416">
        <v>0</v>
      </c>
      <c r="BJ270" s="416">
        <v>0</v>
      </c>
      <c r="BK270" s="416">
        <v>0</v>
      </c>
      <c r="BL270" s="416">
        <v>0</v>
      </c>
      <c r="BM270" s="416">
        <v>0</v>
      </c>
      <c r="BN270" s="416">
        <v>0</v>
      </c>
      <c r="BO270" s="416">
        <v>0</v>
      </c>
      <c r="BP270" s="416">
        <v>0</v>
      </c>
      <c r="BQ270" s="416">
        <v>0</v>
      </c>
      <c r="BR270" s="416">
        <v>0</v>
      </c>
      <c r="BS270" s="416">
        <v>0</v>
      </c>
      <c r="BT270" s="416">
        <v>0</v>
      </c>
      <c r="BU270" s="416">
        <v>0</v>
      </c>
      <c r="BV270" s="416">
        <v>0</v>
      </c>
      <c r="BW270" s="416">
        <v>0</v>
      </c>
      <c r="BX270" s="416">
        <v>0</v>
      </c>
      <c r="BY270" s="416">
        <v>0</v>
      </c>
      <c r="BZ270" s="416">
        <v>0</v>
      </c>
      <c r="CC270" s="21"/>
      <c r="CD270" s="424" t="s">
        <v>748</v>
      </c>
      <c r="CE270" s="433">
        <f t="shared" si="60"/>
        <v>0</v>
      </c>
      <c r="CF270" s="433">
        <f t="shared" si="61"/>
        <v>0</v>
      </c>
      <c r="CG270" s="433">
        <f t="shared" si="62"/>
        <v>0</v>
      </c>
      <c r="CH270" s="433">
        <f t="shared" si="63"/>
        <v>0</v>
      </c>
      <c r="CI270" s="433">
        <f t="shared" si="64"/>
        <v>0</v>
      </c>
      <c r="CJ270" s="433">
        <f t="shared" si="65"/>
        <v>0</v>
      </c>
      <c r="CK270" s="433">
        <f t="shared" si="66"/>
        <v>0</v>
      </c>
      <c r="CL270" s="433">
        <f t="shared" si="67"/>
        <v>0</v>
      </c>
      <c r="CM270" s="433">
        <f t="shared" si="68"/>
        <v>0</v>
      </c>
      <c r="CN270" s="433">
        <f t="shared" si="69"/>
        <v>0</v>
      </c>
      <c r="CO270" s="433">
        <f t="shared" si="70"/>
        <v>0</v>
      </c>
      <c r="CP270" s="433">
        <f t="shared" si="71"/>
        <v>0</v>
      </c>
      <c r="CQ270" s="433">
        <f t="shared" si="72"/>
        <v>0</v>
      </c>
      <c r="CR270" s="433">
        <f t="shared" si="73"/>
        <v>0</v>
      </c>
      <c r="CS270" s="433">
        <f t="shared" si="74"/>
        <v>0</v>
      </c>
      <c r="CT270" s="21"/>
    </row>
    <row r="271" spans="3:98" hidden="1" outlineLevel="2">
      <c r="C271" s="424" t="s">
        <v>390</v>
      </c>
      <c r="D271" s="416">
        <v>0</v>
      </c>
      <c r="E271" s="416">
        <v>0</v>
      </c>
      <c r="F271" s="416">
        <v>0</v>
      </c>
      <c r="G271" s="416">
        <v>0</v>
      </c>
      <c r="H271" s="416">
        <v>0</v>
      </c>
      <c r="I271" s="416">
        <v>0</v>
      </c>
      <c r="J271" s="416">
        <v>0</v>
      </c>
      <c r="K271" s="416">
        <v>0</v>
      </c>
      <c r="L271" s="416">
        <v>0</v>
      </c>
      <c r="M271" s="416">
        <v>0</v>
      </c>
      <c r="N271" s="416">
        <v>0</v>
      </c>
      <c r="O271" s="416">
        <v>0</v>
      </c>
      <c r="P271" s="416">
        <v>0</v>
      </c>
      <c r="Q271" s="416">
        <v>0</v>
      </c>
      <c r="R271" s="416">
        <v>0</v>
      </c>
      <c r="S271" s="416">
        <v>0</v>
      </c>
      <c r="T271" s="416">
        <v>0</v>
      </c>
      <c r="U271" s="416">
        <v>0</v>
      </c>
      <c r="V271" s="416">
        <v>0</v>
      </c>
      <c r="W271" s="416">
        <v>0</v>
      </c>
      <c r="X271" s="416">
        <v>0</v>
      </c>
      <c r="Y271" s="416">
        <v>0</v>
      </c>
      <c r="Z271" s="416">
        <v>0</v>
      </c>
      <c r="AA271" s="416">
        <v>0</v>
      </c>
      <c r="AB271" s="416">
        <v>0</v>
      </c>
      <c r="AC271" s="416">
        <v>0</v>
      </c>
      <c r="AD271" s="416">
        <v>0</v>
      </c>
      <c r="AE271" s="416">
        <v>0</v>
      </c>
      <c r="AF271" s="416">
        <v>0</v>
      </c>
      <c r="AG271" s="416">
        <v>0</v>
      </c>
      <c r="AH271" s="416">
        <v>0</v>
      </c>
      <c r="AI271" s="416">
        <v>0</v>
      </c>
      <c r="AJ271" s="416">
        <v>0</v>
      </c>
      <c r="AK271" s="416">
        <v>0</v>
      </c>
      <c r="AL271" s="416">
        <v>0</v>
      </c>
      <c r="AM271" s="416">
        <v>0</v>
      </c>
      <c r="AN271" s="416">
        <v>0</v>
      </c>
      <c r="AO271" s="416">
        <v>0</v>
      </c>
      <c r="AP271" s="416">
        <v>0</v>
      </c>
      <c r="AQ271" s="416">
        <v>0</v>
      </c>
      <c r="AR271" s="416">
        <v>0</v>
      </c>
      <c r="AS271" s="416">
        <v>0</v>
      </c>
      <c r="AT271" s="416">
        <v>0</v>
      </c>
      <c r="AU271" s="416">
        <v>0</v>
      </c>
      <c r="AV271" s="416">
        <v>0</v>
      </c>
      <c r="AW271" s="416">
        <v>0</v>
      </c>
      <c r="AX271" s="416">
        <v>0</v>
      </c>
      <c r="AY271" s="416">
        <v>0</v>
      </c>
      <c r="AZ271" s="416">
        <v>0</v>
      </c>
      <c r="BA271" s="416">
        <v>0</v>
      </c>
      <c r="BB271" s="416">
        <v>0</v>
      </c>
      <c r="BC271" s="416">
        <v>0</v>
      </c>
      <c r="BD271" s="416">
        <v>0</v>
      </c>
      <c r="BE271" s="416">
        <v>0</v>
      </c>
      <c r="BF271" s="416">
        <v>-0.72099999999999997</v>
      </c>
      <c r="BG271" s="416">
        <v>0</v>
      </c>
      <c r="BH271" s="416">
        <v>0</v>
      </c>
      <c r="BI271" s="416">
        <v>0</v>
      </c>
      <c r="BJ271" s="416">
        <v>6.2560000000000002</v>
      </c>
      <c r="BK271" s="416">
        <v>6.2560000000000002</v>
      </c>
      <c r="BL271" s="416">
        <v>2.1179999999999999</v>
      </c>
      <c r="BM271" s="416">
        <v>2.774</v>
      </c>
      <c r="BN271" s="416">
        <v>-0.432</v>
      </c>
      <c r="BO271" s="416">
        <v>-3.395</v>
      </c>
      <c r="BP271" s="416">
        <v>-3.395</v>
      </c>
      <c r="BQ271" s="416">
        <v>-3.89</v>
      </c>
      <c r="BR271" s="416">
        <v>-18.183</v>
      </c>
      <c r="BS271" s="416">
        <v>-36.493000000000002</v>
      </c>
      <c r="BT271" s="416">
        <v>-38.606000000000002</v>
      </c>
      <c r="BU271" s="416">
        <v>-38.606000000000002</v>
      </c>
      <c r="BV271" s="416">
        <v>-28.408999999999999</v>
      </c>
      <c r="BW271" s="416">
        <v>-33.792000000000002</v>
      </c>
      <c r="BX271" s="416">
        <v>-44.113</v>
      </c>
      <c r="BY271" s="416">
        <v>0</v>
      </c>
      <c r="BZ271" s="416">
        <v>0</v>
      </c>
      <c r="CC271" s="21"/>
      <c r="CD271" s="424" t="s">
        <v>390</v>
      </c>
      <c r="CE271" s="433">
        <f t="shared" si="60"/>
        <v>0</v>
      </c>
      <c r="CF271" s="433">
        <f t="shared" si="61"/>
        <v>0</v>
      </c>
      <c r="CG271" s="433">
        <f t="shared" si="62"/>
        <v>0</v>
      </c>
      <c r="CH271" s="433">
        <f t="shared" si="63"/>
        <v>0</v>
      </c>
      <c r="CI271" s="433">
        <f t="shared" si="64"/>
        <v>0</v>
      </c>
      <c r="CJ271" s="433">
        <f t="shared" si="65"/>
        <v>0</v>
      </c>
      <c r="CK271" s="433">
        <f t="shared" si="66"/>
        <v>0</v>
      </c>
      <c r="CL271" s="433">
        <f t="shared" si="67"/>
        <v>0</v>
      </c>
      <c r="CM271" s="433">
        <f t="shared" si="68"/>
        <v>0</v>
      </c>
      <c r="CN271" s="433">
        <f t="shared" si="69"/>
        <v>0</v>
      </c>
      <c r="CO271" s="433">
        <f t="shared" si="70"/>
        <v>-0.72099999999999997</v>
      </c>
      <c r="CP271" s="433">
        <f t="shared" si="71"/>
        <v>6.2560000000000002</v>
      </c>
      <c r="CQ271" s="433">
        <f t="shared" si="72"/>
        <v>-3.395</v>
      </c>
      <c r="CR271" s="433">
        <f t="shared" si="73"/>
        <v>-38.606000000000002</v>
      </c>
      <c r="CS271" s="433">
        <f t="shared" si="74"/>
        <v>0</v>
      </c>
      <c r="CT271" s="21"/>
    </row>
    <row r="272" spans="3:98" hidden="1" outlineLevel="2">
      <c r="C272" s="424" t="s">
        <v>391</v>
      </c>
      <c r="D272" s="416">
        <v>0</v>
      </c>
      <c r="E272" s="416">
        <v>0</v>
      </c>
      <c r="F272" s="416">
        <v>0</v>
      </c>
      <c r="G272" s="416">
        <v>0</v>
      </c>
      <c r="H272" s="416">
        <v>0</v>
      </c>
      <c r="I272" s="416">
        <v>0</v>
      </c>
      <c r="J272" s="416">
        <v>0</v>
      </c>
      <c r="K272" s="416">
        <v>0</v>
      </c>
      <c r="L272" s="416">
        <v>0</v>
      </c>
      <c r="M272" s="416">
        <v>0</v>
      </c>
      <c r="N272" s="416">
        <v>0</v>
      </c>
      <c r="O272" s="416">
        <v>0</v>
      </c>
      <c r="P272" s="416">
        <v>0</v>
      </c>
      <c r="Q272" s="416">
        <v>0</v>
      </c>
      <c r="R272" s="416">
        <v>0</v>
      </c>
      <c r="S272" s="416">
        <v>0</v>
      </c>
      <c r="T272" s="416">
        <v>0</v>
      </c>
      <c r="U272" s="416">
        <v>0</v>
      </c>
      <c r="V272" s="416">
        <v>0</v>
      </c>
      <c r="W272" s="416">
        <v>0</v>
      </c>
      <c r="X272" s="416">
        <v>0</v>
      </c>
      <c r="Y272" s="416">
        <v>0</v>
      </c>
      <c r="Z272" s="416">
        <v>0</v>
      </c>
      <c r="AA272" s="416">
        <v>0</v>
      </c>
      <c r="AB272" s="416">
        <v>0</v>
      </c>
      <c r="AC272" s="416">
        <v>0</v>
      </c>
      <c r="AD272" s="416">
        <v>0</v>
      </c>
      <c r="AE272" s="416">
        <v>0</v>
      </c>
      <c r="AF272" s="416">
        <v>0</v>
      </c>
      <c r="AG272" s="416">
        <v>0</v>
      </c>
      <c r="AH272" s="416">
        <v>0</v>
      </c>
      <c r="AI272" s="416">
        <v>0</v>
      </c>
      <c r="AJ272" s="416">
        <v>0</v>
      </c>
      <c r="AK272" s="416">
        <v>0</v>
      </c>
      <c r="AL272" s="416">
        <v>0</v>
      </c>
      <c r="AM272" s="416">
        <v>0</v>
      </c>
      <c r="AN272" s="416">
        <v>0</v>
      </c>
      <c r="AO272" s="416">
        <v>0</v>
      </c>
      <c r="AP272" s="416">
        <v>0</v>
      </c>
      <c r="AQ272" s="416">
        <v>0</v>
      </c>
      <c r="AR272" s="416">
        <v>0</v>
      </c>
      <c r="AS272" s="416">
        <v>0</v>
      </c>
      <c r="AT272" s="416">
        <v>0</v>
      </c>
      <c r="AU272" s="416">
        <v>0</v>
      </c>
      <c r="AV272" s="416">
        <v>0</v>
      </c>
      <c r="AW272" s="416">
        <v>0</v>
      </c>
      <c r="AX272" s="416">
        <v>0</v>
      </c>
      <c r="AY272" s="416">
        <v>0</v>
      </c>
      <c r="AZ272" s="416">
        <v>0</v>
      </c>
      <c r="BA272" s="416">
        <v>0</v>
      </c>
      <c r="BB272" s="416">
        <v>0</v>
      </c>
      <c r="BC272" s="416">
        <v>0</v>
      </c>
      <c r="BD272" s="416">
        <v>0</v>
      </c>
      <c r="BE272" s="416">
        <v>0</v>
      </c>
      <c r="BF272" s="416">
        <v>0</v>
      </c>
      <c r="BG272" s="416">
        <v>0</v>
      </c>
      <c r="BH272" s="416">
        <v>0</v>
      </c>
      <c r="BI272" s="416">
        <v>0</v>
      </c>
      <c r="BJ272" s="416">
        <v>0</v>
      </c>
      <c r="BK272" s="416">
        <v>0</v>
      </c>
      <c r="BL272" s="416">
        <v>0</v>
      </c>
      <c r="BM272" s="416">
        <v>0</v>
      </c>
      <c r="BN272" s="416">
        <v>0</v>
      </c>
      <c r="BO272" s="416">
        <v>0</v>
      </c>
      <c r="BP272" s="416">
        <v>0</v>
      </c>
      <c r="BQ272" s="416">
        <v>0</v>
      </c>
      <c r="BR272" s="416">
        <v>0</v>
      </c>
      <c r="BS272" s="416">
        <v>0</v>
      </c>
      <c r="BT272" s="416">
        <v>0</v>
      </c>
      <c r="BU272" s="416">
        <v>0</v>
      </c>
      <c r="BV272" s="416">
        <v>0</v>
      </c>
      <c r="BW272" s="416">
        <v>0</v>
      </c>
      <c r="BX272" s="416">
        <v>0</v>
      </c>
      <c r="BY272" s="416">
        <v>0</v>
      </c>
      <c r="BZ272" s="416">
        <v>0</v>
      </c>
      <c r="CC272" s="21"/>
      <c r="CD272" s="424" t="s">
        <v>391</v>
      </c>
      <c r="CE272" s="433">
        <f t="shared" si="60"/>
        <v>0</v>
      </c>
      <c r="CF272" s="433">
        <f t="shared" si="61"/>
        <v>0</v>
      </c>
      <c r="CG272" s="433">
        <f t="shared" si="62"/>
        <v>0</v>
      </c>
      <c r="CH272" s="433">
        <f t="shared" si="63"/>
        <v>0</v>
      </c>
      <c r="CI272" s="433">
        <f t="shared" si="64"/>
        <v>0</v>
      </c>
      <c r="CJ272" s="433">
        <f t="shared" si="65"/>
        <v>0</v>
      </c>
      <c r="CK272" s="433">
        <f t="shared" si="66"/>
        <v>0</v>
      </c>
      <c r="CL272" s="433">
        <f t="shared" si="67"/>
        <v>0</v>
      </c>
      <c r="CM272" s="433">
        <f t="shared" si="68"/>
        <v>0</v>
      </c>
      <c r="CN272" s="433">
        <f t="shared" si="69"/>
        <v>0</v>
      </c>
      <c r="CO272" s="433">
        <f t="shared" si="70"/>
        <v>0</v>
      </c>
      <c r="CP272" s="433">
        <f t="shared" si="71"/>
        <v>0</v>
      </c>
      <c r="CQ272" s="433">
        <f t="shared" si="72"/>
        <v>0</v>
      </c>
      <c r="CR272" s="433">
        <f t="shared" si="73"/>
        <v>0</v>
      </c>
      <c r="CS272" s="433">
        <f t="shared" si="74"/>
        <v>0</v>
      </c>
      <c r="CT272" s="21"/>
    </row>
    <row r="273" spans="3:98" hidden="1" outlineLevel="2">
      <c r="C273" s="424" t="s">
        <v>392</v>
      </c>
      <c r="D273" s="416">
        <v>0</v>
      </c>
      <c r="E273" s="416">
        <v>0</v>
      </c>
      <c r="F273" s="416">
        <v>0</v>
      </c>
      <c r="G273" s="416">
        <v>0</v>
      </c>
      <c r="H273" s="416">
        <v>0</v>
      </c>
      <c r="I273" s="416">
        <v>0</v>
      </c>
      <c r="J273" s="416">
        <v>0</v>
      </c>
      <c r="K273" s="416">
        <v>0</v>
      </c>
      <c r="L273" s="416">
        <v>0</v>
      </c>
      <c r="M273" s="416">
        <v>0</v>
      </c>
      <c r="N273" s="416">
        <v>0</v>
      </c>
      <c r="O273" s="416">
        <v>0</v>
      </c>
      <c r="P273" s="416">
        <v>0</v>
      </c>
      <c r="Q273" s="416">
        <v>0</v>
      </c>
      <c r="R273" s="416">
        <v>0</v>
      </c>
      <c r="S273" s="416">
        <v>0</v>
      </c>
      <c r="T273" s="416">
        <v>0</v>
      </c>
      <c r="U273" s="416">
        <v>0</v>
      </c>
      <c r="V273" s="416">
        <v>0</v>
      </c>
      <c r="W273" s="416">
        <v>0</v>
      </c>
      <c r="X273" s="416">
        <v>0</v>
      </c>
      <c r="Y273" s="416">
        <v>0</v>
      </c>
      <c r="Z273" s="416">
        <v>0</v>
      </c>
      <c r="AA273" s="416">
        <v>0</v>
      </c>
      <c r="AB273" s="416">
        <v>0</v>
      </c>
      <c r="AC273" s="416">
        <v>0</v>
      </c>
      <c r="AD273" s="416">
        <v>0</v>
      </c>
      <c r="AE273" s="416">
        <v>0</v>
      </c>
      <c r="AF273" s="416">
        <v>0</v>
      </c>
      <c r="AG273" s="416">
        <v>0</v>
      </c>
      <c r="AH273" s="416">
        <v>0</v>
      </c>
      <c r="AI273" s="416">
        <v>0</v>
      </c>
      <c r="AJ273" s="416">
        <v>0</v>
      </c>
      <c r="AK273" s="416">
        <v>0</v>
      </c>
      <c r="AL273" s="416">
        <v>0</v>
      </c>
      <c r="AM273" s="416">
        <v>0</v>
      </c>
      <c r="AN273" s="416">
        <v>0</v>
      </c>
      <c r="AO273" s="416">
        <v>0</v>
      </c>
      <c r="AP273" s="416">
        <v>0</v>
      </c>
      <c r="AQ273" s="416">
        <v>0</v>
      </c>
      <c r="AR273" s="416">
        <v>0</v>
      </c>
      <c r="AS273" s="416">
        <v>0</v>
      </c>
      <c r="AT273" s="416">
        <v>0</v>
      </c>
      <c r="AU273" s="416">
        <v>0</v>
      </c>
      <c r="AV273" s="416">
        <v>0</v>
      </c>
      <c r="AW273" s="416">
        <v>0</v>
      </c>
      <c r="AX273" s="416">
        <v>0</v>
      </c>
      <c r="AY273" s="416">
        <v>0</v>
      </c>
      <c r="AZ273" s="416">
        <v>0</v>
      </c>
      <c r="BA273" s="416">
        <v>0</v>
      </c>
      <c r="BB273" s="416">
        <v>0</v>
      </c>
      <c r="BC273" s="416">
        <v>0</v>
      </c>
      <c r="BD273" s="416">
        <v>0</v>
      </c>
      <c r="BE273" s="416">
        <v>0</v>
      </c>
      <c r="BF273" s="416">
        <v>0</v>
      </c>
      <c r="BG273" s="416">
        <v>0</v>
      </c>
      <c r="BH273" s="416">
        <v>0</v>
      </c>
      <c r="BI273" s="416">
        <v>0</v>
      </c>
      <c r="BJ273" s="416">
        <v>0</v>
      </c>
      <c r="BK273" s="416">
        <v>0</v>
      </c>
      <c r="BL273" s="416">
        <v>0</v>
      </c>
      <c r="BM273" s="416">
        <v>0</v>
      </c>
      <c r="BN273" s="416">
        <v>0</v>
      </c>
      <c r="BO273" s="416">
        <v>0</v>
      </c>
      <c r="BP273" s="416">
        <v>0</v>
      </c>
      <c r="BQ273" s="416">
        <v>0</v>
      </c>
      <c r="BR273" s="416">
        <v>0</v>
      </c>
      <c r="BS273" s="416">
        <v>0</v>
      </c>
      <c r="BT273" s="416">
        <v>0</v>
      </c>
      <c r="BU273" s="416">
        <v>0</v>
      </c>
      <c r="BV273" s="416">
        <v>0</v>
      </c>
      <c r="BW273" s="416">
        <v>0</v>
      </c>
      <c r="BX273" s="416">
        <v>0</v>
      </c>
      <c r="BY273" s="416">
        <v>0</v>
      </c>
      <c r="BZ273" s="416">
        <v>0</v>
      </c>
      <c r="CC273" s="21"/>
      <c r="CD273" s="424" t="s">
        <v>392</v>
      </c>
      <c r="CE273" s="433">
        <f t="shared" si="60"/>
        <v>0</v>
      </c>
      <c r="CF273" s="433">
        <f t="shared" si="61"/>
        <v>0</v>
      </c>
      <c r="CG273" s="433">
        <f t="shared" si="62"/>
        <v>0</v>
      </c>
      <c r="CH273" s="433">
        <f t="shared" si="63"/>
        <v>0</v>
      </c>
      <c r="CI273" s="433">
        <f t="shared" si="64"/>
        <v>0</v>
      </c>
      <c r="CJ273" s="433">
        <f t="shared" si="65"/>
        <v>0</v>
      </c>
      <c r="CK273" s="433">
        <f t="shared" si="66"/>
        <v>0</v>
      </c>
      <c r="CL273" s="433">
        <f t="shared" si="67"/>
        <v>0</v>
      </c>
      <c r="CM273" s="433">
        <f t="shared" si="68"/>
        <v>0</v>
      </c>
      <c r="CN273" s="433">
        <f t="shared" si="69"/>
        <v>0</v>
      </c>
      <c r="CO273" s="433">
        <f t="shared" si="70"/>
        <v>0</v>
      </c>
      <c r="CP273" s="433">
        <f t="shared" si="71"/>
        <v>0</v>
      </c>
      <c r="CQ273" s="433">
        <f t="shared" si="72"/>
        <v>0</v>
      </c>
      <c r="CR273" s="433">
        <f t="shared" si="73"/>
        <v>0</v>
      </c>
      <c r="CS273" s="433">
        <f t="shared" si="74"/>
        <v>0</v>
      </c>
      <c r="CT273" s="21"/>
    </row>
    <row r="274" spans="3:98" hidden="1" outlineLevel="2">
      <c r="C274" s="424" t="s">
        <v>393</v>
      </c>
      <c r="D274" s="416">
        <v>0</v>
      </c>
      <c r="E274" s="416">
        <v>0</v>
      </c>
      <c r="F274" s="416">
        <v>0</v>
      </c>
      <c r="G274" s="416">
        <v>0</v>
      </c>
      <c r="H274" s="416">
        <v>0</v>
      </c>
      <c r="I274" s="416">
        <v>0</v>
      </c>
      <c r="J274" s="416">
        <v>0</v>
      </c>
      <c r="K274" s="416">
        <v>0</v>
      </c>
      <c r="L274" s="416">
        <v>0</v>
      </c>
      <c r="M274" s="416">
        <v>0</v>
      </c>
      <c r="N274" s="416">
        <v>0</v>
      </c>
      <c r="O274" s="416">
        <v>0</v>
      </c>
      <c r="P274" s="416">
        <v>0</v>
      </c>
      <c r="Q274" s="416">
        <v>0</v>
      </c>
      <c r="R274" s="416">
        <v>0</v>
      </c>
      <c r="S274" s="416">
        <v>0</v>
      </c>
      <c r="T274" s="416">
        <v>0</v>
      </c>
      <c r="U274" s="416">
        <v>0</v>
      </c>
      <c r="V274" s="416">
        <v>0</v>
      </c>
      <c r="W274" s="416">
        <v>0</v>
      </c>
      <c r="X274" s="416">
        <v>0</v>
      </c>
      <c r="Y274" s="416">
        <v>0</v>
      </c>
      <c r="Z274" s="416">
        <v>0</v>
      </c>
      <c r="AA274" s="416">
        <v>0</v>
      </c>
      <c r="AB274" s="416">
        <v>0</v>
      </c>
      <c r="AC274" s="416">
        <v>0</v>
      </c>
      <c r="AD274" s="416">
        <v>0</v>
      </c>
      <c r="AE274" s="416">
        <v>0</v>
      </c>
      <c r="AF274" s="416">
        <v>0</v>
      </c>
      <c r="AG274" s="416">
        <v>0</v>
      </c>
      <c r="AH274" s="416">
        <v>0</v>
      </c>
      <c r="AI274" s="416">
        <v>0</v>
      </c>
      <c r="AJ274" s="416">
        <v>0</v>
      </c>
      <c r="AK274" s="416">
        <v>0</v>
      </c>
      <c r="AL274" s="416">
        <v>0</v>
      </c>
      <c r="AM274" s="416">
        <v>0</v>
      </c>
      <c r="AN274" s="416">
        <v>0</v>
      </c>
      <c r="AO274" s="416">
        <v>0</v>
      </c>
      <c r="AP274" s="416">
        <v>0</v>
      </c>
      <c r="AQ274" s="416">
        <v>0</v>
      </c>
      <c r="AR274" s="416">
        <v>0</v>
      </c>
      <c r="AS274" s="416">
        <v>0</v>
      </c>
      <c r="AT274" s="416">
        <v>0</v>
      </c>
      <c r="AU274" s="416">
        <v>0</v>
      </c>
      <c r="AV274" s="416">
        <v>0</v>
      </c>
      <c r="AW274" s="416">
        <v>0</v>
      </c>
      <c r="AX274" s="416">
        <v>0</v>
      </c>
      <c r="AY274" s="416">
        <v>0</v>
      </c>
      <c r="AZ274" s="416">
        <v>0</v>
      </c>
      <c r="BA274" s="416">
        <v>0</v>
      </c>
      <c r="BB274" s="416">
        <v>0</v>
      </c>
      <c r="BC274" s="416">
        <v>0</v>
      </c>
      <c r="BD274" s="416">
        <v>0</v>
      </c>
      <c r="BE274" s="416">
        <v>0</v>
      </c>
      <c r="BF274" s="416">
        <v>0</v>
      </c>
      <c r="BG274" s="416">
        <v>0</v>
      </c>
      <c r="BH274" s="416">
        <v>0</v>
      </c>
      <c r="BI274" s="416">
        <v>0</v>
      </c>
      <c r="BJ274" s="416">
        <v>0</v>
      </c>
      <c r="BK274" s="416">
        <v>0</v>
      </c>
      <c r="BL274" s="416">
        <v>0</v>
      </c>
      <c r="BM274" s="416">
        <v>0</v>
      </c>
      <c r="BN274" s="416">
        <v>0</v>
      </c>
      <c r="BO274" s="416">
        <v>0</v>
      </c>
      <c r="BP274" s="416">
        <v>0</v>
      </c>
      <c r="BQ274" s="416">
        <v>0</v>
      </c>
      <c r="BR274" s="416">
        <v>0</v>
      </c>
      <c r="BS274" s="416">
        <v>0</v>
      </c>
      <c r="BT274" s="416">
        <v>0</v>
      </c>
      <c r="BU274" s="416">
        <v>0</v>
      </c>
      <c r="BV274" s="416">
        <v>0</v>
      </c>
      <c r="BW274" s="416">
        <v>0</v>
      </c>
      <c r="BX274" s="416">
        <v>0</v>
      </c>
      <c r="BY274" s="416">
        <v>0</v>
      </c>
      <c r="BZ274" s="416">
        <v>0</v>
      </c>
      <c r="CC274" s="21"/>
      <c r="CD274" s="424" t="s">
        <v>393</v>
      </c>
      <c r="CE274" s="433">
        <f t="shared" si="60"/>
        <v>0</v>
      </c>
      <c r="CF274" s="433">
        <f t="shared" si="61"/>
        <v>0</v>
      </c>
      <c r="CG274" s="433">
        <f t="shared" si="62"/>
        <v>0</v>
      </c>
      <c r="CH274" s="433">
        <f t="shared" si="63"/>
        <v>0</v>
      </c>
      <c r="CI274" s="433">
        <f t="shared" si="64"/>
        <v>0</v>
      </c>
      <c r="CJ274" s="433">
        <f t="shared" si="65"/>
        <v>0</v>
      </c>
      <c r="CK274" s="433">
        <f t="shared" si="66"/>
        <v>0</v>
      </c>
      <c r="CL274" s="433">
        <f t="shared" si="67"/>
        <v>0</v>
      </c>
      <c r="CM274" s="433">
        <f t="shared" si="68"/>
        <v>0</v>
      </c>
      <c r="CN274" s="433">
        <f t="shared" si="69"/>
        <v>0</v>
      </c>
      <c r="CO274" s="433">
        <f t="shared" si="70"/>
        <v>0</v>
      </c>
      <c r="CP274" s="433">
        <f t="shared" si="71"/>
        <v>0</v>
      </c>
      <c r="CQ274" s="433">
        <f t="shared" si="72"/>
        <v>0</v>
      </c>
      <c r="CR274" s="433">
        <f t="shared" si="73"/>
        <v>0</v>
      </c>
      <c r="CS274" s="433">
        <f t="shared" si="74"/>
        <v>0</v>
      </c>
      <c r="CT274" s="21"/>
    </row>
    <row r="275" spans="3:98" hidden="1" outlineLevel="2">
      <c r="C275" s="424" t="s">
        <v>394</v>
      </c>
      <c r="D275" s="416">
        <v>0</v>
      </c>
      <c r="E275" s="416">
        <v>0</v>
      </c>
      <c r="F275" s="416">
        <v>0</v>
      </c>
      <c r="G275" s="416">
        <v>0</v>
      </c>
      <c r="H275" s="416">
        <v>0</v>
      </c>
      <c r="I275" s="416">
        <v>0</v>
      </c>
      <c r="J275" s="416">
        <v>0</v>
      </c>
      <c r="K275" s="416">
        <v>0</v>
      </c>
      <c r="L275" s="416">
        <v>0</v>
      </c>
      <c r="M275" s="416">
        <v>0</v>
      </c>
      <c r="N275" s="416">
        <v>0</v>
      </c>
      <c r="O275" s="416">
        <v>0</v>
      </c>
      <c r="P275" s="416">
        <v>0</v>
      </c>
      <c r="Q275" s="416">
        <v>0</v>
      </c>
      <c r="R275" s="416">
        <v>0</v>
      </c>
      <c r="S275" s="416">
        <v>0</v>
      </c>
      <c r="T275" s="416">
        <v>0</v>
      </c>
      <c r="U275" s="416">
        <v>0</v>
      </c>
      <c r="V275" s="416">
        <v>0</v>
      </c>
      <c r="W275" s="416">
        <v>0</v>
      </c>
      <c r="X275" s="416">
        <v>0</v>
      </c>
      <c r="Y275" s="416">
        <v>0</v>
      </c>
      <c r="Z275" s="416">
        <v>0</v>
      </c>
      <c r="AA275" s="416">
        <v>0</v>
      </c>
      <c r="AB275" s="416">
        <v>0</v>
      </c>
      <c r="AC275" s="416">
        <v>0</v>
      </c>
      <c r="AD275" s="416">
        <v>0</v>
      </c>
      <c r="AE275" s="416">
        <v>0</v>
      </c>
      <c r="AF275" s="416">
        <v>0</v>
      </c>
      <c r="AG275" s="416">
        <v>0</v>
      </c>
      <c r="AH275" s="416">
        <v>0</v>
      </c>
      <c r="AI275" s="416">
        <v>0</v>
      </c>
      <c r="AJ275" s="416">
        <v>0</v>
      </c>
      <c r="AK275" s="416">
        <v>0</v>
      </c>
      <c r="AL275" s="416">
        <v>0</v>
      </c>
      <c r="AM275" s="416">
        <v>0</v>
      </c>
      <c r="AN275" s="416">
        <v>0</v>
      </c>
      <c r="AO275" s="416">
        <v>0</v>
      </c>
      <c r="AP275" s="416">
        <v>0</v>
      </c>
      <c r="AQ275" s="416">
        <v>0</v>
      </c>
      <c r="AR275" s="416">
        <v>0</v>
      </c>
      <c r="AS275" s="416">
        <v>0</v>
      </c>
      <c r="AT275" s="416">
        <v>0</v>
      </c>
      <c r="AU275" s="416">
        <v>0</v>
      </c>
      <c r="AV275" s="416">
        <v>0</v>
      </c>
      <c r="AW275" s="416">
        <v>0</v>
      </c>
      <c r="AX275" s="416">
        <v>0</v>
      </c>
      <c r="AY275" s="416">
        <v>0</v>
      </c>
      <c r="AZ275" s="416">
        <v>0</v>
      </c>
      <c r="BA275" s="416">
        <v>0</v>
      </c>
      <c r="BB275" s="416">
        <v>0</v>
      </c>
      <c r="BC275" s="416">
        <v>0</v>
      </c>
      <c r="BD275" s="416">
        <v>0</v>
      </c>
      <c r="BE275" s="416">
        <v>0</v>
      </c>
      <c r="BF275" s="416">
        <v>0</v>
      </c>
      <c r="BG275" s="416">
        <v>0</v>
      </c>
      <c r="BH275" s="416">
        <v>0</v>
      </c>
      <c r="BI275" s="416">
        <v>0</v>
      </c>
      <c r="BJ275" s="416">
        <v>0</v>
      </c>
      <c r="BK275" s="416">
        <v>0</v>
      </c>
      <c r="BL275" s="416">
        <v>0</v>
      </c>
      <c r="BM275" s="416">
        <v>0</v>
      </c>
      <c r="BN275" s="416">
        <v>0</v>
      </c>
      <c r="BO275" s="416">
        <v>0</v>
      </c>
      <c r="BP275" s="416">
        <v>0</v>
      </c>
      <c r="BQ275" s="416">
        <v>0</v>
      </c>
      <c r="BR275" s="416">
        <v>0</v>
      </c>
      <c r="BS275" s="416">
        <v>0</v>
      </c>
      <c r="BT275" s="416">
        <v>0</v>
      </c>
      <c r="BU275" s="416">
        <v>0</v>
      </c>
      <c r="BV275" s="416">
        <v>0</v>
      </c>
      <c r="BW275" s="416">
        <v>0</v>
      </c>
      <c r="BX275" s="416">
        <v>0</v>
      </c>
      <c r="BY275" s="416">
        <v>0</v>
      </c>
      <c r="BZ275" s="416">
        <v>0</v>
      </c>
      <c r="CC275" s="21"/>
      <c r="CD275" s="424" t="s">
        <v>394</v>
      </c>
      <c r="CE275" s="433">
        <f t="shared" si="60"/>
        <v>0</v>
      </c>
      <c r="CF275" s="433">
        <f t="shared" si="61"/>
        <v>0</v>
      </c>
      <c r="CG275" s="433">
        <f t="shared" si="62"/>
        <v>0</v>
      </c>
      <c r="CH275" s="433">
        <f t="shared" si="63"/>
        <v>0</v>
      </c>
      <c r="CI275" s="433">
        <f t="shared" si="64"/>
        <v>0</v>
      </c>
      <c r="CJ275" s="433">
        <f t="shared" si="65"/>
        <v>0</v>
      </c>
      <c r="CK275" s="433">
        <f t="shared" si="66"/>
        <v>0</v>
      </c>
      <c r="CL275" s="433">
        <f t="shared" si="67"/>
        <v>0</v>
      </c>
      <c r="CM275" s="433">
        <f t="shared" si="68"/>
        <v>0</v>
      </c>
      <c r="CN275" s="433">
        <f t="shared" si="69"/>
        <v>0</v>
      </c>
      <c r="CO275" s="433">
        <f t="shared" si="70"/>
        <v>0</v>
      </c>
      <c r="CP275" s="433">
        <f t="shared" si="71"/>
        <v>0</v>
      </c>
      <c r="CQ275" s="433">
        <f t="shared" si="72"/>
        <v>0</v>
      </c>
      <c r="CR275" s="433">
        <f t="shared" si="73"/>
        <v>0</v>
      </c>
      <c r="CS275" s="433">
        <f t="shared" si="74"/>
        <v>0</v>
      </c>
      <c r="CT275" s="21"/>
    </row>
    <row r="276" spans="3:98" hidden="1" outlineLevel="1">
      <c r="C276" s="415" t="s">
        <v>387</v>
      </c>
      <c r="D276" s="416">
        <v>0</v>
      </c>
      <c r="E276" s="416">
        <v>0</v>
      </c>
      <c r="F276" s="416">
        <v>0</v>
      </c>
      <c r="G276" s="416">
        <v>0</v>
      </c>
      <c r="H276" s="416">
        <v>0</v>
      </c>
      <c r="I276" s="416">
        <v>0</v>
      </c>
      <c r="J276" s="416">
        <v>0</v>
      </c>
      <c r="K276" s="416">
        <v>0</v>
      </c>
      <c r="L276" s="416">
        <v>0</v>
      </c>
      <c r="M276" s="416">
        <v>0</v>
      </c>
      <c r="N276" s="416">
        <v>0</v>
      </c>
      <c r="O276" s="416">
        <v>0</v>
      </c>
      <c r="P276" s="416">
        <v>0</v>
      </c>
      <c r="Q276" s="416">
        <v>0</v>
      </c>
      <c r="R276" s="416">
        <v>0</v>
      </c>
      <c r="S276" s="416">
        <v>0</v>
      </c>
      <c r="T276" s="416">
        <v>0</v>
      </c>
      <c r="U276" s="416">
        <v>0</v>
      </c>
      <c r="V276" s="416">
        <v>0</v>
      </c>
      <c r="W276" s="416">
        <v>0</v>
      </c>
      <c r="X276" s="416">
        <v>0</v>
      </c>
      <c r="Y276" s="416">
        <v>0</v>
      </c>
      <c r="Z276" s="416">
        <v>0</v>
      </c>
      <c r="AA276" s="416">
        <v>0</v>
      </c>
      <c r="AB276" s="416">
        <v>0</v>
      </c>
      <c r="AC276" s="416">
        <v>0</v>
      </c>
      <c r="AD276" s="416">
        <v>0</v>
      </c>
      <c r="AE276" s="416">
        <v>0</v>
      </c>
      <c r="AF276" s="416">
        <v>0</v>
      </c>
      <c r="AG276" s="416">
        <v>0</v>
      </c>
      <c r="AH276" s="416">
        <v>0</v>
      </c>
      <c r="AI276" s="416">
        <v>0</v>
      </c>
      <c r="AJ276" s="416">
        <v>0</v>
      </c>
      <c r="AK276" s="416">
        <v>0</v>
      </c>
      <c r="AL276" s="416">
        <v>0</v>
      </c>
      <c r="AM276" s="416">
        <v>0</v>
      </c>
      <c r="AN276" s="416">
        <v>0</v>
      </c>
      <c r="AO276" s="416">
        <v>0</v>
      </c>
      <c r="AP276" s="416">
        <v>0</v>
      </c>
      <c r="AQ276" s="416">
        <v>0</v>
      </c>
      <c r="AR276" s="416">
        <v>0</v>
      </c>
      <c r="AS276" s="416">
        <v>0</v>
      </c>
      <c r="AT276" s="416">
        <v>0</v>
      </c>
      <c r="AU276" s="416">
        <v>0</v>
      </c>
      <c r="AV276" s="416">
        <v>0</v>
      </c>
      <c r="AW276" s="416">
        <v>0</v>
      </c>
      <c r="AX276" s="416">
        <v>0</v>
      </c>
      <c r="AY276" s="416">
        <v>0</v>
      </c>
      <c r="AZ276" s="416">
        <v>0</v>
      </c>
      <c r="BA276" s="416">
        <v>0</v>
      </c>
      <c r="BB276" s="416">
        <v>0</v>
      </c>
      <c r="BC276" s="416">
        <v>0</v>
      </c>
      <c r="BD276" s="416">
        <v>0</v>
      </c>
      <c r="BE276" s="416">
        <v>0</v>
      </c>
      <c r="BF276" s="416">
        <v>-0.72099999999999997</v>
      </c>
      <c r="BG276" s="416">
        <v>0</v>
      </c>
      <c r="BH276" s="416">
        <v>0</v>
      </c>
      <c r="BI276" s="416">
        <v>0</v>
      </c>
      <c r="BJ276" s="416">
        <v>6.2560000000000002</v>
      </c>
      <c r="BK276" s="416">
        <v>6.2560000000000002</v>
      </c>
      <c r="BL276" s="416">
        <v>2.1179999999999999</v>
      </c>
      <c r="BM276" s="416">
        <v>2.774</v>
      </c>
      <c r="BN276" s="416">
        <v>-0.432</v>
      </c>
      <c r="BO276" s="416">
        <v>-3.395</v>
      </c>
      <c r="BP276" s="416">
        <v>-3.395</v>
      </c>
      <c r="BQ276" s="416">
        <v>-3.89</v>
      </c>
      <c r="BR276" s="416">
        <v>-18.183</v>
      </c>
      <c r="BS276" s="416">
        <v>-36.493000000000002</v>
      </c>
      <c r="BT276" s="416">
        <v>-38.606000000000002</v>
      </c>
      <c r="BU276" s="416">
        <v>-38.606000000000002</v>
      </c>
      <c r="BV276" s="416">
        <v>-28.408999999999999</v>
      </c>
      <c r="BW276" s="416">
        <v>-33.792000000000002</v>
      </c>
      <c r="BX276" s="416">
        <v>-44.113</v>
      </c>
      <c r="BY276" s="416">
        <v>0</v>
      </c>
      <c r="BZ276" s="416">
        <v>0</v>
      </c>
      <c r="CC276" s="21"/>
      <c r="CD276" s="415" t="s">
        <v>387</v>
      </c>
      <c r="CE276" s="433">
        <f t="shared" si="60"/>
        <v>0</v>
      </c>
      <c r="CF276" s="433">
        <f t="shared" si="61"/>
        <v>0</v>
      </c>
      <c r="CG276" s="433">
        <f t="shared" si="62"/>
        <v>0</v>
      </c>
      <c r="CH276" s="433">
        <f t="shared" si="63"/>
        <v>0</v>
      </c>
      <c r="CI276" s="433">
        <f t="shared" si="64"/>
        <v>0</v>
      </c>
      <c r="CJ276" s="433">
        <f t="shared" si="65"/>
        <v>0</v>
      </c>
      <c r="CK276" s="433">
        <f t="shared" si="66"/>
        <v>0</v>
      </c>
      <c r="CL276" s="433">
        <f t="shared" si="67"/>
        <v>0</v>
      </c>
      <c r="CM276" s="433">
        <f t="shared" si="68"/>
        <v>0</v>
      </c>
      <c r="CN276" s="433">
        <f t="shared" si="69"/>
        <v>0</v>
      </c>
      <c r="CO276" s="433">
        <f t="shared" si="70"/>
        <v>-0.72099999999999997</v>
      </c>
      <c r="CP276" s="433">
        <f t="shared" si="71"/>
        <v>6.2560000000000002</v>
      </c>
      <c r="CQ276" s="433">
        <f t="shared" si="72"/>
        <v>-3.395</v>
      </c>
      <c r="CR276" s="433">
        <f t="shared" si="73"/>
        <v>-38.606000000000002</v>
      </c>
      <c r="CS276" s="433">
        <f t="shared" si="74"/>
        <v>0</v>
      </c>
      <c r="CT276" s="21"/>
    </row>
    <row r="277" spans="3:98" hidden="1" outlineLevel="1">
      <c r="C277" s="415" t="s">
        <v>395</v>
      </c>
      <c r="D277" s="416">
        <v>0</v>
      </c>
      <c r="E277" s="416">
        <v>0</v>
      </c>
      <c r="F277" s="416">
        <v>0</v>
      </c>
      <c r="G277" s="416">
        <v>0</v>
      </c>
      <c r="H277" s="416">
        <v>0</v>
      </c>
      <c r="I277" s="416">
        <v>0</v>
      </c>
      <c r="J277" s="416">
        <v>0</v>
      </c>
      <c r="K277" s="416">
        <v>0</v>
      </c>
      <c r="L277" s="416">
        <v>0</v>
      </c>
      <c r="M277" s="416">
        <v>0</v>
      </c>
      <c r="N277" s="416">
        <v>0</v>
      </c>
      <c r="O277" s="416">
        <v>0</v>
      </c>
      <c r="P277" s="416">
        <v>0</v>
      </c>
      <c r="Q277" s="416">
        <v>0</v>
      </c>
      <c r="R277" s="416">
        <v>0</v>
      </c>
      <c r="S277" s="416">
        <v>0</v>
      </c>
      <c r="T277" s="416">
        <v>0</v>
      </c>
      <c r="U277" s="416">
        <v>0</v>
      </c>
      <c r="V277" s="416">
        <v>0</v>
      </c>
      <c r="W277" s="416">
        <v>0</v>
      </c>
      <c r="X277" s="416">
        <v>0</v>
      </c>
      <c r="Y277" s="416">
        <v>0</v>
      </c>
      <c r="Z277" s="416">
        <v>0</v>
      </c>
      <c r="AA277" s="416">
        <v>0</v>
      </c>
      <c r="AB277" s="416">
        <v>0</v>
      </c>
      <c r="AC277" s="416">
        <v>0</v>
      </c>
      <c r="AD277" s="416">
        <v>0</v>
      </c>
      <c r="AE277" s="416">
        <v>0</v>
      </c>
      <c r="AF277" s="416">
        <v>0</v>
      </c>
      <c r="AG277" s="416">
        <v>0</v>
      </c>
      <c r="AH277" s="416">
        <v>0</v>
      </c>
      <c r="AI277" s="416">
        <v>0</v>
      </c>
      <c r="AJ277" s="416">
        <v>0</v>
      </c>
      <c r="AK277" s="416">
        <v>0</v>
      </c>
      <c r="AL277" s="416">
        <v>0</v>
      </c>
      <c r="AM277" s="416">
        <v>0</v>
      </c>
      <c r="AN277" s="416">
        <v>0</v>
      </c>
      <c r="AO277" s="416">
        <v>0</v>
      </c>
      <c r="AP277" s="416">
        <v>0</v>
      </c>
      <c r="AQ277" s="416">
        <v>0</v>
      </c>
      <c r="AR277" s="416">
        <v>0</v>
      </c>
      <c r="AS277" s="416">
        <v>0</v>
      </c>
      <c r="AT277" s="416">
        <v>0</v>
      </c>
      <c r="AU277" s="416">
        <v>0</v>
      </c>
      <c r="AV277" s="416">
        <v>0</v>
      </c>
      <c r="AW277" s="416">
        <v>0</v>
      </c>
      <c r="AX277" s="416">
        <v>0</v>
      </c>
      <c r="AY277" s="416">
        <v>0</v>
      </c>
      <c r="AZ277" s="416">
        <v>0</v>
      </c>
      <c r="BA277" s="416">
        <v>0</v>
      </c>
      <c r="BB277" s="416">
        <v>0</v>
      </c>
      <c r="BC277" s="416">
        <v>0</v>
      </c>
      <c r="BD277" s="416">
        <v>0</v>
      </c>
      <c r="BE277" s="416">
        <v>0</v>
      </c>
      <c r="BF277" s="416">
        <v>0</v>
      </c>
      <c r="BG277" s="416">
        <v>0</v>
      </c>
      <c r="BH277" s="416">
        <v>0</v>
      </c>
      <c r="BI277" s="416">
        <v>0</v>
      </c>
      <c r="BJ277" s="416">
        <v>0</v>
      </c>
      <c r="BK277" s="416">
        <v>0</v>
      </c>
      <c r="BL277" s="416">
        <v>0</v>
      </c>
      <c r="BM277" s="416">
        <v>0</v>
      </c>
      <c r="BN277" s="416">
        <v>0</v>
      </c>
      <c r="BO277" s="416">
        <v>0</v>
      </c>
      <c r="BP277" s="416">
        <v>0</v>
      </c>
      <c r="BQ277" s="416">
        <v>0</v>
      </c>
      <c r="BR277" s="416">
        <v>0</v>
      </c>
      <c r="BS277" s="416">
        <v>0</v>
      </c>
      <c r="BT277" s="416">
        <v>0</v>
      </c>
      <c r="BU277" s="416">
        <v>0</v>
      </c>
      <c r="BV277" s="416">
        <v>0</v>
      </c>
      <c r="BW277" s="416">
        <v>0</v>
      </c>
      <c r="BX277" s="416">
        <v>0</v>
      </c>
      <c r="BY277" s="416">
        <v>0</v>
      </c>
      <c r="BZ277" s="416">
        <v>0</v>
      </c>
      <c r="CC277" s="21"/>
      <c r="CD277" s="415" t="s">
        <v>395</v>
      </c>
      <c r="CE277" s="433">
        <f t="shared" si="60"/>
        <v>0</v>
      </c>
      <c r="CF277" s="433">
        <f t="shared" si="61"/>
        <v>0</v>
      </c>
      <c r="CG277" s="433">
        <f t="shared" si="62"/>
        <v>0</v>
      </c>
      <c r="CH277" s="433">
        <f t="shared" si="63"/>
        <v>0</v>
      </c>
      <c r="CI277" s="433">
        <f t="shared" si="64"/>
        <v>0</v>
      </c>
      <c r="CJ277" s="433">
        <f t="shared" si="65"/>
        <v>0</v>
      </c>
      <c r="CK277" s="433">
        <f t="shared" si="66"/>
        <v>0</v>
      </c>
      <c r="CL277" s="433">
        <f t="shared" si="67"/>
        <v>0</v>
      </c>
      <c r="CM277" s="433">
        <f t="shared" si="68"/>
        <v>0</v>
      </c>
      <c r="CN277" s="433">
        <f t="shared" si="69"/>
        <v>0</v>
      </c>
      <c r="CO277" s="433">
        <f t="shared" si="70"/>
        <v>0</v>
      </c>
      <c r="CP277" s="433">
        <f t="shared" si="71"/>
        <v>0</v>
      </c>
      <c r="CQ277" s="433">
        <f t="shared" si="72"/>
        <v>0</v>
      </c>
      <c r="CR277" s="433">
        <f t="shared" si="73"/>
        <v>0</v>
      </c>
      <c r="CS277" s="433">
        <f t="shared" si="74"/>
        <v>0</v>
      </c>
      <c r="CT277" s="21"/>
    </row>
    <row r="278" spans="3:98" hidden="1" outlineLevel="1">
      <c r="C278" s="415" t="s">
        <v>396</v>
      </c>
      <c r="D278" s="416">
        <v>0</v>
      </c>
      <c r="E278" s="416">
        <v>0</v>
      </c>
      <c r="F278" s="416">
        <v>0</v>
      </c>
      <c r="G278" s="416">
        <v>0</v>
      </c>
      <c r="H278" s="416">
        <v>0</v>
      </c>
      <c r="I278" s="416">
        <v>0</v>
      </c>
      <c r="J278" s="416">
        <v>0</v>
      </c>
      <c r="K278" s="416">
        <v>0</v>
      </c>
      <c r="L278" s="416">
        <v>0</v>
      </c>
      <c r="M278" s="416">
        <v>0</v>
      </c>
      <c r="N278" s="416">
        <v>0</v>
      </c>
      <c r="O278" s="416">
        <v>0</v>
      </c>
      <c r="P278" s="416">
        <v>0</v>
      </c>
      <c r="Q278" s="416">
        <v>0</v>
      </c>
      <c r="R278" s="416">
        <v>0</v>
      </c>
      <c r="S278" s="416">
        <v>0</v>
      </c>
      <c r="T278" s="416">
        <v>0</v>
      </c>
      <c r="U278" s="416">
        <v>0</v>
      </c>
      <c r="V278" s="416">
        <v>0</v>
      </c>
      <c r="W278" s="416">
        <v>0</v>
      </c>
      <c r="X278" s="416">
        <v>0</v>
      </c>
      <c r="Y278" s="416">
        <v>0</v>
      </c>
      <c r="Z278" s="416">
        <v>0</v>
      </c>
      <c r="AA278" s="416">
        <v>0</v>
      </c>
      <c r="AB278" s="416">
        <v>0</v>
      </c>
      <c r="AC278" s="416">
        <v>0</v>
      </c>
      <c r="AD278" s="416">
        <v>0</v>
      </c>
      <c r="AE278" s="416">
        <v>0</v>
      </c>
      <c r="AF278" s="416">
        <v>0</v>
      </c>
      <c r="AG278" s="416">
        <v>0</v>
      </c>
      <c r="AH278" s="416">
        <v>0</v>
      </c>
      <c r="AI278" s="416">
        <v>0</v>
      </c>
      <c r="AJ278" s="416">
        <v>0</v>
      </c>
      <c r="AK278" s="416">
        <v>0</v>
      </c>
      <c r="AL278" s="416">
        <v>0</v>
      </c>
      <c r="AM278" s="416">
        <v>0</v>
      </c>
      <c r="AN278" s="416">
        <v>0</v>
      </c>
      <c r="AO278" s="416">
        <v>0</v>
      </c>
      <c r="AP278" s="416">
        <v>0</v>
      </c>
      <c r="AQ278" s="416">
        <v>0</v>
      </c>
      <c r="AR278" s="416">
        <v>0</v>
      </c>
      <c r="AS278" s="416">
        <v>0</v>
      </c>
      <c r="AT278" s="416">
        <v>0</v>
      </c>
      <c r="AU278" s="416">
        <v>0</v>
      </c>
      <c r="AV278" s="416">
        <v>0</v>
      </c>
      <c r="AW278" s="416">
        <v>0</v>
      </c>
      <c r="AX278" s="416">
        <v>0</v>
      </c>
      <c r="AY278" s="416">
        <v>0</v>
      </c>
      <c r="AZ278" s="416">
        <v>0</v>
      </c>
      <c r="BA278" s="416">
        <v>0</v>
      </c>
      <c r="BB278" s="416">
        <v>0</v>
      </c>
      <c r="BC278" s="416">
        <v>0</v>
      </c>
      <c r="BD278" s="416">
        <v>0</v>
      </c>
      <c r="BE278" s="416">
        <v>0</v>
      </c>
      <c r="BF278" s="416">
        <v>0</v>
      </c>
      <c r="BG278" s="416">
        <v>0</v>
      </c>
      <c r="BH278" s="416">
        <v>0</v>
      </c>
      <c r="BI278" s="416">
        <v>0</v>
      </c>
      <c r="BJ278" s="416">
        <v>0</v>
      </c>
      <c r="BK278" s="416">
        <v>0</v>
      </c>
      <c r="BL278" s="416">
        <v>0</v>
      </c>
      <c r="BM278" s="416">
        <v>0</v>
      </c>
      <c r="BN278" s="416">
        <v>0</v>
      </c>
      <c r="BO278" s="416">
        <v>0</v>
      </c>
      <c r="BP278" s="416">
        <v>0</v>
      </c>
      <c r="BQ278" s="416">
        <v>0</v>
      </c>
      <c r="BR278" s="416">
        <v>0</v>
      </c>
      <c r="BS278" s="416">
        <v>0</v>
      </c>
      <c r="BT278" s="416">
        <v>0</v>
      </c>
      <c r="BU278" s="416">
        <v>0</v>
      </c>
      <c r="BV278" s="416">
        <v>0</v>
      </c>
      <c r="BW278" s="416">
        <v>0</v>
      </c>
      <c r="BX278" s="416">
        <v>0</v>
      </c>
      <c r="BY278" s="416">
        <v>0</v>
      </c>
      <c r="BZ278" s="416">
        <v>0</v>
      </c>
      <c r="CC278" s="21"/>
      <c r="CD278" s="415" t="s">
        <v>396</v>
      </c>
      <c r="CE278" s="433">
        <f t="shared" si="60"/>
        <v>0</v>
      </c>
      <c r="CF278" s="433">
        <f t="shared" si="61"/>
        <v>0</v>
      </c>
      <c r="CG278" s="433">
        <f t="shared" si="62"/>
        <v>0</v>
      </c>
      <c r="CH278" s="433">
        <f t="shared" si="63"/>
        <v>0</v>
      </c>
      <c r="CI278" s="433">
        <f t="shared" si="64"/>
        <v>0</v>
      </c>
      <c r="CJ278" s="433">
        <f t="shared" si="65"/>
        <v>0</v>
      </c>
      <c r="CK278" s="433">
        <f t="shared" si="66"/>
        <v>0</v>
      </c>
      <c r="CL278" s="433">
        <f t="shared" si="67"/>
        <v>0</v>
      </c>
      <c r="CM278" s="433">
        <f t="shared" si="68"/>
        <v>0</v>
      </c>
      <c r="CN278" s="433">
        <f t="shared" si="69"/>
        <v>0</v>
      </c>
      <c r="CO278" s="433">
        <f t="shared" si="70"/>
        <v>0</v>
      </c>
      <c r="CP278" s="433">
        <f t="shared" si="71"/>
        <v>0</v>
      </c>
      <c r="CQ278" s="433">
        <f t="shared" si="72"/>
        <v>0</v>
      </c>
      <c r="CR278" s="433">
        <f t="shared" si="73"/>
        <v>0</v>
      </c>
      <c r="CS278" s="433">
        <f t="shared" si="74"/>
        <v>0</v>
      </c>
      <c r="CT278" s="21"/>
    </row>
    <row r="279" spans="3:98" collapsed="1">
      <c r="C279" s="417" t="s">
        <v>376</v>
      </c>
      <c r="D279" s="416">
        <v>0</v>
      </c>
      <c r="E279" s="416">
        <v>0</v>
      </c>
      <c r="F279" s="416">
        <v>0</v>
      </c>
      <c r="G279" s="416">
        <v>0</v>
      </c>
      <c r="H279" s="416">
        <v>0</v>
      </c>
      <c r="I279" s="416">
        <v>0</v>
      </c>
      <c r="J279" s="416">
        <v>0</v>
      </c>
      <c r="K279" s="416">
        <v>0</v>
      </c>
      <c r="L279" s="416">
        <v>0</v>
      </c>
      <c r="M279" s="416">
        <v>0</v>
      </c>
      <c r="N279" s="416">
        <v>0</v>
      </c>
      <c r="O279" s="416">
        <v>0</v>
      </c>
      <c r="P279" s="416">
        <v>0</v>
      </c>
      <c r="Q279" s="416">
        <v>0</v>
      </c>
      <c r="R279" s="416">
        <v>0</v>
      </c>
      <c r="S279" s="416">
        <v>0</v>
      </c>
      <c r="T279" s="416">
        <v>0</v>
      </c>
      <c r="U279" s="416">
        <v>0</v>
      </c>
      <c r="V279" s="416">
        <v>0</v>
      </c>
      <c r="W279" s="416">
        <v>0</v>
      </c>
      <c r="X279" s="416">
        <v>0</v>
      </c>
      <c r="Y279" s="416">
        <v>0</v>
      </c>
      <c r="Z279" s="416">
        <v>0</v>
      </c>
      <c r="AA279" s="416">
        <v>0</v>
      </c>
      <c r="AB279" s="416">
        <v>0</v>
      </c>
      <c r="AC279" s="416">
        <v>0</v>
      </c>
      <c r="AD279" s="416">
        <v>0</v>
      </c>
      <c r="AE279" s="416">
        <v>0</v>
      </c>
      <c r="AF279" s="416">
        <v>0</v>
      </c>
      <c r="AG279" s="416">
        <v>0</v>
      </c>
      <c r="AH279" s="416">
        <v>0</v>
      </c>
      <c r="AI279" s="416">
        <v>0</v>
      </c>
      <c r="AJ279" s="416">
        <v>0</v>
      </c>
      <c r="AK279" s="416">
        <v>0</v>
      </c>
      <c r="AL279" s="416">
        <v>0</v>
      </c>
      <c r="AM279" s="416">
        <v>0</v>
      </c>
      <c r="AN279" s="416">
        <v>0</v>
      </c>
      <c r="AO279" s="416">
        <v>0</v>
      </c>
      <c r="AP279" s="416">
        <v>0</v>
      </c>
      <c r="AQ279" s="416">
        <v>0</v>
      </c>
      <c r="AR279" s="416">
        <v>0</v>
      </c>
      <c r="AS279" s="416">
        <v>0</v>
      </c>
      <c r="AT279" s="416">
        <v>0</v>
      </c>
      <c r="AU279" s="416">
        <v>0</v>
      </c>
      <c r="AV279" s="416">
        <v>0</v>
      </c>
      <c r="AW279" s="416">
        <v>0</v>
      </c>
      <c r="AX279" s="416">
        <v>0</v>
      </c>
      <c r="AY279" s="416">
        <v>0</v>
      </c>
      <c r="AZ279" s="416">
        <v>0</v>
      </c>
      <c r="BA279" s="416">
        <v>0</v>
      </c>
      <c r="BB279" s="416">
        <v>0</v>
      </c>
      <c r="BC279" s="416">
        <v>0</v>
      </c>
      <c r="BD279" s="416">
        <v>0</v>
      </c>
      <c r="BE279" s="416">
        <v>0</v>
      </c>
      <c r="BF279" s="416">
        <v>497.08600000000001</v>
      </c>
      <c r="BG279" s="416">
        <v>0</v>
      </c>
      <c r="BH279" s="416">
        <v>0</v>
      </c>
      <c r="BI279" s="416">
        <v>0</v>
      </c>
      <c r="BJ279" s="416">
        <v>963.58399999999995</v>
      </c>
      <c r="BK279" s="416">
        <v>963.58399999999995</v>
      </c>
      <c r="BL279" s="416">
        <v>2304.4079999999999</v>
      </c>
      <c r="BM279" s="416">
        <v>4623.4250000000002</v>
      </c>
      <c r="BN279" s="416">
        <v>5360.4970000000003</v>
      </c>
      <c r="BO279" s="416">
        <v>6381.6890000000003</v>
      </c>
      <c r="BP279" s="416">
        <v>6381.6890000000003</v>
      </c>
      <c r="BQ279" s="416">
        <v>6496.0929999999998</v>
      </c>
      <c r="BR279" s="416">
        <v>5813.3890000000001</v>
      </c>
      <c r="BS279" s="416">
        <v>5626.3149999999996</v>
      </c>
      <c r="BT279" s="416">
        <v>5454.5569999999998</v>
      </c>
      <c r="BU279" s="416">
        <v>5454.5569999999998</v>
      </c>
      <c r="BV279" s="416">
        <v>5674.9459999999999</v>
      </c>
      <c r="BW279" s="416">
        <v>5754.7030000000004</v>
      </c>
      <c r="BX279" s="416">
        <v>5921.125</v>
      </c>
      <c r="BY279" s="416">
        <v>0</v>
      </c>
      <c r="BZ279" s="416">
        <v>0</v>
      </c>
      <c r="CC279" s="21"/>
      <c r="CD279" s="417" t="s">
        <v>376</v>
      </c>
      <c r="CE279" s="433">
        <f t="shared" si="60"/>
        <v>0</v>
      </c>
      <c r="CF279" s="433">
        <f t="shared" si="61"/>
        <v>0</v>
      </c>
      <c r="CG279" s="433">
        <f t="shared" si="62"/>
        <v>0</v>
      </c>
      <c r="CH279" s="433">
        <f t="shared" si="63"/>
        <v>0</v>
      </c>
      <c r="CI279" s="433">
        <f t="shared" si="64"/>
        <v>0</v>
      </c>
      <c r="CJ279" s="433">
        <f t="shared" si="65"/>
        <v>0</v>
      </c>
      <c r="CK279" s="433">
        <f t="shared" si="66"/>
        <v>0</v>
      </c>
      <c r="CL279" s="433">
        <f t="shared" si="67"/>
        <v>0</v>
      </c>
      <c r="CM279" s="433">
        <f t="shared" si="68"/>
        <v>0</v>
      </c>
      <c r="CN279" s="433">
        <f t="shared" si="69"/>
        <v>0</v>
      </c>
      <c r="CO279" s="433">
        <f t="shared" si="70"/>
        <v>497.08600000000001</v>
      </c>
      <c r="CP279" s="433">
        <f t="shared" si="71"/>
        <v>963.58399999999995</v>
      </c>
      <c r="CQ279" s="433">
        <f t="shared" si="72"/>
        <v>6381.6890000000003</v>
      </c>
      <c r="CR279" s="433">
        <f t="shared" si="73"/>
        <v>5454.5569999999998</v>
      </c>
      <c r="CS279" s="433">
        <f t="shared" si="74"/>
        <v>0</v>
      </c>
      <c r="CT279" s="21"/>
    </row>
    <row r="280" spans="3:98">
      <c r="C280" s="417" t="s">
        <v>749</v>
      </c>
      <c r="D280" s="416">
        <v>0</v>
      </c>
      <c r="E280" s="416">
        <v>0</v>
      </c>
      <c r="F280" s="416">
        <v>0</v>
      </c>
      <c r="G280" s="416">
        <v>0</v>
      </c>
      <c r="H280" s="416">
        <v>0</v>
      </c>
      <c r="I280" s="416">
        <v>0</v>
      </c>
      <c r="J280" s="416">
        <v>0</v>
      </c>
      <c r="K280" s="416">
        <v>0</v>
      </c>
      <c r="L280" s="416">
        <v>0</v>
      </c>
      <c r="M280" s="416">
        <v>0</v>
      </c>
      <c r="N280" s="416">
        <v>0</v>
      </c>
      <c r="O280" s="416">
        <v>0</v>
      </c>
      <c r="P280" s="416">
        <v>0</v>
      </c>
      <c r="Q280" s="416">
        <v>0</v>
      </c>
      <c r="R280" s="416">
        <v>0</v>
      </c>
      <c r="S280" s="416">
        <v>0</v>
      </c>
      <c r="T280" s="416">
        <v>0</v>
      </c>
      <c r="U280" s="416">
        <v>0</v>
      </c>
      <c r="V280" s="416">
        <v>0</v>
      </c>
      <c r="W280" s="416">
        <v>0</v>
      </c>
      <c r="X280" s="416">
        <v>0</v>
      </c>
      <c r="Y280" s="416">
        <v>0</v>
      </c>
      <c r="Z280" s="416">
        <v>0</v>
      </c>
      <c r="AA280" s="416">
        <v>0</v>
      </c>
      <c r="AB280" s="416">
        <v>0</v>
      </c>
      <c r="AC280" s="416">
        <v>0</v>
      </c>
      <c r="AD280" s="416">
        <v>0</v>
      </c>
      <c r="AE280" s="416">
        <v>0</v>
      </c>
      <c r="AF280" s="416">
        <v>0</v>
      </c>
      <c r="AG280" s="416">
        <v>0</v>
      </c>
      <c r="AH280" s="416">
        <v>0</v>
      </c>
      <c r="AI280" s="416">
        <v>0</v>
      </c>
      <c r="AJ280" s="416">
        <v>0</v>
      </c>
      <c r="AK280" s="416">
        <v>0</v>
      </c>
      <c r="AL280" s="416">
        <v>0</v>
      </c>
      <c r="AM280" s="416">
        <v>0</v>
      </c>
      <c r="AN280" s="416">
        <v>0</v>
      </c>
      <c r="AO280" s="416">
        <v>0</v>
      </c>
      <c r="AP280" s="416">
        <v>0</v>
      </c>
      <c r="AQ280" s="416">
        <v>0</v>
      </c>
      <c r="AR280" s="416">
        <v>0</v>
      </c>
      <c r="AS280" s="416">
        <v>0</v>
      </c>
      <c r="AT280" s="416">
        <v>0</v>
      </c>
      <c r="AU280" s="416">
        <v>0</v>
      </c>
      <c r="AV280" s="416">
        <v>0</v>
      </c>
      <c r="AW280" s="416">
        <v>0</v>
      </c>
      <c r="AX280" s="416">
        <v>0</v>
      </c>
      <c r="AY280" s="416">
        <v>0</v>
      </c>
      <c r="AZ280" s="416">
        <v>0</v>
      </c>
      <c r="BA280" s="416">
        <v>0</v>
      </c>
      <c r="BB280" s="416">
        <v>0</v>
      </c>
      <c r="BC280" s="416">
        <v>0</v>
      </c>
      <c r="BD280" s="416">
        <v>0</v>
      </c>
      <c r="BE280" s="416">
        <v>0</v>
      </c>
      <c r="BF280" s="416">
        <v>0</v>
      </c>
      <c r="BG280" s="416">
        <v>0</v>
      </c>
      <c r="BH280" s="416">
        <v>0</v>
      </c>
      <c r="BI280" s="416">
        <v>0</v>
      </c>
      <c r="BJ280" s="416">
        <v>0</v>
      </c>
      <c r="BK280" s="416">
        <v>0</v>
      </c>
      <c r="BL280" s="416">
        <v>0</v>
      </c>
      <c r="BM280" s="416">
        <v>0</v>
      </c>
      <c r="BN280" s="416">
        <v>0</v>
      </c>
      <c r="BO280" s="416">
        <v>0</v>
      </c>
      <c r="BP280" s="416">
        <v>0</v>
      </c>
      <c r="BQ280" s="416">
        <v>0</v>
      </c>
      <c r="BR280" s="416">
        <v>0</v>
      </c>
      <c r="BS280" s="416">
        <v>0</v>
      </c>
      <c r="BT280" s="416">
        <v>0</v>
      </c>
      <c r="BU280" s="416">
        <v>0</v>
      </c>
      <c r="BV280" s="416">
        <v>0</v>
      </c>
      <c r="BW280" s="416">
        <v>0</v>
      </c>
      <c r="BX280" s="416">
        <v>0</v>
      </c>
      <c r="BY280" s="416">
        <v>0</v>
      </c>
      <c r="BZ280" s="416">
        <v>0</v>
      </c>
      <c r="CC280" s="21"/>
      <c r="CD280" s="417" t="s">
        <v>749</v>
      </c>
      <c r="CE280" s="433">
        <f t="shared" si="60"/>
        <v>0</v>
      </c>
      <c r="CF280" s="433">
        <f t="shared" si="61"/>
        <v>0</v>
      </c>
      <c r="CG280" s="433">
        <f t="shared" si="62"/>
        <v>0</v>
      </c>
      <c r="CH280" s="433">
        <f t="shared" si="63"/>
        <v>0</v>
      </c>
      <c r="CI280" s="433">
        <f t="shared" si="64"/>
        <v>0</v>
      </c>
      <c r="CJ280" s="433">
        <f t="shared" si="65"/>
        <v>0</v>
      </c>
      <c r="CK280" s="433">
        <f t="shared" si="66"/>
        <v>0</v>
      </c>
      <c r="CL280" s="433">
        <f t="shared" si="67"/>
        <v>0</v>
      </c>
      <c r="CM280" s="433">
        <f t="shared" si="68"/>
        <v>0</v>
      </c>
      <c r="CN280" s="433">
        <f t="shared" si="69"/>
        <v>0</v>
      </c>
      <c r="CO280" s="433">
        <f t="shared" si="70"/>
        <v>0</v>
      </c>
      <c r="CP280" s="433">
        <f t="shared" si="71"/>
        <v>0</v>
      </c>
      <c r="CQ280" s="433">
        <f t="shared" si="72"/>
        <v>0</v>
      </c>
      <c r="CR280" s="433">
        <f t="shared" si="73"/>
        <v>0</v>
      </c>
      <c r="CS280" s="433">
        <f t="shared" si="74"/>
        <v>0</v>
      </c>
      <c r="CT280" s="21"/>
    </row>
    <row r="281" spans="3:98" hidden="1" outlineLevel="2">
      <c r="C281" s="424" t="s">
        <v>399</v>
      </c>
      <c r="D281" s="416">
        <v>0</v>
      </c>
      <c r="E281" s="416">
        <v>0</v>
      </c>
      <c r="F281" s="416">
        <v>0</v>
      </c>
      <c r="G281" s="416">
        <v>0</v>
      </c>
      <c r="H281" s="416">
        <v>0</v>
      </c>
      <c r="I281" s="416">
        <v>0</v>
      </c>
      <c r="J281" s="416">
        <v>0</v>
      </c>
      <c r="K281" s="416">
        <v>0</v>
      </c>
      <c r="L281" s="416">
        <v>0</v>
      </c>
      <c r="M281" s="416">
        <v>0</v>
      </c>
      <c r="N281" s="416">
        <v>0</v>
      </c>
      <c r="O281" s="416">
        <v>0</v>
      </c>
      <c r="P281" s="416">
        <v>0</v>
      </c>
      <c r="Q281" s="416">
        <v>0</v>
      </c>
      <c r="R281" s="416">
        <v>0</v>
      </c>
      <c r="S281" s="416">
        <v>0</v>
      </c>
      <c r="T281" s="416">
        <v>0</v>
      </c>
      <c r="U281" s="416">
        <v>0</v>
      </c>
      <c r="V281" s="416">
        <v>0</v>
      </c>
      <c r="W281" s="416">
        <v>0</v>
      </c>
      <c r="X281" s="416">
        <v>0</v>
      </c>
      <c r="Y281" s="416">
        <v>0</v>
      </c>
      <c r="Z281" s="416">
        <v>0</v>
      </c>
      <c r="AA281" s="416">
        <v>0</v>
      </c>
      <c r="AB281" s="416">
        <v>0</v>
      </c>
      <c r="AC281" s="416">
        <v>0</v>
      </c>
      <c r="AD281" s="416">
        <v>0</v>
      </c>
      <c r="AE281" s="416">
        <v>0</v>
      </c>
      <c r="AF281" s="416">
        <v>0</v>
      </c>
      <c r="AG281" s="416">
        <v>0</v>
      </c>
      <c r="AH281" s="416">
        <v>0</v>
      </c>
      <c r="AI281" s="416">
        <v>0</v>
      </c>
      <c r="AJ281" s="416">
        <v>0</v>
      </c>
      <c r="AK281" s="416">
        <v>0</v>
      </c>
      <c r="AL281" s="416">
        <v>0</v>
      </c>
      <c r="AM281" s="416">
        <v>0</v>
      </c>
      <c r="AN281" s="416">
        <v>0</v>
      </c>
      <c r="AO281" s="416">
        <v>0</v>
      </c>
      <c r="AP281" s="416">
        <v>0</v>
      </c>
      <c r="AQ281" s="416">
        <v>0</v>
      </c>
      <c r="AR281" s="416">
        <v>0</v>
      </c>
      <c r="AS281" s="416">
        <v>0</v>
      </c>
      <c r="AT281" s="416">
        <v>0</v>
      </c>
      <c r="AU281" s="416">
        <v>0</v>
      </c>
      <c r="AV281" s="416">
        <v>0</v>
      </c>
      <c r="AW281" s="416">
        <v>0</v>
      </c>
      <c r="AX281" s="416">
        <v>0</v>
      </c>
      <c r="AY281" s="416">
        <v>0</v>
      </c>
      <c r="AZ281" s="416">
        <v>0</v>
      </c>
      <c r="BA281" s="416">
        <v>0</v>
      </c>
      <c r="BB281" s="416">
        <v>0</v>
      </c>
      <c r="BC281" s="416">
        <v>0</v>
      </c>
      <c r="BD281" s="416">
        <v>0</v>
      </c>
      <c r="BE281" s="416">
        <v>0</v>
      </c>
      <c r="BF281" s="416">
        <v>0</v>
      </c>
      <c r="BG281" s="416">
        <v>0</v>
      </c>
      <c r="BH281" s="416">
        <v>0</v>
      </c>
      <c r="BI281" s="416">
        <v>0</v>
      </c>
      <c r="BJ281" s="416">
        <v>0</v>
      </c>
      <c r="BK281" s="416">
        <v>0</v>
      </c>
      <c r="BL281" s="416">
        <v>0</v>
      </c>
      <c r="BM281" s="416">
        <v>0</v>
      </c>
      <c r="BN281" s="416">
        <v>0</v>
      </c>
      <c r="BO281" s="416">
        <v>0</v>
      </c>
      <c r="BP281" s="416">
        <v>0</v>
      </c>
      <c r="BQ281" s="416">
        <v>0</v>
      </c>
      <c r="BR281" s="416">
        <v>0</v>
      </c>
      <c r="BS281" s="416">
        <v>0</v>
      </c>
      <c r="BT281" s="416">
        <v>0</v>
      </c>
      <c r="BU281" s="416">
        <v>0</v>
      </c>
      <c r="BV281" s="416">
        <v>0</v>
      </c>
      <c r="BW281" s="416">
        <v>0</v>
      </c>
      <c r="BX281" s="416">
        <v>0</v>
      </c>
      <c r="BY281" s="416">
        <v>0</v>
      </c>
      <c r="BZ281" s="416">
        <v>0</v>
      </c>
      <c r="CC281" s="21"/>
      <c r="CD281" s="424" t="s">
        <v>399</v>
      </c>
      <c r="CE281" s="433">
        <f t="shared" si="60"/>
        <v>0</v>
      </c>
      <c r="CF281" s="433">
        <f t="shared" si="61"/>
        <v>0</v>
      </c>
      <c r="CG281" s="433">
        <f t="shared" si="62"/>
        <v>0</v>
      </c>
      <c r="CH281" s="433">
        <f t="shared" si="63"/>
        <v>0</v>
      </c>
      <c r="CI281" s="433">
        <f t="shared" si="64"/>
        <v>0</v>
      </c>
      <c r="CJ281" s="433">
        <f t="shared" si="65"/>
        <v>0</v>
      </c>
      <c r="CK281" s="433">
        <f t="shared" si="66"/>
        <v>0</v>
      </c>
      <c r="CL281" s="433">
        <f t="shared" si="67"/>
        <v>0</v>
      </c>
      <c r="CM281" s="433">
        <f t="shared" si="68"/>
        <v>0</v>
      </c>
      <c r="CN281" s="433">
        <f t="shared" si="69"/>
        <v>0</v>
      </c>
      <c r="CO281" s="433">
        <f t="shared" si="70"/>
        <v>0</v>
      </c>
      <c r="CP281" s="433">
        <f t="shared" si="71"/>
        <v>0</v>
      </c>
      <c r="CQ281" s="433">
        <f t="shared" si="72"/>
        <v>0</v>
      </c>
      <c r="CR281" s="433">
        <f t="shared" si="73"/>
        <v>0</v>
      </c>
      <c r="CS281" s="433">
        <f t="shared" si="74"/>
        <v>0</v>
      </c>
      <c r="CT281" s="21"/>
    </row>
    <row r="282" spans="3:98" hidden="1" outlineLevel="2">
      <c r="C282" s="424" t="s">
        <v>400</v>
      </c>
      <c r="D282" s="416">
        <v>0</v>
      </c>
      <c r="E282" s="416">
        <v>0</v>
      </c>
      <c r="F282" s="416">
        <v>0</v>
      </c>
      <c r="G282" s="416">
        <v>0</v>
      </c>
      <c r="H282" s="416">
        <v>0</v>
      </c>
      <c r="I282" s="416">
        <v>0</v>
      </c>
      <c r="J282" s="416">
        <v>0</v>
      </c>
      <c r="K282" s="416">
        <v>0</v>
      </c>
      <c r="L282" s="416">
        <v>0</v>
      </c>
      <c r="M282" s="416">
        <v>0</v>
      </c>
      <c r="N282" s="416">
        <v>0</v>
      </c>
      <c r="O282" s="416">
        <v>0</v>
      </c>
      <c r="P282" s="416">
        <v>0</v>
      </c>
      <c r="Q282" s="416">
        <v>0</v>
      </c>
      <c r="R282" s="416">
        <v>0</v>
      </c>
      <c r="S282" s="416">
        <v>0</v>
      </c>
      <c r="T282" s="416">
        <v>0</v>
      </c>
      <c r="U282" s="416">
        <v>0</v>
      </c>
      <c r="V282" s="416">
        <v>0</v>
      </c>
      <c r="W282" s="416">
        <v>0</v>
      </c>
      <c r="X282" s="416">
        <v>0</v>
      </c>
      <c r="Y282" s="416">
        <v>0</v>
      </c>
      <c r="Z282" s="416">
        <v>0</v>
      </c>
      <c r="AA282" s="416">
        <v>0</v>
      </c>
      <c r="AB282" s="416">
        <v>0</v>
      </c>
      <c r="AC282" s="416">
        <v>0</v>
      </c>
      <c r="AD282" s="416">
        <v>0</v>
      </c>
      <c r="AE282" s="416">
        <v>0</v>
      </c>
      <c r="AF282" s="416">
        <v>0</v>
      </c>
      <c r="AG282" s="416">
        <v>0</v>
      </c>
      <c r="AH282" s="416">
        <v>0</v>
      </c>
      <c r="AI282" s="416">
        <v>0</v>
      </c>
      <c r="AJ282" s="416">
        <v>0</v>
      </c>
      <c r="AK282" s="416">
        <v>0</v>
      </c>
      <c r="AL282" s="416">
        <v>0</v>
      </c>
      <c r="AM282" s="416">
        <v>0</v>
      </c>
      <c r="AN282" s="416">
        <v>0</v>
      </c>
      <c r="AO282" s="416">
        <v>0</v>
      </c>
      <c r="AP282" s="416">
        <v>0</v>
      </c>
      <c r="AQ282" s="416">
        <v>0</v>
      </c>
      <c r="AR282" s="416">
        <v>0</v>
      </c>
      <c r="AS282" s="416">
        <v>0</v>
      </c>
      <c r="AT282" s="416">
        <v>0</v>
      </c>
      <c r="AU282" s="416">
        <v>0</v>
      </c>
      <c r="AV282" s="416">
        <v>0</v>
      </c>
      <c r="AW282" s="416">
        <v>0</v>
      </c>
      <c r="AX282" s="416">
        <v>0</v>
      </c>
      <c r="AY282" s="416">
        <v>0</v>
      </c>
      <c r="AZ282" s="416">
        <v>0</v>
      </c>
      <c r="BA282" s="416">
        <v>0</v>
      </c>
      <c r="BB282" s="416">
        <v>0</v>
      </c>
      <c r="BC282" s="416">
        <v>0</v>
      </c>
      <c r="BD282" s="416">
        <v>0</v>
      </c>
      <c r="BE282" s="416">
        <v>0</v>
      </c>
      <c r="BF282" s="416">
        <v>0</v>
      </c>
      <c r="BG282" s="416">
        <v>0</v>
      </c>
      <c r="BH282" s="416">
        <v>0</v>
      </c>
      <c r="BI282" s="416">
        <v>0</v>
      </c>
      <c r="BJ282" s="416">
        <v>0</v>
      </c>
      <c r="BK282" s="416">
        <v>0</v>
      </c>
      <c r="BL282" s="416">
        <v>0</v>
      </c>
      <c r="BM282" s="416">
        <v>0</v>
      </c>
      <c r="BN282" s="416">
        <v>0</v>
      </c>
      <c r="BO282" s="416">
        <v>0</v>
      </c>
      <c r="BP282" s="416">
        <v>0</v>
      </c>
      <c r="BQ282" s="416">
        <v>0</v>
      </c>
      <c r="BR282" s="416">
        <v>0</v>
      </c>
      <c r="BS282" s="416">
        <v>0</v>
      </c>
      <c r="BT282" s="416">
        <v>0</v>
      </c>
      <c r="BU282" s="416">
        <v>0</v>
      </c>
      <c r="BV282" s="416">
        <v>0</v>
      </c>
      <c r="BW282" s="416">
        <v>0</v>
      </c>
      <c r="BX282" s="416">
        <v>0</v>
      </c>
      <c r="BY282" s="416">
        <v>0</v>
      </c>
      <c r="BZ282" s="416">
        <v>0</v>
      </c>
      <c r="CC282" s="21"/>
      <c r="CD282" s="424" t="s">
        <v>400</v>
      </c>
      <c r="CE282" s="433">
        <f t="shared" si="60"/>
        <v>0</v>
      </c>
      <c r="CF282" s="433">
        <f t="shared" si="61"/>
        <v>0</v>
      </c>
      <c r="CG282" s="433">
        <f t="shared" si="62"/>
        <v>0</v>
      </c>
      <c r="CH282" s="433">
        <f t="shared" si="63"/>
        <v>0</v>
      </c>
      <c r="CI282" s="433">
        <f t="shared" si="64"/>
        <v>0</v>
      </c>
      <c r="CJ282" s="433">
        <f t="shared" si="65"/>
        <v>0</v>
      </c>
      <c r="CK282" s="433">
        <f t="shared" si="66"/>
        <v>0</v>
      </c>
      <c r="CL282" s="433">
        <f t="shared" si="67"/>
        <v>0</v>
      </c>
      <c r="CM282" s="433">
        <f t="shared" si="68"/>
        <v>0</v>
      </c>
      <c r="CN282" s="433">
        <f t="shared" si="69"/>
        <v>0</v>
      </c>
      <c r="CO282" s="433">
        <f t="shared" si="70"/>
        <v>0</v>
      </c>
      <c r="CP282" s="433">
        <f t="shared" si="71"/>
        <v>0</v>
      </c>
      <c r="CQ282" s="433">
        <f t="shared" si="72"/>
        <v>0</v>
      </c>
      <c r="CR282" s="433">
        <f t="shared" si="73"/>
        <v>0</v>
      </c>
      <c r="CS282" s="433">
        <f t="shared" si="74"/>
        <v>0</v>
      </c>
      <c r="CT282" s="21"/>
    </row>
    <row r="283" spans="3:98" hidden="1" outlineLevel="2">
      <c r="C283" s="424" t="s">
        <v>401</v>
      </c>
      <c r="D283" s="416">
        <v>0</v>
      </c>
      <c r="E283" s="416">
        <v>0</v>
      </c>
      <c r="F283" s="416">
        <v>0</v>
      </c>
      <c r="G283" s="416">
        <v>0</v>
      </c>
      <c r="H283" s="416">
        <v>0</v>
      </c>
      <c r="I283" s="416">
        <v>0</v>
      </c>
      <c r="J283" s="416">
        <v>0</v>
      </c>
      <c r="K283" s="416">
        <v>0</v>
      </c>
      <c r="L283" s="416">
        <v>0</v>
      </c>
      <c r="M283" s="416">
        <v>0</v>
      </c>
      <c r="N283" s="416">
        <v>0</v>
      </c>
      <c r="O283" s="416">
        <v>0</v>
      </c>
      <c r="P283" s="416">
        <v>0</v>
      </c>
      <c r="Q283" s="416">
        <v>0</v>
      </c>
      <c r="R283" s="416">
        <v>0</v>
      </c>
      <c r="S283" s="416">
        <v>0</v>
      </c>
      <c r="T283" s="416">
        <v>0</v>
      </c>
      <c r="U283" s="416">
        <v>0</v>
      </c>
      <c r="V283" s="416">
        <v>0</v>
      </c>
      <c r="W283" s="416">
        <v>0</v>
      </c>
      <c r="X283" s="416">
        <v>0</v>
      </c>
      <c r="Y283" s="416">
        <v>0</v>
      </c>
      <c r="Z283" s="416">
        <v>0</v>
      </c>
      <c r="AA283" s="416">
        <v>0</v>
      </c>
      <c r="AB283" s="416">
        <v>0</v>
      </c>
      <c r="AC283" s="416">
        <v>0</v>
      </c>
      <c r="AD283" s="416">
        <v>0</v>
      </c>
      <c r="AE283" s="416">
        <v>0</v>
      </c>
      <c r="AF283" s="416">
        <v>0</v>
      </c>
      <c r="AG283" s="416">
        <v>0</v>
      </c>
      <c r="AH283" s="416">
        <v>0</v>
      </c>
      <c r="AI283" s="416">
        <v>0</v>
      </c>
      <c r="AJ283" s="416">
        <v>0</v>
      </c>
      <c r="AK283" s="416">
        <v>0</v>
      </c>
      <c r="AL283" s="416">
        <v>0</v>
      </c>
      <c r="AM283" s="416">
        <v>0</v>
      </c>
      <c r="AN283" s="416">
        <v>0</v>
      </c>
      <c r="AO283" s="416">
        <v>0</v>
      </c>
      <c r="AP283" s="416">
        <v>0</v>
      </c>
      <c r="AQ283" s="416">
        <v>0</v>
      </c>
      <c r="AR283" s="416">
        <v>0</v>
      </c>
      <c r="AS283" s="416">
        <v>0</v>
      </c>
      <c r="AT283" s="416">
        <v>0</v>
      </c>
      <c r="AU283" s="416">
        <v>0</v>
      </c>
      <c r="AV283" s="416">
        <v>0</v>
      </c>
      <c r="AW283" s="416">
        <v>0</v>
      </c>
      <c r="AX283" s="416">
        <v>0</v>
      </c>
      <c r="AY283" s="416">
        <v>0</v>
      </c>
      <c r="AZ283" s="416">
        <v>0</v>
      </c>
      <c r="BA283" s="416">
        <v>0</v>
      </c>
      <c r="BB283" s="416">
        <v>0</v>
      </c>
      <c r="BC283" s="416">
        <v>0</v>
      </c>
      <c r="BD283" s="416">
        <v>0</v>
      </c>
      <c r="BE283" s="416">
        <v>0</v>
      </c>
      <c r="BF283" s="416">
        <v>0</v>
      </c>
      <c r="BG283" s="416">
        <v>0</v>
      </c>
      <c r="BH283" s="416">
        <v>0</v>
      </c>
      <c r="BI283" s="416">
        <v>0</v>
      </c>
      <c r="BJ283" s="416">
        <v>0</v>
      </c>
      <c r="BK283" s="416">
        <v>0</v>
      </c>
      <c r="BL283" s="416">
        <v>0</v>
      </c>
      <c r="BM283" s="416">
        <v>0</v>
      </c>
      <c r="BN283" s="416">
        <v>0</v>
      </c>
      <c r="BO283" s="416">
        <v>0</v>
      </c>
      <c r="BP283" s="416">
        <v>0</v>
      </c>
      <c r="BQ283" s="416">
        <v>0</v>
      </c>
      <c r="BR283" s="416">
        <v>0</v>
      </c>
      <c r="BS283" s="416">
        <v>0</v>
      </c>
      <c r="BT283" s="416">
        <v>0</v>
      </c>
      <c r="BU283" s="416">
        <v>0</v>
      </c>
      <c r="BV283" s="416">
        <v>0</v>
      </c>
      <c r="BW283" s="416">
        <v>0</v>
      </c>
      <c r="BX283" s="416">
        <v>0</v>
      </c>
      <c r="BY283" s="416">
        <v>0</v>
      </c>
      <c r="BZ283" s="416">
        <v>0</v>
      </c>
      <c r="CC283" s="21"/>
      <c r="CD283" s="424" t="s">
        <v>401</v>
      </c>
      <c r="CE283" s="433">
        <f t="shared" si="60"/>
        <v>0</v>
      </c>
      <c r="CF283" s="433">
        <f t="shared" si="61"/>
        <v>0</v>
      </c>
      <c r="CG283" s="433">
        <f t="shared" si="62"/>
        <v>0</v>
      </c>
      <c r="CH283" s="433">
        <f t="shared" si="63"/>
        <v>0</v>
      </c>
      <c r="CI283" s="433">
        <f t="shared" si="64"/>
        <v>0</v>
      </c>
      <c r="CJ283" s="433">
        <f t="shared" si="65"/>
        <v>0</v>
      </c>
      <c r="CK283" s="433">
        <f t="shared" si="66"/>
        <v>0</v>
      </c>
      <c r="CL283" s="433">
        <f t="shared" si="67"/>
        <v>0</v>
      </c>
      <c r="CM283" s="433">
        <f t="shared" si="68"/>
        <v>0</v>
      </c>
      <c r="CN283" s="433">
        <f t="shared" si="69"/>
        <v>0</v>
      </c>
      <c r="CO283" s="433">
        <f t="shared" si="70"/>
        <v>0</v>
      </c>
      <c r="CP283" s="433">
        <f t="shared" si="71"/>
        <v>0</v>
      </c>
      <c r="CQ283" s="433">
        <f t="shared" si="72"/>
        <v>0</v>
      </c>
      <c r="CR283" s="433">
        <f t="shared" si="73"/>
        <v>0</v>
      </c>
      <c r="CS283" s="433">
        <f t="shared" si="74"/>
        <v>0</v>
      </c>
      <c r="CT283" s="21"/>
    </row>
    <row r="284" spans="3:98" hidden="1" outlineLevel="2">
      <c r="C284" s="424" t="s">
        <v>402</v>
      </c>
      <c r="D284" s="416">
        <v>0</v>
      </c>
      <c r="E284" s="416">
        <v>0</v>
      </c>
      <c r="F284" s="416">
        <v>0</v>
      </c>
      <c r="G284" s="416">
        <v>0</v>
      </c>
      <c r="H284" s="416">
        <v>0</v>
      </c>
      <c r="I284" s="416">
        <v>0</v>
      </c>
      <c r="J284" s="416">
        <v>0</v>
      </c>
      <c r="K284" s="416">
        <v>0</v>
      </c>
      <c r="L284" s="416">
        <v>0</v>
      </c>
      <c r="M284" s="416">
        <v>0</v>
      </c>
      <c r="N284" s="416">
        <v>0</v>
      </c>
      <c r="O284" s="416">
        <v>0</v>
      </c>
      <c r="P284" s="416">
        <v>0</v>
      </c>
      <c r="Q284" s="416">
        <v>0</v>
      </c>
      <c r="R284" s="416">
        <v>0</v>
      </c>
      <c r="S284" s="416">
        <v>0</v>
      </c>
      <c r="T284" s="416">
        <v>0</v>
      </c>
      <c r="U284" s="416">
        <v>0</v>
      </c>
      <c r="V284" s="416">
        <v>0</v>
      </c>
      <c r="W284" s="416">
        <v>0</v>
      </c>
      <c r="X284" s="416">
        <v>0</v>
      </c>
      <c r="Y284" s="416">
        <v>0</v>
      </c>
      <c r="Z284" s="416">
        <v>0</v>
      </c>
      <c r="AA284" s="416">
        <v>0</v>
      </c>
      <c r="AB284" s="416">
        <v>0</v>
      </c>
      <c r="AC284" s="416">
        <v>0</v>
      </c>
      <c r="AD284" s="416">
        <v>0</v>
      </c>
      <c r="AE284" s="416">
        <v>0</v>
      </c>
      <c r="AF284" s="416">
        <v>0</v>
      </c>
      <c r="AG284" s="416">
        <v>0</v>
      </c>
      <c r="AH284" s="416">
        <v>0</v>
      </c>
      <c r="AI284" s="416">
        <v>0</v>
      </c>
      <c r="AJ284" s="416">
        <v>0</v>
      </c>
      <c r="AK284" s="416">
        <v>0</v>
      </c>
      <c r="AL284" s="416">
        <v>0</v>
      </c>
      <c r="AM284" s="416">
        <v>0</v>
      </c>
      <c r="AN284" s="416">
        <v>0</v>
      </c>
      <c r="AO284" s="416">
        <v>0</v>
      </c>
      <c r="AP284" s="416">
        <v>0</v>
      </c>
      <c r="AQ284" s="416">
        <v>0</v>
      </c>
      <c r="AR284" s="416">
        <v>0</v>
      </c>
      <c r="AS284" s="416">
        <v>0</v>
      </c>
      <c r="AT284" s="416">
        <v>0</v>
      </c>
      <c r="AU284" s="416">
        <v>0</v>
      </c>
      <c r="AV284" s="416">
        <v>0</v>
      </c>
      <c r="AW284" s="416">
        <v>0</v>
      </c>
      <c r="AX284" s="416">
        <v>0</v>
      </c>
      <c r="AY284" s="416">
        <v>0</v>
      </c>
      <c r="AZ284" s="416">
        <v>0</v>
      </c>
      <c r="BA284" s="416">
        <v>0</v>
      </c>
      <c r="BB284" s="416">
        <v>0</v>
      </c>
      <c r="BC284" s="416">
        <v>0</v>
      </c>
      <c r="BD284" s="416">
        <v>0</v>
      </c>
      <c r="BE284" s="416">
        <v>0</v>
      </c>
      <c r="BF284" s="416">
        <v>0</v>
      </c>
      <c r="BG284" s="416">
        <v>0</v>
      </c>
      <c r="BH284" s="416">
        <v>0</v>
      </c>
      <c r="BI284" s="416">
        <v>0</v>
      </c>
      <c r="BJ284" s="416">
        <v>0</v>
      </c>
      <c r="BK284" s="416">
        <v>0</v>
      </c>
      <c r="BL284" s="416">
        <v>0</v>
      </c>
      <c r="BM284" s="416">
        <v>0</v>
      </c>
      <c r="BN284" s="416">
        <v>0</v>
      </c>
      <c r="BO284" s="416">
        <v>0</v>
      </c>
      <c r="BP284" s="416">
        <v>0</v>
      </c>
      <c r="BQ284" s="416">
        <v>0</v>
      </c>
      <c r="BR284" s="416">
        <v>0</v>
      </c>
      <c r="BS284" s="416">
        <v>0</v>
      </c>
      <c r="BT284" s="416">
        <v>0</v>
      </c>
      <c r="BU284" s="416">
        <v>0</v>
      </c>
      <c r="BV284" s="416">
        <v>0</v>
      </c>
      <c r="BW284" s="416">
        <v>0</v>
      </c>
      <c r="BX284" s="416">
        <v>0</v>
      </c>
      <c r="BY284" s="416">
        <v>0</v>
      </c>
      <c r="BZ284" s="416">
        <v>0</v>
      </c>
      <c r="CC284" s="21"/>
      <c r="CD284" s="424" t="s">
        <v>402</v>
      </c>
      <c r="CE284" s="433">
        <f t="shared" si="60"/>
        <v>0</v>
      </c>
      <c r="CF284" s="433">
        <f t="shared" si="61"/>
        <v>0</v>
      </c>
      <c r="CG284" s="433">
        <f t="shared" si="62"/>
        <v>0</v>
      </c>
      <c r="CH284" s="433">
        <f t="shared" si="63"/>
        <v>0</v>
      </c>
      <c r="CI284" s="433">
        <f t="shared" si="64"/>
        <v>0</v>
      </c>
      <c r="CJ284" s="433">
        <f t="shared" si="65"/>
        <v>0</v>
      </c>
      <c r="CK284" s="433">
        <f t="shared" si="66"/>
        <v>0</v>
      </c>
      <c r="CL284" s="433">
        <f t="shared" si="67"/>
        <v>0</v>
      </c>
      <c r="CM284" s="433">
        <f t="shared" si="68"/>
        <v>0</v>
      </c>
      <c r="CN284" s="433">
        <f t="shared" si="69"/>
        <v>0</v>
      </c>
      <c r="CO284" s="433">
        <f t="shared" si="70"/>
        <v>0</v>
      </c>
      <c r="CP284" s="433">
        <f t="shared" si="71"/>
        <v>0</v>
      </c>
      <c r="CQ284" s="433">
        <f t="shared" si="72"/>
        <v>0</v>
      </c>
      <c r="CR284" s="433">
        <f t="shared" si="73"/>
        <v>0</v>
      </c>
      <c r="CS284" s="433">
        <f t="shared" si="74"/>
        <v>0</v>
      </c>
      <c r="CT284" s="21"/>
    </row>
    <row r="285" spans="3:98" hidden="1" outlineLevel="1">
      <c r="C285" s="415" t="s">
        <v>398</v>
      </c>
      <c r="D285" s="416">
        <v>0</v>
      </c>
      <c r="E285" s="416">
        <v>0</v>
      </c>
      <c r="F285" s="416">
        <v>0</v>
      </c>
      <c r="G285" s="416">
        <v>0</v>
      </c>
      <c r="H285" s="416">
        <v>0</v>
      </c>
      <c r="I285" s="416">
        <v>0</v>
      </c>
      <c r="J285" s="416">
        <v>0</v>
      </c>
      <c r="K285" s="416">
        <v>0</v>
      </c>
      <c r="L285" s="416">
        <v>0</v>
      </c>
      <c r="M285" s="416">
        <v>0</v>
      </c>
      <c r="N285" s="416">
        <v>0</v>
      </c>
      <c r="O285" s="416">
        <v>0</v>
      </c>
      <c r="P285" s="416">
        <v>0</v>
      </c>
      <c r="Q285" s="416">
        <v>0</v>
      </c>
      <c r="R285" s="416">
        <v>0</v>
      </c>
      <c r="S285" s="416">
        <v>0</v>
      </c>
      <c r="T285" s="416">
        <v>0</v>
      </c>
      <c r="U285" s="416">
        <v>0</v>
      </c>
      <c r="V285" s="416">
        <v>0</v>
      </c>
      <c r="W285" s="416">
        <v>0</v>
      </c>
      <c r="X285" s="416">
        <v>0</v>
      </c>
      <c r="Y285" s="416">
        <v>0</v>
      </c>
      <c r="Z285" s="416">
        <v>0</v>
      </c>
      <c r="AA285" s="416">
        <v>0</v>
      </c>
      <c r="AB285" s="416">
        <v>0</v>
      </c>
      <c r="AC285" s="416">
        <v>0</v>
      </c>
      <c r="AD285" s="416">
        <v>0</v>
      </c>
      <c r="AE285" s="416">
        <v>0</v>
      </c>
      <c r="AF285" s="416">
        <v>0</v>
      </c>
      <c r="AG285" s="416">
        <v>0</v>
      </c>
      <c r="AH285" s="416">
        <v>0</v>
      </c>
      <c r="AI285" s="416">
        <v>0</v>
      </c>
      <c r="AJ285" s="416">
        <v>0</v>
      </c>
      <c r="AK285" s="416">
        <v>0</v>
      </c>
      <c r="AL285" s="416">
        <v>0</v>
      </c>
      <c r="AM285" s="416">
        <v>0</v>
      </c>
      <c r="AN285" s="416">
        <v>0</v>
      </c>
      <c r="AO285" s="416">
        <v>0</v>
      </c>
      <c r="AP285" s="416">
        <v>0</v>
      </c>
      <c r="AQ285" s="416">
        <v>0</v>
      </c>
      <c r="AR285" s="416">
        <v>0</v>
      </c>
      <c r="AS285" s="416">
        <v>0</v>
      </c>
      <c r="AT285" s="416">
        <v>0</v>
      </c>
      <c r="AU285" s="416">
        <v>0</v>
      </c>
      <c r="AV285" s="416">
        <v>0</v>
      </c>
      <c r="AW285" s="416">
        <v>0</v>
      </c>
      <c r="AX285" s="416">
        <v>0</v>
      </c>
      <c r="AY285" s="416">
        <v>0</v>
      </c>
      <c r="AZ285" s="416">
        <v>0</v>
      </c>
      <c r="BA285" s="416">
        <v>0</v>
      </c>
      <c r="BB285" s="416">
        <v>0</v>
      </c>
      <c r="BC285" s="416">
        <v>0</v>
      </c>
      <c r="BD285" s="416">
        <v>0</v>
      </c>
      <c r="BE285" s="416">
        <v>0</v>
      </c>
      <c r="BF285" s="416">
        <v>0</v>
      </c>
      <c r="BG285" s="416">
        <v>0</v>
      </c>
      <c r="BH285" s="416">
        <v>0</v>
      </c>
      <c r="BI285" s="416">
        <v>0</v>
      </c>
      <c r="BJ285" s="416">
        <v>0</v>
      </c>
      <c r="BK285" s="416">
        <v>0</v>
      </c>
      <c r="BL285" s="416">
        <v>0</v>
      </c>
      <c r="BM285" s="416">
        <v>0</v>
      </c>
      <c r="BN285" s="416">
        <v>0</v>
      </c>
      <c r="BO285" s="416">
        <v>0</v>
      </c>
      <c r="BP285" s="416">
        <v>0</v>
      </c>
      <c r="BQ285" s="416">
        <v>0</v>
      </c>
      <c r="BR285" s="416">
        <v>0</v>
      </c>
      <c r="BS285" s="416">
        <v>0</v>
      </c>
      <c r="BT285" s="416">
        <v>0</v>
      </c>
      <c r="BU285" s="416">
        <v>0</v>
      </c>
      <c r="BV285" s="416">
        <v>0</v>
      </c>
      <c r="BW285" s="416">
        <v>0</v>
      </c>
      <c r="BX285" s="416">
        <v>0</v>
      </c>
      <c r="BY285" s="416">
        <v>0</v>
      </c>
      <c r="BZ285" s="416">
        <v>0</v>
      </c>
      <c r="CC285" s="21"/>
      <c r="CD285" s="415" t="s">
        <v>398</v>
      </c>
      <c r="CE285" s="433">
        <f t="shared" si="60"/>
        <v>0</v>
      </c>
      <c r="CF285" s="433">
        <f t="shared" si="61"/>
        <v>0</v>
      </c>
      <c r="CG285" s="433">
        <f t="shared" si="62"/>
        <v>0</v>
      </c>
      <c r="CH285" s="433">
        <f t="shared" si="63"/>
        <v>0</v>
      </c>
      <c r="CI285" s="433">
        <f t="shared" si="64"/>
        <v>0</v>
      </c>
      <c r="CJ285" s="433">
        <f t="shared" si="65"/>
        <v>0</v>
      </c>
      <c r="CK285" s="433">
        <f t="shared" si="66"/>
        <v>0</v>
      </c>
      <c r="CL285" s="433">
        <f t="shared" si="67"/>
        <v>0</v>
      </c>
      <c r="CM285" s="433">
        <f t="shared" si="68"/>
        <v>0</v>
      </c>
      <c r="CN285" s="433">
        <f t="shared" si="69"/>
        <v>0</v>
      </c>
      <c r="CO285" s="433">
        <f t="shared" si="70"/>
        <v>0</v>
      </c>
      <c r="CP285" s="433">
        <f t="shared" si="71"/>
        <v>0</v>
      </c>
      <c r="CQ285" s="433">
        <f t="shared" si="72"/>
        <v>0</v>
      </c>
      <c r="CR285" s="433">
        <f t="shared" si="73"/>
        <v>0</v>
      </c>
      <c r="CS285" s="433">
        <f t="shared" si="74"/>
        <v>0</v>
      </c>
      <c r="CT285" s="21"/>
    </row>
    <row r="286" spans="3:98" hidden="1" outlineLevel="1">
      <c r="C286" s="415" t="s">
        <v>403</v>
      </c>
      <c r="D286" s="416">
        <v>0</v>
      </c>
      <c r="E286" s="416">
        <v>0</v>
      </c>
      <c r="F286" s="416">
        <v>0</v>
      </c>
      <c r="G286" s="416">
        <v>0</v>
      </c>
      <c r="H286" s="416">
        <v>0</v>
      </c>
      <c r="I286" s="416">
        <v>0</v>
      </c>
      <c r="J286" s="416">
        <v>0</v>
      </c>
      <c r="K286" s="416">
        <v>0</v>
      </c>
      <c r="L286" s="416">
        <v>0</v>
      </c>
      <c r="M286" s="416">
        <v>0</v>
      </c>
      <c r="N286" s="416">
        <v>0</v>
      </c>
      <c r="O286" s="416">
        <v>0</v>
      </c>
      <c r="P286" s="416">
        <v>0</v>
      </c>
      <c r="Q286" s="416">
        <v>0</v>
      </c>
      <c r="R286" s="416">
        <v>0</v>
      </c>
      <c r="S286" s="416">
        <v>0</v>
      </c>
      <c r="T286" s="416">
        <v>0</v>
      </c>
      <c r="U286" s="416">
        <v>0</v>
      </c>
      <c r="V286" s="416">
        <v>0</v>
      </c>
      <c r="W286" s="416">
        <v>0</v>
      </c>
      <c r="X286" s="416">
        <v>0</v>
      </c>
      <c r="Y286" s="416">
        <v>0</v>
      </c>
      <c r="Z286" s="416">
        <v>0</v>
      </c>
      <c r="AA286" s="416">
        <v>0</v>
      </c>
      <c r="AB286" s="416">
        <v>0</v>
      </c>
      <c r="AC286" s="416">
        <v>0</v>
      </c>
      <c r="AD286" s="416">
        <v>0</v>
      </c>
      <c r="AE286" s="416">
        <v>0</v>
      </c>
      <c r="AF286" s="416">
        <v>0</v>
      </c>
      <c r="AG286" s="416">
        <v>0</v>
      </c>
      <c r="AH286" s="416">
        <v>0</v>
      </c>
      <c r="AI286" s="416">
        <v>0</v>
      </c>
      <c r="AJ286" s="416">
        <v>0</v>
      </c>
      <c r="AK286" s="416">
        <v>0</v>
      </c>
      <c r="AL286" s="416">
        <v>0</v>
      </c>
      <c r="AM286" s="416">
        <v>0</v>
      </c>
      <c r="AN286" s="416">
        <v>0</v>
      </c>
      <c r="AO286" s="416">
        <v>0</v>
      </c>
      <c r="AP286" s="416">
        <v>0</v>
      </c>
      <c r="AQ286" s="416">
        <v>0</v>
      </c>
      <c r="AR286" s="416">
        <v>0</v>
      </c>
      <c r="AS286" s="416">
        <v>0</v>
      </c>
      <c r="AT286" s="416">
        <v>0</v>
      </c>
      <c r="AU286" s="416">
        <v>0</v>
      </c>
      <c r="AV286" s="416">
        <v>0</v>
      </c>
      <c r="AW286" s="416">
        <v>0</v>
      </c>
      <c r="AX286" s="416">
        <v>0</v>
      </c>
      <c r="AY286" s="416">
        <v>0</v>
      </c>
      <c r="AZ286" s="416">
        <v>0</v>
      </c>
      <c r="BA286" s="416">
        <v>0</v>
      </c>
      <c r="BB286" s="416">
        <v>0</v>
      </c>
      <c r="BC286" s="416">
        <v>0</v>
      </c>
      <c r="BD286" s="416">
        <v>0</v>
      </c>
      <c r="BE286" s="416">
        <v>0</v>
      </c>
      <c r="BF286" s="416">
        <v>0</v>
      </c>
      <c r="BG286" s="416">
        <v>0</v>
      </c>
      <c r="BH286" s="416">
        <v>0</v>
      </c>
      <c r="BI286" s="416">
        <v>0</v>
      </c>
      <c r="BJ286" s="416">
        <v>0</v>
      </c>
      <c r="BK286" s="416">
        <v>0</v>
      </c>
      <c r="BL286" s="416">
        <v>0</v>
      </c>
      <c r="BM286" s="416">
        <v>0</v>
      </c>
      <c r="BN286" s="416">
        <v>0</v>
      </c>
      <c r="BO286" s="416">
        <v>0</v>
      </c>
      <c r="BP286" s="416">
        <v>0</v>
      </c>
      <c r="BQ286" s="416">
        <v>0</v>
      </c>
      <c r="BR286" s="416">
        <v>0</v>
      </c>
      <c r="BS286" s="416">
        <v>0</v>
      </c>
      <c r="BT286" s="416">
        <v>0</v>
      </c>
      <c r="BU286" s="416">
        <v>0</v>
      </c>
      <c r="BV286" s="416">
        <v>0</v>
      </c>
      <c r="BW286" s="416">
        <v>0</v>
      </c>
      <c r="BX286" s="416">
        <v>0</v>
      </c>
      <c r="BY286" s="416">
        <v>0</v>
      </c>
      <c r="BZ286" s="416">
        <v>0</v>
      </c>
      <c r="CC286" s="21"/>
      <c r="CD286" s="415" t="s">
        <v>403</v>
      </c>
      <c r="CE286" s="433">
        <f t="shared" si="60"/>
        <v>0</v>
      </c>
      <c r="CF286" s="433">
        <f t="shared" si="61"/>
        <v>0</v>
      </c>
      <c r="CG286" s="433">
        <f t="shared" si="62"/>
        <v>0</v>
      </c>
      <c r="CH286" s="433">
        <f t="shared" si="63"/>
        <v>0</v>
      </c>
      <c r="CI286" s="433">
        <f t="shared" si="64"/>
        <v>0</v>
      </c>
      <c r="CJ286" s="433">
        <f t="shared" si="65"/>
        <v>0</v>
      </c>
      <c r="CK286" s="433">
        <f t="shared" si="66"/>
        <v>0</v>
      </c>
      <c r="CL286" s="433">
        <f t="shared" si="67"/>
        <v>0</v>
      </c>
      <c r="CM286" s="433">
        <f t="shared" si="68"/>
        <v>0</v>
      </c>
      <c r="CN286" s="433">
        <f t="shared" si="69"/>
        <v>0</v>
      </c>
      <c r="CO286" s="433">
        <f t="shared" si="70"/>
        <v>0</v>
      </c>
      <c r="CP286" s="433">
        <f t="shared" si="71"/>
        <v>0</v>
      </c>
      <c r="CQ286" s="433">
        <f t="shared" si="72"/>
        <v>0</v>
      </c>
      <c r="CR286" s="433">
        <f t="shared" si="73"/>
        <v>0</v>
      </c>
      <c r="CS286" s="433">
        <f t="shared" si="74"/>
        <v>0</v>
      </c>
      <c r="CT286" s="21"/>
    </row>
    <row r="287" spans="3:98" hidden="1" outlineLevel="1">
      <c r="C287" s="415" t="s">
        <v>404</v>
      </c>
      <c r="D287" s="416">
        <v>0</v>
      </c>
      <c r="E287" s="416">
        <v>0</v>
      </c>
      <c r="F287" s="416">
        <v>0</v>
      </c>
      <c r="G287" s="416">
        <v>0</v>
      </c>
      <c r="H287" s="416">
        <v>0</v>
      </c>
      <c r="I287" s="416">
        <v>0</v>
      </c>
      <c r="J287" s="416">
        <v>0</v>
      </c>
      <c r="K287" s="416">
        <v>0</v>
      </c>
      <c r="L287" s="416">
        <v>0</v>
      </c>
      <c r="M287" s="416">
        <v>0</v>
      </c>
      <c r="N287" s="416">
        <v>0</v>
      </c>
      <c r="O287" s="416">
        <v>0</v>
      </c>
      <c r="P287" s="416">
        <v>0</v>
      </c>
      <c r="Q287" s="416">
        <v>0</v>
      </c>
      <c r="R287" s="416">
        <v>0</v>
      </c>
      <c r="S287" s="416">
        <v>0</v>
      </c>
      <c r="T287" s="416">
        <v>0</v>
      </c>
      <c r="U287" s="416">
        <v>0</v>
      </c>
      <c r="V287" s="416">
        <v>0</v>
      </c>
      <c r="W287" s="416">
        <v>0</v>
      </c>
      <c r="X287" s="416">
        <v>0</v>
      </c>
      <c r="Y287" s="416">
        <v>0</v>
      </c>
      <c r="Z287" s="416">
        <v>0</v>
      </c>
      <c r="AA287" s="416">
        <v>0</v>
      </c>
      <c r="AB287" s="416">
        <v>0</v>
      </c>
      <c r="AC287" s="416">
        <v>0</v>
      </c>
      <c r="AD287" s="416">
        <v>0</v>
      </c>
      <c r="AE287" s="416">
        <v>0</v>
      </c>
      <c r="AF287" s="416">
        <v>0</v>
      </c>
      <c r="AG287" s="416">
        <v>0</v>
      </c>
      <c r="AH287" s="416">
        <v>0</v>
      </c>
      <c r="AI287" s="416">
        <v>0</v>
      </c>
      <c r="AJ287" s="416">
        <v>0</v>
      </c>
      <c r="AK287" s="416">
        <v>0</v>
      </c>
      <c r="AL287" s="416">
        <v>0</v>
      </c>
      <c r="AM287" s="416">
        <v>0</v>
      </c>
      <c r="AN287" s="416">
        <v>0</v>
      </c>
      <c r="AO287" s="416">
        <v>0</v>
      </c>
      <c r="AP287" s="416">
        <v>0</v>
      </c>
      <c r="AQ287" s="416">
        <v>0</v>
      </c>
      <c r="AR287" s="416">
        <v>0</v>
      </c>
      <c r="AS287" s="416">
        <v>0</v>
      </c>
      <c r="AT287" s="416">
        <v>0</v>
      </c>
      <c r="AU287" s="416">
        <v>0</v>
      </c>
      <c r="AV287" s="416">
        <v>0</v>
      </c>
      <c r="AW287" s="416">
        <v>0</v>
      </c>
      <c r="AX287" s="416">
        <v>0</v>
      </c>
      <c r="AY287" s="416">
        <v>0</v>
      </c>
      <c r="AZ287" s="416">
        <v>0</v>
      </c>
      <c r="BA287" s="416">
        <v>0</v>
      </c>
      <c r="BB287" s="416">
        <v>0</v>
      </c>
      <c r="BC287" s="416">
        <v>0</v>
      </c>
      <c r="BD287" s="416">
        <v>0</v>
      </c>
      <c r="BE287" s="416">
        <v>0</v>
      </c>
      <c r="BF287" s="416">
        <v>0</v>
      </c>
      <c r="BG287" s="416">
        <v>0</v>
      </c>
      <c r="BH287" s="416">
        <v>0</v>
      </c>
      <c r="BI287" s="416">
        <v>0</v>
      </c>
      <c r="BJ287" s="416">
        <v>0</v>
      </c>
      <c r="BK287" s="416">
        <v>0</v>
      </c>
      <c r="BL287" s="416">
        <v>0</v>
      </c>
      <c r="BM287" s="416">
        <v>0</v>
      </c>
      <c r="BN287" s="416">
        <v>0</v>
      </c>
      <c r="BO287" s="416">
        <v>0</v>
      </c>
      <c r="BP287" s="416">
        <v>0</v>
      </c>
      <c r="BQ287" s="416">
        <v>0</v>
      </c>
      <c r="BR287" s="416">
        <v>0</v>
      </c>
      <c r="BS287" s="416">
        <v>0</v>
      </c>
      <c r="BT287" s="416">
        <v>0</v>
      </c>
      <c r="BU287" s="416">
        <v>0</v>
      </c>
      <c r="BV287" s="416">
        <v>0</v>
      </c>
      <c r="BW287" s="416">
        <v>0</v>
      </c>
      <c r="BX287" s="416">
        <v>0</v>
      </c>
      <c r="BY287" s="416">
        <v>0</v>
      </c>
      <c r="BZ287" s="416">
        <v>0</v>
      </c>
      <c r="CC287" s="21"/>
      <c r="CD287" s="415" t="s">
        <v>404</v>
      </c>
      <c r="CE287" s="433">
        <f t="shared" si="60"/>
        <v>0</v>
      </c>
      <c r="CF287" s="433">
        <f t="shared" si="61"/>
        <v>0</v>
      </c>
      <c r="CG287" s="433">
        <f t="shared" si="62"/>
        <v>0</v>
      </c>
      <c r="CH287" s="433">
        <f t="shared" si="63"/>
        <v>0</v>
      </c>
      <c r="CI287" s="433">
        <f t="shared" si="64"/>
        <v>0</v>
      </c>
      <c r="CJ287" s="433">
        <f t="shared" si="65"/>
        <v>0</v>
      </c>
      <c r="CK287" s="433">
        <f t="shared" si="66"/>
        <v>0</v>
      </c>
      <c r="CL287" s="433">
        <f t="shared" si="67"/>
        <v>0</v>
      </c>
      <c r="CM287" s="433">
        <f t="shared" si="68"/>
        <v>0</v>
      </c>
      <c r="CN287" s="433">
        <f t="shared" si="69"/>
        <v>0</v>
      </c>
      <c r="CO287" s="433">
        <f t="shared" si="70"/>
        <v>0</v>
      </c>
      <c r="CP287" s="433">
        <f t="shared" si="71"/>
        <v>0</v>
      </c>
      <c r="CQ287" s="433">
        <f t="shared" si="72"/>
        <v>0</v>
      </c>
      <c r="CR287" s="433">
        <f t="shared" si="73"/>
        <v>0</v>
      </c>
      <c r="CS287" s="433">
        <f t="shared" si="74"/>
        <v>0</v>
      </c>
      <c r="CT287" s="21"/>
    </row>
    <row r="288" spans="3:98" hidden="1" outlineLevel="1">
      <c r="C288" s="415" t="s">
        <v>405</v>
      </c>
      <c r="D288" s="416">
        <v>0</v>
      </c>
      <c r="E288" s="416">
        <v>0</v>
      </c>
      <c r="F288" s="416">
        <v>0</v>
      </c>
      <c r="G288" s="416">
        <v>0</v>
      </c>
      <c r="H288" s="416">
        <v>0</v>
      </c>
      <c r="I288" s="416">
        <v>0</v>
      </c>
      <c r="J288" s="416">
        <v>0</v>
      </c>
      <c r="K288" s="416">
        <v>0</v>
      </c>
      <c r="L288" s="416">
        <v>0</v>
      </c>
      <c r="M288" s="416">
        <v>0</v>
      </c>
      <c r="N288" s="416">
        <v>0</v>
      </c>
      <c r="O288" s="416">
        <v>0</v>
      </c>
      <c r="P288" s="416">
        <v>0</v>
      </c>
      <c r="Q288" s="416">
        <v>0</v>
      </c>
      <c r="R288" s="416">
        <v>0</v>
      </c>
      <c r="S288" s="416">
        <v>0</v>
      </c>
      <c r="T288" s="416">
        <v>0</v>
      </c>
      <c r="U288" s="416">
        <v>0</v>
      </c>
      <c r="V288" s="416">
        <v>0</v>
      </c>
      <c r="W288" s="416">
        <v>0</v>
      </c>
      <c r="X288" s="416">
        <v>0</v>
      </c>
      <c r="Y288" s="416">
        <v>0</v>
      </c>
      <c r="Z288" s="416">
        <v>0</v>
      </c>
      <c r="AA288" s="416">
        <v>0</v>
      </c>
      <c r="AB288" s="416">
        <v>0</v>
      </c>
      <c r="AC288" s="416">
        <v>0</v>
      </c>
      <c r="AD288" s="416">
        <v>0</v>
      </c>
      <c r="AE288" s="416">
        <v>0</v>
      </c>
      <c r="AF288" s="416">
        <v>0</v>
      </c>
      <c r="AG288" s="416">
        <v>0</v>
      </c>
      <c r="AH288" s="416">
        <v>0</v>
      </c>
      <c r="AI288" s="416">
        <v>0</v>
      </c>
      <c r="AJ288" s="416">
        <v>0</v>
      </c>
      <c r="AK288" s="416">
        <v>0</v>
      </c>
      <c r="AL288" s="416">
        <v>0</v>
      </c>
      <c r="AM288" s="416">
        <v>0</v>
      </c>
      <c r="AN288" s="416">
        <v>0</v>
      </c>
      <c r="AO288" s="416">
        <v>0</v>
      </c>
      <c r="AP288" s="416">
        <v>0</v>
      </c>
      <c r="AQ288" s="416">
        <v>0</v>
      </c>
      <c r="AR288" s="416">
        <v>0</v>
      </c>
      <c r="AS288" s="416">
        <v>0</v>
      </c>
      <c r="AT288" s="416">
        <v>0</v>
      </c>
      <c r="AU288" s="416">
        <v>0</v>
      </c>
      <c r="AV288" s="416">
        <v>0</v>
      </c>
      <c r="AW288" s="416">
        <v>0</v>
      </c>
      <c r="AX288" s="416">
        <v>0</v>
      </c>
      <c r="AY288" s="416">
        <v>0</v>
      </c>
      <c r="AZ288" s="416">
        <v>0</v>
      </c>
      <c r="BA288" s="416">
        <v>0</v>
      </c>
      <c r="BB288" s="416">
        <v>0</v>
      </c>
      <c r="BC288" s="416">
        <v>0</v>
      </c>
      <c r="BD288" s="416">
        <v>0</v>
      </c>
      <c r="BE288" s="416">
        <v>0</v>
      </c>
      <c r="BF288" s="416">
        <v>0</v>
      </c>
      <c r="BG288" s="416">
        <v>0</v>
      </c>
      <c r="BH288" s="416">
        <v>0</v>
      </c>
      <c r="BI288" s="416">
        <v>0</v>
      </c>
      <c r="BJ288" s="416">
        <v>0</v>
      </c>
      <c r="BK288" s="416">
        <v>0</v>
      </c>
      <c r="BL288" s="416">
        <v>0</v>
      </c>
      <c r="BM288" s="416">
        <v>0</v>
      </c>
      <c r="BN288" s="416">
        <v>0</v>
      </c>
      <c r="BO288" s="416">
        <v>0</v>
      </c>
      <c r="BP288" s="416">
        <v>0</v>
      </c>
      <c r="BQ288" s="416">
        <v>0</v>
      </c>
      <c r="BR288" s="416">
        <v>0</v>
      </c>
      <c r="BS288" s="416">
        <v>0</v>
      </c>
      <c r="BT288" s="416">
        <v>0</v>
      </c>
      <c r="BU288" s="416">
        <v>0</v>
      </c>
      <c r="BV288" s="416">
        <v>0</v>
      </c>
      <c r="BW288" s="416">
        <v>0</v>
      </c>
      <c r="BX288" s="416">
        <v>0</v>
      </c>
      <c r="BY288" s="416">
        <v>0</v>
      </c>
      <c r="BZ288" s="416">
        <v>0</v>
      </c>
      <c r="CC288" s="21"/>
      <c r="CD288" s="415" t="s">
        <v>405</v>
      </c>
      <c r="CE288" s="433">
        <f t="shared" si="60"/>
        <v>0</v>
      </c>
      <c r="CF288" s="433">
        <f t="shared" si="61"/>
        <v>0</v>
      </c>
      <c r="CG288" s="433">
        <f t="shared" si="62"/>
        <v>0</v>
      </c>
      <c r="CH288" s="433">
        <f t="shared" si="63"/>
        <v>0</v>
      </c>
      <c r="CI288" s="433">
        <f t="shared" si="64"/>
        <v>0</v>
      </c>
      <c r="CJ288" s="433">
        <f t="shared" si="65"/>
        <v>0</v>
      </c>
      <c r="CK288" s="433">
        <f t="shared" si="66"/>
        <v>0</v>
      </c>
      <c r="CL288" s="433">
        <f t="shared" si="67"/>
        <v>0</v>
      </c>
      <c r="CM288" s="433">
        <f t="shared" si="68"/>
        <v>0</v>
      </c>
      <c r="CN288" s="433">
        <f t="shared" si="69"/>
        <v>0</v>
      </c>
      <c r="CO288" s="433">
        <f t="shared" si="70"/>
        <v>0</v>
      </c>
      <c r="CP288" s="433">
        <f t="shared" si="71"/>
        <v>0</v>
      </c>
      <c r="CQ288" s="433">
        <f t="shared" si="72"/>
        <v>0</v>
      </c>
      <c r="CR288" s="433">
        <f t="shared" si="73"/>
        <v>0</v>
      </c>
      <c r="CS288" s="433">
        <f t="shared" si="74"/>
        <v>0</v>
      </c>
      <c r="CT288" s="21"/>
    </row>
    <row r="289" spans="3:98" hidden="1" outlineLevel="1">
      <c r="C289" s="415" t="s">
        <v>406</v>
      </c>
      <c r="D289" s="416">
        <v>0</v>
      </c>
      <c r="E289" s="416">
        <v>0</v>
      </c>
      <c r="F289" s="416">
        <v>0</v>
      </c>
      <c r="G289" s="416">
        <v>0</v>
      </c>
      <c r="H289" s="416">
        <v>0</v>
      </c>
      <c r="I289" s="416">
        <v>0</v>
      </c>
      <c r="J289" s="416">
        <v>0</v>
      </c>
      <c r="K289" s="416">
        <v>0</v>
      </c>
      <c r="L289" s="416">
        <v>0</v>
      </c>
      <c r="M289" s="416">
        <v>0</v>
      </c>
      <c r="N289" s="416">
        <v>0</v>
      </c>
      <c r="O289" s="416">
        <v>0</v>
      </c>
      <c r="P289" s="416">
        <v>0</v>
      </c>
      <c r="Q289" s="416">
        <v>0</v>
      </c>
      <c r="R289" s="416">
        <v>0</v>
      </c>
      <c r="S289" s="416">
        <v>0</v>
      </c>
      <c r="T289" s="416">
        <v>0</v>
      </c>
      <c r="U289" s="416">
        <v>0</v>
      </c>
      <c r="V289" s="416">
        <v>0</v>
      </c>
      <c r="W289" s="416">
        <v>0</v>
      </c>
      <c r="X289" s="416">
        <v>0</v>
      </c>
      <c r="Y289" s="416">
        <v>0</v>
      </c>
      <c r="Z289" s="416">
        <v>0</v>
      </c>
      <c r="AA289" s="416">
        <v>0</v>
      </c>
      <c r="AB289" s="416">
        <v>0</v>
      </c>
      <c r="AC289" s="416">
        <v>0</v>
      </c>
      <c r="AD289" s="416">
        <v>0</v>
      </c>
      <c r="AE289" s="416">
        <v>0</v>
      </c>
      <c r="AF289" s="416">
        <v>0</v>
      </c>
      <c r="AG289" s="416">
        <v>0</v>
      </c>
      <c r="AH289" s="416">
        <v>0</v>
      </c>
      <c r="AI289" s="416">
        <v>0</v>
      </c>
      <c r="AJ289" s="416">
        <v>0</v>
      </c>
      <c r="AK289" s="416">
        <v>0</v>
      </c>
      <c r="AL289" s="416">
        <v>0</v>
      </c>
      <c r="AM289" s="416">
        <v>0</v>
      </c>
      <c r="AN289" s="416">
        <v>0</v>
      </c>
      <c r="AO289" s="416">
        <v>0</v>
      </c>
      <c r="AP289" s="416">
        <v>0</v>
      </c>
      <c r="AQ289" s="416">
        <v>0</v>
      </c>
      <c r="AR289" s="416">
        <v>0</v>
      </c>
      <c r="AS289" s="416">
        <v>0</v>
      </c>
      <c r="AT289" s="416">
        <v>0</v>
      </c>
      <c r="AU289" s="416">
        <v>0</v>
      </c>
      <c r="AV289" s="416">
        <v>0</v>
      </c>
      <c r="AW289" s="416">
        <v>0</v>
      </c>
      <c r="AX289" s="416">
        <v>0</v>
      </c>
      <c r="AY289" s="416">
        <v>0</v>
      </c>
      <c r="AZ289" s="416">
        <v>0</v>
      </c>
      <c r="BA289" s="416">
        <v>0</v>
      </c>
      <c r="BB289" s="416">
        <v>0</v>
      </c>
      <c r="BC289" s="416">
        <v>0</v>
      </c>
      <c r="BD289" s="416">
        <v>0</v>
      </c>
      <c r="BE289" s="416">
        <v>0</v>
      </c>
      <c r="BF289" s="416">
        <v>0</v>
      </c>
      <c r="BG289" s="416">
        <v>0</v>
      </c>
      <c r="BH289" s="416">
        <v>0</v>
      </c>
      <c r="BI289" s="416">
        <v>0</v>
      </c>
      <c r="BJ289" s="416">
        <v>0</v>
      </c>
      <c r="BK289" s="416">
        <v>0</v>
      </c>
      <c r="BL289" s="416">
        <v>0</v>
      </c>
      <c r="BM289" s="416">
        <v>0</v>
      </c>
      <c r="BN289" s="416">
        <v>0</v>
      </c>
      <c r="BO289" s="416">
        <v>0</v>
      </c>
      <c r="BP289" s="416">
        <v>0</v>
      </c>
      <c r="BQ289" s="416">
        <v>0</v>
      </c>
      <c r="BR289" s="416">
        <v>0</v>
      </c>
      <c r="BS289" s="416">
        <v>0</v>
      </c>
      <c r="BT289" s="416">
        <v>0</v>
      </c>
      <c r="BU289" s="416">
        <v>0</v>
      </c>
      <c r="BV289" s="416">
        <v>0</v>
      </c>
      <c r="BW289" s="416">
        <v>0</v>
      </c>
      <c r="BX289" s="416">
        <v>0</v>
      </c>
      <c r="BY289" s="416">
        <v>0</v>
      </c>
      <c r="BZ289" s="416">
        <v>0</v>
      </c>
      <c r="CC289" s="21"/>
      <c r="CD289" s="415" t="s">
        <v>406</v>
      </c>
      <c r="CE289" s="433">
        <f t="shared" si="60"/>
        <v>0</v>
      </c>
      <c r="CF289" s="433">
        <f t="shared" si="61"/>
        <v>0</v>
      </c>
      <c r="CG289" s="433">
        <f t="shared" si="62"/>
        <v>0</v>
      </c>
      <c r="CH289" s="433">
        <f t="shared" si="63"/>
        <v>0</v>
      </c>
      <c r="CI289" s="433">
        <f t="shared" si="64"/>
        <v>0</v>
      </c>
      <c r="CJ289" s="433">
        <f t="shared" si="65"/>
        <v>0</v>
      </c>
      <c r="CK289" s="433">
        <f t="shared" si="66"/>
        <v>0</v>
      </c>
      <c r="CL289" s="433">
        <f t="shared" si="67"/>
        <v>0</v>
      </c>
      <c r="CM289" s="433">
        <f t="shared" si="68"/>
        <v>0</v>
      </c>
      <c r="CN289" s="433">
        <f t="shared" si="69"/>
        <v>0</v>
      </c>
      <c r="CO289" s="433">
        <f t="shared" si="70"/>
        <v>0</v>
      </c>
      <c r="CP289" s="433">
        <f t="shared" si="71"/>
        <v>0</v>
      </c>
      <c r="CQ289" s="433">
        <f t="shared" si="72"/>
        <v>0</v>
      </c>
      <c r="CR289" s="433">
        <f t="shared" si="73"/>
        <v>0</v>
      </c>
      <c r="CS289" s="433">
        <f t="shared" si="74"/>
        <v>0</v>
      </c>
      <c r="CT289" s="21"/>
    </row>
    <row r="290" spans="3:98" hidden="1" outlineLevel="1">
      <c r="C290" s="415" t="s">
        <v>407</v>
      </c>
      <c r="D290" s="416">
        <v>0</v>
      </c>
      <c r="E290" s="416">
        <v>0</v>
      </c>
      <c r="F290" s="416">
        <v>0</v>
      </c>
      <c r="G290" s="416">
        <v>0</v>
      </c>
      <c r="H290" s="416">
        <v>0</v>
      </c>
      <c r="I290" s="416">
        <v>0</v>
      </c>
      <c r="J290" s="416">
        <v>0</v>
      </c>
      <c r="K290" s="416">
        <v>0</v>
      </c>
      <c r="L290" s="416">
        <v>0</v>
      </c>
      <c r="M290" s="416">
        <v>0</v>
      </c>
      <c r="N290" s="416">
        <v>0</v>
      </c>
      <c r="O290" s="416">
        <v>0</v>
      </c>
      <c r="P290" s="416">
        <v>0</v>
      </c>
      <c r="Q290" s="416">
        <v>0</v>
      </c>
      <c r="R290" s="416">
        <v>0</v>
      </c>
      <c r="S290" s="416">
        <v>0</v>
      </c>
      <c r="T290" s="416">
        <v>0</v>
      </c>
      <c r="U290" s="416">
        <v>0</v>
      </c>
      <c r="V290" s="416">
        <v>0</v>
      </c>
      <c r="W290" s="416">
        <v>0</v>
      </c>
      <c r="X290" s="416">
        <v>0</v>
      </c>
      <c r="Y290" s="416">
        <v>0</v>
      </c>
      <c r="Z290" s="416">
        <v>0</v>
      </c>
      <c r="AA290" s="416">
        <v>0</v>
      </c>
      <c r="AB290" s="416">
        <v>0</v>
      </c>
      <c r="AC290" s="416">
        <v>0</v>
      </c>
      <c r="AD290" s="416">
        <v>0</v>
      </c>
      <c r="AE290" s="416">
        <v>0</v>
      </c>
      <c r="AF290" s="416">
        <v>0</v>
      </c>
      <c r="AG290" s="416">
        <v>0</v>
      </c>
      <c r="AH290" s="416">
        <v>0</v>
      </c>
      <c r="AI290" s="416">
        <v>0</v>
      </c>
      <c r="AJ290" s="416">
        <v>0</v>
      </c>
      <c r="AK290" s="416">
        <v>0</v>
      </c>
      <c r="AL290" s="416">
        <v>0</v>
      </c>
      <c r="AM290" s="416">
        <v>0</v>
      </c>
      <c r="AN290" s="416">
        <v>0</v>
      </c>
      <c r="AO290" s="416">
        <v>0</v>
      </c>
      <c r="AP290" s="416">
        <v>0</v>
      </c>
      <c r="AQ290" s="416">
        <v>0</v>
      </c>
      <c r="AR290" s="416">
        <v>0</v>
      </c>
      <c r="AS290" s="416">
        <v>0</v>
      </c>
      <c r="AT290" s="416">
        <v>0</v>
      </c>
      <c r="AU290" s="416">
        <v>0</v>
      </c>
      <c r="AV290" s="416">
        <v>0</v>
      </c>
      <c r="AW290" s="416">
        <v>0</v>
      </c>
      <c r="AX290" s="416">
        <v>0</v>
      </c>
      <c r="AY290" s="416">
        <v>0</v>
      </c>
      <c r="AZ290" s="416">
        <v>0</v>
      </c>
      <c r="BA290" s="416">
        <v>0</v>
      </c>
      <c r="BB290" s="416">
        <v>0</v>
      </c>
      <c r="BC290" s="416">
        <v>0</v>
      </c>
      <c r="BD290" s="416">
        <v>0</v>
      </c>
      <c r="BE290" s="416">
        <v>0</v>
      </c>
      <c r="BF290" s="416">
        <v>0</v>
      </c>
      <c r="BG290" s="416">
        <v>0</v>
      </c>
      <c r="BH290" s="416">
        <v>0</v>
      </c>
      <c r="BI290" s="416">
        <v>0</v>
      </c>
      <c r="BJ290" s="416">
        <v>0</v>
      </c>
      <c r="BK290" s="416">
        <v>0</v>
      </c>
      <c r="BL290" s="416">
        <v>0</v>
      </c>
      <c r="BM290" s="416">
        <v>0</v>
      </c>
      <c r="BN290" s="416">
        <v>0</v>
      </c>
      <c r="BO290" s="416">
        <v>0</v>
      </c>
      <c r="BP290" s="416">
        <v>0</v>
      </c>
      <c r="BQ290" s="416">
        <v>0</v>
      </c>
      <c r="BR290" s="416">
        <v>0</v>
      </c>
      <c r="BS290" s="416">
        <v>0</v>
      </c>
      <c r="BT290" s="416">
        <v>0</v>
      </c>
      <c r="BU290" s="416">
        <v>0</v>
      </c>
      <c r="BV290" s="416">
        <v>0</v>
      </c>
      <c r="BW290" s="416">
        <v>0</v>
      </c>
      <c r="BX290" s="416">
        <v>0</v>
      </c>
      <c r="BY290" s="416">
        <v>0</v>
      </c>
      <c r="BZ290" s="416">
        <v>0</v>
      </c>
      <c r="CC290" s="21"/>
      <c r="CD290" s="415" t="s">
        <v>407</v>
      </c>
      <c r="CE290" s="433">
        <f t="shared" si="60"/>
        <v>0</v>
      </c>
      <c r="CF290" s="433">
        <f t="shared" si="61"/>
        <v>0</v>
      </c>
      <c r="CG290" s="433">
        <f t="shared" si="62"/>
        <v>0</v>
      </c>
      <c r="CH290" s="433">
        <f t="shared" si="63"/>
        <v>0</v>
      </c>
      <c r="CI290" s="433">
        <f t="shared" si="64"/>
        <v>0</v>
      </c>
      <c r="CJ290" s="433">
        <f t="shared" si="65"/>
        <v>0</v>
      </c>
      <c r="CK290" s="433">
        <f t="shared" si="66"/>
        <v>0</v>
      </c>
      <c r="CL290" s="433">
        <f t="shared" si="67"/>
        <v>0</v>
      </c>
      <c r="CM290" s="433">
        <f t="shared" si="68"/>
        <v>0</v>
      </c>
      <c r="CN290" s="433">
        <f t="shared" si="69"/>
        <v>0</v>
      </c>
      <c r="CO290" s="433">
        <f t="shared" si="70"/>
        <v>0</v>
      </c>
      <c r="CP290" s="433">
        <f t="shared" si="71"/>
        <v>0</v>
      </c>
      <c r="CQ290" s="433">
        <f t="shared" si="72"/>
        <v>0</v>
      </c>
      <c r="CR290" s="433">
        <f t="shared" si="73"/>
        <v>0</v>
      </c>
      <c r="CS290" s="433">
        <f t="shared" si="74"/>
        <v>0</v>
      </c>
      <c r="CT290" s="21"/>
    </row>
    <row r="291" spans="3:98" collapsed="1">
      <c r="C291" s="417" t="s">
        <v>397</v>
      </c>
      <c r="D291" s="416">
        <v>0</v>
      </c>
      <c r="E291" s="416">
        <v>0</v>
      </c>
      <c r="F291" s="416">
        <v>0</v>
      </c>
      <c r="G291" s="416">
        <v>0</v>
      </c>
      <c r="H291" s="416">
        <v>0</v>
      </c>
      <c r="I291" s="416">
        <v>0</v>
      </c>
      <c r="J291" s="416">
        <v>0</v>
      </c>
      <c r="K291" s="416">
        <v>0</v>
      </c>
      <c r="L291" s="416">
        <v>0</v>
      </c>
      <c r="M291" s="416">
        <v>0</v>
      </c>
      <c r="N291" s="416">
        <v>0</v>
      </c>
      <c r="O291" s="416">
        <v>0</v>
      </c>
      <c r="P291" s="416">
        <v>0</v>
      </c>
      <c r="Q291" s="416">
        <v>0</v>
      </c>
      <c r="R291" s="416">
        <v>0</v>
      </c>
      <c r="S291" s="416">
        <v>0</v>
      </c>
      <c r="T291" s="416">
        <v>0</v>
      </c>
      <c r="U291" s="416">
        <v>0</v>
      </c>
      <c r="V291" s="416">
        <v>0</v>
      </c>
      <c r="W291" s="416">
        <v>0</v>
      </c>
      <c r="X291" s="416">
        <v>0</v>
      </c>
      <c r="Y291" s="416">
        <v>0</v>
      </c>
      <c r="Z291" s="416">
        <v>0</v>
      </c>
      <c r="AA291" s="416">
        <v>0</v>
      </c>
      <c r="AB291" s="416">
        <v>0</v>
      </c>
      <c r="AC291" s="416">
        <v>0</v>
      </c>
      <c r="AD291" s="416">
        <v>0</v>
      </c>
      <c r="AE291" s="416">
        <v>0</v>
      </c>
      <c r="AF291" s="416">
        <v>0</v>
      </c>
      <c r="AG291" s="416">
        <v>0</v>
      </c>
      <c r="AH291" s="416">
        <v>0</v>
      </c>
      <c r="AI291" s="416">
        <v>0</v>
      </c>
      <c r="AJ291" s="416">
        <v>0</v>
      </c>
      <c r="AK291" s="416">
        <v>0</v>
      </c>
      <c r="AL291" s="416">
        <v>0</v>
      </c>
      <c r="AM291" s="416">
        <v>0</v>
      </c>
      <c r="AN291" s="416">
        <v>0</v>
      </c>
      <c r="AO291" s="416">
        <v>0</v>
      </c>
      <c r="AP291" s="416">
        <v>0</v>
      </c>
      <c r="AQ291" s="416">
        <v>0</v>
      </c>
      <c r="AR291" s="416">
        <v>0</v>
      </c>
      <c r="AS291" s="416">
        <v>0</v>
      </c>
      <c r="AT291" s="416">
        <v>0</v>
      </c>
      <c r="AU291" s="416">
        <v>0</v>
      </c>
      <c r="AV291" s="416">
        <v>0</v>
      </c>
      <c r="AW291" s="416">
        <v>0</v>
      </c>
      <c r="AX291" s="416">
        <v>0</v>
      </c>
      <c r="AY291" s="416">
        <v>0</v>
      </c>
      <c r="AZ291" s="416">
        <v>0</v>
      </c>
      <c r="BA291" s="416">
        <v>0</v>
      </c>
      <c r="BB291" s="416">
        <v>0</v>
      </c>
      <c r="BC291" s="416">
        <v>0</v>
      </c>
      <c r="BD291" s="416">
        <v>0</v>
      </c>
      <c r="BE291" s="416">
        <v>0</v>
      </c>
      <c r="BF291" s="416">
        <v>0</v>
      </c>
      <c r="BG291" s="416">
        <v>0</v>
      </c>
      <c r="BH291" s="416">
        <v>0</v>
      </c>
      <c r="BI291" s="416">
        <v>0</v>
      </c>
      <c r="BJ291" s="416">
        <v>0</v>
      </c>
      <c r="BK291" s="416">
        <v>0</v>
      </c>
      <c r="BL291" s="416">
        <v>0</v>
      </c>
      <c r="BM291" s="416">
        <v>0</v>
      </c>
      <c r="BN291" s="416">
        <v>0</v>
      </c>
      <c r="BO291" s="416">
        <v>0</v>
      </c>
      <c r="BP291" s="416">
        <v>0</v>
      </c>
      <c r="BQ291" s="416">
        <v>0</v>
      </c>
      <c r="BR291" s="416">
        <v>0</v>
      </c>
      <c r="BS291" s="416">
        <v>0</v>
      </c>
      <c r="BT291" s="416">
        <v>0</v>
      </c>
      <c r="BU291" s="416">
        <v>0</v>
      </c>
      <c r="BV291" s="416">
        <v>0</v>
      </c>
      <c r="BW291" s="416">
        <v>0</v>
      </c>
      <c r="BX291" s="416">
        <v>0</v>
      </c>
      <c r="BY291" s="416">
        <v>0</v>
      </c>
      <c r="BZ291" s="416">
        <v>0</v>
      </c>
      <c r="CC291" s="21"/>
      <c r="CD291" s="417" t="s">
        <v>397</v>
      </c>
      <c r="CE291" s="433">
        <f t="shared" si="60"/>
        <v>0</v>
      </c>
      <c r="CF291" s="433">
        <f t="shared" si="61"/>
        <v>0</v>
      </c>
      <c r="CG291" s="433">
        <f t="shared" si="62"/>
        <v>0</v>
      </c>
      <c r="CH291" s="433">
        <f t="shared" si="63"/>
        <v>0</v>
      </c>
      <c r="CI291" s="433">
        <f t="shared" si="64"/>
        <v>0</v>
      </c>
      <c r="CJ291" s="433">
        <f t="shared" si="65"/>
        <v>0</v>
      </c>
      <c r="CK291" s="433">
        <f t="shared" si="66"/>
        <v>0</v>
      </c>
      <c r="CL291" s="433">
        <f t="shared" si="67"/>
        <v>0</v>
      </c>
      <c r="CM291" s="433">
        <f t="shared" si="68"/>
        <v>0</v>
      </c>
      <c r="CN291" s="433">
        <f t="shared" si="69"/>
        <v>0</v>
      </c>
      <c r="CO291" s="433">
        <f t="shared" si="70"/>
        <v>0</v>
      </c>
      <c r="CP291" s="433">
        <f t="shared" si="71"/>
        <v>0</v>
      </c>
      <c r="CQ291" s="433">
        <f t="shared" si="72"/>
        <v>0</v>
      </c>
      <c r="CR291" s="433">
        <f t="shared" si="73"/>
        <v>0</v>
      </c>
      <c r="CS291" s="433">
        <f t="shared" si="74"/>
        <v>0</v>
      </c>
      <c r="CT291" s="21"/>
    </row>
    <row r="292" spans="3:98" ht="15">
      <c r="C292" s="421" t="s">
        <v>375</v>
      </c>
      <c r="D292" s="422">
        <v>0</v>
      </c>
      <c r="E292" s="422">
        <v>0</v>
      </c>
      <c r="F292" s="422">
        <v>0</v>
      </c>
      <c r="G292" s="422">
        <v>0</v>
      </c>
      <c r="H292" s="422">
        <v>0</v>
      </c>
      <c r="I292" s="422">
        <v>0</v>
      </c>
      <c r="J292" s="422">
        <v>0</v>
      </c>
      <c r="K292" s="422">
        <v>0</v>
      </c>
      <c r="L292" s="422">
        <v>0</v>
      </c>
      <c r="M292" s="422">
        <v>0</v>
      </c>
      <c r="N292" s="422">
        <v>0</v>
      </c>
      <c r="O292" s="422">
        <v>0</v>
      </c>
      <c r="P292" s="422">
        <v>0</v>
      </c>
      <c r="Q292" s="422">
        <v>0</v>
      </c>
      <c r="R292" s="422">
        <v>0</v>
      </c>
      <c r="S292" s="422">
        <v>0</v>
      </c>
      <c r="T292" s="422">
        <v>0</v>
      </c>
      <c r="U292" s="422">
        <v>0</v>
      </c>
      <c r="V292" s="422">
        <v>0</v>
      </c>
      <c r="W292" s="422">
        <v>0</v>
      </c>
      <c r="X292" s="422">
        <v>0</v>
      </c>
      <c r="Y292" s="422">
        <v>0</v>
      </c>
      <c r="Z292" s="422">
        <v>0</v>
      </c>
      <c r="AA292" s="422">
        <v>0</v>
      </c>
      <c r="AB292" s="422">
        <v>0</v>
      </c>
      <c r="AC292" s="422">
        <v>0</v>
      </c>
      <c r="AD292" s="422">
        <v>0</v>
      </c>
      <c r="AE292" s="422">
        <v>0</v>
      </c>
      <c r="AF292" s="422">
        <v>0</v>
      </c>
      <c r="AG292" s="422">
        <v>0</v>
      </c>
      <c r="AH292" s="422">
        <v>0</v>
      </c>
      <c r="AI292" s="422">
        <v>0</v>
      </c>
      <c r="AJ292" s="422">
        <v>0</v>
      </c>
      <c r="AK292" s="422">
        <v>0</v>
      </c>
      <c r="AL292" s="422">
        <v>0</v>
      </c>
      <c r="AM292" s="422">
        <v>0</v>
      </c>
      <c r="AN292" s="422">
        <v>0</v>
      </c>
      <c r="AO292" s="422">
        <v>0</v>
      </c>
      <c r="AP292" s="422">
        <v>0</v>
      </c>
      <c r="AQ292" s="422">
        <v>0</v>
      </c>
      <c r="AR292" s="422">
        <v>0</v>
      </c>
      <c r="AS292" s="422">
        <v>0</v>
      </c>
      <c r="AT292" s="422">
        <v>0</v>
      </c>
      <c r="AU292" s="422">
        <v>0</v>
      </c>
      <c r="AV292" s="422">
        <v>0</v>
      </c>
      <c r="AW292" s="422">
        <v>0</v>
      </c>
      <c r="AX292" s="422">
        <v>0</v>
      </c>
      <c r="AY292" s="422">
        <v>0</v>
      </c>
      <c r="AZ292" s="422">
        <v>0</v>
      </c>
      <c r="BA292" s="422">
        <v>0</v>
      </c>
      <c r="BB292" s="422">
        <v>0</v>
      </c>
      <c r="BC292" s="422">
        <v>0</v>
      </c>
      <c r="BD292" s="422">
        <v>0</v>
      </c>
      <c r="BE292" s="422">
        <v>0</v>
      </c>
      <c r="BF292" s="422">
        <v>497.08600000000001</v>
      </c>
      <c r="BG292" s="422">
        <v>0</v>
      </c>
      <c r="BH292" s="422">
        <v>0</v>
      </c>
      <c r="BI292" s="422">
        <v>0</v>
      </c>
      <c r="BJ292" s="422">
        <v>963.58399999999995</v>
      </c>
      <c r="BK292" s="422">
        <v>963.58399999999995</v>
      </c>
      <c r="BL292" s="422">
        <v>2304.4079999999999</v>
      </c>
      <c r="BM292" s="422">
        <v>4623.4250000000002</v>
      </c>
      <c r="BN292" s="422">
        <v>5360.4970000000003</v>
      </c>
      <c r="BO292" s="422">
        <v>6381.6890000000003</v>
      </c>
      <c r="BP292" s="422">
        <v>6381.6890000000003</v>
      </c>
      <c r="BQ292" s="422">
        <v>6496.0929999999998</v>
      </c>
      <c r="BR292" s="422">
        <v>5813.3890000000001</v>
      </c>
      <c r="BS292" s="422">
        <v>5626.3149999999996</v>
      </c>
      <c r="BT292" s="422">
        <v>5454.5569999999998</v>
      </c>
      <c r="BU292" s="422">
        <v>5454.5569999999998</v>
      </c>
      <c r="BV292" s="422">
        <v>5674.9459999999999</v>
      </c>
      <c r="BW292" s="422">
        <v>5754.7030000000004</v>
      </c>
      <c r="BX292" s="422">
        <v>5921.125</v>
      </c>
      <c r="BY292" s="422">
        <v>0</v>
      </c>
      <c r="BZ292" s="422">
        <v>0</v>
      </c>
      <c r="CC292" s="21"/>
      <c r="CD292" s="421" t="s">
        <v>375</v>
      </c>
      <c r="CE292" s="436">
        <f t="shared" si="60"/>
        <v>0</v>
      </c>
      <c r="CF292" s="436">
        <f t="shared" si="61"/>
        <v>0</v>
      </c>
      <c r="CG292" s="436">
        <f t="shared" si="62"/>
        <v>0</v>
      </c>
      <c r="CH292" s="436">
        <f t="shared" si="63"/>
        <v>0</v>
      </c>
      <c r="CI292" s="436">
        <f t="shared" si="64"/>
        <v>0</v>
      </c>
      <c r="CJ292" s="436">
        <f t="shared" si="65"/>
        <v>0</v>
      </c>
      <c r="CK292" s="436">
        <f t="shared" si="66"/>
        <v>0</v>
      </c>
      <c r="CL292" s="436">
        <f t="shared" si="67"/>
        <v>0</v>
      </c>
      <c r="CM292" s="436">
        <f t="shared" si="68"/>
        <v>0</v>
      </c>
      <c r="CN292" s="436">
        <f t="shared" si="69"/>
        <v>0</v>
      </c>
      <c r="CO292" s="436">
        <f t="shared" si="70"/>
        <v>497.08600000000001</v>
      </c>
      <c r="CP292" s="436">
        <f t="shared" si="71"/>
        <v>963.58399999999995</v>
      </c>
      <c r="CQ292" s="436">
        <f t="shared" si="72"/>
        <v>6381.6890000000003</v>
      </c>
      <c r="CR292" s="436">
        <f t="shared" si="73"/>
        <v>5454.5569999999998</v>
      </c>
      <c r="CS292" s="436">
        <f t="shared" si="74"/>
        <v>0</v>
      </c>
      <c r="CT292" s="21"/>
    </row>
    <row r="293" spans="3:98">
      <c r="D293" s="416"/>
      <c r="E293" s="416"/>
      <c r="F293" s="416"/>
      <c r="G293" s="416"/>
      <c r="H293" s="416"/>
      <c r="I293" s="416"/>
      <c r="J293" s="416"/>
      <c r="K293" s="416"/>
      <c r="L293" s="416"/>
      <c r="M293" s="416"/>
      <c r="N293" s="416"/>
      <c r="O293" s="416"/>
      <c r="P293" s="416"/>
      <c r="Q293" s="416"/>
      <c r="R293" s="416"/>
      <c r="S293" s="416"/>
      <c r="T293" s="416"/>
      <c r="U293" s="416"/>
      <c r="V293" s="416"/>
      <c r="W293" s="416"/>
      <c r="X293" s="416"/>
      <c r="Y293" s="416"/>
      <c r="Z293" s="416"/>
      <c r="AA293" s="416"/>
      <c r="AB293" s="416"/>
      <c r="AC293" s="416"/>
      <c r="AD293" s="416"/>
      <c r="AE293" s="416"/>
      <c r="AF293" s="416"/>
      <c r="AG293" s="416"/>
      <c r="AH293" s="416"/>
      <c r="AI293" s="416"/>
      <c r="AJ293" s="416"/>
      <c r="AK293" s="416"/>
      <c r="AL293" s="416"/>
      <c r="AM293" s="416"/>
      <c r="AN293" s="416"/>
      <c r="AO293" s="416"/>
      <c r="AP293" s="416"/>
      <c r="AQ293" s="416"/>
      <c r="AR293" s="416"/>
      <c r="AS293" s="416"/>
      <c r="AT293" s="416"/>
      <c r="AU293" s="416"/>
      <c r="AV293" s="416"/>
      <c r="AW293" s="416"/>
      <c r="AX293" s="416"/>
      <c r="AY293" s="416"/>
      <c r="AZ293" s="416"/>
      <c r="BA293" s="416"/>
      <c r="BB293" s="416"/>
      <c r="BC293" s="416"/>
      <c r="BD293" s="416"/>
      <c r="BE293" s="416"/>
      <c r="BF293" s="416"/>
      <c r="BG293" s="416"/>
      <c r="BH293" s="416"/>
      <c r="BI293" s="416"/>
      <c r="BJ293" s="416"/>
      <c r="BK293" s="416"/>
      <c r="BL293" s="416"/>
      <c r="BM293" s="416"/>
      <c r="BN293" s="416"/>
      <c r="BO293" s="416"/>
      <c r="BP293" s="416"/>
      <c r="BQ293" s="416"/>
      <c r="BR293" s="416"/>
      <c r="BS293" s="416"/>
      <c r="BT293" s="416"/>
      <c r="BU293" s="416"/>
      <c r="BV293" s="416"/>
      <c r="BW293" s="416"/>
      <c r="BX293" s="416"/>
      <c r="BY293" s="416"/>
      <c r="BZ293" s="416"/>
      <c r="CC293" s="21"/>
      <c r="CD293" s="58"/>
      <c r="CE293" s="433"/>
      <c r="CF293" s="433"/>
      <c r="CG293" s="433"/>
      <c r="CH293" s="433"/>
      <c r="CI293" s="433"/>
      <c r="CJ293" s="433"/>
      <c r="CK293" s="433"/>
      <c r="CL293" s="433"/>
      <c r="CM293" s="433"/>
      <c r="CN293" s="433"/>
      <c r="CO293" s="433"/>
      <c r="CP293" s="433"/>
      <c r="CQ293" s="433"/>
      <c r="CR293" s="433"/>
      <c r="CS293" s="433"/>
      <c r="CT293" s="21"/>
    </row>
    <row r="294" spans="3:98">
      <c r="C294" s="107" t="s">
        <v>408</v>
      </c>
      <c r="D294" s="416"/>
      <c r="E294" s="416"/>
      <c r="F294" s="416"/>
      <c r="G294" s="416"/>
      <c r="H294" s="416"/>
      <c r="I294" s="416"/>
      <c r="J294" s="416"/>
      <c r="K294" s="416"/>
      <c r="L294" s="416"/>
      <c r="M294" s="416"/>
      <c r="N294" s="416"/>
      <c r="O294" s="416"/>
      <c r="P294" s="416"/>
      <c r="Q294" s="416"/>
      <c r="R294" s="416"/>
      <c r="S294" s="416"/>
      <c r="T294" s="416"/>
      <c r="U294" s="416"/>
      <c r="V294" s="416"/>
      <c r="W294" s="416"/>
      <c r="X294" s="416"/>
      <c r="Y294" s="416"/>
      <c r="Z294" s="416"/>
      <c r="AA294" s="416"/>
      <c r="AB294" s="416"/>
      <c r="AC294" s="416"/>
      <c r="AD294" s="416"/>
      <c r="AE294" s="416"/>
      <c r="AF294" s="416"/>
      <c r="AG294" s="416"/>
      <c r="AH294" s="416"/>
      <c r="AI294" s="416"/>
      <c r="AJ294" s="416"/>
      <c r="AK294" s="416"/>
      <c r="AL294" s="416"/>
      <c r="AM294" s="416"/>
      <c r="AN294" s="416"/>
      <c r="AO294" s="416"/>
      <c r="AP294" s="416"/>
      <c r="AQ294" s="416"/>
      <c r="AR294" s="416"/>
      <c r="AS294" s="416"/>
      <c r="AT294" s="416"/>
      <c r="AU294" s="416"/>
      <c r="AV294" s="416"/>
      <c r="AW294" s="416"/>
      <c r="AX294" s="416"/>
      <c r="AY294" s="416"/>
      <c r="AZ294" s="416"/>
      <c r="BA294" s="416"/>
      <c r="BB294" s="416"/>
      <c r="BC294" s="416"/>
      <c r="BD294" s="416"/>
      <c r="BE294" s="416"/>
      <c r="BF294" s="416"/>
      <c r="BG294" s="416"/>
      <c r="BH294" s="416"/>
      <c r="BI294" s="416"/>
      <c r="BJ294" s="416"/>
      <c r="BK294" s="416"/>
      <c r="BL294" s="416"/>
      <c r="BM294" s="416"/>
      <c r="BN294" s="416"/>
      <c r="BO294" s="416"/>
      <c r="BP294" s="416"/>
      <c r="BQ294" s="416"/>
      <c r="BR294" s="416"/>
      <c r="BS294" s="416"/>
      <c r="BT294" s="416"/>
      <c r="BU294" s="416"/>
      <c r="BV294" s="416"/>
      <c r="BW294" s="416"/>
      <c r="BX294" s="416"/>
      <c r="BY294" s="416"/>
      <c r="BZ294" s="416"/>
      <c r="CC294" s="21"/>
      <c r="CD294" s="107" t="s">
        <v>408</v>
      </c>
      <c r="CE294" s="433">
        <f t="shared" si="60"/>
        <v>0</v>
      </c>
      <c r="CF294" s="433">
        <f t="shared" si="61"/>
        <v>0</v>
      </c>
      <c r="CG294" s="433">
        <f t="shared" si="62"/>
        <v>0</v>
      </c>
      <c r="CH294" s="433">
        <f t="shared" si="63"/>
        <v>0</v>
      </c>
      <c r="CI294" s="433">
        <f t="shared" si="64"/>
        <v>0</v>
      </c>
      <c r="CJ294" s="433">
        <f t="shared" si="65"/>
        <v>0</v>
      </c>
      <c r="CK294" s="433">
        <f t="shared" si="66"/>
        <v>0</v>
      </c>
      <c r="CL294" s="433">
        <f t="shared" si="67"/>
        <v>0</v>
      </c>
      <c r="CM294" s="433">
        <f t="shared" si="68"/>
        <v>0</v>
      </c>
      <c r="CN294" s="433">
        <f t="shared" si="69"/>
        <v>0</v>
      </c>
      <c r="CO294" s="433">
        <f t="shared" si="70"/>
        <v>0</v>
      </c>
      <c r="CP294" s="433">
        <f t="shared" si="71"/>
        <v>0</v>
      </c>
      <c r="CQ294" s="433">
        <f t="shared" si="72"/>
        <v>0</v>
      </c>
      <c r="CR294" s="433">
        <f t="shared" si="73"/>
        <v>0</v>
      </c>
      <c r="CS294" s="433">
        <f t="shared" si="74"/>
        <v>0</v>
      </c>
      <c r="CT294" s="21"/>
    </row>
    <row r="295" spans="3:98" ht="4.5" customHeight="1">
      <c r="D295" s="416">
        <v>0</v>
      </c>
      <c r="E295" s="416">
        <v>0</v>
      </c>
      <c r="F295" s="416">
        <v>0</v>
      </c>
      <c r="G295" s="416">
        <v>0</v>
      </c>
      <c r="H295" s="416">
        <v>0</v>
      </c>
      <c r="I295" s="416">
        <v>0</v>
      </c>
      <c r="J295" s="416">
        <v>0</v>
      </c>
      <c r="K295" s="416">
        <v>0</v>
      </c>
      <c r="L295" s="416">
        <v>0</v>
      </c>
      <c r="M295" s="416">
        <v>0</v>
      </c>
      <c r="N295" s="416">
        <v>0</v>
      </c>
      <c r="O295" s="416">
        <v>0</v>
      </c>
      <c r="P295" s="416">
        <v>0</v>
      </c>
      <c r="Q295" s="416">
        <v>0</v>
      </c>
      <c r="R295" s="416">
        <v>0</v>
      </c>
      <c r="S295" s="416">
        <v>0</v>
      </c>
      <c r="T295" s="416">
        <v>0</v>
      </c>
      <c r="U295" s="416">
        <v>0</v>
      </c>
      <c r="V295" s="416">
        <v>0</v>
      </c>
      <c r="W295" s="416">
        <v>0</v>
      </c>
      <c r="X295" s="416">
        <v>0</v>
      </c>
      <c r="Y295" s="416">
        <v>0</v>
      </c>
      <c r="Z295" s="416">
        <v>0</v>
      </c>
      <c r="AA295" s="416">
        <v>0</v>
      </c>
      <c r="AB295" s="416">
        <v>0</v>
      </c>
      <c r="AC295" s="416">
        <v>0</v>
      </c>
      <c r="AD295" s="416">
        <v>0</v>
      </c>
      <c r="AE295" s="416">
        <v>0</v>
      </c>
      <c r="AF295" s="416">
        <v>0</v>
      </c>
      <c r="AG295" s="416">
        <v>0</v>
      </c>
      <c r="AH295" s="416">
        <v>0</v>
      </c>
      <c r="AI295" s="416">
        <v>0</v>
      </c>
      <c r="AJ295" s="416">
        <v>0</v>
      </c>
      <c r="AK295" s="416">
        <v>0</v>
      </c>
      <c r="AL295" s="416">
        <v>0</v>
      </c>
      <c r="AM295" s="416">
        <v>0</v>
      </c>
      <c r="AN295" s="416">
        <v>0</v>
      </c>
      <c r="AO295" s="416">
        <v>0</v>
      </c>
      <c r="AP295" s="416">
        <v>0</v>
      </c>
      <c r="AQ295" s="416">
        <v>0</v>
      </c>
      <c r="AR295" s="416">
        <v>0</v>
      </c>
      <c r="AS295" s="416">
        <v>0</v>
      </c>
      <c r="AT295" s="416">
        <v>0</v>
      </c>
      <c r="AU295" s="416">
        <v>0</v>
      </c>
      <c r="AV295" s="416">
        <v>0</v>
      </c>
      <c r="AW295" s="416">
        <v>0</v>
      </c>
      <c r="AX295" s="416">
        <v>0</v>
      </c>
      <c r="AY295" s="416">
        <v>0</v>
      </c>
      <c r="AZ295" s="416">
        <v>0</v>
      </c>
      <c r="BA295" s="416">
        <v>0</v>
      </c>
      <c r="BB295" s="416">
        <v>0</v>
      </c>
      <c r="BC295" s="416">
        <v>0</v>
      </c>
      <c r="BD295" s="416">
        <v>0</v>
      </c>
      <c r="BE295" s="416">
        <v>0</v>
      </c>
      <c r="BF295" s="416">
        <v>0</v>
      </c>
      <c r="BG295" s="416">
        <v>0</v>
      </c>
      <c r="BH295" s="416">
        <v>0</v>
      </c>
      <c r="BI295" s="416">
        <v>0</v>
      </c>
      <c r="BJ295" s="416">
        <v>0</v>
      </c>
      <c r="BK295" s="416">
        <v>0</v>
      </c>
      <c r="BL295" s="416">
        <v>0</v>
      </c>
      <c r="BM295" s="416">
        <v>0</v>
      </c>
      <c r="BN295" s="416">
        <v>0</v>
      </c>
      <c r="BO295" s="416">
        <v>0</v>
      </c>
      <c r="BP295" s="416">
        <v>0</v>
      </c>
      <c r="BQ295" s="416">
        <v>0</v>
      </c>
      <c r="BR295" s="416">
        <v>0</v>
      </c>
      <c r="BS295" s="416">
        <v>0</v>
      </c>
      <c r="BT295" s="416">
        <v>0</v>
      </c>
      <c r="BU295" s="416">
        <v>0</v>
      </c>
      <c r="BV295" s="416">
        <v>0</v>
      </c>
      <c r="BW295" s="416">
        <v>0</v>
      </c>
      <c r="BX295" s="416">
        <v>0</v>
      </c>
      <c r="BY295" s="416">
        <v>0</v>
      </c>
      <c r="BZ295" s="416">
        <v>0</v>
      </c>
      <c r="CC295" s="21"/>
      <c r="CD295" s="58"/>
      <c r="CE295" s="433"/>
      <c r="CF295" s="433"/>
      <c r="CG295" s="433"/>
      <c r="CH295" s="433"/>
      <c r="CI295" s="433"/>
      <c r="CJ295" s="433"/>
      <c r="CK295" s="433"/>
      <c r="CL295" s="433"/>
      <c r="CM295" s="433"/>
      <c r="CN295" s="433"/>
      <c r="CO295" s="433"/>
      <c r="CP295" s="433"/>
      <c r="CQ295" s="433"/>
      <c r="CR295" s="433"/>
      <c r="CS295" s="433"/>
      <c r="CT295" s="21"/>
    </row>
    <row r="296" spans="3:98">
      <c r="C296" s="417" t="s">
        <v>750</v>
      </c>
      <c r="D296" s="416">
        <v>0</v>
      </c>
      <c r="E296" s="416">
        <v>0</v>
      </c>
      <c r="F296" s="416">
        <v>0</v>
      </c>
      <c r="G296" s="416">
        <v>0</v>
      </c>
      <c r="H296" s="416">
        <v>0</v>
      </c>
      <c r="I296" s="416">
        <v>0</v>
      </c>
      <c r="J296" s="416">
        <v>0</v>
      </c>
      <c r="K296" s="416">
        <v>0</v>
      </c>
      <c r="L296" s="416">
        <v>0</v>
      </c>
      <c r="M296" s="416">
        <v>0</v>
      </c>
      <c r="N296" s="416">
        <v>0</v>
      </c>
      <c r="O296" s="416">
        <v>0</v>
      </c>
      <c r="P296" s="416">
        <v>0</v>
      </c>
      <c r="Q296" s="416">
        <v>0</v>
      </c>
      <c r="R296" s="416">
        <v>0</v>
      </c>
      <c r="S296" s="416">
        <v>0</v>
      </c>
      <c r="T296" s="416">
        <v>0</v>
      </c>
      <c r="U296" s="416">
        <v>0</v>
      </c>
      <c r="V296" s="416">
        <v>0</v>
      </c>
      <c r="W296" s="416">
        <v>0</v>
      </c>
      <c r="X296" s="416">
        <v>0</v>
      </c>
      <c r="Y296" s="416">
        <v>0</v>
      </c>
      <c r="Z296" s="416">
        <v>0</v>
      </c>
      <c r="AA296" s="416">
        <v>0</v>
      </c>
      <c r="AB296" s="416">
        <v>0</v>
      </c>
      <c r="AC296" s="416">
        <v>0</v>
      </c>
      <c r="AD296" s="416">
        <v>0</v>
      </c>
      <c r="AE296" s="416">
        <v>0</v>
      </c>
      <c r="AF296" s="416">
        <v>0</v>
      </c>
      <c r="AG296" s="416">
        <v>0</v>
      </c>
      <c r="AH296" s="416">
        <v>0</v>
      </c>
      <c r="AI296" s="416">
        <v>0</v>
      </c>
      <c r="AJ296" s="416">
        <v>0</v>
      </c>
      <c r="AK296" s="416">
        <v>0</v>
      </c>
      <c r="AL296" s="416">
        <v>0</v>
      </c>
      <c r="AM296" s="416">
        <v>0</v>
      </c>
      <c r="AN296" s="416">
        <v>0</v>
      </c>
      <c r="AO296" s="416">
        <v>0</v>
      </c>
      <c r="AP296" s="416">
        <v>0</v>
      </c>
      <c r="AQ296" s="416">
        <v>0</v>
      </c>
      <c r="AR296" s="416">
        <v>0</v>
      </c>
      <c r="AS296" s="416">
        <v>0</v>
      </c>
      <c r="AT296" s="416">
        <v>0</v>
      </c>
      <c r="AU296" s="416">
        <v>0</v>
      </c>
      <c r="AV296" s="416">
        <v>0</v>
      </c>
      <c r="AW296" s="416">
        <v>0</v>
      </c>
      <c r="AX296" s="416">
        <v>0</v>
      </c>
      <c r="AY296" s="416">
        <v>0</v>
      </c>
      <c r="AZ296" s="416">
        <v>0</v>
      </c>
      <c r="BA296" s="416">
        <v>0</v>
      </c>
      <c r="BB296" s="416">
        <v>0</v>
      </c>
      <c r="BC296" s="416">
        <v>0</v>
      </c>
      <c r="BD296" s="416">
        <v>0</v>
      </c>
      <c r="BE296" s="416">
        <v>0</v>
      </c>
      <c r="BF296" s="416">
        <v>1329.9860000000001</v>
      </c>
      <c r="BG296" s="416">
        <v>0</v>
      </c>
      <c r="BH296" s="416">
        <v>0</v>
      </c>
      <c r="BI296" s="416">
        <v>0</v>
      </c>
      <c r="BJ296" s="416">
        <v>4329.3630000000003</v>
      </c>
      <c r="BK296" s="416">
        <v>4329.3630000000003</v>
      </c>
      <c r="BL296" s="416">
        <v>7344.6670000000004</v>
      </c>
      <c r="BM296" s="416">
        <v>11166.782999999999</v>
      </c>
      <c r="BN296" s="416">
        <v>13093.773999999999</v>
      </c>
      <c r="BO296" s="416">
        <v>14892.736000000001</v>
      </c>
      <c r="BP296" s="416">
        <v>14892.736000000001</v>
      </c>
      <c r="BQ296" s="416">
        <v>14399.101000000001</v>
      </c>
      <c r="BR296" s="416">
        <v>99654.854000000007</v>
      </c>
      <c r="BS296" s="416">
        <v>105542.048</v>
      </c>
      <c r="BT296" s="416">
        <v>84270.316000000006</v>
      </c>
      <c r="BU296" s="416">
        <v>84270.316000000006</v>
      </c>
      <c r="BV296" s="416">
        <v>133626.913</v>
      </c>
      <c r="BW296" s="416">
        <v>131895.872</v>
      </c>
      <c r="BX296" s="416">
        <v>121384.47</v>
      </c>
      <c r="BY296" s="416">
        <v>0</v>
      </c>
      <c r="BZ296" s="416">
        <v>0</v>
      </c>
      <c r="CC296" s="21"/>
      <c r="CD296" s="417" t="s">
        <v>750</v>
      </c>
      <c r="CE296" s="433">
        <f t="shared" si="60"/>
        <v>0</v>
      </c>
      <c r="CF296" s="433">
        <f t="shared" si="61"/>
        <v>0</v>
      </c>
      <c r="CG296" s="433">
        <f t="shared" si="62"/>
        <v>0</v>
      </c>
      <c r="CH296" s="433">
        <f t="shared" si="63"/>
        <v>0</v>
      </c>
      <c r="CI296" s="433">
        <f t="shared" si="64"/>
        <v>0</v>
      </c>
      <c r="CJ296" s="433">
        <f t="shared" si="65"/>
        <v>0</v>
      </c>
      <c r="CK296" s="433">
        <f t="shared" si="66"/>
        <v>0</v>
      </c>
      <c r="CL296" s="433">
        <f t="shared" si="67"/>
        <v>0</v>
      </c>
      <c r="CM296" s="433">
        <f t="shared" si="68"/>
        <v>0</v>
      </c>
      <c r="CN296" s="433">
        <f t="shared" si="69"/>
        <v>0</v>
      </c>
      <c r="CO296" s="433">
        <f t="shared" si="70"/>
        <v>1329.9860000000001</v>
      </c>
      <c r="CP296" s="433">
        <f t="shared" si="71"/>
        <v>4329.3630000000003</v>
      </c>
      <c r="CQ296" s="433">
        <f t="shared" si="72"/>
        <v>14892.736000000001</v>
      </c>
      <c r="CR296" s="433">
        <f t="shared" si="73"/>
        <v>84270.316000000006</v>
      </c>
      <c r="CS296" s="433">
        <f t="shared" si="74"/>
        <v>0</v>
      </c>
      <c r="CT296" s="21"/>
    </row>
    <row r="297" spans="3:98">
      <c r="C297" s="417" t="s">
        <v>751</v>
      </c>
      <c r="D297" s="416">
        <v>0</v>
      </c>
      <c r="E297" s="416">
        <v>0</v>
      </c>
      <c r="F297" s="416">
        <v>0</v>
      </c>
      <c r="G297" s="416">
        <v>0</v>
      </c>
      <c r="H297" s="416">
        <v>0</v>
      </c>
      <c r="I297" s="416">
        <v>0</v>
      </c>
      <c r="J297" s="416">
        <v>0</v>
      </c>
      <c r="K297" s="416">
        <v>0</v>
      </c>
      <c r="L297" s="416">
        <v>0</v>
      </c>
      <c r="M297" s="416">
        <v>0</v>
      </c>
      <c r="N297" s="416">
        <v>0</v>
      </c>
      <c r="O297" s="416">
        <v>0</v>
      </c>
      <c r="P297" s="416">
        <v>0</v>
      </c>
      <c r="Q297" s="416">
        <v>0</v>
      </c>
      <c r="R297" s="416">
        <v>0</v>
      </c>
      <c r="S297" s="416">
        <v>0</v>
      </c>
      <c r="T297" s="416">
        <v>0</v>
      </c>
      <c r="U297" s="416">
        <v>0</v>
      </c>
      <c r="V297" s="416">
        <v>0</v>
      </c>
      <c r="W297" s="416">
        <v>0</v>
      </c>
      <c r="X297" s="416">
        <v>0</v>
      </c>
      <c r="Y297" s="416">
        <v>0</v>
      </c>
      <c r="Z297" s="416">
        <v>0</v>
      </c>
      <c r="AA297" s="416">
        <v>0</v>
      </c>
      <c r="AB297" s="416">
        <v>0</v>
      </c>
      <c r="AC297" s="416">
        <v>0</v>
      </c>
      <c r="AD297" s="416">
        <v>0</v>
      </c>
      <c r="AE297" s="416">
        <v>0</v>
      </c>
      <c r="AF297" s="416">
        <v>0</v>
      </c>
      <c r="AG297" s="416">
        <v>0</v>
      </c>
      <c r="AH297" s="416">
        <v>0</v>
      </c>
      <c r="AI297" s="416">
        <v>0</v>
      </c>
      <c r="AJ297" s="416">
        <v>0</v>
      </c>
      <c r="AK297" s="416">
        <v>0</v>
      </c>
      <c r="AL297" s="416">
        <v>0</v>
      </c>
      <c r="AM297" s="416">
        <v>0</v>
      </c>
      <c r="AN297" s="416">
        <v>0</v>
      </c>
      <c r="AO297" s="416">
        <v>0</v>
      </c>
      <c r="AP297" s="416">
        <v>0</v>
      </c>
      <c r="AQ297" s="416">
        <v>0</v>
      </c>
      <c r="AR297" s="416">
        <v>0</v>
      </c>
      <c r="AS297" s="416">
        <v>0</v>
      </c>
      <c r="AT297" s="416">
        <v>0</v>
      </c>
      <c r="AU297" s="416">
        <v>0</v>
      </c>
      <c r="AV297" s="416">
        <v>0</v>
      </c>
      <c r="AW297" s="416">
        <v>0</v>
      </c>
      <c r="AX297" s="416">
        <v>0</v>
      </c>
      <c r="AY297" s="416">
        <v>0</v>
      </c>
      <c r="AZ297" s="416">
        <v>0</v>
      </c>
      <c r="BA297" s="416">
        <v>0</v>
      </c>
      <c r="BB297" s="416">
        <v>0</v>
      </c>
      <c r="BC297" s="416">
        <v>0</v>
      </c>
      <c r="BD297" s="416">
        <v>0</v>
      </c>
      <c r="BE297" s="416">
        <v>0</v>
      </c>
      <c r="BF297" s="416">
        <v>497.08600000000001</v>
      </c>
      <c r="BG297" s="416">
        <v>0</v>
      </c>
      <c r="BH297" s="416">
        <v>0</v>
      </c>
      <c r="BI297" s="416">
        <v>0</v>
      </c>
      <c r="BJ297" s="416">
        <v>963.58399999999995</v>
      </c>
      <c r="BK297" s="416">
        <v>963.58399999999995</v>
      </c>
      <c r="BL297" s="416">
        <v>2304.4079999999999</v>
      </c>
      <c r="BM297" s="416">
        <v>4623.4250000000002</v>
      </c>
      <c r="BN297" s="416">
        <v>5360.4970000000003</v>
      </c>
      <c r="BO297" s="416">
        <v>6381.6890000000003</v>
      </c>
      <c r="BP297" s="416">
        <v>6381.6890000000003</v>
      </c>
      <c r="BQ297" s="416">
        <v>6496.0929999999998</v>
      </c>
      <c r="BR297" s="416">
        <v>5813.3890000000001</v>
      </c>
      <c r="BS297" s="416">
        <v>5626.3149999999996</v>
      </c>
      <c r="BT297" s="416">
        <v>5454.5569999999998</v>
      </c>
      <c r="BU297" s="416">
        <v>5454.5569999999998</v>
      </c>
      <c r="BV297" s="416">
        <v>5674.9459999999999</v>
      </c>
      <c r="BW297" s="416">
        <v>5754.7030000000004</v>
      </c>
      <c r="BX297" s="416">
        <v>5921.125</v>
      </c>
      <c r="BY297" s="416">
        <v>0</v>
      </c>
      <c r="BZ297" s="416">
        <v>0</v>
      </c>
      <c r="CC297" s="21"/>
      <c r="CD297" s="417" t="s">
        <v>751</v>
      </c>
      <c r="CE297" s="433">
        <f t="shared" si="60"/>
        <v>0</v>
      </c>
      <c r="CF297" s="433">
        <f t="shared" si="61"/>
        <v>0</v>
      </c>
      <c r="CG297" s="433">
        <f t="shared" si="62"/>
        <v>0</v>
      </c>
      <c r="CH297" s="433">
        <f t="shared" si="63"/>
        <v>0</v>
      </c>
      <c r="CI297" s="433">
        <f t="shared" si="64"/>
        <v>0</v>
      </c>
      <c r="CJ297" s="433">
        <f t="shared" si="65"/>
        <v>0</v>
      </c>
      <c r="CK297" s="433">
        <f t="shared" si="66"/>
        <v>0</v>
      </c>
      <c r="CL297" s="433">
        <f t="shared" si="67"/>
        <v>0</v>
      </c>
      <c r="CM297" s="433">
        <f t="shared" si="68"/>
        <v>0</v>
      </c>
      <c r="CN297" s="433">
        <f t="shared" si="69"/>
        <v>0</v>
      </c>
      <c r="CO297" s="433">
        <f t="shared" si="70"/>
        <v>497.08600000000001</v>
      </c>
      <c r="CP297" s="433">
        <f t="shared" si="71"/>
        <v>963.58399999999995</v>
      </c>
      <c r="CQ297" s="433">
        <f t="shared" si="72"/>
        <v>6381.6890000000003</v>
      </c>
      <c r="CR297" s="433">
        <f t="shared" si="73"/>
        <v>5454.5569999999998</v>
      </c>
      <c r="CS297" s="433">
        <f t="shared" si="74"/>
        <v>0</v>
      </c>
      <c r="CT297" s="21"/>
    </row>
    <row r="298" spans="3:98">
      <c r="C298" s="417" t="s">
        <v>752</v>
      </c>
      <c r="D298" s="416">
        <v>0</v>
      </c>
      <c r="E298" s="416">
        <v>0</v>
      </c>
      <c r="F298" s="416">
        <v>0</v>
      </c>
      <c r="G298" s="416">
        <v>0</v>
      </c>
      <c r="H298" s="416">
        <v>0</v>
      </c>
      <c r="I298" s="416">
        <v>0</v>
      </c>
      <c r="J298" s="416">
        <v>0</v>
      </c>
      <c r="K298" s="416">
        <v>0</v>
      </c>
      <c r="L298" s="416">
        <v>0</v>
      </c>
      <c r="M298" s="416">
        <v>0</v>
      </c>
      <c r="N298" s="416">
        <v>0</v>
      </c>
      <c r="O298" s="416">
        <v>0</v>
      </c>
      <c r="P298" s="416">
        <v>0</v>
      </c>
      <c r="Q298" s="416">
        <v>0</v>
      </c>
      <c r="R298" s="416">
        <v>0</v>
      </c>
      <c r="S298" s="416">
        <v>0</v>
      </c>
      <c r="T298" s="416">
        <v>0</v>
      </c>
      <c r="U298" s="416">
        <v>0</v>
      </c>
      <c r="V298" s="416">
        <v>0</v>
      </c>
      <c r="W298" s="416">
        <v>0</v>
      </c>
      <c r="X298" s="416">
        <v>0</v>
      </c>
      <c r="Y298" s="416">
        <v>0</v>
      </c>
      <c r="Z298" s="416">
        <v>0</v>
      </c>
      <c r="AA298" s="416">
        <v>0</v>
      </c>
      <c r="AB298" s="416">
        <v>0</v>
      </c>
      <c r="AC298" s="416">
        <v>0</v>
      </c>
      <c r="AD298" s="416">
        <v>0</v>
      </c>
      <c r="AE298" s="416">
        <v>0</v>
      </c>
      <c r="AF298" s="416">
        <v>0</v>
      </c>
      <c r="AG298" s="416">
        <v>0</v>
      </c>
      <c r="AH298" s="416">
        <v>0</v>
      </c>
      <c r="AI298" s="416">
        <v>0</v>
      </c>
      <c r="AJ298" s="416">
        <v>0</v>
      </c>
      <c r="AK298" s="416">
        <v>0</v>
      </c>
      <c r="AL298" s="416">
        <v>0</v>
      </c>
      <c r="AM298" s="416">
        <v>0</v>
      </c>
      <c r="AN298" s="416">
        <v>0</v>
      </c>
      <c r="AO298" s="416">
        <v>0</v>
      </c>
      <c r="AP298" s="416">
        <v>0</v>
      </c>
      <c r="AQ298" s="416">
        <v>0</v>
      </c>
      <c r="AR298" s="416">
        <v>0</v>
      </c>
      <c r="AS298" s="416">
        <v>0</v>
      </c>
      <c r="AT298" s="416">
        <v>0</v>
      </c>
      <c r="AU298" s="416">
        <v>0</v>
      </c>
      <c r="AV298" s="416">
        <v>0</v>
      </c>
      <c r="AW298" s="416">
        <v>0</v>
      </c>
      <c r="AX298" s="416">
        <v>0</v>
      </c>
      <c r="AY298" s="416">
        <v>0</v>
      </c>
      <c r="AZ298" s="416">
        <v>0</v>
      </c>
      <c r="BA298" s="416">
        <v>0</v>
      </c>
      <c r="BB298" s="416">
        <v>0</v>
      </c>
      <c r="BC298" s="416">
        <v>0</v>
      </c>
      <c r="BD298" s="416">
        <v>0</v>
      </c>
      <c r="BE298" s="416">
        <v>0</v>
      </c>
      <c r="BF298" s="416">
        <v>0</v>
      </c>
      <c r="BG298" s="416">
        <v>0</v>
      </c>
      <c r="BH298" s="416">
        <v>0</v>
      </c>
      <c r="BI298" s="416">
        <v>0</v>
      </c>
      <c r="BJ298" s="416">
        <v>0</v>
      </c>
      <c r="BK298" s="416">
        <v>0</v>
      </c>
      <c r="BL298" s="416">
        <v>0</v>
      </c>
      <c r="BM298" s="416">
        <v>0</v>
      </c>
      <c r="BN298" s="416">
        <v>0</v>
      </c>
      <c r="BO298" s="416">
        <v>0</v>
      </c>
      <c r="BP298" s="416">
        <v>0</v>
      </c>
      <c r="BQ298" s="416">
        <v>0</v>
      </c>
      <c r="BR298" s="416">
        <v>0</v>
      </c>
      <c r="BS298" s="416">
        <v>0</v>
      </c>
      <c r="BT298" s="416">
        <v>0</v>
      </c>
      <c r="BU298" s="416">
        <v>0</v>
      </c>
      <c r="BV298" s="416">
        <v>0</v>
      </c>
      <c r="BW298" s="416">
        <v>0</v>
      </c>
      <c r="BX298" s="416">
        <v>0</v>
      </c>
      <c r="BY298" s="416">
        <v>0</v>
      </c>
      <c r="BZ298" s="416">
        <v>0</v>
      </c>
      <c r="CC298" s="21"/>
      <c r="CD298" s="417" t="s">
        <v>752</v>
      </c>
      <c r="CE298" s="433">
        <f t="shared" si="60"/>
        <v>0</v>
      </c>
      <c r="CF298" s="433">
        <f t="shared" si="61"/>
        <v>0</v>
      </c>
      <c r="CG298" s="433">
        <f t="shared" si="62"/>
        <v>0</v>
      </c>
      <c r="CH298" s="433">
        <f t="shared" si="63"/>
        <v>0</v>
      </c>
      <c r="CI298" s="433">
        <f t="shared" si="64"/>
        <v>0</v>
      </c>
      <c r="CJ298" s="433">
        <f t="shared" si="65"/>
        <v>0</v>
      </c>
      <c r="CK298" s="433">
        <f t="shared" si="66"/>
        <v>0</v>
      </c>
      <c r="CL298" s="433">
        <f t="shared" si="67"/>
        <v>0</v>
      </c>
      <c r="CM298" s="433">
        <f t="shared" si="68"/>
        <v>0</v>
      </c>
      <c r="CN298" s="433">
        <f t="shared" si="69"/>
        <v>0</v>
      </c>
      <c r="CO298" s="433">
        <f t="shared" si="70"/>
        <v>0</v>
      </c>
      <c r="CP298" s="433">
        <f t="shared" si="71"/>
        <v>0</v>
      </c>
      <c r="CQ298" s="433">
        <f t="shared" si="72"/>
        <v>0</v>
      </c>
      <c r="CR298" s="433">
        <f t="shared" si="73"/>
        <v>0</v>
      </c>
      <c r="CS298" s="433">
        <f t="shared" si="74"/>
        <v>0</v>
      </c>
      <c r="CT298" s="21"/>
    </row>
    <row r="299" spans="3:98">
      <c r="C299" s="417" t="s">
        <v>753</v>
      </c>
      <c r="D299" s="416">
        <v>0</v>
      </c>
      <c r="E299" s="416">
        <v>0</v>
      </c>
      <c r="F299" s="416">
        <v>0</v>
      </c>
      <c r="G299" s="416">
        <v>0</v>
      </c>
      <c r="H299" s="416">
        <v>0</v>
      </c>
      <c r="I299" s="416">
        <v>0</v>
      </c>
      <c r="J299" s="416">
        <v>0</v>
      </c>
      <c r="K299" s="416">
        <v>0</v>
      </c>
      <c r="L299" s="416">
        <v>0</v>
      </c>
      <c r="M299" s="416">
        <v>0</v>
      </c>
      <c r="N299" s="416">
        <v>0</v>
      </c>
      <c r="O299" s="416">
        <v>0</v>
      </c>
      <c r="P299" s="416">
        <v>0</v>
      </c>
      <c r="Q299" s="416">
        <v>0</v>
      </c>
      <c r="R299" s="416">
        <v>0</v>
      </c>
      <c r="S299" s="416">
        <v>0</v>
      </c>
      <c r="T299" s="416">
        <v>0</v>
      </c>
      <c r="U299" s="416">
        <v>0</v>
      </c>
      <c r="V299" s="416">
        <v>0</v>
      </c>
      <c r="W299" s="416">
        <v>0</v>
      </c>
      <c r="X299" s="416">
        <v>0</v>
      </c>
      <c r="Y299" s="416">
        <v>0</v>
      </c>
      <c r="Z299" s="416">
        <v>0</v>
      </c>
      <c r="AA299" s="416">
        <v>0</v>
      </c>
      <c r="AB299" s="416">
        <v>0</v>
      </c>
      <c r="AC299" s="416">
        <v>0</v>
      </c>
      <c r="AD299" s="416">
        <v>0</v>
      </c>
      <c r="AE299" s="416">
        <v>0</v>
      </c>
      <c r="AF299" s="416">
        <v>0</v>
      </c>
      <c r="AG299" s="416">
        <v>0</v>
      </c>
      <c r="AH299" s="416">
        <v>0</v>
      </c>
      <c r="AI299" s="416">
        <v>0</v>
      </c>
      <c r="AJ299" s="416">
        <v>0</v>
      </c>
      <c r="AK299" s="416">
        <v>0</v>
      </c>
      <c r="AL299" s="416">
        <v>0</v>
      </c>
      <c r="AM299" s="416">
        <v>0</v>
      </c>
      <c r="AN299" s="416">
        <v>0</v>
      </c>
      <c r="AO299" s="416">
        <v>0</v>
      </c>
      <c r="AP299" s="416">
        <v>0</v>
      </c>
      <c r="AQ299" s="416">
        <v>0</v>
      </c>
      <c r="AR299" s="416">
        <v>0</v>
      </c>
      <c r="AS299" s="416">
        <v>0</v>
      </c>
      <c r="AT299" s="416">
        <v>0</v>
      </c>
      <c r="AU299" s="416">
        <v>0</v>
      </c>
      <c r="AV299" s="416">
        <v>0</v>
      </c>
      <c r="AW299" s="416">
        <v>0</v>
      </c>
      <c r="AX299" s="416">
        <v>0</v>
      </c>
      <c r="AY299" s="416">
        <v>0</v>
      </c>
      <c r="AZ299" s="416">
        <v>0</v>
      </c>
      <c r="BA299" s="416">
        <v>0</v>
      </c>
      <c r="BB299" s="416">
        <v>0</v>
      </c>
      <c r="BC299" s="416">
        <v>0</v>
      </c>
      <c r="BD299" s="416">
        <v>0</v>
      </c>
      <c r="BE299" s="416">
        <v>0</v>
      </c>
      <c r="BF299" s="416">
        <v>0</v>
      </c>
      <c r="BG299" s="416">
        <v>0</v>
      </c>
      <c r="BH299" s="416">
        <v>0</v>
      </c>
      <c r="BI299" s="416">
        <v>0</v>
      </c>
      <c r="BJ299" s="416">
        <v>0</v>
      </c>
      <c r="BK299" s="416">
        <v>0</v>
      </c>
      <c r="BL299" s="416">
        <v>0</v>
      </c>
      <c r="BM299" s="416">
        <v>0</v>
      </c>
      <c r="BN299" s="416">
        <v>0</v>
      </c>
      <c r="BO299" s="416">
        <v>0</v>
      </c>
      <c r="BP299" s="416">
        <v>0</v>
      </c>
      <c r="BQ299" s="416">
        <v>0</v>
      </c>
      <c r="BR299" s="416">
        <v>0</v>
      </c>
      <c r="BS299" s="416">
        <v>0</v>
      </c>
      <c r="BT299" s="416">
        <v>0</v>
      </c>
      <c r="BU299" s="416">
        <v>0</v>
      </c>
      <c r="BV299" s="416">
        <v>0</v>
      </c>
      <c r="BW299" s="416">
        <v>0</v>
      </c>
      <c r="BX299" s="416">
        <v>0</v>
      </c>
      <c r="BY299" s="416">
        <v>0</v>
      </c>
      <c r="BZ299" s="416">
        <v>0</v>
      </c>
      <c r="CC299" s="21"/>
      <c r="CD299" s="417" t="s">
        <v>753</v>
      </c>
      <c r="CE299" s="433">
        <f t="shared" si="60"/>
        <v>0</v>
      </c>
      <c r="CF299" s="433">
        <f t="shared" si="61"/>
        <v>0</v>
      </c>
      <c r="CG299" s="433">
        <f t="shared" si="62"/>
        <v>0</v>
      </c>
      <c r="CH299" s="433">
        <f t="shared" si="63"/>
        <v>0</v>
      </c>
      <c r="CI299" s="433">
        <f t="shared" si="64"/>
        <v>0</v>
      </c>
      <c r="CJ299" s="433">
        <f t="shared" si="65"/>
        <v>0</v>
      </c>
      <c r="CK299" s="433">
        <f t="shared" si="66"/>
        <v>0</v>
      </c>
      <c r="CL299" s="433">
        <f t="shared" si="67"/>
        <v>0</v>
      </c>
      <c r="CM299" s="433">
        <f t="shared" si="68"/>
        <v>0</v>
      </c>
      <c r="CN299" s="433">
        <f t="shared" si="69"/>
        <v>0</v>
      </c>
      <c r="CO299" s="433">
        <f t="shared" si="70"/>
        <v>0</v>
      </c>
      <c r="CP299" s="433">
        <f t="shared" si="71"/>
        <v>0</v>
      </c>
      <c r="CQ299" s="433">
        <f t="shared" si="72"/>
        <v>0</v>
      </c>
      <c r="CR299" s="433">
        <f t="shared" si="73"/>
        <v>0</v>
      </c>
      <c r="CS299" s="433">
        <f t="shared" si="74"/>
        <v>0</v>
      </c>
      <c r="CT299" s="21"/>
    </row>
    <row r="300" spans="3:98">
      <c r="C300" s="417" t="s">
        <v>754</v>
      </c>
      <c r="D300" s="416">
        <v>0</v>
      </c>
      <c r="E300" s="416">
        <v>0</v>
      </c>
      <c r="F300" s="416">
        <v>0</v>
      </c>
      <c r="G300" s="416">
        <v>0</v>
      </c>
      <c r="H300" s="416">
        <v>0</v>
      </c>
      <c r="I300" s="416">
        <v>0</v>
      </c>
      <c r="J300" s="416">
        <v>0</v>
      </c>
      <c r="K300" s="416">
        <v>0</v>
      </c>
      <c r="L300" s="416">
        <v>0</v>
      </c>
      <c r="M300" s="416">
        <v>0</v>
      </c>
      <c r="N300" s="416">
        <v>0</v>
      </c>
      <c r="O300" s="416">
        <v>0</v>
      </c>
      <c r="P300" s="416">
        <v>0</v>
      </c>
      <c r="Q300" s="416">
        <v>0</v>
      </c>
      <c r="R300" s="416">
        <v>0</v>
      </c>
      <c r="S300" s="416">
        <v>0</v>
      </c>
      <c r="T300" s="416">
        <v>0</v>
      </c>
      <c r="U300" s="416">
        <v>0</v>
      </c>
      <c r="V300" s="416">
        <v>0</v>
      </c>
      <c r="W300" s="416">
        <v>0</v>
      </c>
      <c r="X300" s="416">
        <v>0</v>
      </c>
      <c r="Y300" s="416">
        <v>0</v>
      </c>
      <c r="Z300" s="416">
        <v>0</v>
      </c>
      <c r="AA300" s="416">
        <v>0</v>
      </c>
      <c r="AB300" s="416">
        <v>0</v>
      </c>
      <c r="AC300" s="416">
        <v>0</v>
      </c>
      <c r="AD300" s="416">
        <v>0</v>
      </c>
      <c r="AE300" s="416">
        <v>0</v>
      </c>
      <c r="AF300" s="416">
        <v>0</v>
      </c>
      <c r="AG300" s="416">
        <v>0</v>
      </c>
      <c r="AH300" s="416">
        <v>0</v>
      </c>
      <c r="AI300" s="416">
        <v>0</v>
      </c>
      <c r="AJ300" s="416">
        <v>0</v>
      </c>
      <c r="AK300" s="416">
        <v>0</v>
      </c>
      <c r="AL300" s="416">
        <v>0</v>
      </c>
      <c r="AM300" s="416">
        <v>0</v>
      </c>
      <c r="AN300" s="416">
        <v>0</v>
      </c>
      <c r="AO300" s="416">
        <v>0</v>
      </c>
      <c r="AP300" s="416">
        <v>0</v>
      </c>
      <c r="AQ300" s="416">
        <v>0</v>
      </c>
      <c r="AR300" s="416">
        <v>0</v>
      </c>
      <c r="AS300" s="416">
        <v>0</v>
      </c>
      <c r="AT300" s="416">
        <v>0</v>
      </c>
      <c r="AU300" s="416">
        <v>0</v>
      </c>
      <c r="AV300" s="416">
        <v>0</v>
      </c>
      <c r="AW300" s="416">
        <v>0</v>
      </c>
      <c r="AX300" s="416">
        <v>0</v>
      </c>
      <c r="AY300" s="416">
        <v>0</v>
      </c>
      <c r="AZ300" s="416">
        <v>0</v>
      </c>
      <c r="BA300" s="416">
        <v>0</v>
      </c>
      <c r="BB300" s="416">
        <v>0</v>
      </c>
      <c r="BC300" s="416">
        <v>0</v>
      </c>
      <c r="BD300" s="416">
        <v>0</v>
      </c>
      <c r="BE300" s="416">
        <v>0</v>
      </c>
      <c r="BF300" s="416">
        <v>0</v>
      </c>
      <c r="BG300" s="416">
        <v>0</v>
      </c>
      <c r="BH300" s="416">
        <v>0</v>
      </c>
      <c r="BI300" s="416">
        <v>0</v>
      </c>
      <c r="BJ300" s="416">
        <v>0</v>
      </c>
      <c r="BK300" s="416">
        <v>0</v>
      </c>
      <c r="BL300" s="416">
        <v>0</v>
      </c>
      <c r="BM300" s="416">
        <v>0</v>
      </c>
      <c r="BN300" s="416">
        <v>0</v>
      </c>
      <c r="BO300" s="416">
        <v>0</v>
      </c>
      <c r="BP300" s="416">
        <v>0</v>
      </c>
      <c r="BQ300" s="416">
        <v>0</v>
      </c>
      <c r="BR300" s="416">
        <v>0</v>
      </c>
      <c r="BS300" s="416">
        <v>0</v>
      </c>
      <c r="BT300" s="416">
        <v>0</v>
      </c>
      <c r="BU300" s="416">
        <v>0</v>
      </c>
      <c r="BV300" s="416">
        <v>0</v>
      </c>
      <c r="BW300" s="416">
        <v>0</v>
      </c>
      <c r="BX300" s="416">
        <v>0</v>
      </c>
      <c r="BY300" s="416">
        <v>0</v>
      </c>
      <c r="BZ300" s="416">
        <v>0</v>
      </c>
      <c r="CC300" s="21"/>
      <c r="CD300" s="417" t="s">
        <v>754</v>
      </c>
      <c r="CE300" s="433">
        <f t="shared" si="60"/>
        <v>0</v>
      </c>
      <c r="CF300" s="433">
        <f t="shared" si="61"/>
        <v>0</v>
      </c>
      <c r="CG300" s="433">
        <f t="shared" si="62"/>
        <v>0</v>
      </c>
      <c r="CH300" s="433">
        <f t="shared" si="63"/>
        <v>0</v>
      </c>
      <c r="CI300" s="433">
        <f t="shared" si="64"/>
        <v>0</v>
      </c>
      <c r="CJ300" s="433">
        <f t="shared" si="65"/>
        <v>0</v>
      </c>
      <c r="CK300" s="433">
        <f t="shared" si="66"/>
        <v>0</v>
      </c>
      <c r="CL300" s="433">
        <f t="shared" si="67"/>
        <v>0</v>
      </c>
      <c r="CM300" s="433">
        <f t="shared" si="68"/>
        <v>0</v>
      </c>
      <c r="CN300" s="433">
        <f t="shared" si="69"/>
        <v>0</v>
      </c>
      <c r="CO300" s="433">
        <f t="shared" si="70"/>
        <v>0</v>
      </c>
      <c r="CP300" s="433">
        <f t="shared" si="71"/>
        <v>0</v>
      </c>
      <c r="CQ300" s="433">
        <f t="shared" si="72"/>
        <v>0</v>
      </c>
      <c r="CR300" s="433">
        <f t="shared" si="73"/>
        <v>0</v>
      </c>
      <c r="CS300" s="433">
        <f t="shared" si="74"/>
        <v>0</v>
      </c>
      <c r="CT300" s="21"/>
    </row>
    <row r="301" spans="3:98">
      <c r="C301" s="417" t="s">
        <v>755</v>
      </c>
      <c r="D301" s="416">
        <v>0</v>
      </c>
      <c r="E301" s="416">
        <v>0</v>
      </c>
      <c r="F301" s="416">
        <v>0</v>
      </c>
      <c r="G301" s="416">
        <v>0</v>
      </c>
      <c r="H301" s="416">
        <v>0</v>
      </c>
      <c r="I301" s="416">
        <v>0</v>
      </c>
      <c r="J301" s="416">
        <v>0</v>
      </c>
      <c r="K301" s="416">
        <v>0</v>
      </c>
      <c r="L301" s="416">
        <v>0</v>
      </c>
      <c r="M301" s="416">
        <v>0</v>
      </c>
      <c r="N301" s="416">
        <v>0</v>
      </c>
      <c r="O301" s="416">
        <v>0</v>
      </c>
      <c r="P301" s="416">
        <v>0</v>
      </c>
      <c r="Q301" s="416">
        <v>0</v>
      </c>
      <c r="R301" s="416">
        <v>0</v>
      </c>
      <c r="S301" s="416">
        <v>0</v>
      </c>
      <c r="T301" s="416">
        <v>0</v>
      </c>
      <c r="U301" s="416">
        <v>0</v>
      </c>
      <c r="V301" s="416">
        <v>0</v>
      </c>
      <c r="W301" s="416">
        <v>0</v>
      </c>
      <c r="X301" s="416">
        <v>0</v>
      </c>
      <c r="Y301" s="416">
        <v>0</v>
      </c>
      <c r="Z301" s="416">
        <v>0</v>
      </c>
      <c r="AA301" s="416">
        <v>0</v>
      </c>
      <c r="AB301" s="416">
        <v>0</v>
      </c>
      <c r="AC301" s="416">
        <v>0</v>
      </c>
      <c r="AD301" s="416">
        <v>0</v>
      </c>
      <c r="AE301" s="416">
        <v>0</v>
      </c>
      <c r="AF301" s="416">
        <v>0</v>
      </c>
      <c r="AG301" s="416">
        <v>0</v>
      </c>
      <c r="AH301" s="416">
        <v>0</v>
      </c>
      <c r="AI301" s="416">
        <v>0</v>
      </c>
      <c r="AJ301" s="416">
        <v>0</v>
      </c>
      <c r="AK301" s="416">
        <v>0</v>
      </c>
      <c r="AL301" s="416">
        <v>0</v>
      </c>
      <c r="AM301" s="416">
        <v>0</v>
      </c>
      <c r="AN301" s="416">
        <v>0</v>
      </c>
      <c r="AO301" s="416">
        <v>0</v>
      </c>
      <c r="AP301" s="416">
        <v>0</v>
      </c>
      <c r="AQ301" s="416">
        <v>0</v>
      </c>
      <c r="AR301" s="416">
        <v>0</v>
      </c>
      <c r="AS301" s="416">
        <v>0</v>
      </c>
      <c r="AT301" s="416">
        <v>0</v>
      </c>
      <c r="AU301" s="416">
        <v>0</v>
      </c>
      <c r="AV301" s="416">
        <v>0</v>
      </c>
      <c r="AW301" s="416">
        <v>0</v>
      </c>
      <c r="AX301" s="416">
        <v>0</v>
      </c>
      <c r="AY301" s="416">
        <v>0</v>
      </c>
      <c r="AZ301" s="416">
        <v>0</v>
      </c>
      <c r="BA301" s="416">
        <v>0</v>
      </c>
      <c r="BB301" s="416">
        <v>0</v>
      </c>
      <c r="BC301" s="416">
        <v>0</v>
      </c>
      <c r="BD301" s="416">
        <v>0</v>
      </c>
      <c r="BE301" s="416">
        <v>0</v>
      </c>
      <c r="BF301" s="416">
        <v>0</v>
      </c>
      <c r="BG301" s="416">
        <v>0</v>
      </c>
      <c r="BH301" s="416">
        <v>0</v>
      </c>
      <c r="BI301" s="416">
        <v>0</v>
      </c>
      <c r="BJ301" s="416">
        <v>0</v>
      </c>
      <c r="BK301" s="416">
        <v>0</v>
      </c>
      <c r="BL301" s="416">
        <v>0</v>
      </c>
      <c r="BM301" s="416">
        <v>0</v>
      </c>
      <c r="BN301" s="416">
        <v>0</v>
      </c>
      <c r="BO301" s="416">
        <v>0</v>
      </c>
      <c r="BP301" s="416">
        <v>0</v>
      </c>
      <c r="BQ301" s="416">
        <v>0</v>
      </c>
      <c r="BR301" s="416">
        <v>0</v>
      </c>
      <c r="BS301" s="416">
        <v>0</v>
      </c>
      <c r="BT301" s="416">
        <v>0</v>
      </c>
      <c r="BU301" s="416">
        <v>0</v>
      </c>
      <c r="BV301" s="416">
        <v>0</v>
      </c>
      <c r="BW301" s="416">
        <v>0</v>
      </c>
      <c r="BX301" s="416">
        <v>0</v>
      </c>
      <c r="BY301" s="416">
        <v>0</v>
      </c>
      <c r="BZ301" s="416">
        <v>0</v>
      </c>
      <c r="CC301" s="21"/>
      <c r="CD301" s="417" t="s">
        <v>755</v>
      </c>
      <c r="CE301" s="433">
        <f t="shared" si="60"/>
        <v>0</v>
      </c>
      <c r="CF301" s="433">
        <f t="shared" si="61"/>
        <v>0</v>
      </c>
      <c r="CG301" s="433">
        <f t="shared" si="62"/>
        <v>0</v>
      </c>
      <c r="CH301" s="433">
        <f t="shared" si="63"/>
        <v>0</v>
      </c>
      <c r="CI301" s="433">
        <f t="shared" si="64"/>
        <v>0</v>
      </c>
      <c r="CJ301" s="433">
        <f t="shared" si="65"/>
        <v>0</v>
      </c>
      <c r="CK301" s="433">
        <f t="shared" si="66"/>
        <v>0</v>
      </c>
      <c r="CL301" s="433">
        <f t="shared" si="67"/>
        <v>0</v>
      </c>
      <c r="CM301" s="433">
        <f t="shared" si="68"/>
        <v>0</v>
      </c>
      <c r="CN301" s="433">
        <f t="shared" si="69"/>
        <v>0</v>
      </c>
      <c r="CO301" s="433">
        <f t="shared" si="70"/>
        <v>0</v>
      </c>
      <c r="CP301" s="433">
        <f t="shared" si="71"/>
        <v>0</v>
      </c>
      <c r="CQ301" s="433">
        <f t="shared" si="72"/>
        <v>0</v>
      </c>
      <c r="CR301" s="433">
        <f t="shared" si="73"/>
        <v>0</v>
      </c>
      <c r="CS301" s="433">
        <f t="shared" si="74"/>
        <v>0</v>
      </c>
      <c r="CT301" s="21"/>
    </row>
    <row r="302" spans="3:98" hidden="1" outlineLevel="1">
      <c r="C302" s="415" t="s">
        <v>410</v>
      </c>
      <c r="D302" s="416">
        <v>0</v>
      </c>
      <c r="E302" s="416">
        <v>0</v>
      </c>
      <c r="F302" s="416">
        <v>0</v>
      </c>
      <c r="G302" s="416">
        <v>0</v>
      </c>
      <c r="H302" s="416">
        <v>0</v>
      </c>
      <c r="I302" s="416">
        <v>0</v>
      </c>
      <c r="J302" s="416">
        <v>0</v>
      </c>
      <c r="K302" s="416">
        <v>0</v>
      </c>
      <c r="L302" s="416">
        <v>0</v>
      </c>
      <c r="M302" s="416">
        <v>0</v>
      </c>
      <c r="N302" s="416">
        <v>0</v>
      </c>
      <c r="O302" s="416">
        <v>0</v>
      </c>
      <c r="P302" s="416">
        <v>0</v>
      </c>
      <c r="Q302" s="416">
        <v>0</v>
      </c>
      <c r="R302" s="416">
        <v>0</v>
      </c>
      <c r="S302" s="416">
        <v>0</v>
      </c>
      <c r="T302" s="416">
        <v>0</v>
      </c>
      <c r="U302" s="416">
        <v>0</v>
      </c>
      <c r="V302" s="416">
        <v>0</v>
      </c>
      <c r="W302" s="416">
        <v>0</v>
      </c>
      <c r="X302" s="416">
        <v>0</v>
      </c>
      <c r="Y302" s="416">
        <v>0</v>
      </c>
      <c r="Z302" s="416">
        <v>0</v>
      </c>
      <c r="AA302" s="416">
        <v>0</v>
      </c>
      <c r="AB302" s="416">
        <v>0</v>
      </c>
      <c r="AC302" s="416">
        <v>0</v>
      </c>
      <c r="AD302" s="416">
        <v>0</v>
      </c>
      <c r="AE302" s="416">
        <v>0</v>
      </c>
      <c r="AF302" s="416">
        <v>0</v>
      </c>
      <c r="AG302" s="416">
        <v>0</v>
      </c>
      <c r="AH302" s="416">
        <v>0</v>
      </c>
      <c r="AI302" s="416">
        <v>0</v>
      </c>
      <c r="AJ302" s="416">
        <v>0</v>
      </c>
      <c r="AK302" s="416">
        <v>0</v>
      </c>
      <c r="AL302" s="416">
        <v>0</v>
      </c>
      <c r="AM302" s="416">
        <v>0</v>
      </c>
      <c r="AN302" s="416">
        <v>0</v>
      </c>
      <c r="AO302" s="416">
        <v>0</v>
      </c>
      <c r="AP302" s="416">
        <v>0</v>
      </c>
      <c r="AQ302" s="416">
        <v>0</v>
      </c>
      <c r="AR302" s="416">
        <v>0</v>
      </c>
      <c r="AS302" s="416">
        <v>0</v>
      </c>
      <c r="AT302" s="416">
        <v>0</v>
      </c>
      <c r="AU302" s="416">
        <v>0</v>
      </c>
      <c r="AV302" s="416">
        <v>0</v>
      </c>
      <c r="AW302" s="416">
        <v>0</v>
      </c>
      <c r="AX302" s="416">
        <v>0</v>
      </c>
      <c r="AY302" s="416">
        <v>0</v>
      </c>
      <c r="AZ302" s="416">
        <v>0</v>
      </c>
      <c r="BA302" s="416">
        <v>0</v>
      </c>
      <c r="BB302" s="416">
        <v>0</v>
      </c>
      <c r="BC302" s="416">
        <v>0</v>
      </c>
      <c r="BD302" s="416">
        <v>0</v>
      </c>
      <c r="BE302" s="416">
        <v>0</v>
      </c>
      <c r="BF302" s="416">
        <v>185.98611099999999</v>
      </c>
      <c r="BG302" s="416">
        <v>0</v>
      </c>
      <c r="BH302" s="416">
        <v>0</v>
      </c>
      <c r="BI302" s="416">
        <v>0</v>
      </c>
      <c r="BJ302" s="416">
        <v>185.98611099999999</v>
      </c>
      <c r="BK302" s="416">
        <v>185.98611099999999</v>
      </c>
      <c r="BL302" s="416">
        <v>199.2</v>
      </c>
      <c r="BM302" s="416">
        <v>209.876</v>
      </c>
      <c r="BN302" s="416">
        <v>213.66200000000001</v>
      </c>
      <c r="BO302" s="416">
        <v>217.11699999999999</v>
      </c>
      <c r="BP302" s="416">
        <v>217.11699999999999</v>
      </c>
      <c r="BQ302" s="416">
        <v>221.32499999999999</v>
      </c>
      <c r="BR302" s="416">
        <v>224.398</v>
      </c>
      <c r="BS302" s="416">
        <v>226.60499999999999</v>
      </c>
      <c r="BT302" s="416">
        <v>230.86600000000001</v>
      </c>
      <c r="BU302" s="416">
        <v>230.86600000000001</v>
      </c>
      <c r="BV302" s="416">
        <v>234.495</v>
      </c>
      <c r="BW302" s="416">
        <v>236.88800000000001</v>
      </c>
      <c r="BX302" s="416">
        <v>239.16900000000001</v>
      </c>
      <c r="BY302" s="416">
        <v>0</v>
      </c>
      <c r="BZ302" s="416">
        <v>0</v>
      </c>
      <c r="CC302" s="21"/>
      <c r="CD302" s="415" t="s">
        <v>410</v>
      </c>
      <c r="CE302" s="433">
        <f t="shared" si="60"/>
        <v>0</v>
      </c>
      <c r="CF302" s="433">
        <f t="shared" si="61"/>
        <v>0</v>
      </c>
      <c r="CG302" s="433">
        <f t="shared" si="62"/>
        <v>0</v>
      </c>
      <c r="CH302" s="433">
        <f t="shared" si="63"/>
        <v>0</v>
      </c>
      <c r="CI302" s="433">
        <f t="shared" si="64"/>
        <v>0</v>
      </c>
      <c r="CJ302" s="433">
        <f t="shared" si="65"/>
        <v>0</v>
      </c>
      <c r="CK302" s="433">
        <f t="shared" si="66"/>
        <v>0</v>
      </c>
      <c r="CL302" s="433">
        <f t="shared" si="67"/>
        <v>0</v>
      </c>
      <c r="CM302" s="433">
        <f t="shared" si="68"/>
        <v>0</v>
      </c>
      <c r="CN302" s="433">
        <f t="shared" si="69"/>
        <v>0</v>
      </c>
      <c r="CO302" s="433">
        <f t="shared" si="70"/>
        <v>185.98611099999999</v>
      </c>
      <c r="CP302" s="433">
        <f t="shared" si="71"/>
        <v>185.98611099999999</v>
      </c>
      <c r="CQ302" s="433">
        <f t="shared" si="72"/>
        <v>217.11699999999999</v>
      </c>
      <c r="CR302" s="433">
        <f t="shared" si="73"/>
        <v>230.86600000000001</v>
      </c>
      <c r="CS302" s="433">
        <f t="shared" si="74"/>
        <v>0</v>
      </c>
      <c r="CT302" s="21"/>
    </row>
    <row r="303" spans="3:98" hidden="1" outlineLevel="1">
      <c r="C303" s="415" t="s">
        <v>411</v>
      </c>
      <c r="D303" s="416">
        <v>0</v>
      </c>
      <c r="E303" s="416">
        <v>0</v>
      </c>
      <c r="F303" s="416">
        <v>0</v>
      </c>
      <c r="G303" s="416">
        <v>0</v>
      </c>
      <c r="H303" s="416">
        <v>0</v>
      </c>
      <c r="I303" s="416">
        <v>0</v>
      </c>
      <c r="J303" s="416">
        <v>0</v>
      </c>
      <c r="K303" s="416">
        <v>0</v>
      </c>
      <c r="L303" s="416">
        <v>0</v>
      </c>
      <c r="M303" s="416">
        <v>0</v>
      </c>
      <c r="N303" s="416">
        <v>0</v>
      </c>
      <c r="O303" s="416">
        <v>0</v>
      </c>
      <c r="P303" s="416">
        <v>0</v>
      </c>
      <c r="Q303" s="416">
        <v>0</v>
      </c>
      <c r="R303" s="416">
        <v>0</v>
      </c>
      <c r="S303" s="416">
        <v>0</v>
      </c>
      <c r="T303" s="416">
        <v>0</v>
      </c>
      <c r="U303" s="416">
        <v>0</v>
      </c>
      <c r="V303" s="416">
        <v>0</v>
      </c>
      <c r="W303" s="416">
        <v>0</v>
      </c>
      <c r="X303" s="416">
        <v>0</v>
      </c>
      <c r="Y303" s="416">
        <v>0</v>
      </c>
      <c r="Z303" s="416">
        <v>0</v>
      </c>
      <c r="AA303" s="416">
        <v>0</v>
      </c>
      <c r="AB303" s="416">
        <v>0</v>
      </c>
      <c r="AC303" s="416">
        <v>0</v>
      </c>
      <c r="AD303" s="416">
        <v>0</v>
      </c>
      <c r="AE303" s="416">
        <v>0</v>
      </c>
      <c r="AF303" s="416">
        <v>0</v>
      </c>
      <c r="AG303" s="416">
        <v>0</v>
      </c>
      <c r="AH303" s="416">
        <v>0</v>
      </c>
      <c r="AI303" s="416">
        <v>0</v>
      </c>
      <c r="AJ303" s="416">
        <v>0</v>
      </c>
      <c r="AK303" s="416">
        <v>0</v>
      </c>
      <c r="AL303" s="416">
        <v>0</v>
      </c>
      <c r="AM303" s="416">
        <v>0</v>
      </c>
      <c r="AN303" s="416">
        <v>0</v>
      </c>
      <c r="AO303" s="416">
        <v>0</v>
      </c>
      <c r="AP303" s="416">
        <v>0</v>
      </c>
      <c r="AQ303" s="416">
        <v>0</v>
      </c>
      <c r="AR303" s="416">
        <v>0</v>
      </c>
      <c r="AS303" s="416">
        <v>0</v>
      </c>
      <c r="AT303" s="416">
        <v>0</v>
      </c>
      <c r="AU303" s="416">
        <v>0</v>
      </c>
      <c r="AV303" s="416">
        <v>0</v>
      </c>
      <c r="AW303" s="416">
        <v>0</v>
      </c>
      <c r="AX303" s="416">
        <v>0</v>
      </c>
      <c r="AY303" s="416">
        <v>0</v>
      </c>
      <c r="AZ303" s="416">
        <v>0</v>
      </c>
      <c r="BA303" s="416">
        <v>0</v>
      </c>
      <c r="BB303" s="416">
        <v>0</v>
      </c>
      <c r="BC303" s="416">
        <v>0</v>
      </c>
      <c r="BD303" s="416">
        <v>0</v>
      </c>
      <c r="BE303" s="416">
        <v>0</v>
      </c>
      <c r="BF303" s="416">
        <v>0</v>
      </c>
      <c r="BG303" s="416">
        <v>0</v>
      </c>
      <c r="BH303" s="416">
        <v>0</v>
      </c>
      <c r="BI303" s="416">
        <v>0</v>
      </c>
      <c r="BJ303" s="416">
        <v>0</v>
      </c>
      <c r="BK303" s="416">
        <v>0</v>
      </c>
      <c r="BL303" s="416">
        <v>0</v>
      </c>
      <c r="BM303" s="416">
        <v>0</v>
      </c>
      <c r="BN303" s="416">
        <v>0</v>
      </c>
      <c r="BO303" s="416">
        <v>0</v>
      </c>
      <c r="BP303" s="416">
        <v>0</v>
      </c>
      <c r="BQ303" s="416">
        <v>0</v>
      </c>
      <c r="BR303" s="416">
        <v>0</v>
      </c>
      <c r="BS303" s="416">
        <v>0</v>
      </c>
      <c r="BT303" s="416">
        <v>0</v>
      </c>
      <c r="BU303" s="416">
        <v>0</v>
      </c>
      <c r="BV303" s="416">
        <v>0</v>
      </c>
      <c r="BW303" s="416">
        <v>0</v>
      </c>
      <c r="BX303" s="416">
        <v>0</v>
      </c>
      <c r="BY303" s="416">
        <v>0</v>
      </c>
      <c r="BZ303" s="416">
        <v>0</v>
      </c>
      <c r="CC303" s="21"/>
      <c r="CD303" s="415" t="s">
        <v>411</v>
      </c>
      <c r="CE303" s="433">
        <f t="shared" si="60"/>
        <v>0</v>
      </c>
      <c r="CF303" s="433">
        <f t="shared" si="61"/>
        <v>0</v>
      </c>
      <c r="CG303" s="433">
        <f t="shared" si="62"/>
        <v>0</v>
      </c>
      <c r="CH303" s="433">
        <f t="shared" si="63"/>
        <v>0</v>
      </c>
      <c r="CI303" s="433">
        <f t="shared" si="64"/>
        <v>0</v>
      </c>
      <c r="CJ303" s="433">
        <f t="shared" si="65"/>
        <v>0</v>
      </c>
      <c r="CK303" s="433">
        <f t="shared" si="66"/>
        <v>0</v>
      </c>
      <c r="CL303" s="433">
        <f t="shared" si="67"/>
        <v>0</v>
      </c>
      <c r="CM303" s="433">
        <f t="shared" si="68"/>
        <v>0</v>
      </c>
      <c r="CN303" s="433">
        <f t="shared" si="69"/>
        <v>0</v>
      </c>
      <c r="CO303" s="433">
        <f t="shared" si="70"/>
        <v>0</v>
      </c>
      <c r="CP303" s="433">
        <f t="shared" si="71"/>
        <v>0</v>
      </c>
      <c r="CQ303" s="433">
        <f t="shared" si="72"/>
        <v>0</v>
      </c>
      <c r="CR303" s="433">
        <f t="shared" si="73"/>
        <v>0</v>
      </c>
      <c r="CS303" s="433">
        <f t="shared" si="74"/>
        <v>0</v>
      </c>
      <c r="CT303" s="21"/>
    </row>
    <row r="304" spans="3:98" collapsed="1">
      <c r="C304" s="417" t="s">
        <v>409</v>
      </c>
      <c r="D304" s="416">
        <v>0</v>
      </c>
      <c r="E304" s="416">
        <v>0</v>
      </c>
      <c r="F304" s="416">
        <v>0</v>
      </c>
      <c r="G304" s="416">
        <v>0</v>
      </c>
      <c r="H304" s="416">
        <v>0</v>
      </c>
      <c r="I304" s="416">
        <v>0</v>
      </c>
      <c r="J304" s="416">
        <v>0</v>
      </c>
      <c r="K304" s="416">
        <v>0</v>
      </c>
      <c r="L304" s="416">
        <v>0</v>
      </c>
      <c r="M304" s="416">
        <v>0</v>
      </c>
      <c r="N304" s="416">
        <v>0</v>
      </c>
      <c r="O304" s="416">
        <v>0</v>
      </c>
      <c r="P304" s="416">
        <v>0</v>
      </c>
      <c r="Q304" s="416">
        <v>0</v>
      </c>
      <c r="R304" s="416">
        <v>0</v>
      </c>
      <c r="S304" s="416">
        <v>0</v>
      </c>
      <c r="T304" s="416">
        <v>0</v>
      </c>
      <c r="U304" s="416">
        <v>0</v>
      </c>
      <c r="V304" s="416">
        <v>0</v>
      </c>
      <c r="W304" s="416">
        <v>0</v>
      </c>
      <c r="X304" s="416">
        <v>0</v>
      </c>
      <c r="Y304" s="416">
        <v>0</v>
      </c>
      <c r="Z304" s="416">
        <v>0</v>
      </c>
      <c r="AA304" s="416">
        <v>0</v>
      </c>
      <c r="AB304" s="416">
        <v>0</v>
      </c>
      <c r="AC304" s="416">
        <v>0</v>
      </c>
      <c r="AD304" s="416">
        <v>0</v>
      </c>
      <c r="AE304" s="416">
        <v>0</v>
      </c>
      <c r="AF304" s="416">
        <v>0</v>
      </c>
      <c r="AG304" s="416">
        <v>0</v>
      </c>
      <c r="AH304" s="416">
        <v>0</v>
      </c>
      <c r="AI304" s="416">
        <v>0</v>
      </c>
      <c r="AJ304" s="416">
        <v>0</v>
      </c>
      <c r="AK304" s="416">
        <v>0</v>
      </c>
      <c r="AL304" s="416">
        <v>0</v>
      </c>
      <c r="AM304" s="416">
        <v>0</v>
      </c>
      <c r="AN304" s="416">
        <v>0</v>
      </c>
      <c r="AO304" s="416">
        <v>0</v>
      </c>
      <c r="AP304" s="416">
        <v>0</v>
      </c>
      <c r="AQ304" s="416">
        <v>0</v>
      </c>
      <c r="AR304" s="416">
        <v>0</v>
      </c>
      <c r="AS304" s="416">
        <v>0</v>
      </c>
      <c r="AT304" s="416">
        <v>0</v>
      </c>
      <c r="AU304" s="416">
        <v>0</v>
      </c>
      <c r="AV304" s="416">
        <v>0</v>
      </c>
      <c r="AW304" s="416">
        <v>0</v>
      </c>
      <c r="AX304" s="416">
        <v>0</v>
      </c>
      <c r="AY304" s="416">
        <v>0</v>
      </c>
      <c r="AZ304" s="416">
        <v>0</v>
      </c>
      <c r="BA304" s="416">
        <v>0</v>
      </c>
      <c r="BB304" s="416">
        <v>0</v>
      </c>
      <c r="BC304" s="416">
        <v>0</v>
      </c>
      <c r="BD304" s="416">
        <v>0</v>
      </c>
      <c r="BE304" s="416">
        <v>0</v>
      </c>
      <c r="BF304" s="416">
        <v>185.98611099999999</v>
      </c>
      <c r="BG304" s="416">
        <v>0</v>
      </c>
      <c r="BH304" s="416">
        <v>0</v>
      </c>
      <c r="BI304" s="416">
        <v>0</v>
      </c>
      <c r="BJ304" s="416">
        <v>185.98611099999999</v>
      </c>
      <c r="BK304" s="416">
        <v>185.98611099999999</v>
      </c>
      <c r="BL304" s="416">
        <v>199.2</v>
      </c>
      <c r="BM304" s="416">
        <v>209.876</v>
      </c>
      <c r="BN304" s="416">
        <v>213.66200000000001</v>
      </c>
      <c r="BO304" s="416">
        <v>217.11699999999999</v>
      </c>
      <c r="BP304" s="416">
        <v>217.11699999999999</v>
      </c>
      <c r="BQ304" s="416">
        <v>221.32499999999999</v>
      </c>
      <c r="BR304" s="416">
        <v>224.398</v>
      </c>
      <c r="BS304" s="416">
        <v>226.60499999999999</v>
      </c>
      <c r="BT304" s="416">
        <v>230.86600000000001</v>
      </c>
      <c r="BU304" s="416">
        <v>230.86600000000001</v>
      </c>
      <c r="BV304" s="416">
        <v>234.495</v>
      </c>
      <c r="BW304" s="416">
        <v>236.88800000000001</v>
      </c>
      <c r="BX304" s="416">
        <v>239.16900000000001</v>
      </c>
      <c r="BY304" s="416">
        <v>0</v>
      </c>
      <c r="BZ304" s="416">
        <v>0</v>
      </c>
      <c r="CC304" s="21"/>
      <c r="CD304" s="417" t="s">
        <v>409</v>
      </c>
      <c r="CE304" s="433">
        <f t="shared" si="60"/>
        <v>0</v>
      </c>
      <c r="CF304" s="433">
        <f t="shared" si="61"/>
        <v>0</v>
      </c>
      <c r="CG304" s="433">
        <f t="shared" si="62"/>
        <v>0</v>
      </c>
      <c r="CH304" s="433">
        <f t="shared" si="63"/>
        <v>0</v>
      </c>
      <c r="CI304" s="433">
        <f t="shared" si="64"/>
        <v>0</v>
      </c>
      <c r="CJ304" s="433">
        <f t="shared" si="65"/>
        <v>0</v>
      </c>
      <c r="CK304" s="433">
        <f t="shared" si="66"/>
        <v>0</v>
      </c>
      <c r="CL304" s="433">
        <f t="shared" si="67"/>
        <v>0</v>
      </c>
      <c r="CM304" s="433">
        <f t="shared" si="68"/>
        <v>0</v>
      </c>
      <c r="CN304" s="433">
        <f t="shared" si="69"/>
        <v>0</v>
      </c>
      <c r="CO304" s="433">
        <f t="shared" si="70"/>
        <v>185.98611099999999</v>
      </c>
      <c r="CP304" s="433">
        <f t="shared" si="71"/>
        <v>185.98611099999999</v>
      </c>
      <c r="CQ304" s="433">
        <f t="shared" si="72"/>
        <v>217.11699999999999</v>
      </c>
      <c r="CR304" s="433">
        <f t="shared" si="73"/>
        <v>230.86600000000001</v>
      </c>
      <c r="CS304" s="433">
        <f t="shared" si="74"/>
        <v>0</v>
      </c>
      <c r="CT304" s="21"/>
    </row>
    <row r="305" spans="3:98" hidden="1" outlineLevel="1">
      <c r="C305" s="415" t="s">
        <v>413</v>
      </c>
      <c r="D305" s="416">
        <v>0</v>
      </c>
      <c r="E305" s="416">
        <v>0</v>
      </c>
      <c r="F305" s="416">
        <v>0</v>
      </c>
      <c r="G305" s="416">
        <v>0</v>
      </c>
      <c r="H305" s="416">
        <v>0</v>
      </c>
      <c r="I305" s="416">
        <v>0</v>
      </c>
      <c r="J305" s="416">
        <v>0</v>
      </c>
      <c r="K305" s="416">
        <v>0</v>
      </c>
      <c r="L305" s="416">
        <v>0</v>
      </c>
      <c r="M305" s="416">
        <v>0</v>
      </c>
      <c r="N305" s="416">
        <v>0</v>
      </c>
      <c r="O305" s="416">
        <v>0</v>
      </c>
      <c r="P305" s="416">
        <v>0</v>
      </c>
      <c r="Q305" s="416">
        <v>0</v>
      </c>
      <c r="R305" s="416">
        <v>0</v>
      </c>
      <c r="S305" s="416">
        <v>0</v>
      </c>
      <c r="T305" s="416">
        <v>0</v>
      </c>
      <c r="U305" s="416">
        <v>0</v>
      </c>
      <c r="V305" s="416">
        <v>0</v>
      </c>
      <c r="W305" s="416">
        <v>0</v>
      </c>
      <c r="X305" s="416">
        <v>0</v>
      </c>
      <c r="Y305" s="416">
        <v>0</v>
      </c>
      <c r="Z305" s="416">
        <v>0</v>
      </c>
      <c r="AA305" s="416">
        <v>0</v>
      </c>
      <c r="AB305" s="416">
        <v>0</v>
      </c>
      <c r="AC305" s="416">
        <v>0</v>
      </c>
      <c r="AD305" s="416">
        <v>0</v>
      </c>
      <c r="AE305" s="416">
        <v>0</v>
      </c>
      <c r="AF305" s="416">
        <v>0</v>
      </c>
      <c r="AG305" s="416">
        <v>0</v>
      </c>
      <c r="AH305" s="416">
        <v>0</v>
      </c>
      <c r="AI305" s="416">
        <v>0</v>
      </c>
      <c r="AJ305" s="416">
        <v>0</v>
      </c>
      <c r="AK305" s="416">
        <v>0</v>
      </c>
      <c r="AL305" s="416">
        <v>0</v>
      </c>
      <c r="AM305" s="416">
        <v>0</v>
      </c>
      <c r="AN305" s="416">
        <v>0</v>
      </c>
      <c r="AO305" s="416">
        <v>0</v>
      </c>
      <c r="AP305" s="416">
        <v>0</v>
      </c>
      <c r="AQ305" s="416">
        <v>0</v>
      </c>
      <c r="AR305" s="416">
        <v>0</v>
      </c>
      <c r="AS305" s="416">
        <v>0</v>
      </c>
      <c r="AT305" s="416">
        <v>0</v>
      </c>
      <c r="AU305" s="416">
        <v>0</v>
      </c>
      <c r="AV305" s="416">
        <v>0</v>
      </c>
      <c r="AW305" s="416">
        <v>0</v>
      </c>
      <c r="AX305" s="416">
        <v>0</v>
      </c>
      <c r="AY305" s="416">
        <v>0</v>
      </c>
      <c r="AZ305" s="416">
        <v>0</v>
      </c>
      <c r="BA305" s="416">
        <v>0</v>
      </c>
      <c r="BB305" s="416">
        <v>0</v>
      </c>
      <c r="BC305" s="416">
        <v>0</v>
      </c>
      <c r="BD305" s="416">
        <v>0</v>
      </c>
      <c r="BE305" s="416">
        <v>0</v>
      </c>
      <c r="BF305" s="416">
        <v>0</v>
      </c>
      <c r="BG305" s="416">
        <v>0</v>
      </c>
      <c r="BH305" s="416">
        <v>0</v>
      </c>
      <c r="BI305" s="416">
        <v>0</v>
      </c>
      <c r="BJ305" s="416">
        <v>0</v>
      </c>
      <c r="BK305" s="416">
        <v>0</v>
      </c>
      <c r="BL305" s="416">
        <v>0</v>
      </c>
      <c r="BM305" s="416">
        <v>0</v>
      </c>
      <c r="BN305" s="416">
        <v>0</v>
      </c>
      <c r="BO305" s="416">
        <v>0</v>
      </c>
      <c r="BP305" s="416">
        <v>0</v>
      </c>
      <c r="BQ305" s="416">
        <v>0</v>
      </c>
      <c r="BR305" s="416">
        <v>0</v>
      </c>
      <c r="BS305" s="416">
        <v>0</v>
      </c>
      <c r="BT305" s="416">
        <v>0</v>
      </c>
      <c r="BU305" s="416">
        <v>0</v>
      </c>
      <c r="BV305" s="416">
        <v>0</v>
      </c>
      <c r="BW305" s="416">
        <v>0</v>
      </c>
      <c r="BX305" s="416">
        <v>0</v>
      </c>
      <c r="BY305" s="416">
        <v>0</v>
      </c>
      <c r="BZ305" s="416">
        <v>0</v>
      </c>
      <c r="CC305" s="21"/>
      <c r="CD305" s="415" t="s">
        <v>413</v>
      </c>
      <c r="CE305" s="433">
        <f t="shared" si="60"/>
        <v>0</v>
      </c>
      <c r="CF305" s="433">
        <f t="shared" si="61"/>
        <v>0</v>
      </c>
      <c r="CG305" s="433">
        <f t="shared" si="62"/>
        <v>0</v>
      </c>
      <c r="CH305" s="433">
        <f t="shared" si="63"/>
        <v>0</v>
      </c>
      <c r="CI305" s="433">
        <f t="shared" si="64"/>
        <v>0</v>
      </c>
      <c r="CJ305" s="433">
        <f t="shared" si="65"/>
        <v>0</v>
      </c>
      <c r="CK305" s="433">
        <f t="shared" si="66"/>
        <v>0</v>
      </c>
      <c r="CL305" s="433">
        <f t="shared" si="67"/>
        <v>0</v>
      </c>
      <c r="CM305" s="433">
        <f t="shared" si="68"/>
        <v>0</v>
      </c>
      <c r="CN305" s="433">
        <f t="shared" si="69"/>
        <v>0</v>
      </c>
      <c r="CO305" s="433">
        <f t="shared" si="70"/>
        <v>0</v>
      </c>
      <c r="CP305" s="433">
        <f t="shared" si="71"/>
        <v>0</v>
      </c>
      <c r="CQ305" s="433">
        <f t="shared" si="72"/>
        <v>0</v>
      </c>
      <c r="CR305" s="433">
        <f t="shared" si="73"/>
        <v>0</v>
      </c>
      <c r="CS305" s="433">
        <f t="shared" si="74"/>
        <v>0</v>
      </c>
      <c r="CT305" s="21"/>
    </row>
    <row r="306" spans="3:98" hidden="1" outlineLevel="1">
      <c r="C306" s="415" t="s">
        <v>414</v>
      </c>
      <c r="D306" s="416">
        <v>0</v>
      </c>
      <c r="E306" s="416">
        <v>0</v>
      </c>
      <c r="F306" s="416">
        <v>0</v>
      </c>
      <c r="G306" s="416">
        <v>0</v>
      </c>
      <c r="H306" s="416">
        <v>0</v>
      </c>
      <c r="I306" s="416">
        <v>0</v>
      </c>
      <c r="J306" s="416">
        <v>0</v>
      </c>
      <c r="K306" s="416">
        <v>0</v>
      </c>
      <c r="L306" s="416">
        <v>0</v>
      </c>
      <c r="M306" s="416">
        <v>0</v>
      </c>
      <c r="N306" s="416">
        <v>0</v>
      </c>
      <c r="O306" s="416">
        <v>0</v>
      </c>
      <c r="P306" s="416">
        <v>0</v>
      </c>
      <c r="Q306" s="416">
        <v>0</v>
      </c>
      <c r="R306" s="416">
        <v>0</v>
      </c>
      <c r="S306" s="416">
        <v>0</v>
      </c>
      <c r="T306" s="416">
        <v>0</v>
      </c>
      <c r="U306" s="416">
        <v>0</v>
      </c>
      <c r="V306" s="416">
        <v>0</v>
      </c>
      <c r="W306" s="416">
        <v>0</v>
      </c>
      <c r="X306" s="416">
        <v>0</v>
      </c>
      <c r="Y306" s="416">
        <v>0</v>
      </c>
      <c r="Z306" s="416">
        <v>0</v>
      </c>
      <c r="AA306" s="416">
        <v>0</v>
      </c>
      <c r="AB306" s="416">
        <v>0</v>
      </c>
      <c r="AC306" s="416">
        <v>0</v>
      </c>
      <c r="AD306" s="416">
        <v>0</v>
      </c>
      <c r="AE306" s="416">
        <v>0</v>
      </c>
      <c r="AF306" s="416">
        <v>0</v>
      </c>
      <c r="AG306" s="416">
        <v>0</v>
      </c>
      <c r="AH306" s="416">
        <v>0</v>
      </c>
      <c r="AI306" s="416">
        <v>0</v>
      </c>
      <c r="AJ306" s="416">
        <v>0</v>
      </c>
      <c r="AK306" s="416">
        <v>0</v>
      </c>
      <c r="AL306" s="416">
        <v>0</v>
      </c>
      <c r="AM306" s="416">
        <v>0</v>
      </c>
      <c r="AN306" s="416">
        <v>0</v>
      </c>
      <c r="AO306" s="416">
        <v>0</v>
      </c>
      <c r="AP306" s="416">
        <v>0</v>
      </c>
      <c r="AQ306" s="416">
        <v>0</v>
      </c>
      <c r="AR306" s="416">
        <v>0</v>
      </c>
      <c r="AS306" s="416">
        <v>0</v>
      </c>
      <c r="AT306" s="416">
        <v>0</v>
      </c>
      <c r="AU306" s="416">
        <v>0</v>
      </c>
      <c r="AV306" s="416">
        <v>0</v>
      </c>
      <c r="AW306" s="416">
        <v>0</v>
      </c>
      <c r="AX306" s="416">
        <v>0</v>
      </c>
      <c r="AY306" s="416">
        <v>0</v>
      </c>
      <c r="AZ306" s="416">
        <v>0</v>
      </c>
      <c r="BA306" s="416">
        <v>0</v>
      </c>
      <c r="BB306" s="416">
        <v>0</v>
      </c>
      <c r="BC306" s="416">
        <v>0</v>
      </c>
      <c r="BD306" s="416">
        <v>0</v>
      </c>
      <c r="BE306" s="416">
        <v>0</v>
      </c>
      <c r="BF306" s="416">
        <v>0</v>
      </c>
      <c r="BG306" s="416">
        <v>0</v>
      </c>
      <c r="BH306" s="416">
        <v>0</v>
      </c>
      <c r="BI306" s="416">
        <v>0</v>
      </c>
      <c r="BJ306" s="416">
        <v>0</v>
      </c>
      <c r="BK306" s="416">
        <v>0</v>
      </c>
      <c r="BL306" s="416">
        <v>0</v>
      </c>
      <c r="BM306" s="416">
        <v>0</v>
      </c>
      <c r="BN306" s="416">
        <v>0</v>
      </c>
      <c r="BO306" s="416">
        <v>0</v>
      </c>
      <c r="BP306" s="416">
        <v>0</v>
      </c>
      <c r="BQ306" s="416">
        <v>0</v>
      </c>
      <c r="BR306" s="416">
        <v>0</v>
      </c>
      <c r="BS306" s="416">
        <v>0</v>
      </c>
      <c r="BT306" s="416">
        <v>0</v>
      </c>
      <c r="BU306" s="416">
        <v>0</v>
      </c>
      <c r="BV306" s="416">
        <v>0</v>
      </c>
      <c r="BW306" s="416">
        <v>0</v>
      </c>
      <c r="BX306" s="416">
        <v>0</v>
      </c>
      <c r="BY306" s="416">
        <v>0</v>
      </c>
      <c r="BZ306" s="416">
        <v>0</v>
      </c>
      <c r="CC306" s="21"/>
      <c r="CD306" s="415" t="s">
        <v>414</v>
      </c>
      <c r="CE306" s="433">
        <f t="shared" si="60"/>
        <v>0</v>
      </c>
      <c r="CF306" s="433">
        <f t="shared" si="61"/>
        <v>0</v>
      </c>
      <c r="CG306" s="433">
        <f t="shared" si="62"/>
        <v>0</v>
      </c>
      <c r="CH306" s="433">
        <f t="shared" si="63"/>
        <v>0</v>
      </c>
      <c r="CI306" s="433">
        <f t="shared" si="64"/>
        <v>0</v>
      </c>
      <c r="CJ306" s="433">
        <f t="shared" si="65"/>
        <v>0</v>
      </c>
      <c r="CK306" s="433">
        <f t="shared" si="66"/>
        <v>0</v>
      </c>
      <c r="CL306" s="433">
        <f t="shared" si="67"/>
        <v>0</v>
      </c>
      <c r="CM306" s="433">
        <f t="shared" si="68"/>
        <v>0</v>
      </c>
      <c r="CN306" s="433">
        <f t="shared" si="69"/>
        <v>0</v>
      </c>
      <c r="CO306" s="433">
        <f t="shared" si="70"/>
        <v>0</v>
      </c>
      <c r="CP306" s="433">
        <f t="shared" si="71"/>
        <v>0</v>
      </c>
      <c r="CQ306" s="433">
        <f t="shared" si="72"/>
        <v>0</v>
      </c>
      <c r="CR306" s="433">
        <f t="shared" si="73"/>
        <v>0</v>
      </c>
      <c r="CS306" s="433">
        <f t="shared" si="74"/>
        <v>0</v>
      </c>
      <c r="CT306" s="21"/>
    </row>
    <row r="307" spans="3:98" collapsed="1">
      <c r="C307" s="417" t="s">
        <v>412</v>
      </c>
      <c r="D307" s="416">
        <v>0</v>
      </c>
      <c r="E307" s="416">
        <v>0</v>
      </c>
      <c r="F307" s="416">
        <v>0</v>
      </c>
      <c r="G307" s="416">
        <v>0</v>
      </c>
      <c r="H307" s="416">
        <v>0</v>
      </c>
      <c r="I307" s="416">
        <v>0</v>
      </c>
      <c r="J307" s="416">
        <v>0</v>
      </c>
      <c r="K307" s="416">
        <v>0</v>
      </c>
      <c r="L307" s="416">
        <v>0</v>
      </c>
      <c r="M307" s="416">
        <v>0</v>
      </c>
      <c r="N307" s="416">
        <v>0</v>
      </c>
      <c r="O307" s="416">
        <v>0</v>
      </c>
      <c r="P307" s="416">
        <v>0</v>
      </c>
      <c r="Q307" s="416">
        <v>0</v>
      </c>
      <c r="R307" s="416">
        <v>0</v>
      </c>
      <c r="S307" s="416">
        <v>0</v>
      </c>
      <c r="T307" s="416">
        <v>0</v>
      </c>
      <c r="U307" s="416">
        <v>0</v>
      </c>
      <c r="V307" s="416">
        <v>0</v>
      </c>
      <c r="W307" s="416">
        <v>0</v>
      </c>
      <c r="X307" s="416">
        <v>0</v>
      </c>
      <c r="Y307" s="416">
        <v>0</v>
      </c>
      <c r="Z307" s="416">
        <v>0</v>
      </c>
      <c r="AA307" s="416">
        <v>0</v>
      </c>
      <c r="AB307" s="416">
        <v>0</v>
      </c>
      <c r="AC307" s="416">
        <v>0</v>
      </c>
      <c r="AD307" s="416">
        <v>0</v>
      </c>
      <c r="AE307" s="416">
        <v>0</v>
      </c>
      <c r="AF307" s="416">
        <v>0</v>
      </c>
      <c r="AG307" s="416">
        <v>0</v>
      </c>
      <c r="AH307" s="416">
        <v>0</v>
      </c>
      <c r="AI307" s="416">
        <v>0</v>
      </c>
      <c r="AJ307" s="416">
        <v>0</v>
      </c>
      <c r="AK307" s="416">
        <v>0</v>
      </c>
      <c r="AL307" s="416">
        <v>0</v>
      </c>
      <c r="AM307" s="416">
        <v>0</v>
      </c>
      <c r="AN307" s="416">
        <v>0</v>
      </c>
      <c r="AO307" s="416">
        <v>0</v>
      </c>
      <c r="AP307" s="416">
        <v>0</v>
      </c>
      <c r="AQ307" s="416">
        <v>0</v>
      </c>
      <c r="AR307" s="416">
        <v>0</v>
      </c>
      <c r="AS307" s="416">
        <v>0</v>
      </c>
      <c r="AT307" s="416">
        <v>0</v>
      </c>
      <c r="AU307" s="416">
        <v>0</v>
      </c>
      <c r="AV307" s="416">
        <v>0</v>
      </c>
      <c r="AW307" s="416">
        <v>0</v>
      </c>
      <c r="AX307" s="416">
        <v>0</v>
      </c>
      <c r="AY307" s="416">
        <v>0</v>
      </c>
      <c r="AZ307" s="416">
        <v>0</v>
      </c>
      <c r="BA307" s="416">
        <v>0</v>
      </c>
      <c r="BB307" s="416">
        <v>0</v>
      </c>
      <c r="BC307" s="416">
        <v>0</v>
      </c>
      <c r="BD307" s="416">
        <v>0</v>
      </c>
      <c r="BE307" s="416">
        <v>0</v>
      </c>
      <c r="BF307" s="416">
        <v>0</v>
      </c>
      <c r="BG307" s="416">
        <v>0</v>
      </c>
      <c r="BH307" s="416">
        <v>0</v>
      </c>
      <c r="BI307" s="416">
        <v>0</v>
      </c>
      <c r="BJ307" s="416">
        <v>0</v>
      </c>
      <c r="BK307" s="416">
        <v>0</v>
      </c>
      <c r="BL307" s="416">
        <v>0</v>
      </c>
      <c r="BM307" s="416">
        <v>0</v>
      </c>
      <c r="BN307" s="416">
        <v>0</v>
      </c>
      <c r="BO307" s="416">
        <v>0</v>
      </c>
      <c r="BP307" s="416">
        <v>0</v>
      </c>
      <c r="BQ307" s="416">
        <v>0</v>
      </c>
      <c r="BR307" s="416">
        <v>0</v>
      </c>
      <c r="BS307" s="416">
        <v>0</v>
      </c>
      <c r="BT307" s="416">
        <v>0</v>
      </c>
      <c r="BU307" s="416">
        <v>0</v>
      </c>
      <c r="BV307" s="416">
        <v>0</v>
      </c>
      <c r="BW307" s="416">
        <v>0</v>
      </c>
      <c r="BX307" s="416">
        <v>0</v>
      </c>
      <c r="BY307" s="416">
        <v>0</v>
      </c>
      <c r="BZ307" s="416">
        <v>0</v>
      </c>
      <c r="CC307" s="21"/>
      <c r="CD307" s="417" t="s">
        <v>412</v>
      </c>
      <c r="CE307" s="433">
        <f t="shared" si="60"/>
        <v>0</v>
      </c>
      <c r="CF307" s="433">
        <f t="shared" si="61"/>
        <v>0</v>
      </c>
      <c r="CG307" s="433">
        <f t="shared" si="62"/>
        <v>0</v>
      </c>
      <c r="CH307" s="433">
        <f t="shared" si="63"/>
        <v>0</v>
      </c>
      <c r="CI307" s="433">
        <f t="shared" si="64"/>
        <v>0</v>
      </c>
      <c r="CJ307" s="433">
        <f t="shared" si="65"/>
        <v>0</v>
      </c>
      <c r="CK307" s="433">
        <f t="shared" si="66"/>
        <v>0</v>
      </c>
      <c r="CL307" s="433">
        <f t="shared" si="67"/>
        <v>0</v>
      </c>
      <c r="CM307" s="433">
        <f t="shared" si="68"/>
        <v>0</v>
      </c>
      <c r="CN307" s="433">
        <f t="shared" si="69"/>
        <v>0</v>
      </c>
      <c r="CO307" s="433">
        <f t="shared" si="70"/>
        <v>0</v>
      </c>
      <c r="CP307" s="433">
        <f t="shared" si="71"/>
        <v>0</v>
      </c>
      <c r="CQ307" s="433">
        <f t="shared" si="72"/>
        <v>0</v>
      </c>
      <c r="CR307" s="433">
        <f t="shared" si="73"/>
        <v>0</v>
      </c>
      <c r="CS307" s="433">
        <f t="shared" si="74"/>
        <v>0</v>
      </c>
      <c r="CT307" s="21"/>
    </row>
    <row r="308" spans="3:98" hidden="1" outlineLevel="1">
      <c r="C308" s="415" t="s">
        <v>416</v>
      </c>
      <c r="D308" s="416">
        <v>0</v>
      </c>
      <c r="E308" s="416">
        <v>0</v>
      </c>
      <c r="F308" s="416">
        <v>0</v>
      </c>
      <c r="G308" s="416">
        <v>0</v>
      </c>
      <c r="H308" s="416">
        <v>0</v>
      </c>
      <c r="I308" s="416">
        <v>0</v>
      </c>
      <c r="J308" s="416">
        <v>0</v>
      </c>
      <c r="K308" s="416">
        <v>0</v>
      </c>
      <c r="L308" s="416">
        <v>0</v>
      </c>
      <c r="M308" s="416">
        <v>0</v>
      </c>
      <c r="N308" s="416">
        <v>0</v>
      </c>
      <c r="O308" s="416">
        <v>0</v>
      </c>
      <c r="P308" s="416">
        <v>0</v>
      </c>
      <c r="Q308" s="416">
        <v>0</v>
      </c>
      <c r="R308" s="416">
        <v>0</v>
      </c>
      <c r="S308" s="416">
        <v>0</v>
      </c>
      <c r="T308" s="416">
        <v>0</v>
      </c>
      <c r="U308" s="416">
        <v>0</v>
      </c>
      <c r="V308" s="416">
        <v>0</v>
      </c>
      <c r="W308" s="416">
        <v>0</v>
      </c>
      <c r="X308" s="416">
        <v>0</v>
      </c>
      <c r="Y308" s="416">
        <v>0</v>
      </c>
      <c r="Z308" s="416">
        <v>0</v>
      </c>
      <c r="AA308" s="416">
        <v>0</v>
      </c>
      <c r="AB308" s="416">
        <v>0</v>
      </c>
      <c r="AC308" s="416">
        <v>0</v>
      </c>
      <c r="AD308" s="416">
        <v>0</v>
      </c>
      <c r="AE308" s="416">
        <v>0</v>
      </c>
      <c r="AF308" s="416">
        <v>0</v>
      </c>
      <c r="AG308" s="416">
        <v>0</v>
      </c>
      <c r="AH308" s="416">
        <v>0</v>
      </c>
      <c r="AI308" s="416">
        <v>0</v>
      </c>
      <c r="AJ308" s="416">
        <v>0</v>
      </c>
      <c r="AK308" s="416">
        <v>0</v>
      </c>
      <c r="AL308" s="416">
        <v>0</v>
      </c>
      <c r="AM308" s="416">
        <v>0</v>
      </c>
      <c r="AN308" s="416">
        <v>0</v>
      </c>
      <c r="AO308" s="416">
        <v>0</v>
      </c>
      <c r="AP308" s="416">
        <v>0</v>
      </c>
      <c r="AQ308" s="416">
        <v>0</v>
      </c>
      <c r="AR308" s="416">
        <v>0</v>
      </c>
      <c r="AS308" s="416">
        <v>0</v>
      </c>
      <c r="AT308" s="416">
        <v>0</v>
      </c>
      <c r="AU308" s="416">
        <v>0</v>
      </c>
      <c r="AV308" s="416">
        <v>0</v>
      </c>
      <c r="AW308" s="416">
        <v>0</v>
      </c>
      <c r="AX308" s="416">
        <v>0</v>
      </c>
      <c r="AY308" s="416">
        <v>0</v>
      </c>
      <c r="AZ308" s="416">
        <v>0</v>
      </c>
      <c r="BA308" s="416">
        <v>0</v>
      </c>
      <c r="BB308" s="416">
        <v>0</v>
      </c>
      <c r="BC308" s="416">
        <v>0</v>
      </c>
      <c r="BD308" s="416">
        <v>0</v>
      </c>
      <c r="BE308" s="416">
        <v>0</v>
      </c>
      <c r="BF308" s="416">
        <v>0</v>
      </c>
      <c r="BG308" s="416">
        <v>0</v>
      </c>
      <c r="BH308" s="416">
        <v>0</v>
      </c>
      <c r="BI308" s="416">
        <v>0</v>
      </c>
      <c r="BJ308" s="416">
        <v>0</v>
      </c>
      <c r="BK308" s="416">
        <v>0</v>
      </c>
      <c r="BL308" s="416">
        <v>0</v>
      </c>
      <c r="BM308" s="416">
        <v>0</v>
      </c>
      <c r="BN308" s="416">
        <v>0</v>
      </c>
      <c r="BO308" s="416">
        <v>0</v>
      </c>
      <c r="BP308" s="416">
        <v>0</v>
      </c>
      <c r="BQ308" s="416">
        <v>0</v>
      </c>
      <c r="BR308" s="416">
        <v>0</v>
      </c>
      <c r="BS308" s="416">
        <v>0</v>
      </c>
      <c r="BT308" s="416">
        <v>0</v>
      </c>
      <c r="BU308" s="416">
        <v>0</v>
      </c>
      <c r="BV308" s="416">
        <v>0</v>
      </c>
      <c r="BW308" s="416">
        <v>0</v>
      </c>
      <c r="BX308" s="416">
        <v>0</v>
      </c>
      <c r="BY308" s="416">
        <v>0</v>
      </c>
      <c r="BZ308" s="416">
        <v>0</v>
      </c>
      <c r="CC308" s="21"/>
      <c r="CD308" s="415" t="s">
        <v>416</v>
      </c>
      <c r="CE308" s="433">
        <f t="shared" si="60"/>
        <v>0</v>
      </c>
      <c r="CF308" s="433">
        <f t="shared" si="61"/>
        <v>0</v>
      </c>
      <c r="CG308" s="433">
        <f t="shared" si="62"/>
        <v>0</v>
      </c>
      <c r="CH308" s="433">
        <f t="shared" si="63"/>
        <v>0</v>
      </c>
      <c r="CI308" s="433">
        <f t="shared" si="64"/>
        <v>0</v>
      </c>
      <c r="CJ308" s="433">
        <f t="shared" si="65"/>
        <v>0</v>
      </c>
      <c r="CK308" s="433">
        <f t="shared" si="66"/>
        <v>0</v>
      </c>
      <c r="CL308" s="433">
        <f t="shared" si="67"/>
        <v>0</v>
      </c>
      <c r="CM308" s="433">
        <f t="shared" si="68"/>
        <v>0</v>
      </c>
      <c r="CN308" s="433">
        <f t="shared" si="69"/>
        <v>0</v>
      </c>
      <c r="CO308" s="433">
        <f t="shared" si="70"/>
        <v>0</v>
      </c>
      <c r="CP308" s="433">
        <f t="shared" si="71"/>
        <v>0</v>
      </c>
      <c r="CQ308" s="433">
        <f t="shared" si="72"/>
        <v>0</v>
      </c>
      <c r="CR308" s="433">
        <f t="shared" si="73"/>
        <v>0</v>
      </c>
      <c r="CS308" s="433">
        <f t="shared" si="74"/>
        <v>0</v>
      </c>
      <c r="CT308" s="21"/>
    </row>
    <row r="309" spans="3:98" hidden="1" outlineLevel="1">
      <c r="C309" s="415" t="s">
        <v>417</v>
      </c>
      <c r="D309" s="416">
        <v>0</v>
      </c>
      <c r="E309" s="416">
        <v>0</v>
      </c>
      <c r="F309" s="416">
        <v>0</v>
      </c>
      <c r="G309" s="416">
        <v>0</v>
      </c>
      <c r="H309" s="416">
        <v>0</v>
      </c>
      <c r="I309" s="416">
        <v>0</v>
      </c>
      <c r="J309" s="416">
        <v>0</v>
      </c>
      <c r="K309" s="416">
        <v>0</v>
      </c>
      <c r="L309" s="416">
        <v>0</v>
      </c>
      <c r="M309" s="416">
        <v>0</v>
      </c>
      <c r="N309" s="416">
        <v>0</v>
      </c>
      <c r="O309" s="416">
        <v>0</v>
      </c>
      <c r="P309" s="416">
        <v>0</v>
      </c>
      <c r="Q309" s="416">
        <v>0</v>
      </c>
      <c r="R309" s="416">
        <v>0</v>
      </c>
      <c r="S309" s="416">
        <v>0</v>
      </c>
      <c r="T309" s="416">
        <v>0</v>
      </c>
      <c r="U309" s="416">
        <v>0</v>
      </c>
      <c r="V309" s="416">
        <v>0</v>
      </c>
      <c r="W309" s="416">
        <v>0</v>
      </c>
      <c r="X309" s="416">
        <v>0</v>
      </c>
      <c r="Y309" s="416">
        <v>0</v>
      </c>
      <c r="Z309" s="416">
        <v>0</v>
      </c>
      <c r="AA309" s="416">
        <v>0</v>
      </c>
      <c r="AB309" s="416">
        <v>0</v>
      </c>
      <c r="AC309" s="416">
        <v>0</v>
      </c>
      <c r="AD309" s="416">
        <v>0</v>
      </c>
      <c r="AE309" s="416">
        <v>0</v>
      </c>
      <c r="AF309" s="416">
        <v>0</v>
      </c>
      <c r="AG309" s="416">
        <v>0</v>
      </c>
      <c r="AH309" s="416">
        <v>0</v>
      </c>
      <c r="AI309" s="416">
        <v>0</v>
      </c>
      <c r="AJ309" s="416">
        <v>0</v>
      </c>
      <c r="AK309" s="416">
        <v>0</v>
      </c>
      <c r="AL309" s="416">
        <v>0</v>
      </c>
      <c r="AM309" s="416">
        <v>0</v>
      </c>
      <c r="AN309" s="416">
        <v>0</v>
      </c>
      <c r="AO309" s="416">
        <v>0</v>
      </c>
      <c r="AP309" s="416">
        <v>0</v>
      </c>
      <c r="AQ309" s="416">
        <v>0</v>
      </c>
      <c r="AR309" s="416">
        <v>0</v>
      </c>
      <c r="AS309" s="416">
        <v>0</v>
      </c>
      <c r="AT309" s="416">
        <v>0</v>
      </c>
      <c r="AU309" s="416">
        <v>0</v>
      </c>
      <c r="AV309" s="416">
        <v>0</v>
      </c>
      <c r="AW309" s="416">
        <v>0</v>
      </c>
      <c r="AX309" s="416">
        <v>0</v>
      </c>
      <c r="AY309" s="416">
        <v>0</v>
      </c>
      <c r="AZ309" s="416">
        <v>0</v>
      </c>
      <c r="BA309" s="416">
        <v>0</v>
      </c>
      <c r="BB309" s="416">
        <v>0</v>
      </c>
      <c r="BC309" s="416">
        <v>0</v>
      </c>
      <c r="BD309" s="416">
        <v>0</v>
      </c>
      <c r="BE309" s="416">
        <v>0</v>
      </c>
      <c r="BF309" s="416">
        <v>0</v>
      </c>
      <c r="BG309" s="416">
        <v>0</v>
      </c>
      <c r="BH309" s="416">
        <v>0</v>
      </c>
      <c r="BI309" s="416">
        <v>0</v>
      </c>
      <c r="BJ309" s="416">
        <v>0</v>
      </c>
      <c r="BK309" s="416">
        <v>0</v>
      </c>
      <c r="BL309" s="416">
        <v>0</v>
      </c>
      <c r="BM309" s="416">
        <v>0</v>
      </c>
      <c r="BN309" s="416">
        <v>0</v>
      </c>
      <c r="BO309" s="416">
        <v>0</v>
      </c>
      <c r="BP309" s="416">
        <v>0</v>
      </c>
      <c r="BQ309" s="416">
        <v>0</v>
      </c>
      <c r="BR309" s="416">
        <v>0</v>
      </c>
      <c r="BS309" s="416">
        <v>0</v>
      </c>
      <c r="BT309" s="416">
        <v>0</v>
      </c>
      <c r="BU309" s="416">
        <v>0</v>
      </c>
      <c r="BV309" s="416">
        <v>0</v>
      </c>
      <c r="BW309" s="416">
        <v>0</v>
      </c>
      <c r="BX309" s="416">
        <v>0</v>
      </c>
      <c r="BY309" s="416">
        <v>0</v>
      </c>
      <c r="BZ309" s="416">
        <v>0</v>
      </c>
      <c r="CC309" s="21"/>
      <c r="CD309" s="415" t="s">
        <v>417</v>
      </c>
      <c r="CE309" s="433">
        <f t="shared" si="60"/>
        <v>0</v>
      </c>
      <c r="CF309" s="433">
        <f t="shared" si="61"/>
        <v>0</v>
      </c>
      <c r="CG309" s="433">
        <f t="shared" si="62"/>
        <v>0</v>
      </c>
      <c r="CH309" s="433">
        <f t="shared" si="63"/>
        <v>0</v>
      </c>
      <c r="CI309" s="433">
        <f t="shared" si="64"/>
        <v>0</v>
      </c>
      <c r="CJ309" s="433">
        <f t="shared" si="65"/>
        <v>0</v>
      </c>
      <c r="CK309" s="433">
        <f t="shared" si="66"/>
        <v>0</v>
      </c>
      <c r="CL309" s="433">
        <f t="shared" si="67"/>
        <v>0</v>
      </c>
      <c r="CM309" s="433">
        <f t="shared" si="68"/>
        <v>0</v>
      </c>
      <c r="CN309" s="433">
        <f t="shared" si="69"/>
        <v>0</v>
      </c>
      <c r="CO309" s="433">
        <f t="shared" si="70"/>
        <v>0</v>
      </c>
      <c r="CP309" s="433">
        <f t="shared" si="71"/>
        <v>0</v>
      </c>
      <c r="CQ309" s="433">
        <f t="shared" si="72"/>
        <v>0</v>
      </c>
      <c r="CR309" s="433">
        <f t="shared" si="73"/>
        <v>0</v>
      </c>
      <c r="CS309" s="433">
        <f t="shared" si="74"/>
        <v>0</v>
      </c>
      <c r="CT309" s="21"/>
    </row>
    <row r="310" spans="3:98" collapsed="1">
      <c r="C310" s="417" t="s">
        <v>415</v>
      </c>
      <c r="D310" s="416">
        <v>0</v>
      </c>
      <c r="E310" s="416">
        <v>0</v>
      </c>
      <c r="F310" s="416">
        <v>0</v>
      </c>
      <c r="G310" s="416">
        <v>0</v>
      </c>
      <c r="H310" s="416">
        <v>0</v>
      </c>
      <c r="I310" s="416">
        <v>0</v>
      </c>
      <c r="J310" s="416">
        <v>0</v>
      </c>
      <c r="K310" s="416">
        <v>0</v>
      </c>
      <c r="L310" s="416">
        <v>0</v>
      </c>
      <c r="M310" s="416">
        <v>0</v>
      </c>
      <c r="N310" s="416">
        <v>0</v>
      </c>
      <c r="O310" s="416">
        <v>0</v>
      </c>
      <c r="P310" s="416">
        <v>0</v>
      </c>
      <c r="Q310" s="416">
        <v>0</v>
      </c>
      <c r="R310" s="416">
        <v>0</v>
      </c>
      <c r="S310" s="416">
        <v>0</v>
      </c>
      <c r="T310" s="416">
        <v>0</v>
      </c>
      <c r="U310" s="416">
        <v>0</v>
      </c>
      <c r="V310" s="416">
        <v>0</v>
      </c>
      <c r="W310" s="416">
        <v>0</v>
      </c>
      <c r="X310" s="416">
        <v>0</v>
      </c>
      <c r="Y310" s="416">
        <v>0</v>
      </c>
      <c r="Z310" s="416">
        <v>0</v>
      </c>
      <c r="AA310" s="416">
        <v>0</v>
      </c>
      <c r="AB310" s="416">
        <v>0</v>
      </c>
      <c r="AC310" s="416">
        <v>0</v>
      </c>
      <c r="AD310" s="416">
        <v>0</v>
      </c>
      <c r="AE310" s="416">
        <v>0</v>
      </c>
      <c r="AF310" s="416">
        <v>0</v>
      </c>
      <c r="AG310" s="416">
        <v>0</v>
      </c>
      <c r="AH310" s="416">
        <v>0</v>
      </c>
      <c r="AI310" s="416">
        <v>0</v>
      </c>
      <c r="AJ310" s="416">
        <v>0</v>
      </c>
      <c r="AK310" s="416">
        <v>0</v>
      </c>
      <c r="AL310" s="416">
        <v>0</v>
      </c>
      <c r="AM310" s="416">
        <v>0</v>
      </c>
      <c r="AN310" s="416">
        <v>0</v>
      </c>
      <c r="AO310" s="416">
        <v>0</v>
      </c>
      <c r="AP310" s="416">
        <v>0</v>
      </c>
      <c r="AQ310" s="416">
        <v>0</v>
      </c>
      <c r="AR310" s="416">
        <v>0</v>
      </c>
      <c r="AS310" s="416">
        <v>0</v>
      </c>
      <c r="AT310" s="416">
        <v>0</v>
      </c>
      <c r="AU310" s="416">
        <v>0</v>
      </c>
      <c r="AV310" s="416">
        <v>0</v>
      </c>
      <c r="AW310" s="416">
        <v>0</v>
      </c>
      <c r="AX310" s="416">
        <v>0</v>
      </c>
      <c r="AY310" s="416">
        <v>0</v>
      </c>
      <c r="AZ310" s="416">
        <v>0</v>
      </c>
      <c r="BA310" s="416">
        <v>0</v>
      </c>
      <c r="BB310" s="416">
        <v>0</v>
      </c>
      <c r="BC310" s="416">
        <v>0</v>
      </c>
      <c r="BD310" s="416">
        <v>0</v>
      </c>
      <c r="BE310" s="416">
        <v>0</v>
      </c>
      <c r="BF310" s="416">
        <v>0</v>
      </c>
      <c r="BG310" s="416">
        <v>0</v>
      </c>
      <c r="BH310" s="416">
        <v>0</v>
      </c>
      <c r="BI310" s="416">
        <v>0</v>
      </c>
      <c r="BJ310" s="416">
        <v>0</v>
      </c>
      <c r="BK310" s="416">
        <v>0</v>
      </c>
      <c r="BL310" s="416">
        <v>0</v>
      </c>
      <c r="BM310" s="416">
        <v>0</v>
      </c>
      <c r="BN310" s="416">
        <v>0</v>
      </c>
      <c r="BO310" s="416">
        <v>0</v>
      </c>
      <c r="BP310" s="416">
        <v>0</v>
      </c>
      <c r="BQ310" s="416">
        <v>0</v>
      </c>
      <c r="BR310" s="416">
        <v>0</v>
      </c>
      <c r="BS310" s="416">
        <v>0</v>
      </c>
      <c r="BT310" s="416">
        <v>0</v>
      </c>
      <c r="BU310" s="416">
        <v>0</v>
      </c>
      <c r="BV310" s="416">
        <v>0</v>
      </c>
      <c r="BW310" s="416">
        <v>0</v>
      </c>
      <c r="BX310" s="416">
        <v>0</v>
      </c>
      <c r="BY310" s="416">
        <v>0</v>
      </c>
      <c r="BZ310" s="416">
        <v>0</v>
      </c>
      <c r="CC310" s="21"/>
      <c r="CD310" s="417" t="s">
        <v>415</v>
      </c>
      <c r="CE310" s="433">
        <f t="shared" si="60"/>
        <v>0</v>
      </c>
      <c r="CF310" s="433">
        <f t="shared" si="61"/>
        <v>0</v>
      </c>
      <c r="CG310" s="433">
        <f t="shared" si="62"/>
        <v>0</v>
      </c>
      <c r="CH310" s="433">
        <f t="shared" si="63"/>
        <v>0</v>
      </c>
      <c r="CI310" s="433">
        <f t="shared" si="64"/>
        <v>0</v>
      </c>
      <c r="CJ310" s="433">
        <f t="shared" si="65"/>
        <v>0</v>
      </c>
      <c r="CK310" s="433">
        <f t="shared" si="66"/>
        <v>0</v>
      </c>
      <c r="CL310" s="433">
        <f t="shared" si="67"/>
        <v>0</v>
      </c>
      <c r="CM310" s="433">
        <f t="shared" si="68"/>
        <v>0</v>
      </c>
      <c r="CN310" s="433">
        <f t="shared" si="69"/>
        <v>0</v>
      </c>
      <c r="CO310" s="433">
        <f t="shared" si="70"/>
        <v>0</v>
      </c>
      <c r="CP310" s="433">
        <f t="shared" si="71"/>
        <v>0</v>
      </c>
      <c r="CQ310" s="433">
        <f t="shared" si="72"/>
        <v>0</v>
      </c>
      <c r="CR310" s="433">
        <f t="shared" si="73"/>
        <v>0</v>
      </c>
      <c r="CS310" s="433">
        <f t="shared" si="74"/>
        <v>0</v>
      </c>
      <c r="CT310" s="21"/>
    </row>
    <row r="311" spans="3:98" ht="24.75" customHeight="1">
      <c r="D311" s="416"/>
      <c r="E311" s="416"/>
      <c r="F311" s="416"/>
      <c r="G311" s="416"/>
      <c r="H311" s="416"/>
      <c r="I311" s="416"/>
      <c r="J311" s="416"/>
      <c r="K311" s="416"/>
      <c r="L311" s="416"/>
      <c r="M311" s="416"/>
      <c r="N311" s="416"/>
      <c r="O311" s="416"/>
      <c r="P311" s="416"/>
      <c r="Q311" s="416"/>
      <c r="R311" s="416"/>
      <c r="S311" s="416"/>
      <c r="T311" s="416"/>
      <c r="U311" s="416"/>
      <c r="V311" s="416"/>
      <c r="W311" s="416"/>
      <c r="X311" s="416"/>
      <c r="Y311" s="416"/>
      <c r="Z311" s="416"/>
      <c r="AA311" s="416"/>
      <c r="AB311" s="416"/>
      <c r="AC311" s="416"/>
      <c r="AD311" s="416"/>
      <c r="AE311" s="416"/>
      <c r="AF311" s="416"/>
      <c r="AG311" s="416"/>
      <c r="AH311" s="416"/>
      <c r="AI311" s="416"/>
      <c r="AJ311" s="416"/>
      <c r="AK311" s="416"/>
      <c r="AL311" s="416"/>
      <c r="AM311" s="416"/>
      <c r="AN311" s="416"/>
      <c r="AO311" s="416"/>
      <c r="AP311" s="416"/>
      <c r="AQ311" s="416"/>
      <c r="AR311" s="416"/>
      <c r="AS311" s="416"/>
      <c r="AT311" s="416"/>
      <c r="AU311" s="416"/>
      <c r="AV311" s="416"/>
      <c r="AW311" s="416"/>
      <c r="AX311" s="416"/>
      <c r="AY311" s="416"/>
      <c r="AZ311" s="416"/>
      <c r="BA311" s="416"/>
      <c r="BB311" s="416"/>
      <c r="BC311" s="416"/>
      <c r="BD311" s="416"/>
      <c r="BE311" s="416"/>
      <c r="BF311" s="416"/>
      <c r="BG311" s="416"/>
      <c r="BH311" s="416"/>
      <c r="BI311" s="416"/>
      <c r="BJ311" s="416"/>
      <c r="BK311" s="416"/>
      <c r="BL311" s="416"/>
      <c r="BM311" s="416"/>
      <c r="BN311" s="416"/>
      <c r="BO311" s="416"/>
      <c r="BP311" s="416"/>
      <c r="BQ311" s="416"/>
      <c r="BR311" s="416"/>
      <c r="BS311" s="416"/>
      <c r="BT311" s="416"/>
      <c r="BU311" s="416"/>
      <c r="BV311" s="416"/>
      <c r="BW311" s="416"/>
      <c r="BX311" s="416"/>
      <c r="BY311" s="416"/>
      <c r="BZ311" s="416"/>
      <c r="CC311" s="21"/>
      <c r="CD311" s="58"/>
      <c r="CE311" s="433"/>
      <c r="CF311" s="433"/>
      <c r="CG311" s="433"/>
      <c r="CH311" s="433"/>
      <c r="CI311" s="433"/>
      <c r="CJ311" s="433"/>
      <c r="CK311" s="433"/>
      <c r="CL311" s="433"/>
      <c r="CM311" s="433"/>
      <c r="CN311" s="433"/>
      <c r="CO311" s="433"/>
      <c r="CP311" s="433"/>
      <c r="CQ311" s="433"/>
      <c r="CR311" s="433"/>
      <c r="CS311" s="433"/>
      <c r="CT311" s="21"/>
    </row>
    <row r="312" spans="3:98">
      <c r="C312" s="417" t="s">
        <v>419</v>
      </c>
      <c r="D312" s="416">
        <v>0</v>
      </c>
      <c r="E312" s="416">
        <v>0</v>
      </c>
      <c r="F312" s="416">
        <v>0</v>
      </c>
      <c r="G312" s="416">
        <v>0</v>
      </c>
      <c r="H312" s="416">
        <v>0</v>
      </c>
      <c r="I312" s="416">
        <v>0</v>
      </c>
      <c r="J312" s="416">
        <v>0</v>
      </c>
      <c r="K312" s="416">
        <v>0</v>
      </c>
      <c r="L312" s="416">
        <v>0</v>
      </c>
      <c r="M312" s="416">
        <v>0</v>
      </c>
      <c r="N312" s="416">
        <v>0</v>
      </c>
      <c r="O312" s="416">
        <v>0</v>
      </c>
      <c r="P312" s="416">
        <v>0</v>
      </c>
      <c r="Q312" s="416">
        <v>0</v>
      </c>
      <c r="R312" s="416">
        <v>0</v>
      </c>
      <c r="S312" s="416">
        <v>0</v>
      </c>
      <c r="T312" s="416">
        <v>0</v>
      </c>
      <c r="U312" s="416">
        <v>0</v>
      </c>
      <c r="V312" s="416">
        <v>0</v>
      </c>
      <c r="W312" s="416">
        <v>0</v>
      </c>
      <c r="X312" s="416">
        <v>0</v>
      </c>
      <c r="Y312" s="416">
        <v>0</v>
      </c>
      <c r="Z312" s="416">
        <v>0</v>
      </c>
      <c r="AA312" s="416">
        <v>0</v>
      </c>
      <c r="AB312" s="416">
        <v>0</v>
      </c>
      <c r="AC312" s="416">
        <v>0</v>
      </c>
      <c r="AD312" s="416">
        <v>0</v>
      </c>
      <c r="AE312" s="416">
        <v>0</v>
      </c>
      <c r="AF312" s="416">
        <v>0</v>
      </c>
      <c r="AG312" s="416">
        <v>0</v>
      </c>
      <c r="AH312" s="416">
        <v>0</v>
      </c>
      <c r="AI312" s="416">
        <v>0</v>
      </c>
      <c r="AJ312" s="416">
        <v>0</v>
      </c>
      <c r="AK312" s="416">
        <v>0</v>
      </c>
      <c r="AL312" s="416">
        <v>0</v>
      </c>
      <c r="AM312" s="416">
        <v>0</v>
      </c>
      <c r="AN312" s="416">
        <v>0</v>
      </c>
      <c r="AO312" s="416">
        <v>0</v>
      </c>
      <c r="AP312" s="416">
        <v>0</v>
      </c>
      <c r="AQ312" s="416">
        <v>0</v>
      </c>
      <c r="AR312" s="416">
        <v>0</v>
      </c>
      <c r="AS312" s="416">
        <v>0</v>
      </c>
      <c r="AT312" s="416">
        <v>0</v>
      </c>
      <c r="AU312" s="416">
        <v>0</v>
      </c>
      <c r="AV312" s="416">
        <v>0</v>
      </c>
      <c r="AW312" s="416">
        <v>0</v>
      </c>
      <c r="AX312" s="416">
        <v>0</v>
      </c>
      <c r="AY312" s="416">
        <v>0</v>
      </c>
      <c r="AZ312" s="416">
        <v>0</v>
      </c>
      <c r="BA312" s="416">
        <v>0</v>
      </c>
      <c r="BB312" s="416">
        <v>0</v>
      </c>
      <c r="BC312" s="416">
        <v>0</v>
      </c>
      <c r="BD312" s="416">
        <v>0</v>
      </c>
      <c r="BE312" s="416">
        <v>0</v>
      </c>
      <c r="BF312" s="416">
        <v>0</v>
      </c>
      <c r="BG312" s="416">
        <v>0</v>
      </c>
      <c r="BH312" s="416">
        <v>0</v>
      </c>
      <c r="BI312" s="416">
        <v>0</v>
      </c>
      <c r="BJ312" s="416">
        <v>0</v>
      </c>
      <c r="BK312" s="416">
        <v>0</v>
      </c>
      <c r="BL312" s="416">
        <v>0</v>
      </c>
      <c r="BM312" s="416">
        <v>0</v>
      </c>
      <c r="BN312" s="416">
        <v>0</v>
      </c>
      <c r="BO312" s="416">
        <v>0</v>
      </c>
      <c r="BP312" s="416">
        <v>0</v>
      </c>
      <c r="BQ312" s="416">
        <v>0</v>
      </c>
      <c r="BR312" s="416">
        <v>0</v>
      </c>
      <c r="BS312" s="416">
        <v>0</v>
      </c>
      <c r="BT312" s="416">
        <v>0</v>
      </c>
      <c r="BU312" s="416">
        <v>0</v>
      </c>
      <c r="BV312" s="416">
        <v>0</v>
      </c>
      <c r="BW312" s="416">
        <v>0</v>
      </c>
      <c r="BX312" s="416">
        <v>0</v>
      </c>
      <c r="BY312" s="416">
        <v>0</v>
      </c>
      <c r="BZ312" s="416">
        <v>0</v>
      </c>
      <c r="CC312" s="21"/>
      <c r="CD312" s="417" t="s">
        <v>419</v>
      </c>
      <c r="CE312" s="433">
        <f t="shared" si="60"/>
        <v>0</v>
      </c>
      <c r="CF312" s="433">
        <f t="shared" si="61"/>
        <v>0</v>
      </c>
      <c r="CG312" s="433">
        <f t="shared" si="62"/>
        <v>0</v>
      </c>
      <c r="CH312" s="433">
        <f t="shared" si="63"/>
        <v>0</v>
      </c>
      <c r="CI312" s="433">
        <f t="shared" si="64"/>
        <v>0</v>
      </c>
      <c r="CJ312" s="433">
        <f t="shared" si="65"/>
        <v>0</v>
      </c>
      <c r="CK312" s="433">
        <f t="shared" si="66"/>
        <v>0</v>
      </c>
      <c r="CL312" s="433">
        <f t="shared" si="67"/>
        <v>0</v>
      </c>
      <c r="CM312" s="433">
        <f t="shared" si="68"/>
        <v>0</v>
      </c>
      <c r="CN312" s="433">
        <f t="shared" si="69"/>
        <v>0</v>
      </c>
      <c r="CO312" s="433">
        <f t="shared" si="70"/>
        <v>0</v>
      </c>
      <c r="CP312" s="433">
        <f t="shared" si="71"/>
        <v>0</v>
      </c>
      <c r="CQ312" s="433">
        <f t="shared" si="72"/>
        <v>0</v>
      </c>
      <c r="CR312" s="433">
        <f t="shared" si="73"/>
        <v>0</v>
      </c>
      <c r="CS312" s="433">
        <f t="shared" si="74"/>
        <v>0</v>
      </c>
      <c r="CT312" s="21"/>
    </row>
    <row r="313" spans="3:98">
      <c r="C313" s="417" t="s">
        <v>420</v>
      </c>
      <c r="D313" s="416">
        <v>0</v>
      </c>
      <c r="E313" s="416">
        <v>0</v>
      </c>
      <c r="F313" s="416">
        <v>0</v>
      </c>
      <c r="G313" s="416">
        <v>0</v>
      </c>
      <c r="H313" s="416">
        <v>0</v>
      </c>
      <c r="I313" s="416">
        <v>0</v>
      </c>
      <c r="J313" s="416">
        <v>0</v>
      </c>
      <c r="K313" s="416">
        <v>0</v>
      </c>
      <c r="L313" s="416">
        <v>0</v>
      </c>
      <c r="M313" s="416">
        <v>0</v>
      </c>
      <c r="N313" s="416">
        <v>0</v>
      </c>
      <c r="O313" s="416">
        <v>0</v>
      </c>
      <c r="P313" s="416">
        <v>0</v>
      </c>
      <c r="Q313" s="416">
        <v>0</v>
      </c>
      <c r="R313" s="416">
        <v>0</v>
      </c>
      <c r="S313" s="416">
        <v>0</v>
      </c>
      <c r="T313" s="416">
        <v>0</v>
      </c>
      <c r="U313" s="416">
        <v>0</v>
      </c>
      <c r="V313" s="416">
        <v>0</v>
      </c>
      <c r="W313" s="416">
        <v>0</v>
      </c>
      <c r="X313" s="416">
        <v>0</v>
      </c>
      <c r="Y313" s="416">
        <v>0</v>
      </c>
      <c r="Z313" s="416">
        <v>0</v>
      </c>
      <c r="AA313" s="416">
        <v>0</v>
      </c>
      <c r="AB313" s="416">
        <v>0</v>
      </c>
      <c r="AC313" s="416">
        <v>0</v>
      </c>
      <c r="AD313" s="416">
        <v>0</v>
      </c>
      <c r="AE313" s="416">
        <v>0</v>
      </c>
      <c r="AF313" s="416">
        <v>0</v>
      </c>
      <c r="AG313" s="416">
        <v>0</v>
      </c>
      <c r="AH313" s="416">
        <v>0</v>
      </c>
      <c r="AI313" s="416">
        <v>0</v>
      </c>
      <c r="AJ313" s="416">
        <v>0</v>
      </c>
      <c r="AK313" s="416">
        <v>0</v>
      </c>
      <c r="AL313" s="416">
        <v>0</v>
      </c>
      <c r="AM313" s="416">
        <v>0</v>
      </c>
      <c r="AN313" s="416">
        <v>0</v>
      </c>
      <c r="AO313" s="416">
        <v>0</v>
      </c>
      <c r="AP313" s="416">
        <v>0</v>
      </c>
      <c r="AQ313" s="416">
        <v>0</v>
      </c>
      <c r="AR313" s="416">
        <v>0</v>
      </c>
      <c r="AS313" s="416">
        <v>0</v>
      </c>
      <c r="AT313" s="416">
        <v>0</v>
      </c>
      <c r="AU313" s="416">
        <v>0</v>
      </c>
      <c r="AV313" s="416">
        <v>0</v>
      </c>
      <c r="AW313" s="416">
        <v>0</v>
      </c>
      <c r="AX313" s="416">
        <v>0</v>
      </c>
      <c r="AY313" s="416">
        <v>0</v>
      </c>
      <c r="AZ313" s="416">
        <v>0</v>
      </c>
      <c r="BA313" s="416">
        <v>0</v>
      </c>
      <c r="BB313" s="416">
        <v>0</v>
      </c>
      <c r="BC313" s="416">
        <v>0</v>
      </c>
      <c r="BD313" s="416">
        <v>0</v>
      </c>
      <c r="BE313" s="416">
        <v>0</v>
      </c>
      <c r="BF313" s="416">
        <v>0</v>
      </c>
      <c r="BG313" s="416">
        <v>0</v>
      </c>
      <c r="BH313" s="416">
        <v>0</v>
      </c>
      <c r="BI313" s="416">
        <v>0</v>
      </c>
      <c r="BJ313" s="416">
        <v>0</v>
      </c>
      <c r="BK313" s="416">
        <v>0</v>
      </c>
      <c r="BL313" s="416">
        <v>0</v>
      </c>
      <c r="BM313" s="416">
        <v>0</v>
      </c>
      <c r="BN313" s="416">
        <v>0</v>
      </c>
      <c r="BO313" s="416">
        <v>0</v>
      </c>
      <c r="BP313" s="416">
        <v>0</v>
      </c>
      <c r="BQ313" s="416">
        <v>0</v>
      </c>
      <c r="BR313" s="416">
        <v>0</v>
      </c>
      <c r="BS313" s="416">
        <v>0</v>
      </c>
      <c r="BT313" s="416">
        <v>0</v>
      </c>
      <c r="BU313" s="416">
        <v>0</v>
      </c>
      <c r="BV313" s="416">
        <v>0</v>
      </c>
      <c r="BW313" s="416">
        <v>0</v>
      </c>
      <c r="BX313" s="416">
        <v>0</v>
      </c>
      <c r="BY313" s="416">
        <v>0</v>
      </c>
      <c r="BZ313" s="416">
        <v>0</v>
      </c>
      <c r="CC313" s="21"/>
      <c r="CD313" s="417" t="s">
        <v>420</v>
      </c>
      <c r="CE313" s="433">
        <f t="shared" si="60"/>
        <v>0</v>
      </c>
      <c r="CF313" s="433">
        <f t="shared" si="61"/>
        <v>0</v>
      </c>
      <c r="CG313" s="433">
        <f t="shared" si="62"/>
        <v>0</v>
      </c>
      <c r="CH313" s="433">
        <f t="shared" si="63"/>
        <v>0</v>
      </c>
      <c r="CI313" s="433">
        <f t="shared" si="64"/>
        <v>0</v>
      </c>
      <c r="CJ313" s="433">
        <f t="shared" si="65"/>
        <v>0</v>
      </c>
      <c r="CK313" s="433">
        <f t="shared" si="66"/>
        <v>0</v>
      </c>
      <c r="CL313" s="433">
        <f t="shared" si="67"/>
        <v>0</v>
      </c>
      <c r="CM313" s="433">
        <f t="shared" si="68"/>
        <v>0</v>
      </c>
      <c r="CN313" s="433">
        <f t="shared" si="69"/>
        <v>0</v>
      </c>
      <c r="CO313" s="433">
        <f t="shared" si="70"/>
        <v>0</v>
      </c>
      <c r="CP313" s="433">
        <f t="shared" si="71"/>
        <v>0</v>
      </c>
      <c r="CQ313" s="433">
        <f t="shared" si="72"/>
        <v>0</v>
      </c>
      <c r="CR313" s="433">
        <f t="shared" si="73"/>
        <v>0</v>
      </c>
      <c r="CS313" s="433">
        <f t="shared" si="74"/>
        <v>0</v>
      </c>
      <c r="CT313" s="21"/>
    </row>
    <row r="314" spans="3:98">
      <c r="C314" s="417" t="s">
        <v>421</v>
      </c>
      <c r="D314" s="416">
        <v>0</v>
      </c>
      <c r="E314" s="416">
        <v>0</v>
      </c>
      <c r="F314" s="416">
        <v>0</v>
      </c>
      <c r="G314" s="416">
        <v>0</v>
      </c>
      <c r="H314" s="416">
        <v>0</v>
      </c>
      <c r="I314" s="416">
        <v>0</v>
      </c>
      <c r="J314" s="416">
        <v>0</v>
      </c>
      <c r="K314" s="416">
        <v>0</v>
      </c>
      <c r="L314" s="416">
        <v>0</v>
      </c>
      <c r="M314" s="416">
        <v>0</v>
      </c>
      <c r="N314" s="416">
        <v>0</v>
      </c>
      <c r="O314" s="416">
        <v>0</v>
      </c>
      <c r="P314" s="416">
        <v>0</v>
      </c>
      <c r="Q314" s="416">
        <v>0</v>
      </c>
      <c r="R314" s="416">
        <v>0</v>
      </c>
      <c r="S314" s="416">
        <v>0</v>
      </c>
      <c r="T314" s="416">
        <v>0</v>
      </c>
      <c r="U314" s="416">
        <v>0</v>
      </c>
      <c r="V314" s="416">
        <v>0</v>
      </c>
      <c r="W314" s="416">
        <v>0</v>
      </c>
      <c r="X314" s="416">
        <v>0</v>
      </c>
      <c r="Y314" s="416">
        <v>0</v>
      </c>
      <c r="Z314" s="416">
        <v>0</v>
      </c>
      <c r="AA314" s="416">
        <v>0</v>
      </c>
      <c r="AB314" s="416">
        <v>0</v>
      </c>
      <c r="AC314" s="416">
        <v>0</v>
      </c>
      <c r="AD314" s="416">
        <v>0</v>
      </c>
      <c r="AE314" s="416">
        <v>0</v>
      </c>
      <c r="AF314" s="416">
        <v>0</v>
      </c>
      <c r="AG314" s="416">
        <v>0</v>
      </c>
      <c r="AH314" s="416">
        <v>0</v>
      </c>
      <c r="AI314" s="416">
        <v>0</v>
      </c>
      <c r="AJ314" s="416">
        <v>0</v>
      </c>
      <c r="AK314" s="416">
        <v>0</v>
      </c>
      <c r="AL314" s="416">
        <v>0</v>
      </c>
      <c r="AM314" s="416">
        <v>0</v>
      </c>
      <c r="AN314" s="416">
        <v>0</v>
      </c>
      <c r="AO314" s="416">
        <v>0</v>
      </c>
      <c r="AP314" s="416">
        <v>0</v>
      </c>
      <c r="AQ314" s="416">
        <v>0</v>
      </c>
      <c r="AR314" s="416">
        <v>0</v>
      </c>
      <c r="AS314" s="416">
        <v>0</v>
      </c>
      <c r="AT314" s="416">
        <v>0</v>
      </c>
      <c r="AU314" s="416">
        <v>0</v>
      </c>
      <c r="AV314" s="416">
        <v>0</v>
      </c>
      <c r="AW314" s="416">
        <v>0</v>
      </c>
      <c r="AX314" s="416">
        <v>0</v>
      </c>
      <c r="AY314" s="416">
        <v>0</v>
      </c>
      <c r="AZ314" s="416">
        <v>0</v>
      </c>
      <c r="BA314" s="416">
        <v>0</v>
      </c>
      <c r="BB314" s="416">
        <v>0</v>
      </c>
      <c r="BC314" s="416">
        <v>0</v>
      </c>
      <c r="BD314" s="416">
        <v>0</v>
      </c>
      <c r="BE314" s="416">
        <v>0</v>
      </c>
      <c r="BF314" s="416">
        <v>0</v>
      </c>
      <c r="BG314" s="416">
        <v>0</v>
      </c>
      <c r="BH314" s="416">
        <v>0</v>
      </c>
      <c r="BI314" s="416">
        <v>0</v>
      </c>
      <c r="BJ314" s="416">
        <v>0</v>
      </c>
      <c r="BK314" s="416">
        <v>0</v>
      </c>
      <c r="BL314" s="416">
        <v>0</v>
      </c>
      <c r="BM314" s="416">
        <v>0</v>
      </c>
      <c r="BN314" s="416">
        <v>0</v>
      </c>
      <c r="BO314" s="416">
        <v>0</v>
      </c>
      <c r="BP314" s="416">
        <v>0</v>
      </c>
      <c r="BQ314" s="416">
        <v>0</v>
      </c>
      <c r="BR314" s="416">
        <v>0</v>
      </c>
      <c r="BS314" s="416">
        <v>0</v>
      </c>
      <c r="BT314" s="416">
        <v>0</v>
      </c>
      <c r="BU314" s="416">
        <v>0</v>
      </c>
      <c r="BV314" s="416">
        <v>0</v>
      </c>
      <c r="BW314" s="416">
        <v>0</v>
      </c>
      <c r="BX314" s="416">
        <v>0</v>
      </c>
      <c r="BY314" s="416">
        <v>0</v>
      </c>
      <c r="BZ314" s="416">
        <v>0</v>
      </c>
      <c r="CC314" s="21"/>
      <c r="CD314" s="417" t="s">
        <v>421</v>
      </c>
      <c r="CE314" s="433">
        <f t="shared" si="60"/>
        <v>0</v>
      </c>
      <c r="CF314" s="433">
        <f t="shared" si="61"/>
        <v>0</v>
      </c>
      <c r="CG314" s="433">
        <f t="shared" si="62"/>
        <v>0</v>
      </c>
      <c r="CH314" s="433">
        <f t="shared" si="63"/>
        <v>0</v>
      </c>
      <c r="CI314" s="433">
        <f t="shared" si="64"/>
        <v>0</v>
      </c>
      <c r="CJ314" s="433">
        <f t="shared" si="65"/>
        <v>0</v>
      </c>
      <c r="CK314" s="433">
        <f t="shared" si="66"/>
        <v>0</v>
      </c>
      <c r="CL314" s="433">
        <f t="shared" si="67"/>
        <v>0</v>
      </c>
      <c r="CM314" s="433">
        <f t="shared" si="68"/>
        <v>0</v>
      </c>
      <c r="CN314" s="433">
        <f t="shared" si="69"/>
        <v>0</v>
      </c>
      <c r="CO314" s="433">
        <f t="shared" si="70"/>
        <v>0</v>
      </c>
      <c r="CP314" s="433">
        <f t="shared" si="71"/>
        <v>0</v>
      </c>
      <c r="CQ314" s="433">
        <f t="shared" si="72"/>
        <v>0</v>
      </c>
      <c r="CR314" s="433">
        <f t="shared" si="73"/>
        <v>0</v>
      </c>
      <c r="CS314" s="433">
        <f t="shared" si="74"/>
        <v>0</v>
      </c>
      <c r="CT314" s="21"/>
    </row>
    <row r="315" spans="3:98">
      <c r="C315" s="417" t="s">
        <v>422</v>
      </c>
      <c r="D315" s="416">
        <v>0</v>
      </c>
      <c r="E315" s="416">
        <v>0</v>
      </c>
      <c r="F315" s="416">
        <v>0</v>
      </c>
      <c r="G315" s="416">
        <v>0</v>
      </c>
      <c r="H315" s="416">
        <v>0</v>
      </c>
      <c r="I315" s="416">
        <v>0</v>
      </c>
      <c r="J315" s="416">
        <v>0</v>
      </c>
      <c r="K315" s="416">
        <v>0</v>
      </c>
      <c r="L315" s="416">
        <v>0</v>
      </c>
      <c r="M315" s="416">
        <v>0</v>
      </c>
      <c r="N315" s="416">
        <v>0</v>
      </c>
      <c r="O315" s="416">
        <v>0</v>
      </c>
      <c r="P315" s="416">
        <v>0</v>
      </c>
      <c r="Q315" s="416">
        <v>0</v>
      </c>
      <c r="R315" s="416">
        <v>0</v>
      </c>
      <c r="S315" s="416">
        <v>0</v>
      </c>
      <c r="T315" s="416">
        <v>0</v>
      </c>
      <c r="U315" s="416">
        <v>0</v>
      </c>
      <c r="V315" s="416">
        <v>0</v>
      </c>
      <c r="W315" s="416">
        <v>0</v>
      </c>
      <c r="X315" s="416">
        <v>0</v>
      </c>
      <c r="Y315" s="416">
        <v>0</v>
      </c>
      <c r="Z315" s="416">
        <v>0</v>
      </c>
      <c r="AA315" s="416">
        <v>0</v>
      </c>
      <c r="AB315" s="416">
        <v>0</v>
      </c>
      <c r="AC315" s="416">
        <v>0</v>
      </c>
      <c r="AD315" s="416">
        <v>0</v>
      </c>
      <c r="AE315" s="416">
        <v>0</v>
      </c>
      <c r="AF315" s="416">
        <v>0</v>
      </c>
      <c r="AG315" s="416">
        <v>0</v>
      </c>
      <c r="AH315" s="416">
        <v>0</v>
      </c>
      <c r="AI315" s="416">
        <v>0</v>
      </c>
      <c r="AJ315" s="416">
        <v>0</v>
      </c>
      <c r="AK315" s="416">
        <v>0</v>
      </c>
      <c r="AL315" s="416">
        <v>0</v>
      </c>
      <c r="AM315" s="416">
        <v>0</v>
      </c>
      <c r="AN315" s="416">
        <v>0</v>
      </c>
      <c r="AO315" s="416">
        <v>0</v>
      </c>
      <c r="AP315" s="416">
        <v>0</v>
      </c>
      <c r="AQ315" s="416">
        <v>0</v>
      </c>
      <c r="AR315" s="416">
        <v>0</v>
      </c>
      <c r="AS315" s="416">
        <v>0</v>
      </c>
      <c r="AT315" s="416">
        <v>0</v>
      </c>
      <c r="AU315" s="416">
        <v>0</v>
      </c>
      <c r="AV315" s="416">
        <v>0</v>
      </c>
      <c r="AW315" s="416">
        <v>0</v>
      </c>
      <c r="AX315" s="416">
        <v>0</v>
      </c>
      <c r="AY315" s="416">
        <v>0</v>
      </c>
      <c r="AZ315" s="416">
        <v>0</v>
      </c>
      <c r="BA315" s="416">
        <v>0</v>
      </c>
      <c r="BB315" s="416">
        <v>0</v>
      </c>
      <c r="BC315" s="416">
        <v>0</v>
      </c>
      <c r="BD315" s="416">
        <v>0</v>
      </c>
      <c r="BE315" s="416">
        <v>0</v>
      </c>
      <c r="BF315" s="416">
        <v>0</v>
      </c>
      <c r="BG315" s="416">
        <v>0</v>
      </c>
      <c r="BH315" s="416">
        <v>0</v>
      </c>
      <c r="BI315" s="416">
        <v>0</v>
      </c>
      <c r="BJ315" s="416">
        <v>0</v>
      </c>
      <c r="BK315" s="416">
        <v>0</v>
      </c>
      <c r="BL315" s="416">
        <v>0</v>
      </c>
      <c r="BM315" s="416">
        <v>0</v>
      </c>
      <c r="BN315" s="416">
        <v>0</v>
      </c>
      <c r="BO315" s="416">
        <v>0</v>
      </c>
      <c r="BP315" s="416">
        <v>0</v>
      </c>
      <c r="BQ315" s="416">
        <v>0</v>
      </c>
      <c r="BR315" s="416">
        <v>0</v>
      </c>
      <c r="BS315" s="416">
        <v>0</v>
      </c>
      <c r="BT315" s="416">
        <v>0</v>
      </c>
      <c r="BU315" s="416">
        <v>0</v>
      </c>
      <c r="BV315" s="416">
        <v>0</v>
      </c>
      <c r="BW315" s="416">
        <v>0</v>
      </c>
      <c r="BX315" s="416">
        <v>0</v>
      </c>
      <c r="BY315" s="416">
        <v>0</v>
      </c>
      <c r="BZ315" s="416">
        <v>0</v>
      </c>
      <c r="CC315" s="21"/>
      <c r="CD315" s="417" t="s">
        <v>422</v>
      </c>
      <c r="CE315" s="433">
        <f t="shared" si="60"/>
        <v>0</v>
      </c>
      <c r="CF315" s="433">
        <f t="shared" si="61"/>
        <v>0</v>
      </c>
      <c r="CG315" s="433">
        <f t="shared" si="62"/>
        <v>0</v>
      </c>
      <c r="CH315" s="433">
        <f t="shared" si="63"/>
        <v>0</v>
      </c>
      <c r="CI315" s="433">
        <f t="shared" si="64"/>
        <v>0</v>
      </c>
      <c r="CJ315" s="433">
        <f t="shared" si="65"/>
        <v>0</v>
      </c>
      <c r="CK315" s="433">
        <f t="shared" si="66"/>
        <v>0</v>
      </c>
      <c r="CL315" s="433">
        <f t="shared" si="67"/>
        <v>0</v>
      </c>
      <c r="CM315" s="433">
        <f t="shared" si="68"/>
        <v>0</v>
      </c>
      <c r="CN315" s="433">
        <f t="shared" si="69"/>
        <v>0</v>
      </c>
      <c r="CO315" s="433">
        <f t="shared" si="70"/>
        <v>0</v>
      </c>
      <c r="CP315" s="433">
        <f t="shared" si="71"/>
        <v>0</v>
      </c>
      <c r="CQ315" s="433">
        <f t="shared" si="72"/>
        <v>0</v>
      </c>
      <c r="CR315" s="433">
        <f t="shared" si="73"/>
        <v>0</v>
      </c>
      <c r="CS315" s="433">
        <f t="shared" si="74"/>
        <v>0</v>
      </c>
      <c r="CT315" s="21"/>
    </row>
    <row r="316" spans="3:98">
      <c r="C316" s="417" t="s">
        <v>423</v>
      </c>
      <c r="D316" s="416">
        <v>0</v>
      </c>
      <c r="E316" s="416">
        <v>0</v>
      </c>
      <c r="F316" s="416">
        <v>0</v>
      </c>
      <c r="G316" s="416">
        <v>0</v>
      </c>
      <c r="H316" s="416">
        <v>0</v>
      </c>
      <c r="I316" s="416">
        <v>0</v>
      </c>
      <c r="J316" s="416">
        <v>0</v>
      </c>
      <c r="K316" s="416">
        <v>0</v>
      </c>
      <c r="L316" s="416">
        <v>0</v>
      </c>
      <c r="M316" s="416">
        <v>0</v>
      </c>
      <c r="N316" s="416">
        <v>0</v>
      </c>
      <c r="O316" s="416">
        <v>0</v>
      </c>
      <c r="P316" s="416">
        <v>0</v>
      </c>
      <c r="Q316" s="416">
        <v>0</v>
      </c>
      <c r="R316" s="416">
        <v>0</v>
      </c>
      <c r="S316" s="416">
        <v>0</v>
      </c>
      <c r="T316" s="416">
        <v>0</v>
      </c>
      <c r="U316" s="416">
        <v>0</v>
      </c>
      <c r="V316" s="416">
        <v>0</v>
      </c>
      <c r="W316" s="416">
        <v>0</v>
      </c>
      <c r="X316" s="416">
        <v>0</v>
      </c>
      <c r="Y316" s="416">
        <v>0</v>
      </c>
      <c r="Z316" s="416">
        <v>0</v>
      </c>
      <c r="AA316" s="416">
        <v>0</v>
      </c>
      <c r="AB316" s="416">
        <v>0</v>
      </c>
      <c r="AC316" s="416">
        <v>0</v>
      </c>
      <c r="AD316" s="416">
        <v>0</v>
      </c>
      <c r="AE316" s="416">
        <v>0</v>
      </c>
      <c r="AF316" s="416">
        <v>0</v>
      </c>
      <c r="AG316" s="416">
        <v>0</v>
      </c>
      <c r="AH316" s="416">
        <v>0</v>
      </c>
      <c r="AI316" s="416">
        <v>0</v>
      </c>
      <c r="AJ316" s="416">
        <v>0</v>
      </c>
      <c r="AK316" s="416">
        <v>0</v>
      </c>
      <c r="AL316" s="416">
        <v>0</v>
      </c>
      <c r="AM316" s="416">
        <v>0</v>
      </c>
      <c r="AN316" s="416">
        <v>0</v>
      </c>
      <c r="AO316" s="416">
        <v>0</v>
      </c>
      <c r="AP316" s="416">
        <v>0</v>
      </c>
      <c r="AQ316" s="416">
        <v>0</v>
      </c>
      <c r="AR316" s="416">
        <v>0</v>
      </c>
      <c r="AS316" s="416">
        <v>0</v>
      </c>
      <c r="AT316" s="416">
        <v>0</v>
      </c>
      <c r="AU316" s="416">
        <v>0</v>
      </c>
      <c r="AV316" s="416">
        <v>0</v>
      </c>
      <c r="AW316" s="416">
        <v>0</v>
      </c>
      <c r="AX316" s="416">
        <v>0</v>
      </c>
      <c r="AY316" s="416">
        <v>0</v>
      </c>
      <c r="AZ316" s="416">
        <v>0</v>
      </c>
      <c r="BA316" s="416">
        <v>0</v>
      </c>
      <c r="BB316" s="416">
        <v>0</v>
      </c>
      <c r="BC316" s="416">
        <v>0</v>
      </c>
      <c r="BD316" s="416">
        <v>0</v>
      </c>
      <c r="BE316" s="416">
        <v>0</v>
      </c>
      <c r="BF316" s="416">
        <v>0</v>
      </c>
      <c r="BG316" s="416">
        <v>0</v>
      </c>
      <c r="BH316" s="416">
        <v>0</v>
      </c>
      <c r="BI316" s="416">
        <v>0</v>
      </c>
      <c r="BJ316" s="416">
        <v>0</v>
      </c>
      <c r="BK316" s="416">
        <v>0</v>
      </c>
      <c r="BL316" s="416">
        <v>0</v>
      </c>
      <c r="BM316" s="416">
        <v>0</v>
      </c>
      <c r="BN316" s="416">
        <v>0</v>
      </c>
      <c r="BO316" s="416">
        <v>0</v>
      </c>
      <c r="BP316" s="416">
        <v>0</v>
      </c>
      <c r="BQ316" s="416">
        <v>0</v>
      </c>
      <c r="BR316" s="416">
        <v>0</v>
      </c>
      <c r="BS316" s="416">
        <v>0</v>
      </c>
      <c r="BT316" s="416">
        <v>0</v>
      </c>
      <c r="BU316" s="416">
        <v>0</v>
      </c>
      <c r="BV316" s="416">
        <v>0</v>
      </c>
      <c r="BW316" s="416">
        <v>0</v>
      </c>
      <c r="BX316" s="416">
        <v>0</v>
      </c>
      <c r="BY316" s="416">
        <v>0</v>
      </c>
      <c r="BZ316" s="416">
        <v>0</v>
      </c>
      <c r="CC316" s="21"/>
      <c r="CD316" s="417" t="s">
        <v>423</v>
      </c>
      <c r="CE316" s="433">
        <f t="shared" si="60"/>
        <v>0</v>
      </c>
      <c r="CF316" s="433">
        <f t="shared" si="61"/>
        <v>0</v>
      </c>
      <c r="CG316" s="433">
        <f t="shared" si="62"/>
        <v>0</v>
      </c>
      <c r="CH316" s="433">
        <f t="shared" si="63"/>
        <v>0</v>
      </c>
      <c r="CI316" s="433">
        <f t="shared" si="64"/>
        <v>0</v>
      </c>
      <c r="CJ316" s="433">
        <f t="shared" si="65"/>
        <v>0</v>
      </c>
      <c r="CK316" s="433">
        <f t="shared" si="66"/>
        <v>0</v>
      </c>
      <c r="CL316" s="433">
        <f t="shared" si="67"/>
        <v>0</v>
      </c>
      <c r="CM316" s="433">
        <f t="shared" si="68"/>
        <v>0</v>
      </c>
      <c r="CN316" s="433">
        <f t="shared" si="69"/>
        <v>0</v>
      </c>
      <c r="CO316" s="433">
        <f t="shared" si="70"/>
        <v>0</v>
      </c>
      <c r="CP316" s="433">
        <f t="shared" si="71"/>
        <v>0</v>
      </c>
      <c r="CQ316" s="433">
        <f t="shared" si="72"/>
        <v>0</v>
      </c>
      <c r="CR316" s="433">
        <f t="shared" si="73"/>
        <v>0</v>
      </c>
      <c r="CS316" s="433">
        <f t="shared" si="74"/>
        <v>0</v>
      </c>
      <c r="CT316" s="21"/>
    </row>
    <row r="317" spans="3:98">
      <c r="C317" s="417" t="s">
        <v>424</v>
      </c>
      <c r="D317" s="416">
        <v>0</v>
      </c>
      <c r="E317" s="416">
        <v>0</v>
      </c>
      <c r="F317" s="416">
        <v>0</v>
      </c>
      <c r="G317" s="416">
        <v>0</v>
      </c>
      <c r="H317" s="416">
        <v>0</v>
      </c>
      <c r="I317" s="416">
        <v>0</v>
      </c>
      <c r="J317" s="416">
        <v>0</v>
      </c>
      <c r="K317" s="416">
        <v>0</v>
      </c>
      <c r="L317" s="416">
        <v>0</v>
      </c>
      <c r="M317" s="416">
        <v>0</v>
      </c>
      <c r="N317" s="416">
        <v>0</v>
      </c>
      <c r="O317" s="416">
        <v>0</v>
      </c>
      <c r="P317" s="416">
        <v>0</v>
      </c>
      <c r="Q317" s="416">
        <v>0</v>
      </c>
      <c r="R317" s="416">
        <v>0</v>
      </c>
      <c r="S317" s="416">
        <v>0</v>
      </c>
      <c r="T317" s="416">
        <v>0</v>
      </c>
      <c r="U317" s="416">
        <v>0</v>
      </c>
      <c r="V317" s="416">
        <v>0</v>
      </c>
      <c r="W317" s="416">
        <v>0</v>
      </c>
      <c r="X317" s="416">
        <v>0</v>
      </c>
      <c r="Y317" s="416">
        <v>0</v>
      </c>
      <c r="Z317" s="416">
        <v>0</v>
      </c>
      <c r="AA317" s="416">
        <v>0</v>
      </c>
      <c r="AB317" s="416">
        <v>0</v>
      </c>
      <c r="AC317" s="416">
        <v>0</v>
      </c>
      <c r="AD317" s="416">
        <v>0</v>
      </c>
      <c r="AE317" s="416">
        <v>0</v>
      </c>
      <c r="AF317" s="416">
        <v>0</v>
      </c>
      <c r="AG317" s="416">
        <v>0</v>
      </c>
      <c r="AH317" s="416">
        <v>0</v>
      </c>
      <c r="AI317" s="416">
        <v>0</v>
      </c>
      <c r="AJ317" s="416">
        <v>0</v>
      </c>
      <c r="AK317" s="416">
        <v>0</v>
      </c>
      <c r="AL317" s="416">
        <v>0</v>
      </c>
      <c r="AM317" s="416">
        <v>0</v>
      </c>
      <c r="AN317" s="416">
        <v>0</v>
      </c>
      <c r="AO317" s="416">
        <v>0</v>
      </c>
      <c r="AP317" s="416">
        <v>0</v>
      </c>
      <c r="AQ317" s="416">
        <v>0</v>
      </c>
      <c r="AR317" s="416">
        <v>0</v>
      </c>
      <c r="AS317" s="416">
        <v>0</v>
      </c>
      <c r="AT317" s="416">
        <v>0</v>
      </c>
      <c r="AU317" s="416">
        <v>0</v>
      </c>
      <c r="AV317" s="416">
        <v>0</v>
      </c>
      <c r="AW317" s="416">
        <v>0</v>
      </c>
      <c r="AX317" s="416">
        <v>0</v>
      </c>
      <c r="AY317" s="416">
        <v>0</v>
      </c>
      <c r="AZ317" s="416">
        <v>0</v>
      </c>
      <c r="BA317" s="416">
        <v>0</v>
      </c>
      <c r="BB317" s="416">
        <v>0</v>
      </c>
      <c r="BC317" s="416">
        <v>0</v>
      </c>
      <c r="BD317" s="416">
        <v>0</v>
      </c>
      <c r="BE317" s="416">
        <v>0</v>
      </c>
      <c r="BF317" s="416">
        <v>0</v>
      </c>
      <c r="BG317" s="416">
        <v>0</v>
      </c>
      <c r="BH317" s="416">
        <v>0</v>
      </c>
      <c r="BI317" s="416">
        <v>0</v>
      </c>
      <c r="BJ317" s="416">
        <v>0</v>
      </c>
      <c r="BK317" s="416">
        <v>0</v>
      </c>
      <c r="BL317" s="416">
        <v>0</v>
      </c>
      <c r="BM317" s="416">
        <v>0</v>
      </c>
      <c r="BN317" s="416">
        <v>0</v>
      </c>
      <c r="BO317" s="416">
        <v>0</v>
      </c>
      <c r="BP317" s="416">
        <v>0</v>
      </c>
      <c r="BQ317" s="416">
        <v>0</v>
      </c>
      <c r="BR317" s="416">
        <v>0</v>
      </c>
      <c r="BS317" s="416">
        <v>0</v>
      </c>
      <c r="BT317" s="416">
        <v>0</v>
      </c>
      <c r="BU317" s="416">
        <v>0</v>
      </c>
      <c r="BV317" s="416">
        <v>0</v>
      </c>
      <c r="BW317" s="416">
        <v>0</v>
      </c>
      <c r="BX317" s="416">
        <v>0</v>
      </c>
      <c r="BY317" s="416">
        <v>0</v>
      </c>
      <c r="BZ317" s="416">
        <v>0</v>
      </c>
      <c r="CC317" s="21"/>
      <c r="CD317" s="417" t="s">
        <v>424</v>
      </c>
      <c r="CE317" s="433">
        <f t="shared" si="60"/>
        <v>0</v>
      </c>
      <c r="CF317" s="433">
        <f t="shared" si="61"/>
        <v>0</v>
      </c>
      <c r="CG317" s="433">
        <f t="shared" si="62"/>
        <v>0</v>
      </c>
      <c r="CH317" s="433">
        <f t="shared" si="63"/>
        <v>0</v>
      </c>
      <c r="CI317" s="433">
        <f t="shared" si="64"/>
        <v>0</v>
      </c>
      <c r="CJ317" s="433">
        <f t="shared" si="65"/>
        <v>0</v>
      </c>
      <c r="CK317" s="433">
        <f t="shared" si="66"/>
        <v>0</v>
      </c>
      <c r="CL317" s="433">
        <f t="shared" si="67"/>
        <v>0</v>
      </c>
      <c r="CM317" s="433">
        <f t="shared" si="68"/>
        <v>0</v>
      </c>
      <c r="CN317" s="433">
        <f t="shared" si="69"/>
        <v>0</v>
      </c>
      <c r="CO317" s="433">
        <f t="shared" si="70"/>
        <v>0</v>
      </c>
      <c r="CP317" s="433">
        <f t="shared" si="71"/>
        <v>0</v>
      </c>
      <c r="CQ317" s="433">
        <f t="shared" si="72"/>
        <v>0</v>
      </c>
      <c r="CR317" s="433">
        <f t="shared" si="73"/>
        <v>0</v>
      </c>
      <c r="CS317" s="433">
        <f t="shared" si="74"/>
        <v>0</v>
      </c>
      <c r="CT317" s="21"/>
    </row>
    <row r="318" spans="3:98">
      <c r="C318" s="417" t="s">
        <v>425</v>
      </c>
      <c r="D318" s="416">
        <v>0</v>
      </c>
      <c r="E318" s="416">
        <v>0</v>
      </c>
      <c r="F318" s="416">
        <v>0</v>
      </c>
      <c r="G318" s="416">
        <v>0</v>
      </c>
      <c r="H318" s="416">
        <v>0</v>
      </c>
      <c r="I318" s="416">
        <v>0</v>
      </c>
      <c r="J318" s="416">
        <v>0</v>
      </c>
      <c r="K318" s="416">
        <v>0</v>
      </c>
      <c r="L318" s="416">
        <v>0</v>
      </c>
      <c r="M318" s="416">
        <v>0</v>
      </c>
      <c r="N318" s="416">
        <v>0</v>
      </c>
      <c r="O318" s="416">
        <v>0</v>
      </c>
      <c r="P318" s="416">
        <v>0</v>
      </c>
      <c r="Q318" s="416">
        <v>0</v>
      </c>
      <c r="R318" s="416">
        <v>0</v>
      </c>
      <c r="S318" s="416">
        <v>0</v>
      </c>
      <c r="T318" s="416">
        <v>0</v>
      </c>
      <c r="U318" s="416">
        <v>0</v>
      </c>
      <c r="V318" s="416">
        <v>0</v>
      </c>
      <c r="W318" s="416">
        <v>0</v>
      </c>
      <c r="X318" s="416">
        <v>0</v>
      </c>
      <c r="Y318" s="416">
        <v>0</v>
      </c>
      <c r="Z318" s="416">
        <v>0</v>
      </c>
      <c r="AA318" s="416">
        <v>0</v>
      </c>
      <c r="AB318" s="416">
        <v>0</v>
      </c>
      <c r="AC318" s="416">
        <v>0</v>
      </c>
      <c r="AD318" s="416">
        <v>0</v>
      </c>
      <c r="AE318" s="416">
        <v>0</v>
      </c>
      <c r="AF318" s="416">
        <v>0</v>
      </c>
      <c r="AG318" s="416">
        <v>0</v>
      </c>
      <c r="AH318" s="416">
        <v>0</v>
      </c>
      <c r="AI318" s="416">
        <v>0</v>
      </c>
      <c r="AJ318" s="416">
        <v>0</v>
      </c>
      <c r="AK318" s="416">
        <v>0</v>
      </c>
      <c r="AL318" s="416">
        <v>0</v>
      </c>
      <c r="AM318" s="416">
        <v>0</v>
      </c>
      <c r="AN318" s="416">
        <v>0</v>
      </c>
      <c r="AO318" s="416">
        <v>0</v>
      </c>
      <c r="AP318" s="416">
        <v>0</v>
      </c>
      <c r="AQ318" s="416">
        <v>0</v>
      </c>
      <c r="AR318" s="416">
        <v>0</v>
      </c>
      <c r="AS318" s="416">
        <v>0</v>
      </c>
      <c r="AT318" s="416">
        <v>0</v>
      </c>
      <c r="AU318" s="416">
        <v>0</v>
      </c>
      <c r="AV318" s="416">
        <v>0</v>
      </c>
      <c r="AW318" s="416">
        <v>0</v>
      </c>
      <c r="AX318" s="416">
        <v>0</v>
      </c>
      <c r="AY318" s="416">
        <v>0</v>
      </c>
      <c r="AZ318" s="416">
        <v>0</v>
      </c>
      <c r="BA318" s="416">
        <v>0</v>
      </c>
      <c r="BB318" s="416">
        <v>0</v>
      </c>
      <c r="BC318" s="416">
        <v>0</v>
      </c>
      <c r="BD318" s="416">
        <v>0</v>
      </c>
      <c r="BE318" s="416">
        <v>0</v>
      </c>
      <c r="BF318" s="416">
        <v>0</v>
      </c>
      <c r="BG318" s="416">
        <v>0</v>
      </c>
      <c r="BH318" s="416">
        <v>0</v>
      </c>
      <c r="BI318" s="416">
        <v>0</v>
      </c>
      <c r="BJ318" s="416">
        <v>0</v>
      </c>
      <c r="BK318" s="416">
        <v>0</v>
      </c>
      <c r="BL318" s="416">
        <v>0</v>
      </c>
      <c r="BM318" s="416">
        <v>0</v>
      </c>
      <c r="BN318" s="416">
        <v>0</v>
      </c>
      <c r="BO318" s="416">
        <v>0</v>
      </c>
      <c r="BP318" s="416">
        <v>0</v>
      </c>
      <c r="BQ318" s="416">
        <v>0</v>
      </c>
      <c r="BR318" s="416">
        <v>0</v>
      </c>
      <c r="BS318" s="416">
        <v>0</v>
      </c>
      <c r="BT318" s="416">
        <v>0</v>
      </c>
      <c r="BU318" s="416">
        <v>0</v>
      </c>
      <c r="BV318" s="416">
        <v>0</v>
      </c>
      <c r="BW318" s="416">
        <v>0</v>
      </c>
      <c r="BX318" s="416">
        <v>0</v>
      </c>
      <c r="BY318" s="416">
        <v>0</v>
      </c>
      <c r="BZ318" s="416">
        <v>0</v>
      </c>
      <c r="CC318" s="21"/>
      <c r="CD318" s="417" t="s">
        <v>425</v>
      </c>
      <c r="CE318" s="433">
        <f t="shared" si="60"/>
        <v>0</v>
      </c>
      <c r="CF318" s="433">
        <f t="shared" si="61"/>
        <v>0</v>
      </c>
      <c r="CG318" s="433">
        <f t="shared" si="62"/>
        <v>0</v>
      </c>
      <c r="CH318" s="433">
        <f t="shared" si="63"/>
        <v>0</v>
      </c>
      <c r="CI318" s="433">
        <f t="shared" si="64"/>
        <v>0</v>
      </c>
      <c r="CJ318" s="433">
        <f t="shared" si="65"/>
        <v>0</v>
      </c>
      <c r="CK318" s="433">
        <f t="shared" si="66"/>
        <v>0</v>
      </c>
      <c r="CL318" s="433">
        <f t="shared" si="67"/>
        <v>0</v>
      </c>
      <c r="CM318" s="433">
        <f t="shared" si="68"/>
        <v>0</v>
      </c>
      <c r="CN318" s="433">
        <f t="shared" si="69"/>
        <v>0</v>
      </c>
      <c r="CO318" s="433">
        <f t="shared" si="70"/>
        <v>0</v>
      </c>
      <c r="CP318" s="433">
        <f t="shared" si="71"/>
        <v>0</v>
      </c>
      <c r="CQ318" s="433">
        <f t="shared" si="72"/>
        <v>0</v>
      </c>
      <c r="CR318" s="433">
        <f t="shared" si="73"/>
        <v>0</v>
      </c>
      <c r="CS318" s="433">
        <f t="shared" si="74"/>
        <v>0</v>
      </c>
      <c r="CT318" s="21"/>
    </row>
    <row r="319" spans="3:98" ht="15">
      <c r="C319" s="421" t="s">
        <v>418</v>
      </c>
      <c r="D319" s="422">
        <v>0</v>
      </c>
      <c r="E319" s="422">
        <v>0</v>
      </c>
      <c r="F319" s="422">
        <v>0</v>
      </c>
      <c r="G319" s="422">
        <v>0</v>
      </c>
      <c r="H319" s="422">
        <v>0</v>
      </c>
      <c r="I319" s="422">
        <v>0</v>
      </c>
      <c r="J319" s="422">
        <v>0</v>
      </c>
      <c r="K319" s="422">
        <v>0</v>
      </c>
      <c r="L319" s="422">
        <v>0</v>
      </c>
      <c r="M319" s="422">
        <v>0</v>
      </c>
      <c r="N319" s="422">
        <v>0</v>
      </c>
      <c r="O319" s="422">
        <v>0</v>
      </c>
      <c r="P319" s="422">
        <v>0</v>
      </c>
      <c r="Q319" s="422">
        <v>0</v>
      </c>
      <c r="R319" s="422">
        <v>0</v>
      </c>
      <c r="S319" s="422">
        <v>0</v>
      </c>
      <c r="T319" s="422">
        <v>0</v>
      </c>
      <c r="U319" s="422">
        <v>0</v>
      </c>
      <c r="V319" s="422">
        <v>0</v>
      </c>
      <c r="W319" s="422">
        <v>0</v>
      </c>
      <c r="X319" s="422">
        <v>0</v>
      </c>
      <c r="Y319" s="422">
        <v>0</v>
      </c>
      <c r="Z319" s="422">
        <v>0</v>
      </c>
      <c r="AA319" s="422">
        <v>0</v>
      </c>
      <c r="AB319" s="422">
        <v>0</v>
      </c>
      <c r="AC319" s="422">
        <v>0</v>
      </c>
      <c r="AD319" s="422">
        <v>0</v>
      </c>
      <c r="AE319" s="422">
        <v>0</v>
      </c>
      <c r="AF319" s="422">
        <v>0</v>
      </c>
      <c r="AG319" s="422">
        <v>0</v>
      </c>
      <c r="AH319" s="422">
        <v>0</v>
      </c>
      <c r="AI319" s="422">
        <v>0</v>
      </c>
      <c r="AJ319" s="422">
        <v>0</v>
      </c>
      <c r="AK319" s="422">
        <v>0</v>
      </c>
      <c r="AL319" s="422">
        <v>0</v>
      </c>
      <c r="AM319" s="422">
        <v>0</v>
      </c>
      <c r="AN319" s="422">
        <v>0</v>
      </c>
      <c r="AO319" s="422">
        <v>0</v>
      </c>
      <c r="AP319" s="422">
        <v>0</v>
      </c>
      <c r="AQ319" s="422">
        <v>0</v>
      </c>
      <c r="AR319" s="422">
        <v>0</v>
      </c>
      <c r="AS319" s="422">
        <v>0</v>
      </c>
      <c r="AT319" s="422">
        <v>0</v>
      </c>
      <c r="AU319" s="422">
        <v>0</v>
      </c>
      <c r="AV319" s="422">
        <v>0</v>
      </c>
      <c r="AW319" s="422">
        <v>0</v>
      </c>
      <c r="AX319" s="422">
        <v>0</v>
      </c>
      <c r="AY319" s="422">
        <v>0</v>
      </c>
      <c r="AZ319" s="422">
        <v>0</v>
      </c>
      <c r="BA319" s="422">
        <v>0</v>
      </c>
      <c r="BB319" s="422">
        <v>0</v>
      </c>
      <c r="BC319" s="422">
        <v>0</v>
      </c>
      <c r="BD319" s="422">
        <v>0</v>
      </c>
      <c r="BE319" s="422">
        <v>0</v>
      </c>
      <c r="BF319" s="422">
        <v>0</v>
      </c>
      <c r="BG319" s="422">
        <v>0</v>
      </c>
      <c r="BH319" s="422">
        <v>0</v>
      </c>
      <c r="BI319" s="422">
        <v>0</v>
      </c>
      <c r="BJ319" s="422">
        <v>0</v>
      </c>
      <c r="BK319" s="422">
        <v>0</v>
      </c>
      <c r="BL319" s="422">
        <v>0</v>
      </c>
      <c r="BM319" s="422">
        <v>0</v>
      </c>
      <c r="BN319" s="422">
        <v>0</v>
      </c>
      <c r="BO319" s="422">
        <v>0</v>
      </c>
      <c r="BP319" s="422">
        <v>0</v>
      </c>
      <c r="BQ319" s="422">
        <v>0</v>
      </c>
      <c r="BR319" s="422">
        <v>0</v>
      </c>
      <c r="BS319" s="422">
        <v>0</v>
      </c>
      <c r="BT319" s="422">
        <v>0</v>
      </c>
      <c r="BU319" s="422">
        <v>0</v>
      </c>
      <c r="BV319" s="422">
        <v>0</v>
      </c>
      <c r="BW319" s="422">
        <v>0</v>
      </c>
      <c r="BX319" s="422">
        <v>0</v>
      </c>
      <c r="BY319" s="422">
        <v>0</v>
      </c>
      <c r="BZ319" s="422">
        <v>0</v>
      </c>
      <c r="CC319" s="21"/>
      <c r="CD319" s="421" t="s">
        <v>418</v>
      </c>
      <c r="CE319" s="436">
        <f t="shared" si="60"/>
        <v>0</v>
      </c>
      <c r="CF319" s="436">
        <f t="shared" si="61"/>
        <v>0</v>
      </c>
      <c r="CG319" s="436">
        <f t="shared" si="62"/>
        <v>0</v>
      </c>
      <c r="CH319" s="436">
        <f t="shared" si="63"/>
        <v>0</v>
      </c>
      <c r="CI319" s="436">
        <f t="shared" si="64"/>
        <v>0</v>
      </c>
      <c r="CJ319" s="436">
        <f t="shared" si="65"/>
        <v>0</v>
      </c>
      <c r="CK319" s="436">
        <f t="shared" si="66"/>
        <v>0</v>
      </c>
      <c r="CL319" s="436">
        <f t="shared" si="67"/>
        <v>0</v>
      </c>
      <c r="CM319" s="436">
        <f t="shared" si="68"/>
        <v>0</v>
      </c>
      <c r="CN319" s="436">
        <f t="shared" si="69"/>
        <v>0</v>
      </c>
      <c r="CO319" s="436">
        <f t="shared" si="70"/>
        <v>0</v>
      </c>
      <c r="CP319" s="436">
        <f t="shared" si="71"/>
        <v>0</v>
      </c>
      <c r="CQ319" s="436">
        <f t="shared" si="72"/>
        <v>0</v>
      </c>
      <c r="CR319" s="436">
        <f t="shared" si="73"/>
        <v>0</v>
      </c>
      <c r="CS319" s="436">
        <f t="shared" si="74"/>
        <v>0</v>
      </c>
      <c r="CT319" s="21"/>
    </row>
    <row r="320" spans="3:98" ht="4.5" customHeight="1">
      <c r="D320" s="416">
        <v>0</v>
      </c>
      <c r="E320" s="416">
        <v>0</v>
      </c>
      <c r="F320" s="416">
        <v>0</v>
      </c>
      <c r="G320" s="416">
        <v>0</v>
      </c>
      <c r="H320" s="416">
        <v>0</v>
      </c>
      <c r="I320" s="416">
        <v>0</v>
      </c>
      <c r="J320" s="416">
        <v>0</v>
      </c>
      <c r="K320" s="416">
        <v>0</v>
      </c>
      <c r="L320" s="416">
        <v>0</v>
      </c>
      <c r="M320" s="416">
        <v>0</v>
      </c>
      <c r="N320" s="416">
        <v>0</v>
      </c>
      <c r="O320" s="416">
        <v>0</v>
      </c>
      <c r="P320" s="416">
        <v>0</v>
      </c>
      <c r="Q320" s="416">
        <v>0</v>
      </c>
      <c r="R320" s="416">
        <v>0</v>
      </c>
      <c r="S320" s="416">
        <v>0</v>
      </c>
      <c r="T320" s="416">
        <v>0</v>
      </c>
      <c r="U320" s="416">
        <v>0</v>
      </c>
      <c r="V320" s="416">
        <v>0</v>
      </c>
      <c r="W320" s="416">
        <v>0</v>
      </c>
      <c r="X320" s="416">
        <v>0</v>
      </c>
      <c r="Y320" s="416">
        <v>0</v>
      </c>
      <c r="Z320" s="416">
        <v>0</v>
      </c>
      <c r="AA320" s="416">
        <v>0</v>
      </c>
      <c r="AB320" s="416">
        <v>0</v>
      </c>
      <c r="AC320" s="416">
        <v>0</v>
      </c>
      <c r="AD320" s="416">
        <v>0</v>
      </c>
      <c r="AE320" s="416">
        <v>0</v>
      </c>
      <c r="AF320" s="416">
        <v>0</v>
      </c>
      <c r="AG320" s="416">
        <v>0</v>
      </c>
      <c r="AH320" s="416">
        <v>0</v>
      </c>
      <c r="AI320" s="416">
        <v>0</v>
      </c>
      <c r="AJ320" s="416">
        <v>0</v>
      </c>
      <c r="AK320" s="416">
        <v>0</v>
      </c>
      <c r="AL320" s="416">
        <v>0</v>
      </c>
      <c r="AM320" s="416">
        <v>0</v>
      </c>
      <c r="AN320" s="416">
        <v>0</v>
      </c>
      <c r="AO320" s="416">
        <v>0</v>
      </c>
      <c r="AP320" s="416">
        <v>0</v>
      </c>
      <c r="AQ320" s="416">
        <v>0</v>
      </c>
      <c r="AR320" s="416">
        <v>0</v>
      </c>
      <c r="AS320" s="416">
        <v>0</v>
      </c>
      <c r="AT320" s="416">
        <v>0</v>
      </c>
      <c r="AU320" s="416">
        <v>0</v>
      </c>
      <c r="AV320" s="416">
        <v>0</v>
      </c>
      <c r="AW320" s="416">
        <v>0</v>
      </c>
      <c r="AX320" s="416">
        <v>0</v>
      </c>
      <c r="AY320" s="416">
        <v>0</v>
      </c>
      <c r="AZ320" s="416">
        <v>0</v>
      </c>
      <c r="BA320" s="416">
        <v>0</v>
      </c>
      <c r="BB320" s="416">
        <v>0</v>
      </c>
      <c r="BC320" s="416">
        <v>0</v>
      </c>
      <c r="BD320" s="416">
        <v>0</v>
      </c>
      <c r="BE320" s="416">
        <v>0</v>
      </c>
      <c r="BF320" s="416">
        <v>0</v>
      </c>
      <c r="BG320" s="416">
        <v>0</v>
      </c>
      <c r="BH320" s="416">
        <v>0</v>
      </c>
      <c r="BI320" s="416">
        <v>0</v>
      </c>
      <c r="BJ320" s="416">
        <v>0</v>
      </c>
      <c r="BK320" s="416">
        <v>0</v>
      </c>
      <c r="BL320" s="416">
        <v>0</v>
      </c>
      <c r="BM320" s="416">
        <v>0</v>
      </c>
      <c r="BN320" s="416">
        <v>0</v>
      </c>
      <c r="BO320" s="416">
        <v>0</v>
      </c>
      <c r="BP320" s="416">
        <v>0</v>
      </c>
      <c r="BQ320" s="416">
        <v>0</v>
      </c>
      <c r="BR320" s="416">
        <v>0</v>
      </c>
      <c r="BS320" s="416">
        <v>0</v>
      </c>
      <c r="BT320" s="416">
        <v>0</v>
      </c>
      <c r="BU320" s="416">
        <v>0</v>
      </c>
      <c r="BV320" s="416">
        <v>0</v>
      </c>
      <c r="BW320" s="416">
        <v>0</v>
      </c>
      <c r="BX320" s="416">
        <v>0</v>
      </c>
      <c r="BY320" s="416">
        <v>0</v>
      </c>
      <c r="BZ320" s="416">
        <v>0</v>
      </c>
      <c r="CC320" s="21"/>
      <c r="CD320" s="58"/>
      <c r="CE320" s="433"/>
      <c r="CF320" s="433"/>
      <c r="CG320" s="433"/>
      <c r="CH320" s="433"/>
      <c r="CI320" s="433"/>
      <c r="CJ320" s="433"/>
      <c r="CK320" s="433"/>
      <c r="CL320" s="433"/>
      <c r="CM320" s="433"/>
      <c r="CN320" s="433"/>
      <c r="CO320" s="433"/>
      <c r="CP320" s="433"/>
      <c r="CQ320" s="433"/>
      <c r="CR320" s="433"/>
      <c r="CS320" s="433"/>
      <c r="CT320" s="21"/>
    </row>
    <row r="321" spans="3:98">
      <c r="C321" s="417" t="s">
        <v>427</v>
      </c>
      <c r="D321" s="416">
        <v>0</v>
      </c>
      <c r="E321" s="416">
        <v>0</v>
      </c>
      <c r="F321" s="416">
        <v>0</v>
      </c>
      <c r="G321" s="416">
        <v>0</v>
      </c>
      <c r="H321" s="416">
        <v>0</v>
      </c>
      <c r="I321" s="416">
        <v>0</v>
      </c>
      <c r="J321" s="416">
        <v>0</v>
      </c>
      <c r="K321" s="416">
        <v>0</v>
      </c>
      <c r="L321" s="416">
        <v>0</v>
      </c>
      <c r="M321" s="416">
        <v>0</v>
      </c>
      <c r="N321" s="416">
        <v>0</v>
      </c>
      <c r="O321" s="416">
        <v>0</v>
      </c>
      <c r="P321" s="416">
        <v>0</v>
      </c>
      <c r="Q321" s="416">
        <v>0</v>
      </c>
      <c r="R321" s="416">
        <v>0</v>
      </c>
      <c r="S321" s="416">
        <v>0</v>
      </c>
      <c r="T321" s="416">
        <v>0</v>
      </c>
      <c r="U321" s="416">
        <v>0</v>
      </c>
      <c r="V321" s="416">
        <v>0</v>
      </c>
      <c r="W321" s="416">
        <v>0</v>
      </c>
      <c r="X321" s="416">
        <v>0</v>
      </c>
      <c r="Y321" s="416">
        <v>0</v>
      </c>
      <c r="Z321" s="416">
        <v>0</v>
      </c>
      <c r="AA321" s="416">
        <v>0</v>
      </c>
      <c r="AB321" s="416">
        <v>0</v>
      </c>
      <c r="AC321" s="416">
        <v>0</v>
      </c>
      <c r="AD321" s="416">
        <v>0</v>
      </c>
      <c r="AE321" s="416">
        <v>0</v>
      </c>
      <c r="AF321" s="416">
        <v>0</v>
      </c>
      <c r="AG321" s="416">
        <v>0</v>
      </c>
      <c r="AH321" s="416">
        <v>0</v>
      </c>
      <c r="AI321" s="416">
        <v>0</v>
      </c>
      <c r="AJ321" s="416">
        <v>0</v>
      </c>
      <c r="AK321" s="416">
        <v>0</v>
      </c>
      <c r="AL321" s="416">
        <v>0</v>
      </c>
      <c r="AM321" s="416">
        <v>0</v>
      </c>
      <c r="AN321" s="416">
        <v>0</v>
      </c>
      <c r="AO321" s="416">
        <v>0</v>
      </c>
      <c r="AP321" s="416">
        <v>0</v>
      </c>
      <c r="AQ321" s="416">
        <v>0</v>
      </c>
      <c r="AR321" s="416">
        <v>0</v>
      </c>
      <c r="AS321" s="416">
        <v>0</v>
      </c>
      <c r="AT321" s="416">
        <v>0</v>
      </c>
      <c r="AU321" s="416">
        <v>0</v>
      </c>
      <c r="AV321" s="416">
        <v>0</v>
      </c>
      <c r="AW321" s="416">
        <v>0</v>
      </c>
      <c r="AX321" s="416">
        <v>0</v>
      </c>
      <c r="AY321" s="416">
        <v>0</v>
      </c>
      <c r="AZ321" s="416">
        <v>0</v>
      </c>
      <c r="BA321" s="416">
        <v>0</v>
      </c>
      <c r="BB321" s="416">
        <v>0</v>
      </c>
      <c r="BC321" s="416">
        <v>0</v>
      </c>
      <c r="BD321" s="416">
        <v>0</v>
      </c>
      <c r="BE321" s="416">
        <v>0</v>
      </c>
      <c r="BF321" s="416">
        <v>0</v>
      </c>
      <c r="BG321" s="416">
        <v>0</v>
      </c>
      <c r="BH321" s="416">
        <v>0</v>
      </c>
      <c r="BI321" s="416">
        <v>0</v>
      </c>
      <c r="BJ321" s="416">
        <v>0</v>
      </c>
      <c r="BK321" s="416">
        <v>0</v>
      </c>
      <c r="BL321" s="416">
        <v>0</v>
      </c>
      <c r="BM321" s="416">
        <v>0</v>
      </c>
      <c r="BN321" s="416">
        <v>0</v>
      </c>
      <c r="BO321" s="416">
        <v>0</v>
      </c>
      <c r="BP321" s="416">
        <v>0</v>
      </c>
      <c r="BQ321" s="416">
        <v>0</v>
      </c>
      <c r="BR321" s="416">
        <v>0</v>
      </c>
      <c r="BS321" s="416">
        <v>0</v>
      </c>
      <c r="BT321" s="416">
        <v>0</v>
      </c>
      <c r="BU321" s="416">
        <v>0</v>
      </c>
      <c r="BV321" s="416">
        <v>0</v>
      </c>
      <c r="BW321" s="416">
        <v>0</v>
      </c>
      <c r="BX321" s="416">
        <v>0</v>
      </c>
      <c r="BY321" s="416">
        <v>0</v>
      </c>
      <c r="BZ321" s="416">
        <v>0</v>
      </c>
      <c r="CC321" s="21"/>
      <c r="CD321" s="417" t="s">
        <v>427</v>
      </c>
      <c r="CE321" s="433">
        <f t="shared" si="60"/>
        <v>0</v>
      </c>
      <c r="CF321" s="433">
        <f t="shared" si="61"/>
        <v>0</v>
      </c>
      <c r="CG321" s="433">
        <f t="shared" si="62"/>
        <v>0</v>
      </c>
      <c r="CH321" s="433">
        <f t="shared" si="63"/>
        <v>0</v>
      </c>
      <c r="CI321" s="433">
        <f t="shared" si="64"/>
        <v>0</v>
      </c>
      <c r="CJ321" s="433">
        <f t="shared" si="65"/>
        <v>0</v>
      </c>
      <c r="CK321" s="433">
        <f t="shared" si="66"/>
        <v>0</v>
      </c>
      <c r="CL321" s="433">
        <f t="shared" si="67"/>
        <v>0</v>
      </c>
      <c r="CM321" s="433">
        <f t="shared" si="68"/>
        <v>0</v>
      </c>
      <c r="CN321" s="433">
        <f t="shared" si="69"/>
        <v>0</v>
      </c>
      <c r="CO321" s="433">
        <f t="shared" si="70"/>
        <v>0</v>
      </c>
      <c r="CP321" s="433">
        <f t="shared" si="71"/>
        <v>0</v>
      </c>
      <c r="CQ321" s="433">
        <f t="shared" si="72"/>
        <v>0</v>
      </c>
      <c r="CR321" s="433">
        <f t="shared" si="73"/>
        <v>0</v>
      </c>
      <c r="CS321" s="433">
        <f t="shared" si="74"/>
        <v>0</v>
      </c>
      <c r="CT321" s="21"/>
    </row>
    <row r="322" spans="3:98">
      <c r="C322" s="417" t="s">
        <v>428</v>
      </c>
      <c r="D322" s="416">
        <v>0</v>
      </c>
      <c r="E322" s="416">
        <v>0</v>
      </c>
      <c r="F322" s="416">
        <v>0</v>
      </c>
      <c r="G322" s="416">
        <v>0</v>
      </c>
      <c r="H322" s="416">
        <v>0</v>
      </c>
      <c r="I322" s="416">
        <v>0</v>
      </c>
      <c r="J322" s="416">
        <v>0</v>
      </c>
      <c r="K322" s="416">
        <v>0</v>
      </c>
      <c r="L322" s="416">
        <v>0</v>
      </c>
      <c r="M322" s="416">
        <v>0</v>
      </c>
      <c r="N322" s="416">
        <v>0</v>
      </c>
      <c r="O322" s="416">
        <v>0</v>
      </c>
      <c r="P322" s="416">
        <v>0</v>
      </c>
      <c r="Q322" s="416">
        <v>0</v>
      </c>
      <c r="R322" s="416">
        <v>0</v>
      </c>
      <c r="S322" s="416">
        <v>0</v>
      </c>
      <c r="T322" s="416">
        <v>0</v>
      </c>
      <c r="U322" s="416">
        <v>0</v>
      </c>
      <c r="V322" s="416">
        <v>0</v>
      </c>
      <c r="W322" s="416">
        <v>0</v>
      </c>
      <c r="X322" s="416">
        <v>0</v>
      </c>
      <c r="Y322" s="416">
        <v>0</v>
      </c>
      <c r="Z322" s="416">
        <v>0</v>
      </c>
      <c r="AA322" s="416">
        <v>0</v>
      </c>
      <c r="AB322" s="416">
        <v>0</v>
      </c>
      <c r="AC322" s="416">
        <v>0</v>
      </c>
      <c r="AD322" s="416">
        <v>0</v>
      </c>
      <c r="AE322" s="416">
        <v>0</v>
      </c>
      <c r="AF322" s="416">
        <v>0</v>
      </c>
      <c r="AG322" s="416">
        <v>0</v>
      </c>
      <c r="AH322" s="416">
        <v>0</v>
      </c>
      <c r="AI322" s="416">
        <v>0</v>
      </c>
      <c r="AJ322" s="416">
        <v>0</v>
      </c>
      <c r="AK322" s="416">
        <v>0</v>
      </c>
      <c r="AL322" s="416">
        <v>0</v>
      </c>
      <c r="AM322" s="416">
        <v>0</v>
      </c>
      <c r="AN322" s="416">
        <v>0</v>
      </c>
      <c r="AO322" s="416">
        <v>0</v>
      </c>
      <c r="AP322" s="416">
        <v>0</v>
      </c>
      <c r="AQ322" s="416">
        <v>0</v>
      </c>
      <c r="AR322" s="416">
        <v>0</v>
      </c>
      <c r="AS322" s="416">
        <v>0</v>
      </c>
      <c r="AT322" s="416">
        <v>0</v>
      </c>
      <c r="AU322" s="416">
        <v>0</v>
      </c>
      <c r="AV322" s="416">
        <v>0</v>
      </c>
      <c r="AW322" s="416">
        <v>0</v>
      </c>
      <c r="AX322" s="416">
        <v>0</v>
      </c>
      <c r="AY322" s="416">
        <v>0</v>
      </c>
      <c r="AZ322" s="416">
        <v>0</v>
      </c>
      <c r="BA322" s="416">
        <v>0</v>
      </c>
      <c r="BB322" s="416">
        <v>0</v>
      </c>
      <c r="BC322" s="416">
        <v>0</v>
      </c>
      <c r="BD322" s="416">
        <v>0</v>
      </c>
      <c r="BE322" s="416">
        <v>0</v>
      </c>
      <c r="BF322" s="416">
        <v>0</v>
      </c>
      <c r="BG322" s="416">
        <v>0</v>
      </c>
      <c r="BH322" s="416">
        <v>0</v>
      </c>
      <c r="BI322" s="416">
        <v>0</v>
      </c>
      <c r="BJ322" s="416">
        <v>0</v>
      </c>
      <c r="BK322" s="416">
        <v>0</v>
      </c>
      <c r="BL322" s="416">
        <v>0</v>
      </c>
      <c r="BM322" s="416">
        <v>0</v>
      </c>
      <c r="BN322" s="416">
        <v>0</v>
      </c>
      <c r="BO322" s="416">
        <v>0</v>
      </c>
      <c r="BP322" s="416">
        <v>0</v>
      </c>
      <c r="BQ322" s="416">
        <v>0</v>
      </c>
      <c r="BR322" s="416">
        <v>0</v>
      </c>
      <c r="BS322" s="416">
        <v>0</v>
      </c>
      <c r="BT322" s="416">
        <v>0</v>
      </c>
      <c r="BU322" s="416">
        <v>0</v>
      </c>
      <c r="BV322" s="416">
        <v>0</v>
      </c>
      <c r="BW322" s="416">
        <v>0</v>
      </c>
      <c r="BX322" s="416">
        <v>0</v>
      </c>
      <c r="BY322" s="416">
        <v>0</v>
      </c>
      <c r="BZ322" s="416">
        <v>0</v>
      </c>
      <c r="CC322" s="21"/>
      <c r="CD322" s="417" t="s">
        <v>428</v>
      </c>
      <c r="CE322" s="433">
        <f t="shared" si="60"/>
        <v>0</v>
      </c>
      <c r="CF322" s="433">
        <f t="shared" si="61"/>
        <v>0</v>
      </c>
      <c r="CG322" s="433">
        <f t="shared" si="62"/>
        <v>0</v>
      </c>
      <c r="CH322" s="433">
        <f t="shared" si="63"/>
        <v>0</v>
      </c>
      <c r="CI322" s="433">
        <f t="shared" si="64"/>
        <v>0</v>
      </c>
      <c r="CJ322" s="433">
        <f t="shared" si="65"/>
        <v>0</v>
      </c>
      <c r="CK322" s="433">
        <f t="shared" si="66"/>
        <v>0</v>
      </c>
      <c r="CL322" s="433">
        <f t="shared" si="67"/>
        <v>0</v>
      </c>
      <c r="CM322" s="433">
        <f t="shared" si="68"/>
        <v>0</v>
      </c>
      <c r="CN322" s="433">
        <f t="shared" si="69"/>
        <v>0</v>
      </c>
      <c r="CO322" s="433">
        <f t="shared" si="70"/>
        <v>0</v>
      </c>
      <c r="CP322" s="433">
        <f t="shared" si="71"/>
        <v>0</v>
      </c>
      <c r="CQ322" s="433">
        <f t="shared" si="72"/>
        <v>0</v>
      </c>
      <c r="CR322" s="433">
        <f t="shared" si="73"/>
        <v>0</v>
      </c>
      <c r="CS322" s="433">
        <f t="shared" si="74"/>
        <v>0</v>
      </c>
      <c r="CT322" s="21"/>
    </row>
    <row r="323" spans="3:98">
      <c r="C323" s="417" t="s">
        <v>429</v>
      </c>
      <c r="D323" s="416">
        <v>0</v>
      </c>
      <c r="E323" s="416">
        <v>0</v>
      </c>
      <c r="F323" s="416">
        <v>0</v>
      </c>
      <c r="G323" s="416">
        <v>0</v>
      </c>
      <c r="H323" s="416">
        <v>0</v>
      </c>
      <c r="I323" s="416">
        <v>0</v>
      </c>
      <c r="J323" s="416">
        <v>0</v>
      </c>
      <c r="K323" s="416">
        <v>0</v>
      </c>
      <c r="L323" s="416">
        <v>0</v>
      </c>
      <c r="M323" s="416">
        <v>0</v>
      </c>
      <c r="N323" s="416">
        <v>0</v>
      </c>
      <c r="O323" s="416">
        <v>0</v>
      </c>
      <c r="P323" s="416">
        <v>0</v>
      </c>
      <c r="Q323" s="416">
        <v>0</v>
      </c>
      <c r="R323" s="416">
        <v>0</v>
      </c>
      <c r="S323" s="416">
        <v>0</v>
      </c>
      <c r="T323" s="416">
        <v>0</v>
      </c>
      <c r="U323" s="416">
        <v>0</v>
      </c>
      <c r="V323" s="416">
        <v>0</v>
      </c>
      <c r="W323" s="416">
        <v>0</v>
      </c>
      <c r="X323" s="416">
        <v>0</v>
      </c>
      <c r="Y323" s="416">
        <v>0</v>
      </c>
      <c r="Z323" s="416">
        <v>0</v>
      </c>
      <c r="AA323" s="416">
        <v>0</v>
      </c>
      <c r="AB323" s="416">
        <v>0</v>
      </c>
      <c r="AC323" s="416">
        <v>0</v>
      </c>
      <c r="AD323" s="416">
        <v>0</v>
      </c>
      <c r="AE323" s="416">
        <v>0</v>
      </c>
      <c r="AF323" s="416">
        <v>0</v>
      </c>
      <c r="AG323" s="416">
        <v>0</v>
      </c>
      <c r="AH323" s="416">
        <v>0</v>
      </c>
      <c r="AI323" s="416">
        <v>0</v>
      </c>
      <c r="AJ323" s="416">
        <v>0</v>
      </c>
      <c r="AK323" s="416">
        <v>0</v>
      </c>
      <c r="AL323" s="416">
        <v>0</v>
      </c>
      <c r="AM323" s="416">
        <v>0</v>
      </c>
      <c r="AN323" s="416">
        <v>0</v>
      </c>
      <c r="AO323" s="416">
        <v>0</v>
      </c>
      <c r="AP323" s="416">
        <v>0</v>
      </c>
      <c r="AQ323" s="416">
        <v>0</v>
      </c>
      <c r="AR323" s="416">
        <v>0</v>
      </c>
      <c r="AS323" s="416">
        <v>0</v>
      </c>
      <c r="AT323" s="416">
        <v>0</v>
      </c>
      <c r="AU323" s="416">
        <v>0</v>
      </c>
      <c r="AV323" s="416">
        <v>0</v>
      </c>
      <c r="AW323" s="416">
        <v>0</v>
      </c>
      <c r="AX323" s="416">
        <v>0</v>
      </c>
      <c r="AY323" s="416">
        <v>0</v>
      </c>
      <c r="AZ323" s="416">
        <v>0</v>
      </c>
      <c r="BA323" s="416">
        <v>0</v>
      </c>
      <c r="BB323" s="416">
        <v>0</v>
      </c>
      <c r="BC323" s="416">
        <v>0</v>
      </c>
      <c r="BD323" s="416">
        <v>0</v>
      </c>
      <c r="BE323" s="416">
        <v>0</v>
      </c>
      <c r="BF323" s="416">
        <v>0</v>
      </c>
      <c r="BG323" s="416">
        <v>0</v>
      </c>
      <c r="BH323" s="416">
        <v>0</v>
      </c>
      <c r="BI323" s="416">
        <v>0</v>
      </c>
      <c r="BJ323" s="416">
        <v>0</v>
      </c>
      <c r="BK323" s="416">
        <v>0</v>
      </c>
      <c r="BL323" s="416">
        <v>0</v>
      </c>
      <c r="BM323" s="416">
        <v>0</v>
      </c>
      <c r="BN323" s="416">
        <v>0</v>
      </c>
      <c r="BO323" s="416">
        <v>0</v>
      </c>
      <c r="BP323" s="416">
        <v>0</v>
      </c>
      <c r="BQ323" s="416">
        <v>0</v>
      </c>
      <c r="BR323" s="416">
        <v>0</v>
      </c>
      <c r="BS323" s="416">
        <v>0</v>
      </c>
      <c r="BT323" s="416">
        <v>0</v>
      </c>
      <c r="BU323" s="416">
        <v>0</v>
      </c>
      <c r="BV323" s="416">
        <v>0</v>
      </c>
      <c r="BW323" s="416">
        <v>0</v>
      </c>
      <c r="BX323" s="416">
        <v>0</v>
      </c>
      <c r="BY323" s="416">
        <v>0</v>
      </c>
      <c r="BZ323" s="416">
        <v>0</v>
      </c>
      <c r="CC323" s="21"/>
      <c r="CD323" s="417" t="s">
        <v>429</v>
      </c>
      <c r="CE323" s="433">
        <f t="shared" si="60"/>
        <v>0</v>
      </c>
      <c r="CF323" s="433">
        <f t="shared" si="61"/>
        <v>0</v>
      </c>
      <c r="CG323" s="433">
        <f t="shared" si="62"/>
        <v>0</v>
      </c>
      <c r="CH323" s="433">
        <f t="shared" si="63"/>
        <v>0</v>
      </c>
      <c r="CI323" s="433">
        <f t="shared" si="64"/>
        <v>0</v>
      </c>
      <c r="CJ323" s="433">
        <f t="shared" si="65"/>
        <v>0</v>
      </c>
      <c r="CK323" s="433">
        <f t="shared" si="66"/>
        <v>0</v>
      </c>
      <c r="CL323" s="433">
        <f t="shared" si="67"/>
        <v>0</v>
      </c>
      <c r="CM323" s="433">
        <f t="shared" si="68"/>
        <v>0</v>
      </c>
      <c r="CN323" s="433">
        <f t="shared" si="69"/>
        <v>0</v>
      </c>
      <c r="CO323" s="433">
        <f t="shared" si="70"/>
        <v>0</v>
      </c>
      <c r="CP323" s="433">
        <f t="shared" si="71"/>
        <v>0</v>
      </c>
      <c r="CQ323" s="433">
        <f t="shared" si="72"/>
        <v>0</v>
      </c>
      <c r="CR323" s="433">
        <f t="shared" si="73"/>
        <v>0</v>
      </c>
      <c r="CS323" s="433">
        <f t="shared" si="74"/>
        <v>0</v>
      </c>
      <c r="CT323" s="21"/>
    </row>
    <row r="324" spans="3:98">
      <c r="C324" s="417" t="s">
        <v>430</v>
      </c>
      <c r="D324" s="416">
        <v>0</v>
      </c>
      <c r="E324" s="416">
        <v>0</v>
      </c>
      <c r="F324" s="416">
        <v>0</v>
      </c>
      <c r="G324" s="416">
        <v>0</v>
      </c>
      <c r="H324" s="416">
        <v>0</v>
      </c>
      <c r="I324" s="416">
        <v>0</v>
      </c>
      <c r="J324" s="416">
        <v>0</v>
      </c>
      <c r="K324" s="416">
        <v>0</v>
      </c>
      <c r="L324" s="416">
        <v>0</v>
      </c>
      <c r="M324" s="416">
        <v>0</v>
      </c>
      <c r="N324" s="416">
        <v>0</v>
      </c>
      <c r="O324" s="416">
        <v>0</v>
      </c>
      <c r="P324" s="416">
        <v>0</v>
      </c>
      <c r="Q324" s="416">
        <v>0</v>
      </c>
      <c r="R324" s="416">
        <v>0</v>
      </c>
      <c r="S324" s="416">
        <v>0</v>
      </c>
      <c r="T324" s="416">
        <v>0</v>
      </c>
      <c r="U324" s="416">
        <v>0</v>
      </c>
      <c r="V324" s="416">
        <v>0</v>
      </c>
      <c r="W324" s="416">
        <v>0</v>
      </c>
      <c r="X324" s="416">
        <v>0</v>
      </c>
      <c r="Y324" s="416">
        <v>0</v>
      </c>
      <c r="Z324" s="416">
        <v>0</v>
      </c>
      <c r="AA324" s="416">
        <v>0</v>
      </c>
      <c r="AB324" s="416">
        <v>0</v>
      </c>
      <c r="AC324" s="416">
        <v>0</v>
      </c>
      <c r="AD324" s="416">
        <v>0</v>
      </c>
      <c r="AE324" s="416">
        <v>0</v>
      </c>
      <c r="AF324" s="416">
        <v>0</v>
      </c>
      <c r="AG324" s="416">
        <v>0</v>
      </c>
      <c r="AH324" s="416">
        <v>0</v>
      </c>
      <c r="AI324" s="416">
        <v>0</v>
      </c>
      <c r="AJ324" s="416">
        <v>0</v>
      </c>
      <c r="AK324" s="416">
        <v>0</v>
      </c>
      <c r="AL324" s="416">
        <v>0</v>
      </c>
      <c r="AM324" s="416">
        <v>0</v>
      </c>
      <c r="AN324" s="416">
        <v>0</v>
      </c>
      <c r="AO324" s="416">
        <v>0</v>
      </c>
      <c r="AP324" s="416">
        <v>0</v>
      </c>
      <c r="AQ324" s="416">
        <v>0</v>
      </c>
      <c r="AR324" s="416">
        <v>0</v>
      </c>
      <c r="AS324" s="416">
        <v>0</v>
      </c>
      <c r="AT324" s="416">
        <v>0</v>
      </c>
      <c r="AU324" s="416">
        <v>0</v>
      </c>
      <c r="AV324" s="416">
        <v>0</v>
      </c>
      <c r="AW324" s="416">
        <v>0</v>
      </c>
      <c r="AX324" s="416">
        <v>0</v>
      </c>
      <c r="AY324" s="416">
        <v>0</v>
      </c>
      <c r="AZ324" s="416">
        <v>0</v>
      </c>
      <c r="BA324" s="416">
        <v>0</v>
      </c>
      <c r="BB324" s="416">
        <v>0</v>
      </c>
      <c r="BC324" s="416">
        <v>0</v>
      </c>
      <c r="BD324" s="416">
        <v>0</v>
      </c>
      <c r="BE324" s="416">
        <v>0</v>
      </c>
      <c r="BF324" s="416">
        <v>0</v>
      </c>
      <c r="BG324" s="416">
        <v>0</v>
      </c>
      <c r="BH324" s="416">
        <v>0</v>
      </c>
      <c r="BI324" s="416">
        <v>0</v>
      </c>
      <c r="BJ324" s="416">
        <v>0</v>
      </c>
      <c r="BK324" s="416">
        <v>0</v>
      </c>
      <c r="BL324" s="416">
        <v>0</v>
      </c>
      <c r="BM324" s="416">
        <v>0</v>
      </c>
      <c r="BN324" s="416">
        <v>0</v>
      </c>
      <c r="BO324" s="416">
        <v>0</v>
      </c>
      <c r="BP324" s="416">
        <v>0</v>
      </c>
      <c r="BQ324" s="416">
        <v>0</v>
      </c>
      <c r="BR324" s="416">
        <v>0</v>
      </c>
      <c r="BS324" s="416">
        <v>0</v>
      </c>
      <c r="BT324" s="416">
        <v>0</v>
      </c>
      <c r="BU324" s="416">
        <v>0</v>
      </c>
      <c r="BV324" s="416">
        <v>0</v>
      </c>
      <c r="BW324" s="416">
        <v>0</v>
      </c>
      <c r="BX324" s="416">
        <v>0</v>
      </c>
      <c r="BY324" s="416">
        <v>0</v>
      </c>
      <c r="BZ324" s="416">
        <v>0</v>
      </c>
      <c r="CC324" s="21"/>
      <c r="CD324" s="417" t="s">
        <v>430</v>
      </c>
      <c r="CE324" s="433">
        <f t="shared" si="60"/>
        <v>0</v>
      </c>
      <c r="CF324" s="433">
        <f t="shared" si="61"/>
        <v>0</v>
      </c>
      <c r="CG324" s="433">
        <f t="shared" si="62"/>
        <v>0</v>
      </c>
      <c r="CH324" s="433">
        <f t="shared" si="63"/>
        <v>0</v>
      </c>
      <c r="CI324" s="433">
        <f t="shared" si="64"/>
        <v>0</v>
      </c>
      <c r="CJ324" s="433">
        <f t="shared" si="65"/>
        <v>0</v>
      </c>
      <c r="CK324" s="433">
        <f t="shared" si="66"/>
        <v>0</v>
      </c>
      <c r="CL324" s="433">
        <f t="shared" si="67"/>
        <v>0</v>
      </c>
      <c r="CM324" s="433">
        <f t="shared" si="68"/>
        <v>0</v>
      </c>
      <c r="CN324" s="433">
        <f t="shared" si="69"/>
        <v>0</v>
      </c>
      <c r="CO324" s="433">
        <f t="shared" si="70"/>
        <v>0</v>
      </c>
      <c r="CP324" s="433">
        <f t="shared" si="71"/>
        <v>0</v>
      </c>
      <c r="CQ324" s="433">
        <f t="shared" si="72"/>
        <v>0</v>
      </c>
      <c r="CR324" s="433">
        <f t="shared" si="73"/>
        <v>0</v>
      </c>
      <c r="CS324" s="433">
        <f t="shared" si="74"/>
        <v>0</v>
      </c>
      <c r="CT324" s="21"/>
    </row>
    <row r="325" spans="3:98">
      <c r="C325" s="417" t="s">
        <v>431</v>
      </c>
      <c r="D325" s="416">
        <v>0</v>
      </c>
      <c r="E325" s="416">
        <v>0</v>
      </c>
      <c r="F325" s="416">
        <v>0</v>
      </c>
      <c r="G325" s="416">
        <v>0</v>
      </c>
      <c r="H325" s="416">
        <v>0</v>
      </c>
      <c r="I325" s="416">
        <v>0</v>
      </c>
      <c r="J325" s="416">
        <v>0</v>
      </c>
      <c r="K325" s="416">
        <v>0</v>
      </c>
      <c r="L325" s="416">
        <v>0</v>
      </c>
      <c r="M325" s="416">
        <v>0</v>
      </c>
      <c r="N325" s="416">
        <v>0</v>
      </c>
      <c r="O325" s="416">
        <v>0</v>
      </c>
      <c r="P325" s="416">
        <v>0</v>
      </c>
      <c r="Q325" s="416">
        <v>0</v>
      </c>
      <c r="R325" s="416">
        <v>0</v>
      </c>
      <c r="S325" s="416">
        <v>0</v>
      </c>
      <c r="T325" s="416">
        <v>0</v>
      </c>
      <c r="U325" s="416">
        <v>0</v>
      </c>
      <c r="V325" s="416">
        <v>0</v>
      </c>
      <c r="W325" s="416">
        <v>0</v>
      </c>
      <c r="X325" s="416">
        <v>0</v>
      </c>
      <c r="Y325" s="416">
        <v>0</v>
      </c>
      <c r="Z325" s="416">
        <v>0</v>
      </c>
      <c r="AA325" s="416">
        <v>0</v>
      </c>
      <c r="AB325" s="416">
        <v>0</v>
      </c>
      <c r="AC325" s="416">
        <v>0</v>
      </c>
      <c r="AD325" s="416">
        <v>0</v>
      </c>
      <c r="AE325" s="416">
        <v>0</v>
      </c>
      <c r="AF325" s="416">
        <v>0</v>
      </c>
      <c r="AG325" s="416">
        <v>0</v>
      </c>
      <c r="AH325" s="416">
        <v>0</v>
      </c>
      <c r="AI325" s="416">
        <v>0</v>
      </c>
      <c r="AJ325" s="416">
        <v>0</v>
      </c>
      <c r="AK325" s="416">
        <v>0</v>
      </c>
      <c r="AL325" s="416">
        <v>0</v>
      </c>
      <c r="AM325" s="416">
        <v>0</v>
      </c>
      <c r="AN325" s="416">
        <v>0</v>
      </c>
      <c r="AO325" s="416">
        <v>0</v>
      </c>
      <c r="AP325" s="416">
        <v>0</v>
      </c>
      <c r="AQ325" s="416">
        <v>0</v>
      </c>
      <c r="AR325" s="416">
        <v>0</v>
      </c>
      <c r="AS325" s="416">
        <v>0</v>
      </c>
      <c r="AT325" s="416">
        <v>0</v>
      </c>
      <c r="AU325" s="416">
        <v>0</v>
      </c>
      <c r="AV325" s="416">
        <v>0</v>
      </c>
      <c r="AW325" s="416">
        <v>0</v>
      </c>
      <c r="AX325" s="416">
        <v>0</v>
      </c>
      <c r="AY325" s="416">
        <v>0</v>
      </c>
      <c r="AZ325" s="416">
        <v>0</v>
      </c>
      <c r="BA325" s="416">
        <v>0</v>
      </c>
      <c r="BB325" s="416">
        <v>0</v>
      </c>
      <c r="BC325" s="416">
        <v>0</v>
      </c>
      <c r="BD325" s="416">
        <v>0</v>
      </c>
      <c r="BE325" s="416">
        <v>0</v>
      </c>
      <c r="BF325" s="416">
        <v>0</v>
      </c>
      <c r="BG325" s="416">
        <v>0</v>
      </c>
      <c r="BH325" s="416">
        <v>0</v>
      </c>
      <c r="BI325" s="416">
        <v>0</v>
      </c>
      <c r="BJ325" s="416">
        <v>0</v>
      </c>
      <c r="BK325" s="416">
        <v>0</v>
      </c>
      <c r="BL325" s="416">
        <v>0</v>
      </c>
      <c r="BM325" s="416">
        <v>0</v>
      </c>
      <c r="BN325" s="416">
        <v>0</v>
      </c>
      <c r="BO325" s="416">
        <v>0</v>
      </c>
      <c r="BP325" s="416">
        <v>0</v>
      </c>
      <c r="BQ325" s="416">
        <v>0</v>
      </c>
      <c r="BR325" s="416">
        <v>0</v>
      </c>
      <c r="BS325" s="416">
        <v>0</v>
      </c>
      <c r="BT325" s="416">
        <v>0</v>
      </c>
      <c r="BU325" s="416">
        <v>0</v>
      </c>
      <c r="BV325" s="416">
        <v>0</v>
      </c>
      <c r="BW325" s="416">
        <v>0</v>
      </c>
      <c r="BX325" s="416">
        <v>0</v>
      </c>
      <c r="BY325" s="416">
        <v>0</v>
      </c>
      <c r="BZ325" s="416">
        <v>0</v>
      </c>
      <c r="CC325" s="21"/>
      <c r="CD325" s="417" t="s">
        <v>431</v>
      </c>
      <c r="CE325" s="433">
        <f t="shared" si="60"/>
        <v>0</v>
      </c>
      <c r="CF325" s="433">
        <f t="shared" si="61"/>
        <v>0</v>
      </c>
      <c r="CG325" s="433">
        <f t="shared" si="62"/>
        <v>0</v>
      </c>
      <c r="CH325" s="433">
        <f t="shared" si="63"/>
        <v>0</v>
      </c>
      <c r="CI325" s="433">
        <f t="shared" si="64"/>
        <v>0</v>
      </c>
      <c r="CJ325" s="433">
        <f t="shared" si="65"/>
        <v>0</v>
      </c>
      <c r="CK325" s="433">
        <f t="shared" si="66"/>
        <v>0</v>
      </c>
      <c r="CL325" s="433">
        <f t="shared" si="67"/>
        <v>0</v>
      </c>
      <c r="CM325" s="433">
        <f t="shared" si="68"/>
        <v>0</v>
      </c>
      <c r="CN325" s="433">
        <f t="shared" si="69"/>
        <v>0</v>
      </c>
      <c r="CO325" s="433">
        <f t="shared" si="70"/>
        <v>0</v>
      </c>
      <c r="CP325" s="433">
        <f t="shared" si="71"/>
        <v>0</v>
      </c>
      <c r="CQ325" s="433">
        <f t="shared" si="72"/>
        <v>0</v>
      </c>
      <c r="CR325" s="433">
        <f t="shared" si="73"/>
        <v>0</v>
      </c>
      <c r="CS325" s="433">
        <f t="shared" si="74"/>
        <v>0</v>
      </c>
      <c r="CT325" s="21"/>
    </row>
    <row r="326" spans="3:98">
      <c r="C326" s="417" t="s">
        <v>432</v>
      </c>
      <c r="D326" s="416">
        <v>0</v>
      </c>
      <c r="E326" s="416">
        <v>0</v>
      </c>
      <c r="F326" s="416">
        <v>0</v>
      </c>
      <c r="G326" s="416">
        <v>0</v>
      </c>
      <c r="H326" s="416">
        <v>0</v>
      </c>
      <c r="I326" s="416">
        <v>0</v>
      </c>
      <c r="J326" s="416">
        <v>0</v>
      </c>
      <c r="K326" s="416">
        <v>0</v>
      </c>
      <c r="L326" s="416">
        <v>0</v>
      </c>
      <c r="M326" s="416">
        <v>0</v>
      </c>
      <c r="N326" s="416">
        <v>0</v>
      </c>
      <c r="O326" s="416">
        <v>0</v>
      </c>
      <c r="P326" s="416">
        <v>0</v>
      </c>
      <c r="Q326" s="416">
        <v>0</v>
      </c>
      <c r="R326" s="416">
        <v>0</v>
      </c>
      <c r="S326" s="416">
        <v>0</v>
      </c>
      <c r="T326" s="416">
        <v>0</v>
      </c>
      <c r="U326" s="416">
        <v>0</v>
      </c>
      <c r="V326" s="416">
        <v>0</v>
      </c>
      <c r="W326" s="416">
        <v>0</v>
      </c>
      <c r="X326" s="416">
        <v>0</v>
      </c>
      <c r="Y326" s="416">
        <v>0</v>
      </c>
      <c r="Z326" s="416">
        <v>0</v>
      </c>
      <c r="AA326" s="416">
        <v>0</v>
      </c>
      <c r="AB326" s="416">
        <v>0</v>
      </c>
      <c r="AC326" s="416">
        <v>0</v>
      </c>
      <c r="AD326" s="416">
        <v>0</v>
      </c>
      <c r="AE326" s="416">
        <v>0</v>
      </c>
      <c r="AF326" s="416">
        <v>0</v>
      </c>
      <c r="AG326" s="416">
        <v>0</v>
      </c>
      <c r="AH326" s="416">
        <v>0</v>
      </c>
      <c r="AI326" s="416">
        <v>0</v>
      </c>
      <c r="AJ326" s="416">
        <v>0</v>
      </c>
      <c r="AK326" s="416">
        <v>0</v>
      </c>
      <c r="AL326" s="416">
        <v>0</v>
      </c>
      <c r="AM326" s="416">
        <v>0</v>
      </c>
      <c r="AN326" s="416">
        <v>0</v>
      </c>
      <c r="AO326" s="416">
        <v>0</v>
      </c>
      <c r="AP326" s="416">
        <v>0</v>
      </c>
      <c r="AQ326" s="416">
        <v>0</v>
      </c>
      <c r="AR326" s="416">
        <v>0</v>
      </c>
      <c r="AS326" s="416">
        <v>0</v>
      </c>
      <c r="AT326" s="416">
        <v>0</v>
      </c>
      <c r="AU326" s="416">
        <v>0</v>
      </c>
      <c r="AV326" s="416">
        <v>0</v>
      </c>
      <c r="AW326" s="416">
        <v>0</v>
      </c>
      <c r="AX326" s="416">
        <v>0</v>
      </c>
      <c r="AY326" s="416">
        <v>0</v>
      </c>
      <c r="AZ326" s="416">
        <v>0</v>
      </c>
      <c r="BA326" s="416">
        <v>0</v>
      </c>
      <c r="BB326" s="416">
        <v>0</v>
      </c>
      <c r="BC326" s="416">
        <v>0</v>
      </c>
      <c r="BD326" s="416">
        <v>0</v>
      </c>
      <c r="BE326" s="416">
        <v>0</v>
      </c>
      <c r="BF326" s="416">
        <v>0</v>
      </c>
      <c r="BG326" s="416">
        <v>0</v>
      </c>
      <c r="BH326" s="416">
        <v>0</v>
      </c>
      <c r="BI326" s="416">
        <v>0</v>
      </c>
      <c r="BJ326" s="416">
        <v>0</v>
      </c>
      <c r="BK326" s="416">
        <v>0</v>
      </c>
      <c r="BL326" s="416">
        <v>0</v>
      </c>
      <c r="BM326" s="416">
        <v>0</v>
      </c>
      <c r="BN326" s="416">
        <v>0</v>
      </c>
      <c r="BO326" s="416">
        <v>0</v>
      </c>
      <c r="BP326" s="416">
        <v>0</v>
      </c>
      <c r="BQ326" s="416">
        <v>0</v>
      </c>
      <c r="BR326" s="416">
        <v>0</v>
      </c>
      <c r="BS326" s="416">
        <v>0</v>
      </c>
      <c r="BT326" s="416">
        <v>0</v>
      </c>
      <c r="BU326" s="416">
        <v>0</v>
      </c>
      <c r="BV326" s="416">
        <v>0</v>
      </c>
      <c r="BW326" s="416">
        <v>0</v>
      </c>
      <c r="BX326" s="416">
        <v>0</v>
      </c>
      <c r="BY326" s="416">
        <v>0</v>
      </c>
      <c r="BZ326" s="416">
        <v>0</v>
      </c>
      <c r="CC326" s="21"/>
      <c r="CD326" s="417" t="s">
        <v>432</v>
      </c>
      <c r="CE326" s="433">
        <f t="shared" si="60"/>
        <v>0</v>
      </c>
      <c r="CF326" s="433">
        <f t="shared" si="61"/>
        <v>0</v>
      </c>
      <c r="CG326" s="433">
        <f t="shared" si="62"/>
        <v>0</v>
      </c>
      <c r="CH326" s="433">
        <f t="shared" si="63"/>
        <v>0</v>
      </c>
      <c r="CI326" s="433">
        <f t="shared" si="64"/>
        <v>0</v>
      </c>
      <c r="CJ326" s="433">
        <f t="shared" si="65"/>
        <v>0</v>
      </c>
      <c r="CK326" s="433">
        <f t="shared" si="66"/>
        <v>0</v>
      </c>
      <c r="CL326" s="433">
        <f t="shared" si="67"/>
        <v>0</v>
      </c>
      <c r="CM326" s="433">
        <f t="shared" si="68"/>
        <v>0</v>
      </c>
      <c r="CN326" s="433">
        <f t="shared" si="69"/>
        <v>0</v>
      </c>
      <c r="CO326" s="433">
        <f t="shared" si="70"/>
        <v>0</v>
      </c>
      <c r="CP326" s="433">
        <f t="shared" si="71"/>
        <v>0</v>
      </c>
      <c r="CQ326" s="433">
        <f t="shared" si="72"/>
        <v>0</v>
      </c>
      <c r="CR326" s="433">
        <f t="shared" si="73"/>
        <v>0</v>
      </c>
      <c r="CS326" s="433">
        <f t="shared" si="74"/>
        <v>0</v>
      </c>
      <c r="CT326" s="21"/>
    </row>
    <row r="327" spans="3:98">
      <c r="C327" s="417" t="s">
        <v>433</v>
      </c>
      <c r="D327" s="416">
        <v>0</v>
      </c>
      <c r="E327" s="416">
        <v>0</v>
      </c>
      <c r="F327" s="416">
        <v>0</v>
      </c>
      <c r="G327" s="416">
        <v>0</v>
      </c>
      <c r="H327" s="416">
        <v>0</v>
      </c>
      <c r="I327" s="416">
        <v>0</v>
      </c>
      <c r="J327" s="416">
        <v>0</v>
      </c>
      <c r="K327" s="416">
        <v>0</v>
      </c>
      <c r="L327" s="416">
        <v>0</v>
      </c>
      <c r="M327" s="416">
        <v>0</v>
      </c>
      <c r="N327" s="416">
        <v>0</v>
      </c>
      <c r="O327" s="416">
        <v>0</v>
      </c>
      <c r="P327" s="416">
        <v>0</v>
      </c>
      <c r="Q327" s="416">
        <v>0</v>
      </c>
      <c r="R327" s="416">
        <v>0</v>
      </c>
      <c r="S327" s="416">
        <v>0</v>
      </c>
      <c r="T327" s="416">
        <v>0</v>
      </c>
      <c r="U327" s="416">
        <v>0</v>
      </c>
      <c r="V327" s="416">
        <v>0</v>
      </c>
      <c r="W327" s="416">
        <v>0</v>
      </c>
      <c r="X327" s="416">
        <v>0</v>
      </c>
      <c r="Y327" s="416">
        <v>0</v>
      </c>
      <c r="Z327" s="416">
        <v>0</v>
      </c>
      <c r="AA327" s="416">
        <v>0</v>
      </c>
      <c r="AB327" s="416">
        <v>0</v>
      </c>
      <c r="AC327" s="416">
        <v>0</v>
      </c>
      <c r="AD327" s="416">
        <v>0</v>
      </c>
      <c r="AE327" s="416">
        <v>0</v>
      </c>
      <c r="AF327" s="416">
        <v>0</v>
      </c>
      <c r="AG327" s="416">
        <v>0</v>
      </c>
      <c r="AH327" s="416">
        <v>0</v>
      </c>
      <c r="AI327" s="416">
        <v>0</v>
      </c>
      <c r="AJ327" s="416">
        <v>0</v>
      </c>
      <c r="AK327" s="416">
        <v>0</v>
      </c>
      <c r="AL327" s="416">
        <v>0</v>
      </c>
      <c r="AM327" s="416">
        <v>0</v>
      </c>
      <c r="AN327" s="416">
        <v>0</v>
      </c>
      <c r="AO327" s="416">
        <v>0</v>
      </c>
      <c r="AP327" s="416">
        <v>0</v>
      </c>
      <c r="AQ327" s="416">
        <v>0</v>
      </c>
      <c r="AR327" s="416">
        <v>0</v>
      </c>
      <c r="AS327" s="416">
        <v>0</v>
      </c>
      <c r="AT327" s="416">
        <v>0</v>
      </c>
      <c r="AU327" s="416">
        <v>0</v>
      </c>
      <c r="AV327" s="416">
        <v>0</v>
      </c>
      <c r="AW327" s="416">
        <v>0</v>
      </c>
      <c r="AX327" s="416">
        <v>0</v>
      </c>
      <c r="AY327" s="416">
        <v>0</v>
      </c>
      <c r="AZ327" s="416">
        <v>0</v>
      </c>
      <c r="BA327" s="416">
        <v>0</v>
      </c>
      <c r="BB327" s="416">
        <v>0</v>
      </c>
      <c r="BC327" s="416">
        <v>0</v>
      </c>
      <c r="BD327" s="416">
        <v>0</v>
      </c>
      <c r="BE327" s="416">
        <v>0</v>
      </c>
      <c r="BF327" s="416">
        <v>0</v>
      </c>
      <c r="BG327" s="416">
        <v>0</v>
      </c>
      <c r="BH327" s="416">
        <v>0</v>
      </c>
      <c r="BI327" s="416">
        <v>0</v>
      </c>
      <c r="BJ327" s="416">
        <v>0</v>
      </c>
      <c r="BK327" s="416">
        <v>0</v>
      </c>
      <c r="BL327" s="416">
        <v>0</v>
      </c>
      <c r="BM327" s="416">
        <v>0</v>
      </c>
      <c r="BN327" s="416">
        <v>0</v>
      </c>
      <c r="BO327" s="416">
        <v>0</v>
      </c>
      <c r="BP327" s="416">
        <v>0</v>
      </c>
      <c r="BQ327" s="416">
        <v>0</v>
      </c>
      <c r="BR327" s="416">
        <v>0</v>
      </c>
      <c r="BS327" s="416">
        <v>0</v>
      </c>
      <c r="BT327" s="416">
        <v>0</v>
      </c>
      <c r="BU327" s="416">
        <v>0</v>
      </c>
      <c r="BV327" s="416">
        <v>0</v>
      </c>
      <c r="BW327" s="416">
        <v>0</v>
      </c>
      <c r="BX327" s="416">
        <v>0</v>
      </c>
      <c r="BY327" s="416">
        <v>0</v>
      </c>
      <c r="BZ327" s="416">
        <v>0</v>
      </c>
      <c r="CC327" s="21"/>
      <c r="CD327" s="417" t="s">
        <v>433</v>
      </c>
      <c r="CE327" s="444">
        <f t="shared" si="60"/>
        <v>0</v>
      </c>
      <c r="CF327" s="444">
        <f t="shared" si="61"/>
        <v>0</v>
      </c>
      <c r="CG327" s="444">
        <f t="shared" si="62"/>
        <v>0</v>
      </c>
      <c r="CH327" s="444">
        <f t="shared" si="63"/>
        <v>0</v>
      </c>
      <c r="CI327" s="444">
        <f t="shared" si="64"/>
        <v>0</v>
      </c>
      <c r="CJ327" s="444">
        <f t="shared" si="65"/>
        <v>0</v>
      </c>
      <c r="CK327" s="444">
        <f t="shared" si="66"/>
        <v>0</v>
      </c>
      <c r="CL327" s="444">
        <f t="shared" si="67"/>
        <v>0</v>
      </c>
      <c r="CM327" s="444">
        <f t="shared" si="68"/>
        <v>0</v>
      </c>
      <c r="CN327" s="444">
        <f t="shared" si="69"/>
        <v>0</v>
      </c>
      <c r="CO327" s="444">
        <f t="shared" si="70"/>
        <v>0</v>
      </c>
      <c r="CP327" s="444">
        <f t="shared" si="71"/>
        <v>0</v>
      </c>
      <c r="CQ327" s="444">
        <f t="shared" si="72"/>
        <v>0</v>
      </c>
      <c r="CR327" s="444">
        <f t="shared" si="73"/>
        <v>0</v>
      </c>
      <c r="CS327" s="444">
        <f t="shared" si="74"/>
        <v>0</v>
      </c>
      <c r="CT327" s="21"/>
    </row>
    <row r="328" spans="3:98" ht="15">
      <c r="C328" s="421" t="s">
        <v>426</v>
      </c>
      <c r="D328" s="422">
        <v>0</v>
      </c>
      <c r="E328" s="422">
        <v>0</v>
      </c>
      <c r="F328" s="422">
        <v>0</v>
      </c>
      <c r="G328" s="422">
        <v>0</v>
      </c>
      <c r="H328" s="422">
        <v>0</v>
      </c>
      <c r="I328" s="422">
        <v>0</v>
      </c>
      <c r="J328" s="422">
        <v>0</v>
      </c>
      <c r="K328" s="422">
        <v>0</v>
      </c>
      <c r="L328" s="422">
        <v>0</v>
      </c>
      <c r="M328" s="422">
        <v>0</v>
      </c>
      <c r="N328" s="422">
        <v>0</v>
      </c>
      <c r="O328" s="422">
        <v>0</v>
      </c>
      <c r="P328" s="422">
        <v>0</v>
      </c>
      <c r="Q328" s="422">
        <v>0</v>
      </c>
      <c r="R328" s="422">
        <v>0</v>
      </c>
      <c r="S328" s="422">
        <v>0</v>
      </c>
      <c r="T328" s="422">
        <v>0</v>
      </c>
      <c r="U328" s="422">
        <v>0</v>
      </c>
      <c r="V328" s="422">
        <v>0</v>
      </c>
      <c r="W328" s="422">
        <v>0</v>
      </c>
      <c r="X328" s="422">
        <v>0</v>
      </c>
      <c r="Y328" s="422">
        <v>0</v>
      </c>
      <c r="Z328" s="422">
        <v>0</v>
      </c>
      <c r="AA328" s="422">
        <v>0</v>
      </c>
      <c r="AB328" s="422">
        <v>0</v>
      </c>
      <c r="AC328" s="422">
        <v>0</v>
      </c>
      <c r="AD328" s="422">
        <v>0</v>
      </c>
      <c r="AE328" s="422">
        <v>0</v>
      </c>
      <c r="AF328" s="422">
        <v>0</v>
      </c>
      <c r="AG328" s="422">
        <v>0</v>
      </c>
      <c r="AH328" s="422">
        <v>0</v>
      </c>
      <c r="AI328" s="422">
        <v>0</v>
      </c>
      <c r="AJ328" s="422">
        <v>0</v>
      </c>
      <c r="AK328" s="422">
        <v>0</v>
      </c>
      <c r="AL328" s="422">
        <v>0</v>
      </c>
      <c r="AM328" s="422">
        <v>0</v>
      </c>
      <c r="AN328" s="422">
        <v>0</v>
      </c>
      <c r="AO328" s="422">
        <v>0</v>
      </c>
      <c r="AP328" s="422">
        <v>0</v>
      </c>
      <c r="AQ328" s="422">
        <v>0</v>
      </c>
      <c r="AR328" s="422">
        <v>0</v>
      </c>
      <c r="AS328" s="422">
        <v>0</v>
      </c>
      <c r="AT328" s="422">
        <v>0</v>
      </c>
      <c r="AU328" s="422">
        <v>0</v>
      </c>
      <c r="AV328" s="422">
        <v>0</v>
      </c>
      <c r="AW328" s="422">
        <v>0</v>
      </c>
      <c r="AX328" s="422">
        <v>0</v>
      </c>
      <c r="AY328" s="422">
        <v>0</v>
      </c>
      <c r="AZ328" s="422">
        <v>0</v>
      </c>
      <c r="BA328" s="422">
        <v>0</v>
      </c>
      <c r="BB328" s="422">
        <v>0</v>
      </c>
      <c r="BC328" s="422">
        <v>0</v>
      </c>
      <c r="BD328" s="422">
        <v>0</v>
      </c>
      <c r="BE328" s="422">
        <v>0</v>
      </c>
      <c r="BF328" s="422">
        <v>0</v>
      </c>
      <c r="BG328" s="422">
        <v>0</v>
      </c>
      <c r="BH328" s="422">
        <v>0</v>
      </c>
      <c r="BI328" s="422">
        <v>0</v>
      </c>
      <c r="BJ328" s="422">
        <v>0</v>
      </c>
      <c r="BK328" s="422">
        <v>0</v>
      </c>
      <c r="BL328" s="422">
        <v>0</v>
      </c>
      <c r="BM328" s="422">
        <v>0</v>
      </c>
      <c r="BN328" s="422">
        <v>0</v>
      </c>
      <c r="BO328" s="422">
        <v>0</v>
      </c>
      <c r="BP328" s="422">
        <v>0</v>
      </c>
      <c r="BQ328" s="422">
        <v>0</v>
      </c>
      <c r="BR328" s="422">
        <v>0</v>
      </c>
      <c r="BS328" s="422">
        <v>0</v>
      </c>
      <c r="BT328" s="422">
        <v>0</v>
      </c>
      <c r="BU328" s="422">
        <v>0</v>
      </c>
      <c r="BV328" s="422">
        <v>0</v>
      </c>
      <c r="BW328" s="422">
        <v>0</v>
      </c>
      <c r="BX328" s="422">
        <v>0</v>
      </c>
      <c r="BY328" s="422">
        <v>0</v>
      </c>
      <c r="BZ328" s="422">
        <v>0</v>
      </c>
      <c r="CC328" s="21"/>
      <c r="CD328" s="421" t="s">
        <v>426</v>
      </c>
      <c r="CE328" s="440">
        <f t="shared" ref="CE328:CE364" si="75">H328</f>
        <v>0</v>
      </c>
      <c r="CF328" s="440">
        <f t="shared" ref="CF328:CF364" si="76">M328</f>
        <v>0</v>
      </c>
      <c r="CG328" s="440">
        <f t="shared" ref="CG328:CG364" si="77">R328</f>
        <v>0</v>
      </c>
      <c r="CH328" s="440">
        <f t="shared" ref="CH328:CH364" si="78">W328</f>
        <v>0</v>
      </c>
      <c r="CI328" s="440">
        <f t="shared" ref="CI328:CI364" si="79">AB328</f>
        <v>0</v>
      </c>
      <c r="CJ328" s="440">
        <f t="shared" ref="CJ328:CJ364" si="80">AG328</f>
        <v>0</v>
      </c>
      <c r="CK328" s="440">
        <f t="shared" ref="CK328:CK364" si="81">AL328</f>
        <v>0</v>
      </c>
      <c r="CL328" s="440">
        <f t="shared" ref="CL328:CL364" si="82">AQ328</f>
        <v>0</v>
      </c>
      <c r="CM328" s="440">
        <f t="shared" ref="CM328:CM364" si="83">AV328</f>
        <v>0</v>
      </c>
      <c r="CN328" s="440">
        <f t="shared" ref="CN328:CN364" si="84">BA328</f>
        <v>0</v>
      </c>
      <c r="CO328" s="440">
        <f t="shared" ref="CO328:CO364" si="85">BF328</f>
        <v>0</v>
      </c>
      <c r="CP328" s="440">
        <f t="shared" ref="CP328:CP364" si="86">BK328</f>
        <v>0</v>
      </c>
      <c r="CQ328" s="440">
        <f t="shared" ref="CQ328:CQ364" si="87">BP328</f>
        <v>0</v>
      </c>
      <c r="CR328" s="440">
        <f t="shared" ref="CR328:CR364" si="88">BU328</f>
        <v>0</v>
      </c>
      <c r="CS328" s="440">
        <f t="shared" ref="CS328:CS364" si="89">BZ328</f>
        <v>0</v>
      </c>
      <c r="CT328" s="21"/>
    </row>
    <row r="329" spans="3:98" ht="4.5" customHeight="1">
      <c r="C329" s="98"/>
      <c r="D329" s="416">
        <v>0</v>
      </c>
      <c r="E329" s="416">
        <v>0</v>
      </c>
      <c r="F329" s="416">
        <v>0</v>
      </c>
      <c r="G329" s="416">
        <v>0</v>
      </c>
      <c r="H329" s="416">
        <v>0</v>
      </c>
      <c r="I329" s="416">
        <v>0</v>
      </c>
      <c r="J329" s="416">
        <v>0</v>
      </c>
      <c r="K329" s="416">
        <v>0</v>
      </c>
      <c r="L329" s="416">
        <v>0</v>
      </c>
      <c r="M329" s="416">
        <v>0</v>
      </c>
      <c r="N329" s="416">
        <v>0</v>
      </c>
      <c r="O329" s="416">
        <v>0</v>
      </c>
      <c r="P329" s="416">
        <v>0</v>
      </c>
      <c r="Q329" s="416">
        <v>0</v>
      </c>
      <c r="R329" s="416">
        <v>0</v>
      </c>
      <c r="S329" s="416">
        <v>0</v>
      </c>
      <c r="T329" s="416">
        <v>0</v>
      </c>
      <c r="U329" s="416">
        <v>0</v>
      </c>
      <c r="V329" s="416">
        <v>0</v>
      </c>
      <c r="W329" s="416">
        <v>0</v>
      </c>
      <c r="X329" s="416">
        <v>0</v>
      </c>
      <c r="Y329" s="416">
        <v>0</v>
      </c>
      <c r="Z329" s="416">
        <v>0</v>
      </c>
      <c r="AA329" s="416">
        <v>0</v>
      </c>
      <c r="AB329" s="416">
        <v>0</v>
      </c>
      <c r="AC329" s="416">
        <v>0</v>
      </c>
      <c r="AD329" s="416">
        <v>0</v>
      </c>
      <c r="AE329" s="416">
        <v>0</v>
      </c>
      <c r="AF329" s="416">
        <v>0</v>
      </c>
      <c r="AG329" s="416">
        <v>0</v>
      </c>
      <c r="AH329" s="416">
        <v>0</v>
      </c>
      <c r="AI329" s="416">
        <v>0</v>
      </c>
      <c r="AJ329" s="416">
        <v>0</v>
      </c>
      <c r="AK329" s="416">
        <v>0</v>
      </c>
      <c r="AL329" s="416">
        <v>0</v>
      </c>
      <c r="AM329" s="416">
        <v>0</v>
      </c>
      <c r="AN329" s="416">
        <v>0</v>
      </c>
      <c r="AO329" s="416">
        <v>0</v>
      </c>
      <c r="AP329" s="416">
        <v>0</v>
      </c>
      <c r="AQ329" s="416">
        <v>0</v>
      </c>
      <c r="AR329" s="416">
        <v>0</v>
      </c>
      <c r="AS329" s="416">
        <v>0</v>
      </c>
      <c r="AT329" s="416">
        <v>0</v>
      </c>
      <c r="AU329" s="416">
        <v>0</v>
      </c>
      <c r="AV329" s="416">
        <v>0</v>
      </c>
      <c r="AW329" s="416">
        <v>0</v>
      </c>
      <c r="AX329" s="416">
        <v>0</v>
      </c>
      <c r="AY329" s="416">
        <v>0</v>
      </c>
      <c r="AZ329" s="416">
        <v>0</v>
      </c>
      <c r="BA329" s="416">
        <v>0</v>
      </c>
      <c r="BB329" s="416">
        <v>0</v>
      </c>
      <c r="BC329" s="416">
        <v>0</v>
      </c>
      <c r="BD329" s="416">
        <v>0</v>
      </c>
      <c r="BE329" s="416">
        <v>0</v>
      </c>
      <c r="BF329" s="416">
        <v>0</v>
      </c>
      <c r="BG329" s="416">
        <v>0</v>
      </c>
      <c r="BH329" s="416">
        <v>0</v>
      </c>
      <c r="BI329" s="416">
        <v>0</v>
      </c>
      <c r="BJ329" s="416">
        <v>0</v>
      </c>
      <c r="BK329" s="416">
        <v>0</v>
      </c>
      <c r="BL329" s="416">
        <v>0</v>
      </c>
      <c r="BM329" s="416">
        <v>0</v>
      </c>
      <c r="BN329" s="416">
        <v>0</v>
      </c>
      <c r="BO329" s="416">
        <v>0</v>
      </c>
      <c r="BP329" s="416">
        <v>0</v>
      </c>
      <c r="BQ329" s="416">
        <v>0</v>
      </c>
      <c r="BR329" s="416">
        <v>0</v>
      </c>
      <c r="BS329" s="416">
        <v>0</v>
      </c>
      <c r="BT329" s="416">
        <v>0</v>
      </c>
      <c r="BU329" s="416">
        <v>0</v>
      </c>
      <c r="BV329" s="416">
        <v>0</v>
      </c>
      <c r="BW329" s="416">
        <v>0</v>
      </c>
      <c r="BX329" s="416">
        <v>0</v>
      </c>
      <c r="BY329" s="416">
        <v>0</v>
      </c>
      <c r="BZ329" s="416">
        <v>0</v>
      </c>
      <c r="CC329" s="21"/>
      <c r="CD329" s="98"/>
      <c r="CE329" s="433"/>
      <c r="CF329" s="433"/>
      <c r="CG329" s="433"/>
      <c r="CH329" s="433"/>
      <c r="CI329" s="433"/>
      <c r="CJ329" s="433"/>
      <c r="CK329" s="433"/>
      <c r="CL329" s="433"/>
      <c r="CM329" s="433"/>
      <c r="CN329" s="433"/>
      <c r="CO329" s="433"/>
      <c r="CP329" s="433"/>
      <c r="CQ329" s="433"/>
      <c r="CR329" s="433"/>
      <c r="CS329" s="433"/>
      <c r="CT329" s="21"/>
    </row>
    <row r="330" spans="3:98">
      <c r="C330" s="417" t="s">
        <v>434</v>
      </c>
      <c r="D330" s="416">
        <v>0</v>
      </c>
      <c r="E330" s="416">
        <v>0</v>
      </c>
      <c r="F330" s="416">
        <v>0</v>
      </c>
      <c r="G330" s="416">
        <v>0</v>
      </c>
      <c r="H330" s="416">
        <v>0</v>
      </c>
      <c r="I330" s="416">
        <v>0</v>
      </c>
      <c r="J330" s="416">
        <v>0</v>
      </c>
      <c r="K330" s="416">
        <v>0</v>
      </c>
      <c r="L330" s="416">
        <v>0</v>
      </c>
      <c r="M330" s="416">
        <v>0</v>
      </c>
      <c r="N330" s="416">
        <v>0</v>
      </c>
      <c r="O330" s="416">
        <v>0</v>
      </c>
      <c r="P330" s="416">
        <v>0</v>
      </c>
      <c r="Q330" s="416">
        <v>0</v>
      </c>
      <c r="R330" s="416">
        <v>0</v>
      </c>
      <c r="S330" s="416">
        <v>0</v>
      </c>
      <c r="T330" s="416">
        <v>0</v>
      </c>
      <c r="U330" s="416">
        <v>0</v>
      </c>
      <c r="V330" s="416">
        <v>0</v>
      </c>
      <c r="W330" s="416">
        <v>0</v>
      </c>
      <c r="X330" s="416">
        <v>0</v>
      </c>
      <c r="Y330" s="416">
        <v>0</v>
      </c>
      <c r="Z330" s="416">
        <v>0</v>
      </c>
      <c r="AA330" s="416">
        <v>0</v>
      </c>
      <c r="AB330" s="416">
        <v>0</v>
      </c>
      <c r="AC330" s="416">
        <v>0</v>
      </c>
      <c r="AD330" s="416">
        <v>0</v>
      </c>
      <c r="AE330" s="416">
        <v>0</v>
      </c>
      <c r="AF330" s="416">
        <v>0</v>
      </c>
      <c r="AG330" s="416">
        <v>0</v>
      </c>
      <c r="AH330" s="416">
        <v>0</v>
      </c>
      <c r="AI330" s="416">
        <v>0</v>
      </c>
      <c r="AJ330" s="416">
        <v>0</v>
      </c>
      <c r="AK330" s="416">
        <v>0</v>
      </c>
      <c r="AL330" s="416">
        <v>0</v>
      </c>
      <c r="AM330" s="416">
        <v>0</v>
      </c>
      <c r="AN330" s="416">
        <v>0</v>
      </c>
      <c r="AO330" s="416">
        <v>0</v>
      </c>
      <c r="AP330" s="416">
        <v>0</v>
      </c>
      <c r="AQ330" s="416">
        <v>0</v>
      </c>
      <c r="AR330" s="416">
        <v>0</v>
      </c>
      <c r="AS330" s="416">
        <v>0</v>
      </c>
      <c r="AT330" s="416">
        <v>0</v>
      </c>
      <c r="AU330" s="416">
        <v>0</v>
      </c>
      <c r="AV330" s="416">
        <v>0</v>
      </c>
      <c r="AW330" s="416">
        <v>0</v>
      </c>
      <c r="AX330" s="416">
        <v>0</v>
      </c>
      <c r="AY330" s="416">
        <v>0</v>
      </c>
      <c r="AZ330" s="416">
        <v>0</v>
      </c>
      <c r="BA330" s="416">
        <v>0</v>
      </c>
      <c r="BB330" s="416">
        <v>0</v>
      </c>
      <c r="BC330" s="416">
        <v>0</v>
      </c>
      <c r="BD330" s="416">
        <v>0</v>
      </c>
      <c r="BE330" s="416">
        <v>0</v>
      </c>
      <c r="BF330" s="416">
        <v>0</v>
      </c>
      <c r="BG330" s="416">
        <v>0</v>
      </c>
      <c r="BH330" s="416">
        <v>0</v>
      </c>
      <c r="BI330" s="416">
        <v>0</v>
      </c>
      <c r="BJ330" s="416">
        <v>29.559000000000001</v>
      </c>
      <c r="BK330" s="416">
        <v>29.559000000000001</v>
      </c>
      <c r="BL330" s="416">
        <v>0</v>
      </c>
      <c r="BM330" s="416">
        <v>0</v>
      </c>
      <c r="BN330" s="416">
        <v>0</v>
      </c>
      <c r="BO330" s="416">
        <v>36.268000000000001</v>
      </c>
      <c r="BP330" s="416">
        <v>36.268000000000001</v>
      </c>
      <c r="BQ330" s="416">
        <v>0</v>
      </c>
      <c r="BR330" s="416">
        <v>0</v>
      </c>
      <c r="BS330" s="416">
        <v>0</v>
      </c>
      <c r="BT330" s="416">
        <v>36.259</v>
      </c>
      <c r="BU330" s="416">
        <v>36.259</v>
      </c>
      <c r="BV330" s="416">
        <v>0</v>
      </c>
      <c r="BW330" s="416">
        <v>0</v>
      </c>
      <c r="BX330" s="416">
        <v>0</v>
      </c>
      <c r="BY330" s="416">
        <v>0</v>
      </c>
      <c r="BZ330" s="416">
        <v>0</v>
      </c>
      <c r="CC330" s="21"/>
      <c r="CD330" s="417" t="s">
        <v>434</v>
      </c>
      <c r="CE330" s="433">
        <f t="shared" si="75"/>
        <v>0</v>
      </c>
      <c r="CF330" s="433">
        <f t="shared" si="76"/>
        <v>0</v>
      </c>
      <c r="CG330" s="433">
        <f t="shared" si="77"/>
        <v>0</v>
      </c>
      <c r="CH330" s="433">
        <f t="shared" si="78"/>
        <v>0</v>
      </c>
      <c r="CI330" s="433">
        <f t="shared" si="79"/>
        <v>0</v>
      </c>
      <c r="CJ330" s="433">
        <f t="shared" si="80"/>
        <v>0</v>
      </c>
      <c r="CK330" s="433">
        <f t="shared" si="81"/>
        <v>0</v>
      </c>
      <c r="CL330" s="433">
        <f t="shared" si="82"/>
        <v>0</v>
      </c>
      <c r="CM330" s="433">
        <f t="shared" si="83"/>
        <v>0</v>
      </c>
      <c r="CN330" s="433">
        <f t="shared" si="84"/>
        <v>0</v>
      </c>
      <c r="CO330" s="433">
        <f t="shared" si="85"/>
        <v>0</v>
      </c>
      <c r="CP330" s="433">
        <f t="shared" si="86"/>
        <v>29.559000000000001</v>
      </c>
      <c r="CQ330" s="433">
        <f t="shared" si="87"/>
        <v>36.268000000000001</v>
      </c>
      <c r="CR330" s="433">
        <f t="shared" si="88"/>
        <v>36.259</v>
      </c>
      <c r="CS330" s="433">
        <f t="shared" si="89"/>
        <v>0</v>
      </c>
      <c r="CT330" s="21"/>
    </row>
    <row r="331" spans="3:98">
      <c r="C331" s="417" t="s">
        <v>435</v>
      </c>
      <c r="D331" s="416">
        <v>0</v>
      </c>
      <c r="E331" s="416">
        <v>0</v>
      </c>
      <c r="F331" s="416">
        <v>0</v>
      </c>
      <c r="G331" s="416">
        <v>0</v>
      </c>
      <c r="H331" s="416">
        <v>0</v>
      </c>
      <c r="I331" s="416">
        <v>0</v>
      </c>
      <c r="J331" s="416">
        <v>0</v>
      </c>
      <c r="K331" s="416">
        <v>0</v>
      </c>
      <c r="L331" s="416">
        <v>0</v>
      </c>
      <c r="M331" s="416">
        <v>0</v>
      </c>
      <c r="N331" s="416">
        <v>0</v>
      </c>
      <c r="O331" s="416">
        <v>0</v>
      </c>
      <c r="P331" s="416">
        <v>0</v>
      </c>
      <c r="Q331" s="416">
        <v>0</v>
      </c>
      <c r="R331" s="416">
        <v>0</v>
      </c>
      <c r="S331" s="416">
        <v>0</v>
      </c>
      <c r="T331" s="416">
        <v>0</v>
      </c>
      <c r="U331" s="416">
        <v>0</v>
      </c>
      <c r="V331" s="416">
        <v>0</v>
      </c>
      <c r="W331" s="416">
        <v>0</v>
      </c>
      <c r="X331" s="416">
        <v>0</v>
      </c>
      <c r="Y331" s="416">
        <v>0</v>
      </c>
      <c r="Z331" s="416">
        <v>0</v>
      </c>
      <c r="AA331" s="416">
        <v>0</v>
      </c>
      <c r="AB331" s="416">
        <v>0</v>
      </c>
      <c r="AC331" s="416">
        <v>0</v>
      </c>
      <c r="AD331" s="416">
        <v>0</v>
      </c>
      <c r="AE331" s="416">
        <v>0</v>
      </c>
      <c r="AF331" s="416">
        <v>0</v>
      </c>
      <c r="AG331" s="416">
        <v>0</v>
      </c>
      <c r="AH331" s="416">
        <v>0</v>
      </c>
      <c r="AI331" s="416">
        <v>0</v>
      </c>
      <c r="AJ331" s="416">
        <v>0</v>
      </c>
      <c r="AK331" s="416">
        <v>0</v>
      </c>
      <c r="AL331" s="416">
        <v>0</v>
      </c>
      <c r="AM331" s="416">
        <v>0</v>
      </c>
      <c r="AN331" s="416">
        <v>0</v>
      </c>
      <c r="AO331" s="416">
        <v>0</v>
      </c>
      <c r="AP331" s="416">
        <v>0</v>
      </c>
      <c r="AQ331" s="416">
        <v>0</v>
      </c>
      <c r="AR331" s="416">
        <v>0</v>
      </c>
      <c r="AS331" s="416">
        <v>0</v>
      </c>
      <c r="AT331" s="416">
        <v>0</v>
      </c>
      <c r="AU331" s="416">
        <v>0</v>
      </c>
      <c r="AV331" s="416">
        <v>0</v>
      </c>
      <c r="AW331" s="416">
        <v>0</v>
      </c>
      <c r="AX331" s="416">
        <v>0</v>
      </c>
      <c r="AY331" s="416">
        <v>0</v>
      </c>
      <c r="AZ331" s="416">
        <v>0</v>
      </c>
      <c r="BA331" s="416">
        <v>0</v>
      </c>
      <c r="BB331" s="416">
        <v>0</v>
      </c>
      <c r="BC331" s="416">
        <v>0</v>
      </c>
      <c r="BD331" s="416">
        <v>0</v>
      </c>
      <c r="BE331" s="416">
        <v>0</v>
      </c>
      <c r="BF331" s="416">
        <v>0</v>
      </c>
      <c r="BG331" s="416">
        <v>0</v>
      </c>
      <c r="BH331" s="416">
        <v>0</v>
      </c>
      <c r="BI331" s="416">
        <v>0</v>
      </c>
      <c r="BJ331" s="416">
        <v>26.887</v>
      </c>
      <c r="BK331" s="416">
        <v>26.887</v>
      </c>
      <c r="BL331" s="416">
        <v>0</v>
      </c>
      <c r="BM331" s="416">
        <v>0</v>
      </c>
      <c r="BN331" s="416">
        <v>0</v>
      </c>
      <c r="BO331" s="416">
        <v>35.265999999999998</v>
      </c>
      <c r="BP331" s="416">
        <v>35.265999999999998</v>
      </c>
      <c r="BQ331" s="416">
        <v>0</v>
      </c>
      <c r="BR331" s="416">
        <v>0</v>
      </c>
      <c r="BS331" s="416">
        <v>0</v>
      </c>
      <c r="BT331" s="416">
        <v>33.606999999999999</v>
      </c>
      <c r="BU331" s="416">
        <v>33.606999999999999</v>
      </c>
      <c r="BV331" s="416">
        <v>0</v>
      </c>
      <c r="BW331" s="416">
        <v>0</v>
      </c>
      <c r="BX331" s="416">
        <v>0</v>
      </c>
      <c r="BY331" s="416">
        <v>0</v>
      </c>
      <c r="BZ331" s="416">
        <v>0</v>
      </c>
      <c r="CC331" s="21"/>
      <c r="CD331" s="417" t="s">
        <v>435</v>
      </c>
      <c r="CE331" s="433">
        <f t="shared" si="75"/>
        <v>0</v>
      </c>
      <c r="CF331" s="433">
        <f t="shared" si="76"/>
        <v>0</v>
      </c>
      <c r="CG331" s="433">
        <f t="shared" si="77"/>
        <v>0</v>
      </c>
      <c r="CH331" s="433">
        <f t="shared" si="78"/>
        <v>0</v>
      </c>
      <c r="CI331" s="433">
        <f t="shared" si="79"/>
        <v>0</v>
      </c>
      <c r="CJ331" s="433">
        <f t="shared" si="80"/>
        <v>0</v>
      </c>
      <c r="CK331" s="433">
        <f t="shared" si="81"/>
        <v>0</v>
      </c>
      <c r="CL331" s="433">
        <f t="shared" si="82"/>
        <v>0</v>
      </c>
      <c r="CM331" s="433">
        <f t="shared" si="83"/>
        <v>0</v>
      </c>
      <c r="CN331" s="433">
        <f t="shared" si="84"/>
        <v>0</v>
      </c>
      <c r="CO331" s="433">
        <f t="shared" si="85"/>
        <v>0</v>
      </c>
      <c r="CP331" s="433">
        <f t="shared" si="86"/>
        <v>26.887</v>
      </c>
      <c r="CQ331" s="433">
        <f t="shared" si="87"/>
        <v>35.265999999999998</v>
      </c>
      <c r="CR331" s="433">
        <f t="shared" si="88"/>
        <v>33.606999999999999</v>
      </c>
      <c r="CS331" s="433">
        <f t="shared" si="89"/>
        <v>0</v>
      </c>
      <c r="CT331" s="21"/>
    </row>
    <row r="332" spans="3:98">
      <c r="C332" s="417" t="s">
        <v>436</v>
      </c>
      <c r="D332" s="416">
        <v>0</v>
      </c>
      <c r="E332" s="416">
        <v>0</v>
      </c>
      <c r="F332" s="416">
        <v>0</v>
      </c>
      <c r="G332" s="416">
        <v>0</v>
      </c>
      <c r="H332" s="416">
        <v>0</v>
      </c>
      <c r="I332" s="416">
        <v>0</v>
      </c>
      <c r="J332" s="416">
        <v>0</v>
      </c>
      <c r="K332" s="416">
        <v>0</v>
      </c>
      <c r="L332" s="416">
        <v>0</v>
      </c>
      <c r="M332" s="416">
        <v>0</v>
      </c>
      <c r="N332" s="416">
        <v>0</v>
      </c>
      <c r="O332" s="416">
        <v>0</v>
      </c>
      <c r="P332" s="416">
        <v>0</v>
      </c>
      <c r="Q332" s="416">
        <v>0</v>
      </c>
      <c r="R332" s="416">
        <v>0</v>
      </c>
      <c r="S332" s="416">
        <v>0</v>
      </c>
      <c r="T332" s="416">
        <v>0</v>
      </c>
      <c r="U332" s="416">
        <v>0</v>
      </c>
      <c r="V332" s="416">
        <v>0</v>
      </c>
      <c r="W332" s="416">
        <v>0</v>
      </c>
      <c r="X332" s="416">
        <v>0</v>
      </c>
      <c r="Y332" s="416">
        <v>0</v>
      </c>
      <c r="Z332" s="416">
        <v>0</v>
      </c>
      <c r="AA332" s="416">
        <v>0</v>
      </c>
      <c r="AB332" s="416">
        <v>0</v>
      </c>
      <c r="AC332" s="416">
        <v>0</v>
      </c>
      <c r="AD332" s="416">
        <v>0</v>
      </c>
      <c r="AE332" s="416">
        <v>0</v>
      </c>
      <c r="AF332" s="416">
        <v>0</v>
      </c>
      <c r="AG332" s="416">
        <v>0</v>
      </c>
      <c r="AH332" s="416">
        <v>0</v>
      </c>
      <c r="AI332" s="416">
        <v>0</v>
      </c>
      <c r="AJ332" s="416">
        <v>0</v>
      </c>
      <c r="AK332" s="416">
        <v>0</v>
      </c>
      <c r="AL332" s="416">
        <v>0</v>
      </c>
      <c r="AM332" s="416">
        <v>0</v>
      </c>
      <c r="AN332" s="416">
        <v>0</v>
      </c>
      <c r="AO332" s="416">
        <v>0</v>
      </c>
      <c r="AP332" s="416">
        <v>0</v>
      </c>
      <c r="AQ332" s="416">
        <v>0</v>
      </c>
      <c r="AR332" s="416">
        <v>0</v>
      </c>
      <c r="AS332" s="416">
        <v>0</v>
      </c>
      <c r="AT332" s="416">
        <v>0</v>
      </c>
      <c r="AU332" s="416">
        <v>0</v>
      </c>
      <c r="AV332" s="416">
        <v>0</v>
      </c>
      <c r="AW332" s="416">
        <v>0</v>
      </c>
      <c r="AX332" s="416">
        <v>0</v>
      </c>
      <c r="AY332" s="416">
        <v>0</v>
      </c>
      <c r="AZ332" s="416">
        <v>0</v>
      </c>
      <c r="BA332" s="416">
        <v>0</v>
      </c>
      <c r="BB332" s="416">
        <v>0</v>
      </c>
      <c r="BC332" s="416">
        <v>0</v>
      </c>
      <c r="BD332" s="416">
        <v>0</v>
      </c>
      <c r="BE332" s="416">
        <v>0</v>
      </c>
      <c r="BF332" s="416">
        <v>0</v>
      </c>
      <c r="BG332" s="416">
        <v>0</v>
      </c>
      <c r="BH332" s="416">
        <v>0</v>
      </c>
      <c r="BI332" s="416">
        <v>0</v>
      </c>
      <c r="BJ332" s="416">
        <v>27.420999999999999</v>
      </c>
      <c r="BK332" s="416">
        <v>27.420999999999999</v>
      </c>
      <c r="BL332" s="416">
        <v>0</v>
      </c>
      <c r="BM332" s="416">
        <v>0</v>
      </c>
      <c r="BN332" s="416">
        <v>0</v>
      </c>
      <c r="BO332" s="416">
        <v>32.630000000000003</v>
      </c>
      <c r="BP332" s="416">
        <v>32.630000000000003</v>
      </c>
      <c r="BQ332" s="416">
        <v>0</v>
      </c>
      <c r="BR332" s="416">
        <v>0</v>
      </c>
      <c r="BS332" s="416">
        <v>0</v>
      </c>
      <c r="BT332" s="416">
        <v>8.82</v>
      </c>
      <c r="BU332" s="416">
        <v>8.82</v>
      </c>
      <c r="BV332" s="416">
        <v>0</v>
      </c>
      <c r="BW332" s="416">
        <v>0</v>
      </c>
      <c r="BX332" s="416">
        <v>0</v>
      </c>
      <c r="BY332" s="416">
        <v>0</v>
      </c>
      <c r="BZ332" s="416">
        <v>0</v>
      </c>
      <c r="CC332" s="21"/>
      <c r="CD332" s="417" t="s">
        <v>436</v>
      </c>
      <c r="CE332" s="433">
        <f t="shared" si="75"/>
        <v>0</v>
      </c>
      <c r="CF332" s="433">
        <f t="shared" si="76"/>
        <v>0</v>
      </c>
      <c r="CG332" s="433">
        <f t="shared" si="77"/>
        <v>0</v>
      </c>
      <c r="CH332" s="433">
        <f t="shared" si="78"/>
        <v>0</v>
      </c>
      <c r="CI332" s="433">
        <f t="shared" si="79"/>
        <v>0</v>
      </c>
      <c r="CJ332" s="433">
        <f t="shared" si="80"/>
        <v>0</v>
      </c>
      <c r="CK332" s="433">
        <f t="shared" si="81"/>
        <v>0</v>
      </c>
      <c r="CL332" s="433">
        <f t="shared" si="82"/>
        <v>0</v>
      </c>
      <c r="CM332" s="433">
        <f t="shared" si="83"/>
        <v>0</v>
      </c>
      <c r="CN332" s="433">
        <f t="shared" si="84"/>
        <v>0</v>
      </c>
      <c r="CO332" s="433">
        <f t="shared" si="85"/>
        <v>0</v>
      </c>
      <c r="CP332" s="433">
        <f t="shared" si="86"/>
        <v>27.420999999999999</v>
      </c>
      <c r="CQ332" s="433">
        <f t="shared" si="87"/>
        <v>32.630000000000003</v>
      </c>
      <c r="CR332" s="433">
        <f t="shared" si="88"/>
        <v>8.82</v>
      </c>
      <c r="CS332" s="433">
        <f t="shared" si="89"/>
        <v>0</v>
      </c>
      <c r="CT332" s="21"/>
    </row>
    <row r="333" spans="3:98">
      <c r="C333" s="417" t="s">
        <v>437</v>
      </c>
      <c r="D333" s="416">
        <v>0</v>
      </c>
      <c r="E333" s="416">
        <v>0</v>
      </c>
      <c r="F333" s="416">
        <v>0</v>
      </c>
      <c r="G333" s="416">
        <v>0</v>
      </c>
      <c r="H333" s="416">
        <v>0</v>
      </c>
      <c r="I333" s="416">
        <v>0</v>
      </c>
      <c r="J333" s="416">
        <v>0</v>
      </c>
      <c r="K333" s="416">
        <v>0</v>
      </c>
      <c r="L333" s="416">
        <v>0</v>
      </c>
      <c r="M333" s="416">
        <v>0</v>
      </c>
      <c r="N333" s="416">
        <v>0</v>
      </c>
      <c r="O333" s="416">
        <v>0</v>
      </c>
      <c r="P333" s="416">
        <v>0</v>
      </c>
      <c r="Q333" s="416">
        <v>0</v>
      </c>
      <c r="R333" s="416">
        <v>0</v>
      </c>
      <c r="S333" s="416">
        <v>0</v>
      </c>
      <c r="T333" s="416">
        <v>0</v>
      </c>
      <c r="U333" s="416">
        <v>0</v>
      </c>
      <c r="V333" s="416">
        <v>0</v>
      </c>
      <c r="W333" s="416">
        <v>0</v>
      </c>
      <c r="X333" s="416">
        <v>0</v>
      </c>
      <c r="Y333" s="416">
        <v>0</v>
      </c>
      <c r="Z333" s="416">
        <v>0</v>
      </c>
      <c r="AA333" s="416">
        <v>0</v>
      </c>
      <c r="AB333" s="416">
        <v>0</v>
      </c>
      <c r="AC333" s="416">
        <v>0</v>
      </c>
      <c r="AD333" s="416">
        <v>0</v>
      </c>
      <c r="AE333" s="416">
        <v>0</v>
      </c>
      <c r="AF333" s="416">
        <v>0</v>
      </c>
      <c r="AG333" s="416">
        <v>0</v>
      </c>
      <c r="AH333" s="416">
        <v>0</v>
      </c>
      <c r="AI333" s="416">
        <v>0</v>
      </c>
      <c r="AJ333" s="416">
        <v>0</v>
      </c>
      <c r="AK333" s="416">
        <v>0</v>
      </c>
      <c r="AL333" s="416">
        <v>0</v>
      </c>
      <c r="AM333" s="416">
        <v>0</v>
      </c>
      <c r="AN333" s="416">
        <v>0</v>
      </c>
      <c r="AO333" s="416">
        <v>0</v>
      </c>
      <c r="AP333" s="416">
        <v>0</v>
      </c>
      <c r="AQ333" s="416">
        <v>0</v>
      </c>
      <c r="AR333" s="416">
        <v>0</v>
      </c>
      <c r="AS333" s="416">
        <v>0</v>
      </c>
      <c r="AT333" s="416">
        <v>0</v>
      </c>
      <c r="AU333" s="416">
        <v>0</v>
      </c>
      <c r="AV333" s="416">
        <v>0</v>
      </c>
      <c r="AW333" s="416">
        <v>0</v>
      </c>
      <c r="AX333" s="416">
        <v>0</v>
      </c>
      <c r="AY333" s="416">
        <v>0</v>
      </c>
      <c r="AZ333" s="416">
        <v>0</v>
      </c>
      <c r="BA333" s="416">
        <v>0</v>
      </c>
      <c r="BB333" s="416">
        <v>0</v>
      </c>
      <c r="BC333" s="416">
        <v>0</v>
      </c>
      <c r="BD333" s="416">
        <v>0</v>
      </c>
      <c r="BE333" s="416">
        <v>0</v>
      </c>
      <c r="BF333" s="416">
        <v>0</v>
      </c>
      <c r="BG333" s="416">
        <v>0</v>
      </c>
      <c r="BH333" s="416">
        <v>0</v>
      </c>
      <c r="BI333" s="416">
        <v>0</v>
      </c>
      <c r="BJ333" s="416">
        <v>27.170999999999999</v>
      </c>
      <c r="BK333" s="416">
        <v>27.170999999999999</v>
      </c>
      <c r="BL333" s="416">
        <v>0</v>
      </c>
      <c r="BM333" s="416">
        <v>0</v>
      </c>
      <c r="BN333" s="416">
        <v>0</v>
      </c>
      <c r="BO333" s="416">
        <v>9.0359999999999996</v>
      </c>
      <c r="BP333" s="416">
        <v>9.0359999999999996</v>
      </c>
      <c r="BQ333" s="416">
        <v>0</v>
      </c>
      <c r="BR333" s="416">
        <v>0</v>
      </c>
      <c r="BS333" s="416">
        <v>0</v>
      </c>
      <c r="BT333" s="416">
        <v>0.79200000000000004</v>
      </c>
      <c r="BU333" s="416">
        <v>0.79200000000000004</v>
      </c>
      <c r="BV333" s="416">
        <v>0</v>
      </c>
      <c r="BW333" s="416">
        <v>0</v>
      </c>
      <c r="BX333" s="416">
        <v>0</v>
      </c>
      <c r="BY333" s="416">
        <v>0</v>
      </c>
      <c r="BZ333" s="416">
        <v>0</v>
      </c>
      <c r="CC333" s="21"/>
      <c r="CD333" s="417" t="s">
        <v>437</v>
      </c>
      <c r="CE333" s="433">
        <f t="shared" si="75"/>
        <v>0</v>
      </c>
      <c r="CF333" s="433">
        <f t="shared" si="76"/>
        <v>0</v>
      </c>
      <c r="CG333" s="433">
        <f t="shared" si="77"/>
        <v>0</v>
      </c>
      <c r="CH333" s="433">
        <f t="shared" si="78"/>
        <v>0</v>
      </c>
      <c r="CI333" s="433">
        <f t="shared" si="79"/>
        <v>0</v>
      </c>
      <c r="CJ333" s="433">
        <f t="shared" si="80"/>
        <v>0</v>
      </c>
      <c r="CK333" s="433">
        <f t="shared" si="81"/>
        <v>0</v>
      </c>
      <c r="CL333" s="433">
        <f t="shared" si="82"/>
        <v>0</v>
      </c>
      <c r="CM333" s="433">
        <f t="shared" si="83"/>
        <v>0</v>
      </c>
      <c r="CN333" s="433">
        <f t="shared" si="84"/>
        <v>0</v>
      </c>
      <c r="CO333" s="433">
        <f t="shared" si="85"/>
        <v>0</v>
      </c>
      <c r="CP333" s="433">
        <f t="shared" si="86"/>
        <v>27.170999999999999</v>
      </c>
      <c r="CQ333" s="433">
        <f t="shared" si="87"/>
        <v>9.0359999999999996</v>
      </c>
      <c r="CR333" s="433">
        <f t="shared" si="88"/>
        <v>0.79200000000000004</v>
      </c>
      <c r="CS333" s="433">
        <f t="shared" si="89"/>
        <v>0</v>
      </c>
      <c r="CT333" s="21"/>
    </row>
    <row r="334" spans="3:98">
      <c r="C334" s="417" t="s">
        <v>438</v>
      </c>
      <c r="D334" s="416">
        <v>0</v>
      </c>
      <c r="E334" s="416">
        <v>0</v>
      </c>
      <c r="F334" s="416">
        <v>0</v>
      </c>
      <c r="G334" s="416">
        <v>0</v>
      </c>
      <c r="H334" s="416">
        <v>0</v>
      </c>
      <c r="I334" s="416">
        <v>0</v>
      </c>
      <c r="J334" s="416">
        <v>0</v>
      </c>
      <c r="K334" s="416">
        <v>0</v>
      </c>
      <c r="L334" s="416">
        <v>0</v>
      </c>
      <c r="M334" s="416">
        <v>0</v>
      </c>
      <c r="N334" s="416">
        <v>0</v>
      </c>
      <c r="O334" s="416">
        <v>0</v>
      </c>
      <c r="P334" s="416">
        <v>0</v>
      </c>
      <c r="Q334" s="416">
        <v>0</v>
      </c>
      <c r="R334" s="416">
        <v>0</v>
      </c>
      <c r="S334" s="416">
        <v>0</v>
      </c>
      <c r="T334" s="416">
        <v>0</v>
      </c>
      <c r="U334" s="416">
        <v>0</v>
      </c>
      <c r="V334" s="416">
        <v>0</v>
      </c>
      <c r="W334" s="416">
        <v>0</v>
      </c>
      <c r="X334" s="416">
        <v>0</v>
      </c>
      <c r="Y334" s="416">
        <v>0</v>
      </c>
      <c r="Z334" s="416">
        <v>0</v>
      </c>
      <c r="AA334" s="416">
        <v>0</v>
      </c>
      <c r="AB334" s="416">
        <v>0</v>
      </c>
      <c r="AC334" s="416">
        <v>0</v>
      </c>
      <c r="AD334" s="416">
        <v>0</v>
      </c>
      <c r="AE334" s="416">
        <v>0</v>
      </c>
      <c r="AF334" s="416">
        <v>0</v>
      </c>
      <c r="AG334" s="416">
        <v>0</v>
      </c>
      <c r="AH334" s="416">
        <v>0</v>
      </c>
      <c r="AI334" s="416">
        <v>0</v>
      </c>
      <c r="AJ334" s="416">
        <v>0</v>
      </c>
      <c r="AK334" s="416">
        <v>0</v>
      </c>
      <c r="AL334" s="416">
        <v>0</v>
      </c>
      <c r="AM334" s="416">
        <v>0</v>
      </c>
      <c r="AN334" s="416">
        <v>0</v>
      </c>
      <c r="AO334" s="416">
        <v>0</v>
      </c>
      <c r="AP334" s="416">
        <v>0</v>
      </c>
      <c r="AQ334" s="416">
        <v>0</v>
      </c>
      <c r="AR334" s="416">
        <v>0</v>
      </c>
      <c r="AS334" s="416">
        <v>0</v>
      </c>
      <c r="AT334" s="416">
        <v>0</v>
      </c>
      <c r="AU334" s="416">
        <v>0</v>
      </c>
      <c r="AV334" s="416">
        <v>0</v>
      </c>
      <c r="AW334" s="416">
        <v>0</v>
      </c>
      <c r="AX334" s="416">
        <v>0</v>
      </c>
      <c r="AY334" s="416">
        <v>0</v>
      </c>
      <c r="AZ334" s="416">
        <v>0</v>
      </c>
      <c r="BA334" s="416">
        <v>0</v>
      </c>
      <c r="BB334" s="416">
        <v>0</v>
      </c>
      <c r="BC334" s="416">
        <v>0</v>
      </c>
      <c r="BD334" s="416">
        <v>0</v>
      </c>
      <c r="BE334" s="416">
        <v>0</v>
      </c>
      <c r="BF334" s="416">
        <v>0</v>
      </c>
      <c r="BG334" s="416">
        <v>0</v>
      </c>
      <c r="BH334" s="416">
        <v>0</v>
      </c>
      <c r="BI334" s="416">
        <v>0</v>
      </c>
      <c r="BJ334" s="416">
        <v>6.5970000000000004</v>
      </c>
      <c r="BK334" s="416">
        <v>6.5970000000000004</v>
      </c>
      <c r="BL334" s="416">
        <v>0</v>
      </c>
      <c r="BM334" s="416">
        <v>0</v>
      </c>
      <c r="BN334" s="416">
        <v>0</v>
      </c>
      <c r="BO334" s="416">
        <v>0.79200000000000004</v>
      </c>
      <c r="BP334" s="416">
        <v>0.79200000000000004</v>
      </c>
      <c r="BQ334" s="416">
        <v>0</v>
      </c>
      <c r="BR334" s="416">
        <v>0</v>
      </c>
      <c r="BS334" s="416">
        <v>0</v>
      </c>
      <c r="BT334" s="416">
        <v>0</v>
      </c>
      <c r="BU334" s="416">
        <v>0</v>
      </c>
      <c r="BV334" s="416">
        <v>0</v>
      </c>
      <c r="BW334" s="416">
        <v>0</v>
      </c>
      <c r="BX334" s="416">
        <v>0</v>
      </c>
      <c r="BY334" s="416">
        <v>0</v>
      </c>
      <c r="BZ334" s="416">
        <v>0</v>
      </c>
      <c r="CC334" s="21"/>
      <c r="CD334" s="417" t="s">
        <v>438</v>
      </c>
      <c r="CE334" s="433">
        <f t="shared" si="75"/>
        <v>0</v>
      </c>
      <c r="CF334" s="433">
        <f t="shared" si="76"/>
        <v>0</v>
      </c>
      <c r="CG334" s="433">
        <f t="shared" si="77"/>
        <v>0</v>
      </c>
      <c r="CH334" s="433">
        <f t="shared" si="78"/>
        <v>0</v>
      </c>
      <c r="CI334" s="433">
        <f t="shared" si="79"/>
        <v>0</v>
      </c>
      <c r="CJ334" s="433">
        <f t="shared" si="80"/>
        <v>0</v>
      </c>
      <c r="CK334" s="433">
        <f t="shared" si="81"/>
        <v>0</v>
      </c>
      <c r="CL334" s="433">
        <f t="shared" si="82"/>
        <v>0</v>
      </c>
      <c r="CM334" s="433">
        <f t="shared" si="83"/>
        <v>0</v>
      </c>
      <c r="CN334" s="433">
        <f t="shared" si="84"/>
        <v>0</v>
      </c>
      <c r="CO334" s="433">
        <f t="shared" si="85"/>
        <v>0</v>
      </c>
      <c r="CP334" s="433">
        <f t="shared" si="86"/>
        <v>6.5970000000000004</v>
      </c>
      <c r="CQ334" s="433">
        <f t="shared" si="87"/>
        <v>0.79200000000000004</v>
      </c>
      <c r="CR334" s="433">
        <f t="shared" si="88"/>
        <v>0</v>
      </c>
      <c r="CS334" s="433">
        <f t="shared" si="89"/>
        <v>0</v>
      </c>
      <c r="CT334" s="21"/>
    </row>
    <row r="335" spans="3:98">
      <c r="C335" s="417" t="s">
        <v>439</v>
      </c>
      <c r="D335" s="416">
        <v>0</v>
      </c>
      <c r="E335" s="416">
        <v>0</v>
      </c>
      <c r="F335" s="416">
        <v>0</v>
      </c>
      <c r="G335" s="416">
        <v>0</v>
      </c>
      <c r="H335" s="416">
        <v>0</v>
      </c>
      <c r="I335" s="416">
        <v>0</v>
      </c>
      <c r="J335" s="416">
        <v>0</v>
      </c>
      <c r="K335" s="416">
        <v>0</v>
      </c>
      <c r="L335" s="416">
        <v>0</v>
      </c>
      <c r="M335" s="416">
        <v>0</v>
      </c>
      <c r="N335" s="416">
        <v>0</v>
      </c>
      <c r="O335" s="416">
        <v>0</v>
      </c>
      <c r="P335" s="416">
        <v>0</v>
      </c>
      <c r="Q335" s="416">
        <v>0</v>
      </c>
      <c r="R335" s="416">
        <v>0</v>
      </c>
      <c r="S335" s="416">
        <v>0</v>
      </c>
      <c r="T335" s="416">
        <v>0</v>
      </c>
      <c r="U335" s="416">
        <v>0</v>
      </c>
      <c r="V335" s="416">
        <v>0</v>
      </c>
      <c r="W335" s="416">
        <v>0</v>
      </c>
      <c r="X335" s="416">
        <v>0</v>
      </c>
      <c r="Y335" s="416">
        <v>0</v>
      </c>
      <c r="Z335" s="416">
        <v>0</v>
      </c>
      <c r="AA335" s="416">
        <v>0</v>
      </c>
      <c r="AB335" s="416">
        <v>0</v>
      </c>
      <c r="AC335" s="416">
        <v>0</v>
      </c>
      <c r="AD335" s="416">
        <v>0</v>
      </c>
      <c r="AE335" s="416">
        <v>0</v>
      </c>
      <c r="AF335" s="416">
        <v>0</v>
      </c>
      <c r="AG335" s="416">
        <v>0</v>
      </c>
      <c r="AH335" s="416">
        <v>0</v>
      </c>
      <c r="AI335" s="416">
        <v>0</v>
      </c>
      <c r="AJ335" s="416">
        <v>0</v>
      </c>
      <c r="AK335" s="416">
        <v>0</v>
      </c>
      <c r="AL335" s="416">
        <v>0</v>
      </c>
      <c r="AM335" s="416">
        <v>0</v>
      </c>
      <c r="AN335" s="416">
        <v>0</v>
      </c>
      <c r="AO335" s="416">
        <v>0</v>
      </c>
      <c r="AP335" s="416">
        <v>0</v>
      </c>
      <c r="AQ335" s="416">
        <v>0</v>
      </c>
      <c r="AR335" s="416">
        <v>0</v>
      </c>
      <c r="AS335" s="416">
        <v>0</v>
      </c>
      <c r="AT335" s="416">
        <v>0</v>
      </c>
      <c r="AU335" s="416">
        <v>0</v>
      </c>
      <c r="AV335" s="416">
        <v>0</v>
      </c>
      <c r="AW335" s="416">
        <v>0</v>
      </c>
      <c r="AX335" s="416">
        <v>0</v>
      </c>
      <c r="AY335" s="416">
        <v>0</v>
      </c>
      <c r="AZ335" s="416">
        <v>0</v>
      </c>
      <c r="BA335" s="416">
        <v>0</v>
      </c>
      <c r="BB335" s="416">
        <v>0</v>
      </c>
      <c r="BC335" s="416">
        <v>0</v>
      </c>
      <c r="BD335" s="416">
        <v>0</v>
      </c>
      <c r="BE335" s="416">
        <v>0</v>
      </c>
      <c r="BF335" s="416">
        <v>0</v>
      </c>
      <c r="BG335" s="416">
        <v>0</v>
      </c>
      <c r="BH335" s="416">
        <v>0</v>
      </c>
      <c r="BI335" s="416">
        <v>0</v>
      </c>
      <c r="BJ335" s="416">
        <v>0.79200000000000004</v>
      </c>
      <c r="BK335" s="416">
        <v>0.79200000000000004</v>
      </c>
      <c r="BL335" s="416">
        <v>0</v>
      </c>
      <c r="BM335" s="416">
        <v>0</v>
      </c>
      <c r="BN335" s="416">
        <v>0</v>
      </c>
      <c r="BO335" s="416">
        <v>0</v>
      </c>
      <c r="BP335" s="416">
        <v>0</v>
      </c>
      <c r="BQ335" s="416">
        <v>0</v>
      </c>
      <c r="BR335" s="416">
        <v>0</v>
      </c>
      <c r="BS335" s="416">
        <v>0</v>
      </c>
      <c r="BT335" s="416">
        <v>0</v>
      </c>
      <c r="BU335" s="416">
        <v>0</v>
      </c>
      <c r="BV335" s="416">
        <v>0</v>
      </c>
      <c r="BW335" s="416">
        <v>0</v>
      </c>
      <c r="BX335" s="416">
        <v>0</v>
      </c>
      <c r="BY335" s="416">
        <v>0</v>
      </c>
      <c r="BZ335" s="416">
        <v>0</v>
      </c>
      <c r="CC335" s="21"/>
      <c r="CD335" s="417" t="s">
        <v>439</v>
      </c>
      <c r="CE335" s="433">
        <f t="shared" si="75"/>
        <v>0</v>
      </c>
      <c r="CF335" s="433">
        <f t="shared" si="76"/>
        <v>0</v>
      </c>
      <c r="CG335" s="433">
        <f t="shared" si="77"/>
        <v>0</v>
      </c>
      <c r="CH335" s="433">
        <f t="shared" si="78"/>
        <v>0</v>
      </c>
      <c r="CI335" s="433">
        <f t="shared" si="79"/>
        <v>0</v>
      </c>
      <c r="CJ335" s="433">
        <f t="shared" si="80"/>
        <v>0</v>
      </c>
      <c r="CK335" s="433">
        <f t="shared" si="81"/>
        <v>0</v>
      </c>
      <c r="CL335" s="433">
        <f t="shared" si="82"/>
        <v>0</v>
      </c>
      <c r="CM335" s="433">
        <f t="shared" si="83"/>
        <v>0</v>
      </c>
      <c r="CN335" s="433">
        <f t="shared" si="84"/>
        <v>0</v>
      </c>
      <c r="CO335" s="433">
        <f t="shared" si="85"/>
        <v>0</v>
      </c>
      <c r="CP335" s="433">
        <f t="shared" si="86"/>
        <v>0.79200000000000004</v>
      </c>
      <c r="CQ335" s="433">
        <f t="shared" si="87"/>
        <v>0</v>
      </c>
      <c r="CR335" s="433">
        <f t="shared" si="88"/>
        <v>0</v>
      </c>
      <c r="CS335" s="433">
        <f t="shared" si="89"/>
        <v>0</v>
      </c>
      <c r="CT335" s="21"/>
    </row>
    <row r="336" spans="3:98">
      <c r="C336" s="417" t="s">
        <v>440</v>
      </c>
      <c r="D336" s="416">
        <v>0</v>
      </c>
      <c r="E336" s="416">
        <v>0</v>
      </c>
      <c r="F336" s="416">
        <v>0</v>
      </c>
      <c r="G336" s="416">
        <v>0</v>
      </c>
      <c r="H336" s="416">
        <v>0</v>
      </c>
      <c r="I336" s="416">
        <v>0</v>
      </c>
      <c r="J336" s="416">
        <v>0</v>
      </c>
      <c r="K336" s="416">
        <v>0</v>
      </c>
      <c r="L336" s="416">
        <v>0</v>
      </c>
      <c r="M336" s="416">
        <v>0</v>
      </c>
      <c r="N336" s="416">
        <v>0</v>
      </c>
      <c r="O336" s="416">
        <v>0</v>
      </c>
      <c r="P336" s="416">
        <v>0</v>
      </c>
      <c r="Q336" s="416">
        <v>0</v>
      </c>
      <c r="R336" s="416">
        <v>0</v>
      </c>
      <c r="S336" s="416">
        <v>0</v>
      </c>
      <c r="T336" s="416">
        <v>0</v>
      </c>
      <c r="U336" s="416">
        <v>0</v>
      </c>
      <c r="V336" s="416">
        <v>0</v>
      </c>
      <c r="W336" s="416">
        <v>0</v>
      </c>
      <c r="X336" s="416">
        <v>0</v>
      </c>
      <c r="Y336" s="416">
        <v>0</v>
      </c>
      <c r="Z336" s="416">
        <v>0</v>
      </c>
      <c r="AA336" s="416">
        <v>0</v>
      </c>
      <c r="AB336" s="416">
        <v>0</v>
      </c>
      <c r="AC336" s="416">
        <v>0</v>
      </c>
      <c r="AD336" s="416">
        <v>0</v>
      </c>
      <c r="AE336" s="416">
        <v>0</v>
      </c>
      <c r="AF336" s="416">
        <v>0</v>
      </c>
      <c r="AG336" s="416">
        <v>0</v>
      </c>
      <c r="AH336" s="416">
        <v>0</v>
      </c>
      <c r="AI336" s="416">
        <v>0</v>
      </c>
      <c r="AJ336" s="416">
        <v>0</v>
      </c>
      <c r="AK336" s="416">
        <v>0</v>
      </c>
      <c r="AL336" s="416">
        <v>0</v>
      </c>
      <c r="AM336" s="416">
        <v>0</v>
      </c>
      <c r="AN336" s="416">
        <v>0</v>
      </c>
      <c r="AO336" s="416">
        <v>0</v>
      </c>
      <c r="AP336" s="416">
        <v>0</v>
      </c>
      <c r="AQ336" s="416">
        <v>0</v>
      </c>
      <c r="AR336" s="416">
        <v>0</v>
      </c>
      <c r="AS336" s="416">
        <v>0</v>
      </c>
      <c r="AT336" s="416">
        <v>0</v>
      </c>
      <c r="AU336" s="416">
        <v>0</v>
      </c>
      <c r="AV336" s="416">
        <v>0</v>
      </c>
      <c r="AW336" s="416">
        <v>0</v>
      </c>
      <c r="AX336" s="416">
        <v>0</v>
      </c>
      <c r="AY336" s="416">
        <v>0</v>
      </c>
      <c r="AZ336" s="416">
        <v>0</v>
      </c>
      <c r="BA336" s="416">
        <v>0</v>
      </c>
      <c r="BB336" s="416">
        <v>0</v>
      </c>
      <c r="BC336" s="416">
        <v>0</v>
      </c>
      <c r="BD336" s="416">
        <v>0</v>
      </c>
      <c r="BE336" s="416">
        <v>0</v>
      </c>
      <c r="BF336" s="416">
        <v>0</v>
      </c>
      <c r="BG336" s="416">
        <v>0</v>
      </c>
      <c r="BH336" s="416">
        <v>0</v>
      </c>
      <c r="BI336" s="416">
        <v>0</v>
      </c>
      <c r="BJ336" s="416">
        <v>-10.648999999999999</v>
      </c>
      <c r="BK336" s="416">
        <v>-10.648999999999999</v>
      </c>
      <c r="BL336" s="416">
        <v>0</v>
      </c>
      <c r="BM336" s="416">
        <v>0</v>
      </c>
      <c r="BN336" s="416">
        <v>0</v>
      </c>
      <c r="BO336" s="416">
        <v>-7.548</v>
      </c>
      <c r="BP336" s="416">
        <v>-7.548</v>
      </c>
      <c r="BQ336" s="416">
        <v>0</v>
      </c>
      <c r="BR336" s="416">
        <v>0</v>
      </c>
      <c r="BS336" s="416">
        <v>0</v>
      </c>
      <c r="BT336" s="416">
        <v>-3.7</v>
      </c>
      <c r="BU336" s="416">
        <v>-3.7</v>
      </c>
      <c r="BV336" s="416">
        <v>0</v>
      </c>
      <c r="BW336" s="416">
        <v>0</v>
      </c>
      <c r="BX336" s="416">
        <v>0</v>
      </c>
      <c r="BY336" s="416">
        <v>0</v>
      </c>
      <c r="BZ336" s="416">
        <v>0</v>
      </c>
      <c r="CC336" s="21"/>
      <c r="CD336" s="417" t="s">
        <v>440</v>
      </c>
      <c r="CE336" s="433">
        <f t="shared" si="75"/>
        <v>0</v>
      </c>
      <c r="CF336" s="433">
        <f t="shared" si="76"/>
        <v>0</v>
      </c>
      <c r="CG336" s="433">
        <f t="shared" si="77"/>
        <v>0</v>
      </c>
      <c r="CH336" s="433">
        <f t="shared" si="78"/>
        <v>0</v>
      </c>
      <c r="CI336" s="433">
        <f t="shared" si="79"/>
        <v>0</v>
      </c>
      <c r="CJ336" s="433">
        <f t="shared" si="80"/>
        <v>0</v>
      </c>
      <c r="CK336" s="433">
        <f t="shared" si="81"/>
        <v>0</v>
      </c>
      <c r="CL336" s="433">
        <f t="shared" si="82"/>
        <v>0</v>
      </c>
      <c r="CM336" s="433">
        <f t="shared" si="83"/>
        <v>0</v>
      </c>
      <c r="CN336" s="433">
        <f t="shared" si="84"/>
        <v>0</v>
      </c>
      <c r="CO336" s="433">
        <f t="shared" si="85"/>
        <v>0</v>
      </c>
      <c r="CP336" s="433">
        <f t="shared" si="86"/>
        <v>-10.648999999999999</v>
      </c>
      <c r="CQ336" s="433">
        <f t="shared" si="87"/>
        <v>-7.548</v>
      </c>
      <c r="CR336" s="433">
        <f t="shared" si="88"/>
        <v>-3.7</v>
      </c>
      <c r="CS336" s="433">
        <f t="shared" si="89"/>
        <v>0</v>
      </c>
      <c r="CT336" s="21"/>
    </row>
    <row r="337" spans="3:98" ht="15">
      <c r="C337" s="421" t="s">
        <v>756</v>
      </c>
      <c r="D337" s="422">
        <v>0</v>
      </c>
      <c r="E337" s="422">
        <v>0</v>
      </c>
      <c r="F337" s="422">
        <v>0</v>
      </c>
      <c r="G337" s="422">
        <v>0</v>
      </c>
      <c r="H337" s="422">
        <v>0</v>
      </c>
      <c r="I337" s="422">
        <v>0</v>
      </c>
      <c r="J337" s="422">
        <v>0</v>
      </c>
      <c r="K337" s="422">
        <v>0</v>
      </c>
      <c r="L337" s="422">
        <v>0</v>
      </c>
      <c r="M337" s="422">
        <v>0</v>
      </c>
      <c r="N337" s="422">
        <v>0</v>
      </c>
      <c r="O337" s="422">
        <v>0</v>
      </c>
      <c r="P337" s="422">
        <v>0</v>
      </c>
      <c r="Q337" s="422">
        <v>0</v>
      </c>
      <c r="R337" s="422">
        <v>0</v>
      </c>
      <c r="S337" s="422">
        <v>0</v>
      </c>
      <c r="T337" s="422">
        <v>0</v>
      </c>
      <c r="U337" s="422">
        <v>0</v>
      </c>
      <c r="V337" s="422">
        <v>0</v>
      </c>
      <c r="W337" s="422">
        <v>0</v>
      </c>
      <c r="X337" s="422">
        <v>0</v>
      </c>
      <c r="Y337" s="422">
        <v>0</v>
      </c>
      <c r="Z337" s="422">
        <v>0</v>
      </c>
      <c r="AA337" s="422">
        <v>0</v>
      </c>
      <c r="AB337" s="422">
        <v>0</v>
      </c>
      <c r="AC337" s="422">
        <v>0</v>
      </c>
      <c r="AD337" s="422">
        <v>0</v>
      </c>
      <c r="AE337" s="422">
        <v>0</v>
      </c>
      <c r="AF337" s="422">
        <v>0</v>
      </c>
      <c r="AG337" s="422">
        <v>0</v>
      </c>
      <c r="AH337" s="422">
        <v>0</v>
      </c>
      <c r="AI337" s="422">
        <v>0</v>
      </c>
      <c r="AJ337" s="422">
        <v>0</v>
      </c>
      <c r="AK337" s="422">
        <v>0</v>
      </c>
      <c r="AL337" s="422">
        <v>0</v>
      </c>
      <c r="AM337" s="422">
        <v>0</v>
      </c>
      <c r="AN337" s="422">
        <v>0</v>
      </c>
      <c r="AO337" s="422">
        <v>0</v>
      </c>
      <c r="AP337" s="422">
        <v>0</v>
      </c>
      <c r="AQ337" s="422">
        <v>0</v>
      </c>
      <c r="AR337" s="422">
        <v>0</v>
      </c>
      <c r="AS337" s="422">
        <v>0</v>
      </c>
      <c r="AT337" s="422">
        <v>0</v>
      </c>
      <c r="AU337" s="422">
        <v>0</v>
      </c>
      <c r="AV337" s="422">
        <v>0</v>
      </c>
      <c r="AW337" s="422">
        <v>0</v>
      </c>
      <c r="AX337" s="422">
        <v>0</v>
      </c>
      <c r="AY337" s="422">
        <v>0</v>
      </c>
      <c r="AZ337" s="422">
        <v>0</v>
      </c>
      <c r="BA337" s="422">
        <v>0</v>
      </c>
      <c r="BB337" s="422">
        <v>0</v>
      </c>
      <c r="BC337" s="422">
        <v>0</v>
      </c>
      <c r="BD337" s="422">
        <v>0</v>
      </c>
      <c r="BE337" s="422">
        <v>0</v>
      </c>
      <c r="BF337" s="422">
        <v>0</v>
      </c>
      <c r="BG337" s="422">
        <v>0</v>
      </c>
      <c r="BH337" s="422">
        <v>0</v>
      </c>
      <c r="BI337" s="422">
        <v>0</v>
      </c>
      <c r="BJ337" s="422">
        <v>107.77800000000001</v>
      </c>
      <c r="BK337" s="422">
        <v>107.77800000000001</v>
      </c>
      <c r="BL337" s="422">
        <v>0</v>
      </c>
      <c r="BM337" s="422">
        <v>0</v>
      </c>
      <c r="BN337" s="422">
        <v>0</v>
      </c>
      <c r="BO337" s="422">
        <v>106.444</v>
      </c>
      <c r="BP337" s="422">
        <v>106.444</v>
      </c>
      <c r="BQ337" s="422">
        <v>0</v>
      </c>
      <c r="BR337" s="422">
        <v>0</v>
      </c>
      <c r="BS337" s="422">
        <v>0</v>
      </c>
      <c r="BT337" s="422">
        <v>75.778000000000006</v>
      </c>
      <c r="BU337" s="422">
        <v>75.778000000000006</v>
      </c>
      <c r="BV337" s="422">
        <v>0</v>
      </c>
      <c r="BW337" s="422">
        <v>0</v>
      </c>
      <c r="BX337" s="422">
        <v>0</v>
      </c>
      <c r="BY337" s="422">
        <v>0</v>
      </c>
      <c r="BZ337" s="422">
        <v>0</v>
      </c>
      <c r="CC337" s="21"/>
      <c r="CD337" s="421" t="s">
        <v>756</v>
      </c>
      <c r="CE337" s="436">
        <f t="shared" si="75"/>
        <v>0</v>
      </c>
      <c r="CF337" s="436">
        <f t="shared" si="76"/>
        <v>0</v>
      </c>
      <c r="CG337" s="436">
        <f t="shared" si="77"/>
        <v>0</v>
      </c>
      <c r="CH337" s="436">
        <f t="shared" si="78"/>
        <v>0</v>
      </c>
      <c r="CI337" s="436">
        <f t="shared" si="79"/>
        <v>0</v>
      </c>
      <c r="CJ337" s="436">
        <f t="shared" si="80"/>
        <v>0</v>
      </c>
      <c r="CK337" s="436">
        <f t="shared" si="81"/>
        <v>0</v>
      </c>
      <c r="CL337" s="436">
        <f t="shared" si="82"/>
        <v>0</v>
      </c>
      <c r="CM337" s="436">
        <f t="shared" si="83"/>
        <v>0</v>
      </c>
      <c r="CN337" s="436">
        <f t="shared" si="84"/>
        <v>0</v>
      </c>
      <c r="CO337" s="436">
        <f t="shared" si="85"/>
        <v>0</v>
      </c>
      <c r="CP337" s="436">
        <f t="shared" si="86"/>
        <v>107.77800000000001</v>
      </c>
      <c r="CQ337" s="436">
        <f t="shared" si="87"/>
        <v>106.444</v>
      </c>
      <c r="CR337" s="436">
        <f t="shared" si="88"/>
        <v>75.778000000000006</v>
      </c>
      <c r="CS337" s="436">
        <f t="shared" si="89"/>
        <v>0</v>
      </c>
      <c r="CT337" s="21"/>
    </row>
    <row r="338" spans="3:98" ht="4.5" customHeight="1">
      <c r="C338" s="98"/>
      <c r="D338" s="416">
        <v>0</v>
      </c>
      <c r="E338" s="416">
        <v>0</v>
      </c>
      <c r="F338" s="416">
        <v>0</v>
      </c>
      <c r="G338" s="416">
        <v>0</v>
      </c>
      <c r="H338" s="416">
        <v>0</v>
      </c>
      <c r="I338" s="416">
        <v>0</v>
      </c>
      <c r="J338" s="416">
        <v>0</v>
      </c>
      <c r="K338" s="416">
        <v>0</v>
      </c>
      <c r="L338" s="416">
        <v>0</v>
      </c>
      <c r="M338" s="416">
        <v>0</v>
      </c>
      <c r="N338" s="416">
        <v>0</v>
      </c>
      <c r="O338" s="416">
        <v>0</v>
      </c>
      <c r="P338" s="416">
        <v>0</v>
      </c>
      <c r="Q338" s="416">
        <v>0</v>
      </c>
      <c r="R338" s="416">
        <v>0</v>
      </c>
      <c r="S338" s="416">
        <v>0</v>
      </c>
      <c r="T338" s="416">
        <v>0</v>
      </c>
      <c r="U338" s="416">
        <v>0</v>
      </c>
      <c r="V338" s="416">
        <v>0</v>
      </c>
      <c r="W338" s="416">
        <v>0</v>
      </c>
      <c r="X338" s="416">
        <v>0</v>
      </c>
      <c r="Y338" s="416">
        <v>0</v>
      </c>
      <c r="Z338" s="416">
        <v>0</v>
      </c>
      <c r="AA338" s="416">
        <v>0</v>
      </c>
      <c r="AB338" s="416">
        <v>0</v>
      </c>
      <c r="AC338" s="416">
        <v>0</v>
      </c>
      <c r="AD338" s="416">
        <v>0</v>
      </c>
      <c r="AE338" s="416">
        <v>0</v>
      </c>
      <c r="AF338" s="416">
        <v>0</v>
      </c>
      <c r="AG338" s="416">
        <v>0</v>
      </c>
      <c r="AH338" s="416">
        <v>0</v>
      </c>
      <c r="AI338" s="416">
        <v>0</v>
      </c>
      <c r="AJ338" s="416">
        <v>0</v>
      </c>
      <c r="AK338" s="416">
        <v>0</v>
      </c>
      <c r="AL338" s="416">
        <v>0</v>
      </c>
      <c r="AM338" s="416">
        <v>0</v>
      </c>
      <c r="AN338" s="416">
        <v>0</v>
      </c>
      <c r="AO338" s="416">
        <v>0</v>
      </c>
      <c r="AP338" s="416">
        <v>0</v>
      </c>
      <c r="AQ338" s="416">
        <v>0</v>
      </c>
      <c r="AR338" s="416">
        <v>0</v>
      </c>
      <c r="AS338" s="416">
        <v>0</v>
      </c>
      <c r="AT338" s="416">
        <v>0</v>
      </c>
      <c r="AU338" s="416">
        <v>0</v>
      </c>
      <c r="AV338" s="416">
        <v>0</v>
      </c>
      <c r="AW338" s="416">
        <v>0</v>
      </c>
      <c r="AX338" s="416">
        <v>0</v>
      </c>
      <c r="AY338" s="416">
        <v>0</v>
      </c>
      <c r="AZ338" s="416">
        <v>0</v>
      </c>
      <c r="BA338" s="416">
        <v>0</v>
      </c>
      <c r="BB338" s="416">
        <v>0</v>
      </c>
      <c r="BC338" s="416">
        <v>0</v>
      </c>
      <c r="BD338" s="416">
        <v>0</v>
      </c>
      <c r="BE338" s="416">
        <v>0</v>
      </c>
      <c r="BF338" s="416">
        <v>0</v>
      </c>
      <c r="BG338" s="416">
        <v>0</v>
      </c>
      <c r="BH338" s="416">
        <v>0</v>
      </c>
      <c r="BI338" s="416">
        <v>0</v>
      </c>
      <c r="BJ338" s="416">
        <v>0</v>
      </c>
      <c r="BK338" s="416">
        <v>0</v>
      </c>
      <c r="BL338" s="416">
        <v>0</v>
      </c>
      <c r="BM338" s="416">
        <v>0</v>
      </c>
      <c r="BN338" s="416">
        <v>0</v>
      </c>
      <c r="BO338" s="416">
        <v>0</v>
      </c>
      <c r="BP338" s="416">
        <v>0</v>
      </c>
      <c r="BQ338" s="416">
        <v>0</v>
      </c>
      <c r="BR338" s="416">
        <v>0</v>
      </c>
      <c r="BS338" s="416">
        <v>0</v>
      </c>
      <c r="BT338" s="416">
        <v>0</v>
      </c>
      <c r="BU338" s="416">
        <v>0</v>
      </c>
      <c r="BV338" s="416">
        <v>0</v>
      </c>
      <c r="BW338" s="416">
        <v>0</v>
      </c>
      <c r="BX338" s="416">
        <v>0</v>
      </c>
      <c r="BY338" s="416">
        <v>0</v>
      </c>
      <c r="BZ338" s="416">
        <v>0</v>
      </c>
      <c r="CC338" s="21"/>
      <c r="CD338" s="98"/>
      <c r="CE338" s="433"/>
      <c r="CF338" s="433"/>
      <c r="CG338" s="433"/>
      <c r="CH338" s="433"/>
      <c r="CI338" s="433"/>
      <c r="CJ338" s="433"/>
      <c r="CK338" s="433"/>
      <c r="CL338" s="433"/>
      <c r="CM338" s="433"/>
      <c r="CN338" s="433"/>
      <c r="CO338" s="433"/>
      <c r="CP338" s="433"/>
      <c r="CQ338" s="433"/>
      <c r="CR338" s="433"/>
      <c r="CS338" s="433"/>
      <c r="CT338" s="21"/>
    </row>
    <row r="339" spans="3:98">
      <c r="C339" s="417" t="s">
        <v>442</v>
      </c>
      <c r="D339" s="416">
        <v>0</v>
      </c>
      <c r="E339" s="416">
        <v>0</v>
      </c>
      <c r="F339" s="416">
        <v>0</v>
      </c>
      <c r="G339" s="416">
        <v>0</v>
      </c>
      <c r="H339" s="416">
        <v>0</v>
      </c>
      <c r="I339" s="416">
        <v>0</v>
      </c>
      <c r="J339" s="416">
        <v>0</v>
      </c>
      <c r="K339" s="416">
        <v>0</v>
      </c>
      <c r="L339" s="416">
        <v>0</v>
      </c>
      <c r="M339" s="416">
        <v>0</v>
      </c>
      <c r="N339" s="416">
        <v>0</v>
      </c>
      <c r="O339" s="416">
        <v>0</v>
      </c>
      <c r="P339" s="416">
        <v>0</v>
      </c>
      <c r="Q339" s="416">
        <v>0</v>
      </c>
      <c r="R339" s="416">
        <v>0</v>
      </c>
      <c r="S339" s="416">
        <v>0</v>
      </c>
      <c r="T339" s="416">
        <v>0</v>
      </c>
      <c r="U339" s="416">
        <v>0</v>
      </c>
      <c r="V339" s="416">
        <v>0</v>
      </c>
      <c r="W339" s="416">
        <v>0</v>
      </c>
      <c r="X339" s="416">
        <v>0</v>
      </c>
      <c r="Y339" s="416">
        <v>0</v>
      </c>
      <c r="Z339" s="416">
        <v>0</v>
      </c>
      <c r="AA339" s="416">
        <v>0</v>
      </c>
      <c r="AB339" s="416">
        <v>0</v>
      </c>
      <c r="AC339" s="416">
        <v>0</v>
      </c>
      <c r="AD339" s="416">
        <v>0</v>
      </c>
      <c r="AE339" s="416">
        <v>0</v>
      </c>
      <c r="AF339" s="416">
        <v>0</v>
      </c>
      <c r="AG339" s="416">
        <v>0</v>
      </c>
      <c r="AH339" s="416">
        <v>0</v>
      </c>
      <c r="AI339" s="416">
        <v>0</v>
      </c>
      <c r="AJ339" s="416">
        <v>0</v>
      </c>
      <c r="AK339" s="416">
        <v>0</v>
      </c>
      <c r="AL339" s="416">
        <v>0</v>
      </c>
      <c r="AM339" s="416">
        <v>0</v>
      </c>
      <c r="AN339" s="416">
        <v>0</v>
      </c>
      <c r="AO339" s="416">
        <v>0</v>
      </c>
      <c r="AP339" s="416">
        <v>0</v>
      </c>
      <c r="AQ339" s="416">
        <v>0</v>
      </c>
      <c r="AR339" s="416">
        <v>0</v>
      </c>
      <c r="AS339" s="416">
        <v>0</v>
      </c>
      <c r="AT339" s="416">
        <v>0</v>
      </c>
      <c r="AU339" s="416">
        <v>0</v>
      </c>
      <c r="AV339" s="416">
        <v>0</v>
      </c>
      <c r="AW339" s="416">
        <v>0</v>
      </c>
      <c r="AX339" s="416">
        <v>0</v>
      </c>
      <c r="AY339" s="416">
        <v>0</v>
      </c>
      <c r="AZ339" s="416">
        <v>0</v>
      </c>
      <c r="BA339" s="416">
        <v>0</v>
      </c>
      <c r="BB339" s="416">
        <v>0</v>
      </c>
      <c r="BC339" s="416">
        <v>0</v>
      </c>
      <c r="BD339" s="416">
        <v>0</v>
      </c>
      <c r="BE339" s="416">
        <v>0</v>
      </c>
      <c r="BF339" s="416">
        <v>0</v>
      </c>
      <c r="BG339" s="416">
        <v>0</v>
      </c>
      <c r="BH339" s="416">
        <v>0</v>
      </c>
      <c r="BI339" s="416">
        <v>0</v>
      </c>
      <c r="BJ339" s="416">
        <v>50.462000000000003</v>
      </c>
      <c r="BK339" s="416">
        <v>50.462000000000003</v>
      </c>
      <c r="BL339" s="416">
        <v>0</v>
      </c>
      <c r="BM339" s="416">
        <v>0</v>
      </c>
      <c r="BN339" s="416">
        <v>0</v>
      </c>
      <c r="BO339" s="416">
        <v>0</v>
      </c>
      <c r="BP339" s="416">
        <v>0</v>
      </c>
      <c r="BQ339" s="416">
        <v>0</v>
      </c>
      <c r="BR339" s="416">
        <v>0</v>
      </c>
      <c r="BS339" s="416">
        <v>0</v>
      </c>
      <c r="BT339" s="416">
        <v>0</v>
      </c>
      <c r="BU339" s="416">
        <v>0</v>
      </c>
      <c r="BV339" s="416">
        <v>0</v>
      </c>
      <c r="BW339" s="416">
        <v>0</v>
      </c>
      <c r="BX339" s="416">
        <v>0</v>
      </c>
      <c r="BY339" s="416">
        <v>0</v>
      </c>
      <c r="BZ339" s="416">
        <v>0</v>
      </c>
      <c r="CC339" s="21"/>
      <c r="CD339" s="417" t="s">
        <v>442</v>
      </c>
      <c r="CE339" s="433">
        <f t="shared" si="75"/>
        <v>0</v>
      </c>
      <c r="CF339" s="433">
        <f t="shared" si="76"/>
        <v>0</v>
      </c>
      <c r="CG339" s="433">
        <f t="shared" si="77"/>
        <v>0</v>
      </c>
      <c r="CH339" s="433">
        <f t="shared" si="78"/>
        <v>0</v>
      </c>
      <c r="CI339" s="433">
        <f t="shared" si="79"/>
        <v>0</v>
      </c>
      <c r="CJ339" s="433">
        <f t="shared" si="80"/>
        <v>0</v>
      </c>
      <c r="CK339" s="433">
        <f t="shared" si="81"/>
        <v>0</v>
      </c>
      <c r="CL339" s="433">
        <f t="shared" si="82"/>
        <v>0</v>
      </c>
      <c r="CM339" s="433">
        <f t="shared" si="83"/>
        <v>0</v>
      </c>
      <c r="CN339" s="433">
        <f t="shared" si="84"/>
        <v>0</v>
      </c>
      <c r="CO339" s="433">
        <f t="shared" si="85"/>
        <v>0</v>
      </c>
      <c r="CP339" s="433">
        <f t="shared" si="86"/>
        <v>50.462000000000003</v>
      </c>
      <c r="CQ339" s="433">
        <f t="shared" si="87"/>
        <v>0</v>
      </c>
      <c r="CR339" s="433">
        <f t="shared" si="88"/>
        <v>0</v>
      </c>
      <c r="CS339" s="433">
        <f t="shared" si="89"/>
        <v>0</v>
      </c>
      <c r="CT339" s="21"/>
    </row>
    <row r="340" spans="3:98">
      <c r="C340" s="417" t="s">
        <v>443</v>
      </c>
      <c r="D340" s="416">
        <v>0</v>
      </c>
      <c r="E340" s="416">
        <v>0</v>
      </c>
      <c r="F340" s="416">
        <v>0</v>
      </c>
      <c r="G340" s="416">
        <v>0</v>
      </c>
      <c r="H340" s="416">
        <v>0</v>
      </c>
      <c r="I340" s="416">
        <v>0</v>
      </c>
      <c r="J340" s="416">
        <v>0</v>
      </c>
      <c r="K340" s="416">
        <v>0</v>
      </c>
      <c r="L340" s="416">
        <v>0</v>
      </c>
      <c r="M340" s="416">
        <v>0</v>
      </c>
      <c r="N340" s="416">
        <v>0</v>
      </c>
      <c r="O340" s="416">
        <v>0</v>
      </c>
      <c r="P340" s="416">
        <v>0</v>
      </c>
      <c r="Q340" s="416">
        <v>0</v>
      </c>
      <c r="R340" s="416">
        <v>0</v>
      </c>
      <c r="S340" s="416">
        <v>0</v>
      </c>
      <c r="T340" s="416">
        <v>0</v>
      </c>
      <c r="U340" s="416">
        <v>0</v>
      </c>
      <c r="V340" s="416">
        <v>0</v>
      </c>
      <c r="W340" s="416">
        <v>0</v>
      </c>
      <c r="X340" s="416">
        <v>0</v>
      </c>
      <c r="Y340" s="416">
        <v>0</v>
      </c>
      <c r="Z340" s="416">
        <v>0</v>
      </c>
      <c r="AA340" s="416">
        <v>0</v>
      </c>
      <c r="AB340" s="416">
        <v>0</v>
      </c>
      <c r="AC340" s="416">
        <v>0</v>
      </c>
      <c r="AD340" s="416">
        <v>0</v>
      </c>
      <c r="AE340" s="416">
        <v>0</v>
      </c>
      <c r="AF340" s="416">
        <v>0</v>
      </c>
      <c r="AG340" s="416">
        <v>0</v>
      </c>
      <c r="AH340" s="416">
        <v>0</v>
      </c>
      <c r="AI340" s="416">
        <v>0</v>
      </c>
      <c r="AJ340" s="416">
        <v>0</v>
      </c>
      <c r="AK340" s="416">
        <v>0</v>
      </c>
      <c r="AL340" s="416">
        <v>0</v>
      </c>
      <c r="AM340" s="416">
        <v>0</v>
      </c>
      <c r="AN340" s="416">
        <v>0</v>
      </c>
      <c r="AO340" s="416">
        <v>0</v>
      </c>
      <c r="AP340" s="416">
        <v>0</v>
      </c>
      <c r="AQ340" s="416">
        <v>0</v>
      </c>
      <c r="AR340" s="416">
        <v>0</v>
      </c>
      <c r="AS340" s="416">
        <v>0</v>
      </c>
      <c r="AT340" s="416">
        <v>0</v>
      </c>
      <c r="AU340" s="416">
        <v>0</v>
      </c>
      <c r="AV340" s="416">
        <v>0</v>
      </c>
      <c r="AW340" s="416">
        <v>0</v>
      </c>
      <c r="AX340" s="416">
        <v>0</v>
      </c>
      <c r="AY340" s="416">
        <v>0</v>
      </c>
      <c r="AZ340" s="416">
        <v>0</v>
      </c>
      <c r="BA340" s="416">
        <v>0</v>
      </c>
      <c r="BB340" s="416">
        <v>0</v>
      </c>
      <c r="BC340" s="416">
        <v>0</v>
      </c>
      <c r="BD340" s="416">
        <v>0</v>
      </c>
      <c r="BE340" s="416">
        <v>0</v>
      </c>
      <c r="BF340" s="416">
        <v>0</v>
      </c>
      <c r="BG340" s="416">
        <v>0</v>
      </c>
      <c r="BH340" s="416">
        <v>0</v>
      </c>
      <c r="BI340" s="416">
        <v>0</v>
      </c>
      <c r="BJ340" s="416">
        <v>0</v>
      </c>
      <c r="BK340" s="416">
        <v>0</v>
      </c>
      <c r="BL340" s="416">
        <v>0</v>
      </c>
      <c r="BM340" s="416">
        <v>0</v>
      </c>
      <c r="BN340" s="416">
        <v>0</v>
      </c>
      <c r="BO340" s="416">
        <v>0</v>
      </c>
      <c r="BP340" s="416">
        <v>0</v>
      </c>
      <c r="BQ340" s="416">
        <v>0</v>
      </c>
      <c r="BR340" s="416">
        <v>0</v>
      </c>
      <c r="BS340" s="416">
        <v>0</v>
      </c>
      <c r="BT340" s="416">
        <v>0</v>
      </c>
      <c r="BU340" s="416">
        <v>0</v>
      </c>
      <c r="BV340" s="416">
        <v>0</v>
      </c>
      <c r="BW340" s="416">
        <v>0</v>
      </c>
      <c r="BX340" s="416">
        <v>0</v>
      </c>
      <c r="BY340" s="416">
        <v>0</v>
      </c>
      <c r="BZ340" s="416">
        <v>0</v>
      </c>
      <c r="CC340" s="21"/>
      <c r="CD340" s="417" t="s">
        <v>443</v>
      </c>
      <c r="CE340" s="433">
        <f t="shared" si="75"/>
        <v>0</v>
      </c>
      <c r="CF340" s="433">
        <f t="shared" si="76"/>
        <v>0</v>
      </c>
      <c r="CG340" s="433">
        <f t="shared" si="77"/>
        <v>0</v>
      </c>
      <c r="CH340" s="433">
        <f t="shared" si="78"/>
        <v>0</v>
      </c>
      <c r="CI340" s="433">
        <f t="shared" si="79"/>
        <v>0</v>
      </c>
      <c r="CJ340" s="433">
        <f t="shared" si="80"/>
        <v>0</v>
      </c>
      <c r="CK340" s="433">
        <f t="shared" si="81"/>
        <v>0</v>
      </c>
      <c r="CL340" s="433">
        <f t="shared" si="82"/>
        <v>0</v>
      </c>
      <c r="CM340" s="433">
        <f t="shared" si="83"/>
        <v>0</v>
      </c>
      <c r="CN340" s="433">
        <f t="shared" si="84"/>
        <v>0</v>
      </c>
      <c r="CO340" s="433">
        <f t="shared" si="85"/>
        <v>0</v>
      </c>
      <c r="CP340" s="433">
        <f t="shared" si="86"/>
        <v>0</v>
      </c>
      <c r="CQ340" s="433">
        <f t="shared" si="87"/>
        <v>0</v>
      </c>
      <c r="CR340" s="433">
        <f t="shared" si="88"/>
        <v>0</v>
      </c>
      <c r="CS340" s="433">
        <f t="shared" si="89"/>
        <v>0</v>
      </c>
      <c r="CT340" s="21"/>
    </row>
    <row r="341" spans="3:98">
      <c r="C341" s="417" t="s">
        <v>444</v>
      </c>
      <c r="D341" s="416">
        <v>0</v>
      </c>
      <c r="E341" s="416">
        <v>0</v>
      </c>
      <c r="F341" s="416">
        <v>0</v>
      </c>
      <c r="G341" s="416">
        <v>0</v>
      </c>
      <c r="H341" s="416">
        <v>0</v>
      </c>
      <c r="I341" s="416">
        <v>0</v>
      </c>
      <c r="J341" s="416">
        <v>0</v>
      </c>
      <c r="K341" s="416">
        <v>0</v>
      </c>
      <c r="L341" s="416">
        <v>0</v>
      </c>
      <c r="M341" s="416">
        <v>0</v>
      </c>
      <c r="N341" s="416">
        <v>0</v>
      </c>
      <c r="O341" s="416">
        <v>0</v>
      </c>
      <c r="P341" s="416">
        <v>0</v>
      </c>
      <c r="Q341" s="416">
        <v>0</v>
      </c>
      <c r="R341" s="416">
        <v>0</v>
      </c>
      <c r="S341" s="416">
        <v>0</v>
      </c>
      <c r="T341" s="416">
        <v>0</v>
      </c>
      <c r="U341" s="416">
        <v>0</v>
      </c>
      <c r="V341" s="416">
        <v>0</v>
      </c>
      <c r="W341" s="416">
        <v>0</v>
      </c>
      <c r="X341" s="416">
        <v>0</v>
      </c>
      <c r="Y341" s="416">
        <v>0</v>
      </c>
      <c r="Z341" s="416">
        <v>0</v>
      </c>
      <c r="AA341" s="416">
        <v>0</v>
      </c>
      <c r="AB341" s="416">
        <v>0</v>
      </c>
      <c r="AC341" s="416">
        <v>0</v>
      </c>
      <c r="AD341" s="416">
        <v>0</v>
      </c>
      <c r="AE341" s="416">
        <v>0</v>
      </c>
      <c r="AF341" s="416">
        <v>0</v>
      </c>
      <c r="AG341" s="416">
        <v>0</v>
      </c>
      <c r="AH341" s="416">
        <v>0</v>
      </c>
      <c r="AI341" s="416">
        <v>0</v>
      </c>
      <c r="AJ341" s="416">
        <v>0</v>
      </c>
      <c r="AK341" s="416">
        <v>0</v>
      </c>
      <c r="AL341" s="416">
        <v>0</v>
      </c>
      <c r="AM341" s="416">
        <v>0</v>
      </c>
      <c r="AN341" s="416">
        <v>0</v>
      </c>
      <c r="AO341" s="416">
        <v>0</v>
      </c>
      <c r="AP341" s="416">
        <v>0</v>
      </c>
      <c r="AQ341" s="416">
        <v>0</v>
      </c>
      <c r="AR341" s="416">
        <v>0</v>
      </c>
      <c r="AS341" s="416">
        <v>0</v>
      </c>
      <c r="AT341" s="416">
        <v>0</v>
      </c>
      <c r="AU341" s="416">
        <v>0</v>
      </c>
      <c r="AV341" s="416">
        <v>0</v>
      </c>
      <c r="AW341" s="416">
        <v>0</v>
      </c>
      <c r="AX341" s="416">
        <v>0</v>
      </c>
      <c r="AY341" s="416">
        <v>0</v>
      </c>
      <c r="AZ341" s="416">
        <v>0</v>
      </c>
      <c r="BA341" s="416">
        <v>0</v>
      </c>
      <c r="BB341" s="416">
        <v>0</v>
      </c>
      <c r="BC341" s="416">
        <v>0</v>
      </c>
      <c r="BD341" s="416">
        <v>0</v>
      </c>
      <c r="BE341" s="416">
        <v>0</v>
      </c>
      <c r="BF341" s="416">
        <v>0</v>
      </c>
      <c r="BG341" s="416">
        <v>0</v>
      </c>
      <c r="BH341" s="416">
        <v>0</v>
      </c>
      <c r="BI341" s="416">
        <v>0</v>
      </c>
      <c r="BJ341" s="416">
        <v>42.716999999999999</v>
      </c>
      <c r="BK341" s="416">
        <v>42.716999999999999</v>
      </c>
      <c r="BL341" s="416">
        <v>0</v>
      </c>
      <c r="BM341" s="416">
        <v>0</v>
      </c>
      <c r="BN341" s="416">
        <v>0</v>
      </c>
      <c r="BO341" s="416">
        <v>0</v>
      </c>
      <c r="BP341" s="416">
        <v>0</v>
      </c>
      <c r="BQ341" s="416">
        <v>0</v>
      </c>
      <c r="BR341" s="416">
        <v>0</v>
      </c>
      <c r="BS341" s="416">
        <v>0</v>
      </c>
      <c r="BT341" s="416">
        <v>0</v>
      </c>
      <c r="BU341" s="416">
        <v>0</v>
      </c>
      <c r="BV341" s="416">
        <v>0</v>
      </c>
      <c r="BW341" s="416">
        <v>0</v>
      </c>
      <c r="BX341" s="416">
        <v>0</v>
      </c>
      <c r="BY341" s="416">
        <v>0</v>
      </c>
      <c r="BZ341" s="416">
        <v>0</v>
      </c>
      <c r="CC341" s="21"/>
      <c r="CD341" s="417" t="s">
        <v>444</v>
      </c>
      <c r="CE341" s="433">
        <f t="shared" si="75"/>
        <v>0</v>
      </c>
      <c r="CF341" s="433">
        <f t="shared" si="76"/>
        <v>0</v>
      </c>
      <c r="CG341" s="433">
        <f t="shared" si="77"/>
        <v>0</v>
      </c>
      <c r="CH341" s="433">
        <f t="shared" si="78"/>
        <v>0</v>
      </c>
      <c r="CI341" s="433">
        <f t="shared" si="79"/>
        <v>0</v>
      </c>
      <c r="CJ341" s="433">
        <f t="shared" si="80"/>
        <v>0</v>
      </c>
      <c r="CK341" s="433">
        <f t="shared" si="81"/>
        <v>0</v>
      </c>
      <c r="CL341" s="433">
        <f t="shared" si="82"/>
        <v>0</v>
      </c>
      <c r="CM341" s="433">
        <f t="shared" si="83"/>
        <v>0</v>
      </c>
      <c r="CN341" s="433">
        <f t="shared" si="84"/>
        <v>0</v>
      </c>
      <c r="CO341" s="433">
        <f t="shared" si="85"/>
        <v>0</v>
      </c>
      <c r="CP341" s="433">
        <f t="shared" si="86"/>
        <v>42.716999999999999</v>
      </c>
      <c r="CQ341" s="433">
        <f t="shared" si="87"/>
        <v>0</v>
      </c>
      <c r="CR341" s="433">
        <f t="shared" si="88"/>
        <v>0</v>
      </c>
      <c r="CS341" s="433">
        <f t="shared" si="89"/>
        <v>0</v>
      </c>
      <c r="CT341" s="21"/>
    </row>
    <row r="342" spans="3:98">
      <c r="C342" s="417" t="s">
        <v>445</v>
      </c>
      <c r="D342" s="416">
        <v>0</v>
      </c>
      <c r="E342" s="416">
        <v>0</v>
      </c>
      <c r="F342" s="416">
        <v>0</v>
      </c>
      <c r="G342" s="416">
        <v>0</v>
      </c>
      <c r="H342" s="416">
        <v>0</v>
      </c>
      <c r="I342" s="416">
        <v>0</v>
      </c>
      <c r="J342" s="416">
        <v>0</v>
      </c>
      <c r="K342" s="416">
        <v>0</v>
      </c>
      <c r="L342" s="416">
        <v>0</v>
      </c>
      <c r="M342" s="416">
        <v>0</v>
      </c>
      <c r="N342" s="416">
        <v>0</v>
      </c>
      <c r="O342" s="416">
        <v>0</v>
      </c>
      <c r="P342" s="416">
        <v>0</v>
      </c>
      <c r="Q342" s="416">
        <v>0</v>
      </c>
      <c r="R342" s="416">
        <v>0</v>
      </c>
      <c r="S342" s="416">
        <v>0</v>
      </c>
      <c r="T342" s="416">
        <v>0</v>
      </c>
      <c r="U342" s="416">
        <v>0</v>
      </c>
      <c r="V342" s="416">
        <v>0</v>
      </c>
      <c r="W342" s="416">
        <v>0</v>
      </c>
      <c r="X342" s="416">
        <v>0</v>
      </c>
      <c r="Y342" s="416">
        <v>0</v>
      </c>
      <c r="Z342" s="416">
        <v>0</v>
      </c>
      <c r="AA342" s="416">
        <v>0</v>
      </c>
      <c r="AB342" s="416">
        <v>0</v>
      </c>
      <c r="AC342" s="416">
        <v>0</v>
      </c>
      <c r="AD342" s="416">
        <v>0</v>
      </c>
      <c r="AE342" s="416">
        <v>0</v>
      </c>
      <c r="AF342" s="416">
        <v>0</v>
      </c>
      <c r="AG342" s="416">
        <v>0</v>
      </c>
      <c r="AH342" s="416">
        <v>0</v>
      </c>
      <c r="AI342" s="416">
        <v>0</v>
      </c>
      <c r="AJ342" s="416">
        <v>0</v>
      </c>
      <c r="AK342" s="416">
        <v>0</v>
      </c>
      <c r="AL342" s="416">
        <v>0</v>
      </c>
      <c r="AM342" s="416">
        <v>0</v>
      </c>
      <c r="AN342" s="416">
        <v>0</v>
      </c>
      <c r="AO342" s="416">
        <v>0</v>
      </c>
      <c r="AP342" s="416">
        <v>0</v>
      </c>
      <c r="AQ342" s="416">
        <v>0</v>
      </c>
      <c r="AR342" s="416">
        <v>0</v>
      </c>
      <c r="AS342" s="416">
        <v>0</v>
      </c>
      <c r="AT342" s="416">
        <v>0</v>
      </c>
      <c r="AU342" s="416">
        <v>0</v>
      </c>
      <c r="AV342" s="416">
        <v>0</v>
      </c>
      <c r="AW342" s="416">
        <v>0</v>
      </c>
      <c r="AX342" s="416">
        <v>0</v>
      </c>
      <c r="AY342" s="416">
        <v>0</v>
      </c>
      <c r="AZ342" s="416">
        <v>0</v>
      </c>
      <c r="BA342" s="416">
        <v>0</v>
      </c>
      <c r="BB342" s="416">
        <v>0</v>
      </c>
      <c r="BC342" s="416">
        <v>0</v>
      </c>
      <c r="BD342" s="416">
        <v>0</v>
      </c>
      <c r="BE342" s="416">
        <v>0</v>
      </c>
      <c r="BF342" s="416">
        <v>0</v>
      </c>
      <c r="BG342" s="416">
        <v>0</v>
      </c>
      <c r="BH342" s="416">
        <v>0</v>
      </c>
      <c r="BI342" s="416">
        <v>0</v>
      </c>
      <c r="BJ342" s="416">
        <v>0</v>
      </c>
      <c r="BK342" s="416">
        <v>0</v>
      </c>
      <c r="BL342" s="416">
        <v>0</v>
      </c>
      <c r="BM342" s="416">
        <v>0</v>
      </c>
      <c r="BN342" s="416">
        <v>0</v>
      </c>
      <c r="BO342" s="416">
        <v>0</v>
      </c>
      <c r="BP342" s="416">
        <v>0</v>
      </c>
      <c r="BQ342" s="416">
        <v>0</v>
      </c>
      <c r="BR342" s="416">
        <v>0</v>
      </c>
      <c r="BS342" s="416">
        <v>0</v>
      </c>
      <c r="BT342" s="416">
        <v>0</v>
      </c>
      <c r="BU342" s="416">
        <v>0</v>
      </c>
      <c r="BV342" s="416">
        <v>0</v>
      </c>
      <c r="BW342" s="416">
        <v>0</v>
      </c>
      <c r="BX342" s="416">
        <v>0</v>
      </c>
      <c r="BY342" s="416">
        <v>0</v>
      </c>
      <c r="BZ342" s="416">
        <v>0</v>
      </c>
      <c r="CC342" s="21"/>
      <c r="CD342" s="417" t="s">
        <v>445</v>
      </c>
      <c r="CE342" s="433">
        <f t="shared" si="75"/>
        <v>0</v>
      </c>
      <c r="CF342" s="433">
        <f t="shared" si="76"/>
        <v>0</v>
      </c>
      <c r="CG342" s="433">
        <f t="shared" si="77"/>
        <v>0</v>
      </c>
      <c r="CH342" s="433">
        <f t="shared" si="78"/>
        <v>0</v>
      </c>
      <c r="CI342" s="433">
        <f t="shared" si="79"/>
        <v>0</v>
      </c>
      <c r="CJ342" s="433">
        <f t="shared" si="80"/>
        <v>0</v>
      </c>
      <c r="CK342" s="433">
        <f t="shared" si="81"/>
        <v>0</v>
      </c>
      <c r="CL342" s="433">
        <f t="shared" si="82"/>
        <v>0</v>
      </c>
      <c r="CM342" s="433">
        <f t="shared" si="83"/>
        <v>0</v>
      </c>
      <c r="CN342" s="433">
        <f t="shared" si="84"/>
        <v>0</v>
      </c>
      <c r="CO342" s="433">
        <f t="shared" si="85"/>
        <v>0</v>
      </c>
      <c r="CP342" s="433">
        <f t="shared" si="86"/>
        <v>0</v>
      </c>
      <c r="CQ342" s="433">
        <f t="shared" si="87"/>
        <v>0</v>
      </c>
      <c r="CR342" s="433">
        <f t="shared" si="88"/>
        <v>0</v>
      </c>
      <c r="CS342" s="433">
        <f t="shared" si="89"/>
        <v>0</v>
      </c>
      <c r="CT342" s="21"/>
    </row>
    <row r="343" spans="3:98">
      <c r="C343" s="417" t="s">
        <v>446</v>
      </c>
      <c r="D343" s="416">
        <v>0</v>
      </c>
      <c r="E343" s="416">
        <v>0</v>
      </c>
      <c r="F343" s="416">
        <v>0</v>
      </c>
      <c r="G343" s="416">
        <v>0</v>
      </c>
      <c r="H343" s="416">
        <v>0</v>
      </c>
      <c r="I343" s="416">
        <v>0</v>
      </c>
      <c r="J343" s="416">
        <v>0</v>
      </c>
      <c r="K343" s="416">
        <v>0</v>
      </c>
      <c r="L343" s="416">
        <v>0</v>
      </c>
      <c r="M343" s="416">
        <v>0</v>
      </c>
      <c r="N343" s="416">
        <v>0</v>
      </c>
      <c r="O343" s="416">
        <v>0</v>
      </c>
      <c r="P343" s="416">
        <v>0</v>
      </c>
      <c r="Q343" s="416">
        <v>0</v>
      </c>
      <c r="R343" s="416">
        <v>0</v>
      </c>
      <c r="S343" s="416">
        <v>0</v>
      </c>
      <c r="T343" s="416">
        <v>0</v>
      </c>
      <c r="U343" s="416">
        <v>0</v>
      </c>
      <c r="V343" s="416">
        <v>0</v>
      </c>
      <c r="W343" s="416">
        <v>0</v>
      </c>
      <c r="X343" s="416">
        <v>0</v>
      </c>
      <c r="Y343" s="416">
        <v>0</v>
      </c>
      <c r="Z343" s="416">
        <v>0</v>
      </c>
      <c r="AA343" s="416">
        <v>0</v>
      </c>
      <c r="AB343" s="416">
        <v>0</v>
      </c>
      <c r="AC343" s="416">
        <v>0</v>
      </c>
      <c r="AD343" s="416">
        <v>0</v>
      </c>
      <c r="AE343" s="416">
        <v>0</v>
      </c>
      <c r="AF343" s="416">
        <v>0</v>
      </c>
      <c r="AG343" s="416">
        <v>0</v>
      </c>
      <c r="AH343" s="416">
        <v>0</v>
      </c>
      <c r="AI343" s="416">
        <v>0</v>
      </c>
      <c r="AJ343" s="416">
        <v>0</v>
      </c>
      <c r="AK343" s="416">
        <v>0</v>
      </c>
      <c r="AL343" s="416">
        <v>0</v>
      </c>
      <c r="AM343" s="416">
        <v>0</v>
      </c>
      <c r="AN343" s="416">
        <v>0</v>
      </c>
      <c r="AO343" s="416">
        <v>0</v>
      </c>
      <c r="AP343" s="416">
        <v>0</v>
      </c>
      <c r="AQ343" s="416">
        <v>0</v>
      </c>
      <c r="AR343" s="416">
        <v>0</v>
      </c>
      <c r="AS343" s="416">
        <v>0</v>
      </c>
      <c r="AT343" s="416">
        <v>0</v>
      </c>
      <c r="AU343" s="416">
        <v>0</v>
      </c>
      <c r="AV343" s="416">
        <v>0</v>
      </c>
      <c r="AW343" s="416">
        <v>0</v>
      </c>
      <c r="AX343" s="416">
        <v>0</v>
      </c>
      <c r="AY343" s="416">
        <v>0</v>
      </c>
      <c r="AZ343" s="416">
        <v>0</v>
      </c>
      <c r="BA343" s="416">
        <v>0</v>
      </c>
      <c r="BB343" s="416">
        <v>0</v>
      </c>
      <c r="BC343" s="416">
        <v>0</v>
      </c>
      <c r="BD343" s="416">
        <v>0</v>
      </c>
      <c r="BE343" s="416">
        <v>0</v>
      </c>
      <c r="BF343" s="416">
        <v>0</v>
      </c>
      <c r="BG343" s="416">
        <v>0</v>
      </c>
      <c r="BH343" s="416">
        <v>0</v>
      </c>
      <c r="BI343" s="416">
        <v>0</v>
      </c>
      <c r="BJ343" s="416">
        <v>0</v>
      </c>
      <c r="BK343" s="416">
        <v>0</v>
      </c>
      <c r="BL343" s="416">
        <v>0</v>
      </c>
      <c r="BM343" s="416">
        <v>0</v>
      </c>
      <c r="BN343" s="416">
        <v>0</v>
      </c>
      <c r="BO343" s="416">
        <v>0</v>
      </c>
      <c r="BP343" s="416">
        <v>0</v>
      </c>
      <c r="BQ343" s="416">
        <v>0</v>
      </c>
      <c r="BR343" s="416">
        <v>0</v>
      </c>
      <c r="BS343" s="416">
        <v>0</v>
      </c>
      <c r="BT343" s="416">
        <v>0</v>
      </c>
      <c r="BU343" s="416">
        <v>0</v>
      </c>
      <c r="BV343" s="416">
        <v>0</v>
      </c>
      <c r="BW343" s="416">
        <v>0</v>
      </c>
      <c r="BX343" s="416">
        <v>0</v>
      </c>
      <c r="BY343" s="416">
        <v>0</v>
      </c>
      <c r="BZ343" s="416">
        <v>0</v>
      </c>
      <c r="CC343" s="21"/>
      <c r="CD343" s="417" t="s">
        <v>446</v>
      </c>
      <c r="CE343" s="433">
        <f t="shared" si="75"/>
        <v>0</v>
      </c>
      <c r="CF343" s="433">
        <f t="shared" si="76"/>
        <v>0</v>
      </c>
      <c r="CG343" s="433">
        <f t="shared" si="77"/>
        <v>0</v>
      </c>
      <c r="CH343" s="433">
        <f t="shared" si="78"/>
        <v>0</v>
      </c>
      <c r="CI343" s="433">
        <f t="shared" si="79"/>
        <v>0</v>
      </c>
      <c r="CJ343" s="433">
        <f t="shared" si="80"/>
        <v>0</v>
      </c>
      <c r="CK343" s="433">
        <f t="shared" si="81"/>
        <v>0</v>
      </c>
      <c r="CL343" s="433">
        <f t="shared" si="82"/>
        <v>0</v>
      </c>
      <c r="CM343" s="433">
        <f t="shared" si="83"/>
        <v>0</v>
      </c>
      <c r="CN343" s="433">
        <f t="shared" si="84"/>
        <v>0</v>
      </c>
      <c r="CO343" s="433">
        <f t="shared" si="85"/>
        <v>0</v>
      </c>
      <c r="CP343" s="433">
        <f t="shared" si="86"/>
        <v>0</v>
      </c>
      <c r="CQ343" s="433">
        <f t="shared" si="87"/>
        <v>0</v>
      </c>
      <c r="CR343" s="433">
        <f t="shared" si="88"/>
        <v>0</v>
      </c>
      <c r="CS343" s="433">
        <f t="shared" si="89"/>
        <v>0</v>
      </c>
      <c r="CT343" s="21"/>
    </row>
    <row r="344" spans="3:98">
      <c r="C344" s="417" t="s">
        <v>447</v>
      </c>
      <c r="D344" s="416">
        <v>0</v>
      </c>
      <c r="E344" s="416">
        <v>0</v>
      </c>
      <c r="F344" s="416">
        <v>0</v>
      </c>
      <c r="G344" s="416">
        <v>0</v>
      </c>
      <c r="H344" s="416">
        <v>0</v>
      </c>
      <c r="I344" s="416">
        <v>0</v>
      </c>
      <c r="J344" s="416">
        <v>0</v>
      </c>
      <c r="K344" s="416">
        <v>0</v>
      </c>
      <c r="L344" s="416">
        <v>0</v>
      </c>
      <c r="M344" s="416">
        <v>0</v>
      </c>
      <c r="N344" s="416">
        <v>0</v>
      </c>
      <c r="O344" s="416">
        <v>0</v>
      </c>
      <c r="P344" s="416">
        <v>0</v>
      </c>
      <c r="Q344" s="416">
        <v>0</v>
      </c>
      <c r="R344" s="416">
        <v>0</v>
      </c>
      <c r="S344" s="416">
        <v>0</v>
      </c>
      <c r="T344" s="416">
        <v>0</v>
      </c>
      <c r="U344" s="416">
        <v>0</v>
      </c>
      <c r="V344" s="416">
        <v>0</v>
      </c>
      <c r="W344" s="416">
        <v>0</v>
      </c>
      <c r="X344" s="416">
        <v>0</v>
      </c>
      <c r="Y344" s="416">
        <v>0</v>
      </c>
      <c r="Z344" s="416">
        <v>0</v>
      </c>
      <c r="AA344" s="416">
        <v>0</v>
      </c>
      <c r="AB344" s="416">
        <v>0</v>
      </c>
      <c r="AC344" s="416">
        <v>0</v>
      </c>
      <c r="AD344" s="416">
        <v>0</v>
      </c>
      <c r="AE344" s="416">
        <v>0</v>
      </c>
      <c r="AF344" s="416">
        <v>0</v>
      </c>
      <c r="AG344" s="416">
        <v>0</v>
      </c>
      <c r="AH344" s="416">
        <v>0</v>
      </c>
      <c r="AI344" s="416">
        <v>0</v>
      </c>
      <c r="AJ344" s="416">
        <v>0</v>
      </c>
      <c r="AK344" s="416">
        <v>0</v>
      </c>
      <c r="AL344" s="416">
        <v>0</v>
      </c>
      <c r="AM344" s="416">
        <v>0</v>
      </c>
      <c r="AN344" s="416">
        <v>0</v>
      </c>
      <c r="AO344" s="416">
        <v>0</v>
      </c>
      <c r="AP344" s="416">
        <v>0</v>
      </c>
      <c r="AQ344" s="416">
        <v>0</v>
      </c>
      <c r="AR344" s="416">
        <v>0</v>
      </c>
      <c r="AS344" s="416">
        <v>0</v>
      </c>
      <c r="AT344" s="416">
        <v>0</v>
      </c>
      <c r="AU344" s="416">
        <v>0</v>
      </c>
      <c r="AV344" s="416">
        <v>0</v>
      </c>
      <c r="AW344" s="416">
        <v>0</v>
      </c>
      <c r="AX344" s="416">
        <v>0</v>
      </c>
      <c r="AY344" s="416">
        <v>0</v>
      </c>
      <c r="AZ344" s="416">
        <v>0</v>
      </c>
      <c r="BA344" s="416">
        <v>0</v>
      </c>
      <c r="BB344" s="416">
        <v>0</v>
      </c>
      <c r="BC344" s="416">
        <v>0</v>
      </c>
      <c r="BD344" s="416">
        <v>0</v>
      </c>
      <c r="BE344" s="416">
        <v>0</v>
      </c>
      <c r="BF344" s="416">
        <v>0</v>
      </c>
      <c r="BG344" s="416">
        <v>0</v>
      </c>
      <c r="BH344" s="416">
        <v>0</v>
      </c>
      <c r="BI344" s="416">
        <v>0</v>
      </c>
      <c r="BJ344" s="416">
        <v>0</v>
      </c>
      <c r="BK344" s="416">
        <v>0</v>
      </c>
      <c r="BL344" s="416">
        <v>0</v>
      </c>
      <c r="BM344" s="416">
        <v>0</v>
      </c>
      <c r="BN344" s="416">
        <v>0</v>
      </c>
      <c r="BO344" s="416">
        <v>0</v>
      </c>
      <c r="BP344" s="416">
        <v>0</v>
      </c>
      <c r="BQ344" s="416">
        <v>0</v>
      </c>
      <c r="BR344" s="416">
        <v>0</v>
      </c>
      <c r="BS344" s="416">
        <v>0</v>
      </c>
      <c r="BT344" s="416">
        <v>0</v>
      </c>
      <c r="BU344" s="416">
        <v>0</v>
      </c>
      <c r="BV344" s="416">
        <v>0</v>
      </c>
      <c r="BW344" s="416">
        <v>0</v>
      </c>
      <c r="BX344" s="416">
        <v>0</v>
      </c>
      <c r="BY344" s="416">
        <v>0</v>
      </c>
      <c r="BZ344" s="416">
        <v>0</v>
      </c>
      <c r="CC344" s="21"/>
      <c r="CD344" s="417" t="s">
        <v>447</v>
      </c>
      <c r="CE344" s="433">
        <f t="shared" si="75"/>
        <v>0</v>
      </c>
      <c r="CF344" s="433">
        <f t="shared" si="76"/>
        <v>0</v>
      </c>
      <c r="CG344" s="433">
        <f t="shared" si="77"/>
        <v>0</v>
      </c>
      <c r="CH344" s="433">
        <f t="shared" si="78"/>
        <v>0</v>
      </c>
      <c r="CI344" s="433">
        <f t="shared" si="79"/>
        <v>0</v>
      </c>
      <c r="CJ344" s="433">
        <f t="shared" si="80"/>
        <v>0</v>
      </c>
      <c r="CK344" s="433">
        <f t="shared" si="81"/>
        <v>0</v>
      </c>
      <c r="CL344" s="433">
        <f t="shared" si="82"/>
        <v>0</v>
      </c>
      <c r="CM344" s="433">
        <f t="shared" si="83"/>
        <v>0</v>
      </c>
      <c r="CN344" s="433">
        <f t="shared" si="84"/>
        <v>0</v>
      </c>
      <c r="CO344" s="433">
        <f t="shared" si="85"/>
        <v>0</v>
      </c>
      <c r="CP344" s="433">
        <f t="shared" si="86"/>
        <v>0</v>
      </c>
      <c r="CQ344" s="433">
        <f t="shared" si="87"/>
        <v>0</v>
      </c>
      <c r="CR344" s="433">
        <f t="shared" si="88"/>
        <v>0</v>
      </c>
      <c r="CS344" s="433">
        <f t="shared" si="89"/>
        <v>0</v>
      </c>
      <c r="CT344" s="21"/>
    </row>
    <row r="345" spans="3:98">
      <c r="C345" s="417" t="s">
        <v>757</v>
      </c>
      <c r="D345" s="416">
        <v>0</v>
      </c>
      <c r="E345" s="416">
        <v>0</v>
      </c>
      <c r="F345" s="416">
        <v>0</v>
      </c>
      <c r="G345" s="416">
        <v>0</v>
      </c>
      <c r="H345" s="416">
        <v>0</v>
      </c>
      <c r="I345" s="416">
        <v>0</v>
      </c>
      <c r="J345" s="416">
        <v>0</v>
      </c>
      <c r="K345" s="416">
        <v>0</v>
      </c>
      <c r="L345" s="416">
        <v>0</v>
      </c>
      <c r="M345" s="416">
        <v>0</v>
      </c>
      <c r="N345" s="416">
        <v>0</v>
      </c>
      <c r="O345" s="416">
        <v>0</v>
      </c>
      <c r="P345" s="416">
        <v>0</v>
      </c>
      <c r="Q345" s="416">
        <v>0</v>
      </c>
      <c r="R345" s="416">
        <v>0</v>
      </c>
      <c r="S345" s="416">
        <v>0</v>
      </c>
      <c r="T345" s="416">
        <v>0</v>
      </c>
      <c r="U345" s="416">
        <v>0</v>
      </c>
      <c r="V345" s="416">
        <v>0</v>
      </c>
      <c r="W345" s="416">
        <v>0</v>
      </c>
      <c r="X345" s="416">
        <v>0</v>
      </c>
      <c r="Y345" s="416">
        <v>0</v>
      </c>
      <c r="Z345" s="416">
        <v>0</v>
      </c>
      <c r="AA345" s="416">
        <v>0</v>
      </c>
      <c r="AB345" s="416">
        <v>0</v>
      </c>
      <c r="AC345" s="416">
        <v>0</v>
      </c>
      <c r="AD345" s="416">
        <v>0</v>
      </c>
      <c r="AE345" s="416">
        <v>0</v>
      </c>
      <c r="AF345" s="416">
        <v>0</v>
      </c>
      <c r="AG345" s="416">
        <v>0</v>
      </c>
      <c r="AH345" s="416">
        <v>0</v>
      </c>
      <c r="AI345" s="416">
        <v>0</v>
      </c>
      <c r="AJ345" s="416">
        <v>0</v>
      </c>
      <c r="AK345" s="416">
        <v>0</v>
      </c>
      <c r="AL345" s="416">
        <v>0</v>
      </c>
      <c r="AM345" s="416">
        <v>0</v>
      </c>
      <c r="AN345" s="416">
        <v>0</v>
      </c>
      <c r="AO345" s="416">
        <v>0</v>
      </c>
      <c r="AP345" s="416">
        <v>0</v>
      </c>
      <c r="AQ345" s="416">
        <v>0</v>
      </c>
      <c r="AR345" s="416">
        <v>0</v>
      </c>
      <c r="AS345" s="416">
        <v>0</v>
      </c>
      <c r="AT345" s="416">
        <v>0</v>
      </c>
      <c r="AU345" s="416">
        <v>0</v>
      </c>
      <c r="AV345" s="416">
        <v>0</v>
      </c>
      <c r="AW345" s="416">
        <v>0</v>
      </c>
      <c r="AX345" s="416">
        <v>0</v>
      </c>
      <c r="AY345" s="416">
        <v>0</v>
      </c>
      <c r="AZ345" s="416">
        <v>0</v>
      </c>
      <c r="BA345" s="416">
        <v>0</v>
      </c>
      <c r="BB345" s="416">
        <v>0</v>
      </c>
      <c r="BC345" s="416">
        <v>0</v>
      </c>
      <c r="BD345" s="416">
        <v>0</v>
      </c>
      <c r="BE345" s="416">
        <v>0</v>
      </c>
      <c r="BF345" s="416">
        <v>0</v>
      </c>
      <c r="BG345" s="416">
        <v>0</v>
      </c>
      <c r="BH345" s="416">
        <v>0</v>
      </c>
      <c r="BI345" s="416">
        <v>0</v>
      </c>
      <c r="BJ345" s="416">
        <v>0</v>
      </c>
      <c r="BK345" s="416">
        <v>0</v>
      </c>
      <c r="BL345" s="416">
        <v>0</v>
      </c>
      <c r="BM345" s="416">
        <v>0</v>
      </c>
      <c r="BN345" s="416">
        <v>0</v>
      </c>
      <c r="BO345" s="416">
        <v>0</v>
      </c>
      <c r="BP345" s="416">
        <v>0</v>
      </c>
      <c r="BQ345" s="416">
        <v>0</v>
      </c>
      <c r="BR345" s="416">
        <v>0</v>
      </c>
      <c r="BS345" s="416">
        <v>0</v>
      </c>
      <c r="BT345" s="416">
        <v>0</v>
      </c>
      <c r="BU345" s="416">
        <v>0</v>
      </c>
      <c r="BV345" s="416">
        <v>0</v>
      </c>
      <c r="BW345" s="416">
        <v>0</v>
      </c>
      <c r="BX345" s="416">
        <v>0</v>
      </c>
      <c r="BY345" s="416">
        <v>0</v>
      </c>
      <c r="BZ345" s="416">
        <v>0</v>
      </c>
      <c r="CC345" s="21"/>
      <c r="CD345" s="417" t="s">
        <v>757</v>
      </c>
      <c r="CE345" s="433">
        <f t="shared" si="75"/>
        <v>0</v>
      </c>
      <c r="CF345" s="433">
        <f t="shared" si="76"/>
        <v>0</v>
      </c>
      <c r="CG345" s="433">
        <f t="shared" si="77"/>
        <v>0</v>
      </c>
      <c r="CH345" s="433">
        <f t="shared" si="78"/>
        <v>0</v>
      </c>
      <c r="CI345" s="433">
        <f t="shared" si="79"/>
        <v>0</v>
      </c>
      <c r="CJ345" s="433">
        <f t="shared" si="80"/>
        <v>0</v>
      </c>
      <c r="CK345" s="433">
        <f t="shared" si="81"/>
        <v>0</v>
      </c>
      <c r="CL345" s="433">
        <f t="shared" si="82"/>
        <v>0</v>
      </c>
      <c r="CM345" s="433">
        <f t="shared" si="83"/>
        <v>0</v>
      </c>
      <c r="CN345" s="433">
        <f t="shared" si="84"/>
        <v>0</v>
      </c>
      <c r="CO345" s="433">
        <f t="shared" si="85"/>
        <v>0</v>
      </c>
      <c r="CP345" s="433">
        <f t="shared" si="86"/>
        <v>0</v>
      </c>
      <c r="CQ345" s="433">
        <f t="shared" si="87"/>
        <v>0</v>
      </c>
      <c r="CR345" s="433">
        <f t="shared" si="88"/>
        <v>0</v>
      </c>
      <c r="CS345" s="433">
        <f t="shared" si="89"/>
        <v>0</v>
      </c>
      <c r="CT345" s="21"/>
    </row>
    <row r="346" spans="3:98" ht="15">
      <c r="C346" s="421" t="s">
        <v>441</v>
      </c>
      <c r="D346" s="422">
        <v>0</v>
      </c>
      <c r="E346" s="422">
        <v>0</v>
      </c>
      <c r="F346" s="422">
        <v>0</v>
      </c>
      <c r="G346" s="422">
        <v>0</v>
      </c>
      <c r="H346" s="422">
        <v>0</v>
      </c>
      <c r="I346" s="422">
        <v>0</v>
      </c>
      <c r="J346" s="422">
        <v>0</v>
      </c>
      <c r="K346" s="422">
        <v>0</v>
      </c>
      <c r="L346" s="422">
        <v>0</v>
      </c>
      <c r="M346" s="422">
        <v>0</v>
      </c>
      <c r="N346" s="422">
        <v>0</v>
      </c>
      <c r="O346" s="422">
        <v>0</v>
      </c>
      <c r="P346" s="422">
        <v>0</v>
      </c>
      <c r="Q346" s="422">
        <v>0</v>
      </c>
      <c r="R346" s="422">
        <v>0</v>
      </c>
      <c r="S346" s="422">
        <v>0</v>
      </c>
      <c r="T346" s="422">
        <v>0</v>
      </c>
      <c r="U346" s="422">
        <v>0</v>
      </c>
      <c r="V346" s="422">
        <v>0</v>
      </c>
      <c r="W346" s="422">
        <v>0</v>
      </c>
      <c r="X346" s="422">
        <v>0</v>
      </c>
      <c r="Y346" s="422">
        <v>0</v>
      </c>
      <c r="Z346" s="422">
        <v>0</v>
      </c>
      <c r="AA346" s="422">
        <v>0</v>
      </c>
      <c r="AB346" s="422">
        <v>0</v>
      </c>
      <c r="AC346" s="422">
        <v>0</v>
      </c>
      <c r="AD346" s="422">
        <v>0</v>
      </c>
      <c r="AE346" s="422">
        <v>0</v>
      </c>
      <c r="AF346" s="422">
        <v>0</v>
      </c>
      <c r="AG346" s="422">
        <v>0</v>
      </c>
      <c r="AH346" s="422">
        <v>0</v>
      </c>
      <c r="AI346" s="422">
        <v>0</v>
      </c>
      <c r="AJ346" s="422">
        <v>0</v>
      </c>
      <c r="AK346" s="422">
        <v>0</v>
      </c>
      <c r="AL346" s="422">
        <v>0</v>
      </c>
      <c r="AM346" s="422">
        <v>0</v>
      </c>
      <c r="AN346" s="422">
        <v>0</v>
      </c>
      <c r="AO346" s="422">
        <v>0</v>
      </c>
      <c r="AP346" s="422">
        <v>0</v>
      </c>
      <c r="AQ346" s="422">
        <v>0</v>
      </c>
      <c r="AR346" s="422">
        <v>0</v>
      </c>
      <c r="AS346" s="422">
        <v>0</v>
      </c>
      <c r="AT346" s="422">
        <v>0</v>
      </c>
      <c r="AU346" s="422">
        <v>0</v>
      </c>
      <c r="AV346" s="422">
        <v>0</v>
      </c>
      <c r="AW346" s="422">
        <v>0</v>
      </c>
      <c r="AX346" s="422">
        <v>0</v>
      </c>
      <c r="AY346" s="422">
        <v>0</v>
      </c>
      <c r="AZ346" s="422">
        <v>0</v>
      </c>
      <c r="BA346" s="422">
        <v>0</v>
      </c>
      <c r="BB346" s="422">
        <v>0</v>
      </c>
      <c r="BC346" s="422">
        <v>0</v>
      </c>
      <c r="BD346" s="422">
        <v>0</v>
      </c>
      <c r="BE346" s="422">
        <v>0</v>
      </c>
      <c r="BF346" s="422">
        <v>0</v>
      </c>
      <c r="BG346" s="422">
        <v>0</v>
      </c>
      <c r="BH346" s="422">
        <v>0</v>
      </c>
      <c r="BI346" s="422">
        <v>0</v>
      </c>
      <c r="BJ346" s="422">
        <v>93.179000000000002</v>
      </c>
      <c r="BK346" s="422">
        <v>93.179000000000002</v>
      </c>
      <c r="BL346" s="422">
        <v>0</v>
      </c>
      <c r="BM346" s="422">
        <v>0</v>
      </c>
      <c r="BN346" s="422">
        <v>0</v>
      </c>
      <c r="BO346" s="422">
        <v>0</v>
      </c>
      <c r="BP346" s="422">
        <v>0</v>
      </c>
      <c r="BQ346" s="422">
        <v>0</v>
      </c>
      <c r="BR346" s="422">
        <v>0</v>
      </c>
      <c r="BS346" s="422">
        <v>0</v>
      </c>
      <c r="BT346" s="422">
        <v>0</v>
      </c>
      <c r="BU346" s="422">
        <v>0</v>
      </c>
      <c r="BV346" s="422">
        <v>0</v>
      </c>
      <c r="BW346" s="422">
        <v>0</v>
      </c>
      <c r="BX346" s="422">
        <v>0</v>
      </c>
      <c r="BY346" s="422">
        <v>0</v>
      </c>
      <c r="BZ346" s="422">
        <v>0</v>
      </c>
      <c r="CC346" s="21"/>
      <c r="CD346" s="421" t="s">
        <v>441</v>
      </c>
      <c r="CE346" s="436">
        <f t="shared" si="75"/>
        <v>0</v>
      </c>
      <c r="CF346" s="436">
        <f t="shared" si="76"/>
        <v>0</v>
      </c>
      <c r="CG346" s="436">
        <f t="shared" si="77"/>
        <v>0</v>
      </c>
      <c r="CH346" s="436">
        <f t="shared" si="78"/>
        <v>0</v>
      </c>
      <c r="CI346" s="436">
        <f t="shared" si="79"/>
        <v>0</v>
      </c>
      <c r="CJ346" s="436">
        <f t="shared" si="80"/>
        <v>0</v>
      </c>
      <c r="CK346" s="436">
        <f t="shared" si="81"/>
        <v>0</v>
      </c>
      <c r="CL346" s="436">
        <f t="shared" si="82"/>
        <v>0</v>
      </c>
      <c r="CM346" s="436">
        <f t="shared" si="83"/>
        <v>0</v>
      </c>
      <c r="CN346" s="436">
        <f t="shared" si="84"/>
        <v>0</v>
      </c>
      <c r="CO346" s="436">
        <f t="shared" si="85"/>
        <v>0</v>
      </c>
      <c r="CP346" s="436">
        <f t="shared" si="86"/>
        <v>93.179000000000002</v>
      </c>
      <c r="CQ346" s="436">
        <f t="shared" si="87"/>
        <v>0</v>
      </c>
      <c r="CR346" s="436">
        <f t="shared" si="88"/>
        <v>0</v>
      </c>
      <c r="CS346" s="436">
        <f t="shared" si="89"/>
        <v>0</v>
      </c>
      <c r="CT346" s="21"/>
    </row>
    <row r="347" spans="3:98" ht="4.5" customHeight="1">
      <c r="C347" s="98"/>
      <c r="D347" s="416">
        <v>0</v>
      </c>
      <c r="E347" s="416">
        <v>0</v>
      </c>
      <c r="F347" s="416">
        <v>0</v>
      </c>
      <c r="G347" s="416">
        <v>0</v>
      </c>
      <c r="H347" s="416">
        <v>0</v>
      </c>
      <c r="I347" s="416">
        <v>0</v>
      </c>
      <c r="J347" s="416">
        <v>0</v>
      </c>
      <c r="K347" s="416">
        <v>0</v>
      </c>
      <c r="L347" s="416">
        <v>0</v>
      </c>
      <c r="M347" s="416">
        <v>0</v>
      </c>
      <c r="N347" s="416">
        <v>0</v>
      </c>
      <c r="O347" s="416">
        <v>0</v>
      </c>
      <c r="P347" s="416">
        <v>0</v>
      </c>
      <c r="Q347" s="416">
        <v>0</v>
      </c>
      <c r="R347" s="416">
        <v>0</v>
      </c>
      <c r="S347" s="416">
        <v>0</v>
      </c>
      <c r="T347" s="416">
        <v>0</v>
      </c>
      <c r="U347" s="416">
        <v>0</v>
      </c>
      <c r="V347" s="416">
        <v>0</v>
      </c>
      <c r="W347" s="416">
        <v>0</v>
      </c>
      <c r="X347" s="416">
        <v>0</v>
      </c>
      <c r="Y347" s="416">
        <v>0</v>
      </c>
      <c r="Z347" s="416">
        <v>0</v>
      </c>
      <c r="AA347" s="416">
        <v>0</v>
      </c>
      <c r="AB347" s="416">
        <v>0</v>
      </c>
      <c r="AC347" s="416">
        <v>0</v>
      </c>
      <c r="AD347" s="416">
        <v>0</v>
      </c>
      <c r="AE347" s="416">
        <v>0</v>
      </c>
      <c r="AF347" s="416">
        <v>0</v>
      </c>
      <c r="AG347" s="416">
        <v>0</v>
      </c>
      <c r="AH347" s="416">
        <v>0</v>
      </c>
      <c r="AI347" s="416">
        <v>0</v>
      </c>
      <c r="AJ347" s="416">
        <v>0</v>
      </c>
      <c r="AK347" s="416">
        <v>0</v>
      </c>
      <c r="AL347" s="416">
        <v>0</v>
      </c>
      <c r="AM347" s="416">
        <v>0</v>
      </c>
      <c r="AN347" s="416">
        <v>0</v>
      </c>
      <c r="AO347" s="416">
        <v>0</v>
      </c>
      <c r="AP347" s="416">
        <v>0</v>
      </c>
      <c r="AQ347" s="416">
        <v>0</v>
      </c>
      <c r="AR347" s="416">
        <v>0</v>
      </c>
      <c r="AS347" s="416">
        <v>0</v>
      </c>
      <c r="AT347" s="416">
        <v>0</v>
      </c>
      <c r="AU347" s="416">
        <v>0</v>
      </c>
      <c r="AV347" s="416">
        <v>0</v>
      </c>
      <c r="AW347" s="416">
        <v>0</v>
      </c>
      <c r="AX347" s="416">
        <v>0</v>
      </c>
      <c r="AY347" s="416">
        <v>0</v>
      </c>
      <c r="AZ347" s="416">
        <v>0</v>
      </c>
      <c r="BA347" s="416">
        <v>0</v>
      </c>
      <c r="BB347" s="416">
        <v>0</v>
      </c>
      <c r="BC347" s="416">
        <v>0</v>
      </c>
      <c r="BD347" s="416">
        <v>0</v>
      </c>
      <c r="BE347" s="416">
        <v>0</v>
      </c>
      <c r="BF347" s="416">
        <v>0</v>
      </c>
      <c r="BG347" s="416">
        <v>0</v>
      </c>
      <c r="BH347" s="416">
        <v>0</v>
      </c>
      <c r="BI347" s="416">
        <v>0</v>
      </c>
      <c r="BJ347" s="416">
        <v>0</v>
      </c>
      <c r="BK347" s="416">
        <v>0</v>
      </c>
      <c r="BL347" s="416">
        <v>0</v>
      </c>
      <c r="BM347" s="416">
        <v>0</v>
      </c>
      <c r="BN347" s="416">
        <v>0</v>
      </c>
      <c r="BO347" s="416">
        <v>0</v>
      </c>
      <c r="BP347" s="416">
        <v>0</v>
      </c>
      <c r="BQ347" s="416">
        <v>0</v>
      </c>
      <c r="BR347" s="416">
        <v>0</v>
      </c>
      <c r="BS347" s="416">
        <v>0</v>
      </c>
      <c r="BT347" s="416">
        <v>0</v>
      </c>
      <c r="BU347" s="416">
        <v>0</v>
      </c>
      <c r="BV347" s="416">
        <v>0</v>
      </c>
      <c r="BW347" s="416">
        <v>0</v>
      </c>
      <c r="BX347" s="416">
        <v>0</v>
      </c>
      <c r="BY347" s="416">
        <v>0</v>
      </c>
      <c r="BZ347" s="416">
        <v>0</v>
      </c>
      <c r="CC347" s="21"/>
      <c r="CD347" s="98"/>
      <c r="CE347" s="433"/>
      <c r="CF347" s="433"/>
      <c r="CG347" s="433"/>
      <c r="CH347" s="433"/>
      <c r="CI347" s="433"/>
      <c r="CJ347" s="433"/>
      <c r="CK347" s="433"/>
      <c r="CL347" s="433"/>
      <c r="CM347" s="433"/>
      <c r="CN347" s="433"/>
      <c r="CO347" s="433"/>
      <c r="CP347" s="433"/>
      <c r="CQ347" s="433"/>
      <c r="CR347" s="433"/>
      <c r="CS347" s="433"/>
      <c r="CT347" s="21"/>
    </row>
    <row r="348" spans="3:98">
      <c r="C348" s="417" t="s">
        <v>758</v>
      </c>
      <c r="D348" s="416">
        <v>0</v>
      </c>
      <c r="E348" s="416">
        <v>0</v>
      </c>
      <c r="F348" s="416">
        <v>0</v>
      </c>
      <c r="G348" s="416">
        <v>0</v>
      </c>
      <c r="H348" s="416">
        <v>0</v>
      </c>
      <c r="I348" s="416">
        <v>0</v>
      </c>
      <c r="J348" s="416">
        <v>0</v>
      </c>
      <c r="K348" s="416">
        <v>0</v>
      </c>
      <c r="L348" s="416">
        <v>0</v>
      </c>
      <c r="M348" s="416">
        <v>0</v>
      </c>
      <c r="N348" s="416">
        <v>0</v>
      </c>
      <c r="O348" s="416">
        <v>0</v>
      </c>
      <c r="P348" s="416">
        <v>0</v>
      </c>
      <c r="Q348" s="416">
        <v>0</v>
      </c>
      <c r="R348" s="416">
        <v>0</v>
      </c>
      <c r="S348" s="416">
        <v>0</v>
      </c>
      <c r="T348" s="416">
        <v>0</v>
      </c>
      <c r="U348" s="416">
        <v>0</v>
      </c>
      <c r="V348" s="416">
        <v>0</v>
      </c>
      <c r="W348" s="416">
        <v>0</v>
      </c>
      <c r="X348" s="416">
        <v>0</v>
      </c>
      <c r="Y348" s="416">
        <v>0</v>
      </c>
      <c r="Z348" s="416">
        <v>0</v>
      </c>
      <c r="AA348" s="416">
        <v>0</v>
      </c>
      <c r="AB348" s="416">
        <v>0</v>
      </c>
      <c r="AC348" s="416">
        <v>0</v>
      </c>
      <c r="AD348" s="416">
        <v>0</v>
      </c>
      <c r="AE348" s="416">
        <v>0</v>
      </c>
      <c r="AF348" s="416">
        <v>0</v>
      </c>
      <c r="AG348" s="416">
        <v>0</v>
      </c>
      <c r="AH348" s="416">
        <v>0</v>
      </c>
      <c r="AI348" s="416">
        <v>0</v>
      </c>
      <c r="AJ348" s="416">
        <v>0</v>
      </c>
      <c r="AK348" s="416">
        <v>0</v>
      </c>
      <c r="AL348" s="416">
        <v>0</v>
      </c>
      <c r="AM348" s="416">
        <v>0</v>
      </c>
      <c r="AN348" s="416">
        <v>0</v>
      </c>
      <c r="AO348" s="416">
        <v>0</v>
      </c>
      <c r="AP348" s="416">
        <v>0</v>
      </c>
      <c r="AQ348" s="416">
        <v>0</v>
      </c>
      <c r="AR348" s="416">
        <v>0</v>
      </c>
      <c r="AS348" s="416">
        <v>0</v>
      </c>
      <c r="AT348" s="416">
        <v>0</v>
      </c>
      <c r="AU348" s="416">
        <v>0</v>
      </c>
      <c r="AV348" s="416">
        <v>0</v>
      </c>
      <c r="AW348" s="416">
        <v>0</v>
      </c>
      <c r="AX348" s="416">
        <v>0</v>
      </c>
      <c r="AY348" s="416">
        <v>0</v>
      </c>
      <c r="AZ348" s="416">
        <v>0</v>
      </c>
      <c r="BA348" s="416">
        <v>0</v>
      </c>
      <c r="BB348" s="416">
        <v>0</v>
      </c>
      <c r="BC348" s="416">
        <v>0</v>
      </c>
      <c r="BD348" s="416">
        <v>0</v>
      </c>
      <c r="BE348" s="416">
        <v>0</v>
      </c>
      <c r="BF348" s="416">
        <v>0</v>
      </c>
      <c r="BG348" s="416">
        <v>0</v>
      </c>
      <c r="BH348" s="416">
        <v>0</v>
      </c>
      <c r="BI348" s="416">
        <v>0</v>
      </c>
      <c r="BJ348" s="416">
        <v>29.559000000000001</v>
      </c>
      <c r="BK348" s="416">
        <v>29.559000000000001</v>
      </c>
      <c r="BL348" s="416">
        <v>0</v>
      </c>
      <c r="BM348" s="416">
        <v>0</v>
      </c>
      <c r="BN348" s="416">
        <v>0</v>
      </c>
      <c r="BO348" s="416">
        <v>36.268000000000001</v>
      </c>
      <c r="BP348" s="416">
        <v>36.268000000000001</v>
      </c>
      <c r="BQ348" s="416">
        <v>0</v>
      </c>
      <c r="BR348" s="416">
        <v>0</v>
      </c>
      <c r="BS348" s="416">
        <v>0</v>
      </c>
      <c r="BT348" s="416">
        <v>36.259</v>
      </c>
      <c r="BU348" s="416">
        <v>36.259</v>
      </c>
      <c r="BV348" s="416">
        <v>0</v>
      </c>
      <c r="BW348" s="416">
        <v>0</v>
      </c>
      <c r="BX348" s="416">
        <v>0</v>
      </c>
      <c r="BY348" s="416">
        <v>0</v>
      </c>
      <c r="BZ348" s="416">
        <v>0</v>
      </c>
      <c r="CC348" s="21"/>
      <c r="CD348" s="417" t="s">
        <v>758</v>
      </c>
      <c r="CE348" s="433">
        <f t="shared" si="75"/>
        <v>0</v>
      </c>
      <c r="CF348" s="433">
        <f t="shared" si="76"/>
        <v>0</v>
      </c>
      <c r="CG348" s="433">
        <f t="shared" si="77"/>
        <v>0</v>
      </c>
      <c r="CH348" s="433">
        <f t="shared" si="78"/>
        <v>0</v>
      </c>
      <c r="CI348" s="433">
        <f t="shared" si="79"/>
        <v>0</v>
      </c>
      <c r="CJ348" s="433">
        <f t="shared" si="80"/>
        <v>0</v>
      </c>
      <c r="CK348" s="433">
        <f t="shared" si="81"/>
        <v>0</v>
      </c>
      <c r="CL348" s="433">
        <f t="shared" si="82"/>
        <v>0</v>
      </c>
      <c r="CM348" s="433">
        <f t="shared" si="83"/>
        <v>0</v>
      </c>
      <c r="CN348" s="433">
        <f t="shared" si="84"/>
        <v>0</v>
      </c>
      <c r="CO348" s="433">
        <f t="shared" si="85"/>
        <v>0</v>
      </c>
      <c r="CP348" s="433">
        <f t="shared" si="86"/>
        <v>29.559000000000001</v>
      </c>
      <c r="CQ348" s="433">
        <f t="shared" si="87"/>
        <v>36.268000000000001</v>
      </c>
      <c r="CR348" s="433">
        <f t="shared" si="88"/>
        <v>36.259</v>
      </c>
      <c r="CS348" s="433">
        <f t="shared" si="89"/>
        <v>0</v>
      </c>
      <c r="CT348" s="21"/>
    </row>
    <row r="349" spans="3:98">
      <c r="C349" s="417" t="s">
        <v>759</v>
      </c>
      <c r="D349" s="416">
        <v>0</v>
      </c>
      <c r="E349" s="416">
        <v>0</v>
      </c>
      <c r="F349" s="416">
        <v>0</v>
      </c>
      <c r="G349" s="416">
        <v>0</v>
      </c>
      <c r="H349" s="416">
        <v>0</v>
      </c>
      <c r="I349" s="416">
        <v>0</v>
      </c>
      <c r="J349" s="416">
        <v>0</v>
      </c>
      <c r="K349" s="416">
        <v>0</v>
      </c>
      <c r="L349" s="416">
        <v>0</v>
      </c>
      <c r="M349" s="416">
        <v>0</v>
      </c>
      <c r="N349" s="416">
        <v>0</v>
      </c>
      <c r="O349" s="416">
        <v>0</v>
      </c>
      <c r="P349" s="416">
        <v>0</v>
      </c>
      <c r="Q349" s="416">
        <v>0</v>
      </c>
      <c r="R349" s="416">
        <v>0</v>
      </c>
      <c r="S349" s="416">
        <v>0</v>
      </c>
      <c r="T349" s="416">
        <v>0</v>
      </c>
      <c r="U349" s="416">
        <v>0</v>
      </c>
      <c r="V349" s="416">
        <v>0</v>
      </c>
      <c r="W349" s="416">
        <v>0</v>
      </c>
      <c r="X349" s="416">
        <v>0</v>
      </c>
      <c r="Y349" s="416">
        <v>0</v>
      </c>
      <c r="Z349" s="416">
        <v>0</v>
      </c>
      <c r="AA349" s="416">
        <v>0</v>
      </c>
      <c r="AB349" s="416">
        <v>0</v>
      </c>
      <c r="AC349" s="416">
        <v>0</v>
      </c>
      <c r="AD349" s="416">
        <v>0</v>
      </c>
      <c r="AE349" s="416">
        <v>0</v>
      </c>
      <c r="AF349" s="416">
        <v>0</v>
      </c>
      <c r="AG349" s="416">
        <v>0</v>
      </c>
      <c r="AH349" s="416">
        <v>0</v>
      </c>
      <c r="AI349" s="416">
        <v>0</v>
      </c>
      <c r="AJ349" s="416">
        <v>0</v>
      </c>
      <c r="AK349" s="416">
        <v>0</v>
      </c>
      <c r="AL349" s="416">
        <v>0</v>
      </c>
      <c r="AM349" s="416">
        <v>0</v>
      </c>
      <c r="AN349" s="416">
        <v>0</v>
      </c>
      <c r="AO349" s="416">
        <v>0</v>
      </c>
      <c r="AP349" s="416">
        <v>0</v>
      </c>
      <c r="AQ349" s="416">
        <v>0</v>
      </c>
      <c r="AR349" s="416">
        <v>0</v>
      </c>
      <c r="AS349" s="416">
        <v>0</v>
      </c>
      <c r="AT349" s="416">
        <v>0</v>
      </c>
      <c r="AU349" s="416">
        <v>0</v>
      </c>
      <c r="AV349" s="416">
        <v>0</v>
      </c>
      <c r="AW349" s="416">
        <v>0</v>
      </c>
      <c r="AX349" s="416">
        <v>0</v>
      </c>
      <c r="AY349" s="416">
        <v>0</v>
      </c>
      <c r="AZ349" s="416">
        <v>0</v>
      </c>
      <c r="BA349" s="416">
        <v>0</v>
      </c>
      <c r="BB349" s="416">
        <v>0</v>
      </c>
      <c r="BC349" s="416">
        <v>0</v>
      </c>
      <c r="BD349" s="416">
        <v>0</v>
      </c>
      <c r="BE349" s="416">
        <v>0</v>
      </c>
      <c r="BF349" s="416">
        <v>0</v>
      </c>
      <c r="BG349" s="416">
        <v>0</v>
      </c>
      <c r="BH349" s="416">
        <v>0</v>
      </c>
      <c r="BI349" s="416">
        <v>0</v>
      </c>
      <c r="BJ349" s="416">
        <v>26.887</v>
      </c>
      <c r="BK349" s="416">
        <v>26.887</v>
      </c>
      <c r="BL349" s="416">
        <v>0</v>
      </c>
      <c r="BM349" s="416">
        <v>0</v>
      </c>
      <c r="BN349" s="416">
        <v>0</v>
      </c>
      <c r="BO349" s="416">
        <v>35.265999999999998</v>
      </c>
      <c r="BP349" s="416">
        <v>35.265999999999998</v>
      </c>
      <c r="BQ349" s="416">
        <v>0</v>
      </c>
      <c r="BR349" s="416">
        <v>0</v>
      </c>
      <c r="BS349" s="416">
        <v>0</v>
      </c>
      <c r="BT349" s="416">
        <v>33.606999999999999</v>
      </c>
      <c r="BU349" s="416">
        <v>33.606999999999999</v>
      </c>
      <c r="BV349" s="416">
        <v>0</v>
      </c>
      <c r="BW349" s="416">
        <v>0</v>
      </c>
      <c r="BX349" s="416">
        <v>0</v>
      </c>
      <c r="BY349" s="416">
        <v>0</v>
      </c>
      <c r="BZ349" s="416">
        <v>0</v>
      </c>
      <c r="CC349" s="21"/>
      <c r="CD349" s="417" t="s">
        <v>759</v>
      </c>
      <c r="CE349" s="433">
        <f t="shared" si="75"/>
        <v>0</v>
      </c>
      <c r="CF349" s="433">
        <f t="shared" si="76"/>
        <v>0</v>
      </c>
      <c r="CG349" s="433">
        <f t="shared" si="77"/>
        <v>0</v>
      </c>
      <c r="CH349" s="433">
        <f t="shared" si="78"/>
        <v>0</v>
      </c>
      <c r="CI349" s="433">
        <f t="shared" si="79"/>
        <v>0</v>
      </c>
      <c r="CJ349" s="433">
        <f t="shared" si="80"/>
        <v>0</v>
      </c>
      <c r="CK349" s="433">
        <f t="shared" si="81"/>
        <v>0</v>
      </c>
      <c r="CL349" s="433">
        <f t="shared" si="82"/>
        <v>0</v>
      </c>
      <c r="CM349" s="433">
        <f t="shared" si="83"/>
        <v>0</v>
      </c>
      <c r="CN349" s="433">
        <f t="shared" si="84"/>
        <v>0</v>
      </c>
      <c r="CO349" s="433">
        <f t="shared" si="85"/>
        <v>0</v>
      </c>
      <c r="CP349" s="433">
        <f t="shared" si="86"/>
        <v>26.887</v>
      </c>
      <c r="CQ349" s="433">
        <f t="shared" si="87"/>
        <v>35.265999999999998</v>
      </c>
      <c r="CR349" s="433">
        <f t="shared" si="88"/>
        <v>33.606999999999999</v>
      </c>
      <c r="CS349" s="433">
        <f t="shared" si="89"/>
        <v>0</v>
      </c>
      <c r="CT349" s="21"/>
    </row>
    <row r="350" spans="3:98">
      <c r="C350" s="417" t="s">
        <v>760</v>
      </c>
      <c r="D350" s="416">
        <v>0</v>
      </c>
      <c r="E350" s="416">
        <v>0</v>
      </c>
      <c r="F350" s="416">
        <v>0</v>
      </c>
      <c r="G350" s="416">
        <v>0</v>
      </c>
      <c r="H350" s="416">
        <v>0</v>
      </c>
      <c r="I350" s="416">
        <v>0</v>
      </c>
      <c r="J350" s="416">
        <v>0</v>
      </c>
      <c r="K350" s="416">
        <v>0</v>
      </c>
      <c r="L350" s="416">
        <v>0</v>
      </c>
      <c r="M350" s="416">
        <v>0</v>
      </c>
      <c r="N350" s="416">
        <v>0</v>
      </c>
      <c r="O350" s="416">
        <v>0</v>
      </c>
      <c r="P350" s="416">
        <v>0</v>
      </c>
      <c r="Q350" s="416">
        <v>0</v>
      </c>
      <c r="R350" s="416">
        <v>0</v>
      </c>
      <c r="S350" s="416">
        <v>0</v>
      </c>
      <c r="T350" s="416">
        <v>0</v>
      </c>
      <c r="U350" s="416">
        <v>0</v>
      </c>
      <c r="V350" s="416">
        <v>0</v>
      </c>
      <c r="W350" s="416">
        <v>0</v>
      </c>
      <c r="X350" s="416">
        <v>0</v>
      </c>
      <c r="Y350" s="416">
        <v>0</v>
      </c>
      <c r="Z350" s="416">
        <v>0</v>
      </c>
      <c r="AA350" s="416">
        <v>0</v>
      </c>
      <c r="AB350" s="416">
        <v>0</v>
      </c>
      <c r="AC350" s="416">
        <v>0</v>
      </c>
      <c r="AD350" s="416">
        <v>0</v>
      </c>
      <c r="AE350" s="416">
        <v>0</v>
      </c>
      <c r="AF350" s="416">
        <v>0</v>
      </c>
      <c r="AG350" s="416">
        <v>0</v>
      </c>
      <c r="AH350" s="416">
        <v>0</v>
      </c>
      <c r="AI350" s="416">
        <v>0</v>
      </c>
      <c r="AJ350" s="416">
        <v>0</v>
      </c>
      <c r="AK350" s="416">
        <v>0</v>
      </c>
      <c r="AL350" s="416">
        <v>0</v>
      </c>
      <c r="AM350" s="416">
        <v>0</v>
      </c>
      <c r="AN350" s="416">
        <v>0</v>
      </c>
      <c r="AO350" s="416">
        <v>0</v>
      </c>
      <c r="AP350" s="416">
        <v>0</v>
      </c>
      <c r="AQ350" s="416">
        <v>0</v>
      </c>
      <c r="AR350" s="416">
        <v>0</v>
      </c>
      <c r="AS350" s="416">
        <v>0</v>
      </c>
      <c r="AT350" s="416">
        <v>0</v>
      </c>
      <c r="AU350" s="416">
        <v>0</v>
      </c>
      <c r="AV350" s="416">
        <v>0</v>
      </c>
      <c r="AW350" s="416">
        <v>0</v>
      </c>
      <c r="AX350" s="416">
        <v>0</v>
      </c>
      <c r="AY350" s="416">
        <v>0</v>
      </c>
      <c r="AZ350" s="416">
        <v>0</v>
      </c>
      <c r="BA350" s="416">
        <v>0</v>
      </c>
      <c r="BB350" s="416">
        <v>0</v>
      </c>
      <c r="BC350" s="416">
        <v>0</v>
      </c>
      <c r="BD350" s="416">
        <v>0</v>
      </c>
      <c r="BE350" s="416">
        <v>0</v>
      </c>
      <c r="BF350" s="416">
        <v>0</v>
      </c>
      <c r="BG350" s="416">
        <v>0</v>
      </c>
      <c r="BH350" s="416">
        <v>0</v>
      </c>
      <c r="BI350" s="416">
        <v>0</v>
      </c>
      <c r="BJ350" s="416">
        <v>27.420999999999999</v>
      </c>
      <c r="BK350" s="416">
        <v>27.420999999999999</v>
      </c>
      <c r="BL350" s="416">
        <v>0</v>
      </c>
      <c r="BM350" s="416">
        <v>0</v>
      </c>
      <c r="BN350" s="416">
        <v>0</v>
      </c>
      <c r="BO350" s="416">
        <v>32.630000000000003</v>
      </c>
      <c r="BP350" s="416">
        <v>32.630000000000003</v>
      </c>
      <c r="BQ350" s="416">
        <v>0</v>
      </c>
      <c r="BR350" s="416">
        <v>0</v>
      </c>
      <c r="BS350" s="416">
        <v>0</v>
      </c>
      <c r="BT350" s="416">
        <v>8.82</v>
      </c>
      <c r="BU350" s="416">
        <v>8.82</v>
      </c>
      <c r="BV350" s="416">
        <v>0</v>
      </c>
      <c r="BW350" s="416">
        <v>0</v>
      </c>
      <c r="BX350" s="416">
        <v>0</v>
      </c>
      <c r="BY350" s="416">
        <v>0</v>
      </c>
      <c r="BZ350" s="416">
        <v>0</v>
      </c>
      <c r="CC350" s="21"/>
      <c r="CD350" s="417" t="s">
        <v>760</v>
      </c>
      <c r="CE350" s="433">
        <f t="shared" si="75"/>
        <v>0</v>
      </c>
      <c r="CF350" s="433">
        <f t="shared" si="76"/>
        <v>0</v>
      </c>
      <c r="CG350" s="433">
        <f t="shared" si="77"/>
        <v>0</v>
      </c>
      <c r="CH350" s="433">
        <f t="shared" si="78"/>
        <v>0</v>
      </c>
      <c r="CI350" s="433">
        <f t="shared" si="79"/>
        <v>0</v>
      </c>
      <c r="CJ350" s="433">
        <f t="shared" si="80"/>
        <v>0</v>
      </c>
      <c r="CK350" s="433">
        <f t="shared" si="81"/>
        <v>0</v>
      </c>
      <c r="CL350" s="433">
        <f t="shared" si="82"/>
        <v>0</v>
      </c>
      <c r="CM350" s="433">
        <f t="shared" si="83"/>
        <v>0</v>
      </c>
      <c r="CN350" s="433">
        <f t="shared" si="84"/>
        <v>0</v>
      </c>
      <c r="CO350" s="433">
        <f t="shared" si="85"/>
        <v>0</v>
      </c>
      <c r="CP350" s="433">
        <f t="shared" si="86"/>
        <v>27.420999999999999</v>
      </c>
      <c r="CQ350" s="433">
        <f t="shared" si="87"/>
        <v>32.630000000000003</v>
      </c>
      <c r="CR350" s="433">
        <f t="shared" si="88"/>
        <v>8.82</v>
      </c>
      <c r="CS350" s="433">
        <f t="shared" si="89"/>
        <v>0</v>
      </c>
      <c r="CT350" s="21"/>
    </row>
    <row r="351" spans="3:98">
      <c r="C351" s="417" t="s">
        <v>761</v>
      </c>
      <c r="D351" s="416">
        <v>0</v>
      </c>
      <c r="E351" s="416">
        <v>0</v>
      </c>
      <c r="F351" s="416">
        <v>0</v>
      </c>
      <c r="G351" s="416">
        <v>0</v>
      </c>
      <c r="H351" s="416">
        <v>0</v>
      </c>
      <c r="I351" s="416">
        <v>0</v>
      </c>
      <c r="J351" s="416">
        <v>0</v>
      </c>
      <c r="K351" s="416">
        <v>0</v>
      </c>
      <c r="L351" s="416">
        <v>0</v>
      </c>
      <c r="M351" s="416">
        <v>0</v>
      </c>
      <c r="N351" s="416">
        <v>0</v>
      </c>
      <c r="O351" s="416">
        <v>0</v>
      </c>
      <c r="P351" s="416">
        <v>0</v>
      </c>
      <c r="Q351" s="416">
        <v>0</v>
      </c>
      <c r="R351" s="416">
        <v>0</v>
      </c>
      <c r="S351" s="416">
        <v>0</v>
      </c>
      <c r="T351" s="416">
        <v>0</v>
      </c>
      <c r="U351" s="416">
        <v>0</v>
      </c>
      <c r="V351" s="416">
        <v>0</v>
      </c>
      <c r="W351" s="416">
        <v>0</v>
      </c>
      <c r="X351" s="416">
        <v>0</v>
      </c>
      <c r="Y351" s="416">
        <v>0</v>
      </c>
      <c r="Z351" s="416">
        <v>0</v>
      </c>
      <c r="AA351" s="416">
        <v>0</v>
      </c>
      <c r="AB351" s="416">
        <v>0</v>
      </c>
      <c r="AC351" s="416">
        <v>0</v>
      </c>
      <c r="AD351" s="416">
        <v>0</v>
      </c>
      <c r="AE351" s="416">
        <v>0</v>
      </c>
      <c r="AF351" s="416">
        <v>0</v>
      </c>
      <c r="AG351" s="416">
        <v>0</v>
      </c>
      <c r="AH351" s="416">
        <v>0</v>
      </c>
      <c r="AI351" s="416">
        <v>0</v>
      </c>
      <c r="AJ351" s="416">
        <v>0</v>
      </c>
      <c r="AK351" s="416">
        <v>0</v>
      </c>
      <c r="AL351" s="416">
        <v>0</v>
      </c>
      <c r="AM351" s="416">
        <v>0</v>
      </c>
      <c r="AN351" s="416">
        <v>0</v>
      </c>
      <c r="AO351" s="416">
        <v>0</v>
      </c>
      <c r="AP351" s="416">
        <v>0</v>
      </c>
      <c r="AQ351" s="416">
        <v>0</v>
      </c>
      <c r="AR351" s="416">
        <v>0</v>
      </c>
      <c r="AS351" s="416">
        <v>0</v>
      </c>
      <c r="AT351" s="416">
        <v>0</v>
      </c>
      <c r="AU351" s="416">
        <v>0</v>
      </c>
      <c r="AV351" s="416">
        <v>0</v>
      </c>
      <c r="AW351" s="416">
        <v>0</v>
      </c>
      <c r="AX351" s="416">
        <v>0</v>
      </c>
      <c r="AY351" s="416">
        <v>0</v>
      </c>
      <c r="AZ351" s="416">
        <v>0</v>
      </c>
      <c r="BA351" s="416">
        <v>0</v>
      </c>
      <c r="BB351" s="416">
        <v>0</v>
      </c>
      <c r="BC351" s="416">
        <v>0</v>
      </c>
      <c r="BD351" s="416">
        <v>0</v>
      </c>
      <c r="BE351" s="416">
        <v>0</v>
      </c>
      <c r="BF351" s="416">
        <v>0</v>
      </c>
      <c r="BG351" s="416">
        <v>0</v>
      </c>
      <c r="BH351" s="416">
        <v>0</v>
      </c>
      <c r="BI351" s="416">
        <v>0</v>
      </c>
      <c r="BJ351" s="416">
        <v>27.170999999999999</v>
      </c>
      <c r="BK351" s="416">
        <v>27.170999999999999</v>
      </c>
      <c r="BL351" s="416">
        <v>0</v>
      </c>
      <c r="BM351" s="416">
        <v>0</v>
      </c>
      <c r="BN351" s="416">
        <v>0</v>
      </c>
      <c r="BO351" s="416">
        <v>9.0359999999999996</v>
      </c>
      <c r="BP351" s="416">
        <v>9.0359999999999996</v>
      </c>
      <c r="BQ351" s="416">
        <v>0</v>
      </c>
      <c r="BR351" s="416">
        <v>0</v>
      </c>
      <c r="BS351" s="416">
        <v>0</v>
      </c>
      <c r="BT351" s="416">
        <v>0.79200000000000004</v>
      </c>
      <c r="BU351" s="416">
        <v>0.79200000000000004</v>
      </c>
      <c r="BV351" s="416">
        <v>0</v>
      </c>
      <c r="BW351" s="416">
        <v>0</v>
      </c>
      <c r="BX351" s="416">
        <v>0</v>
      </c>
      <c r="BY351" s="416">
        <v>0</v>
      </c>
      <c r="BZ351" s="416">
        <v>0</v>
      </c>
      <c r="CC351" s="21"/>
      <c r="CD351" s="417" t="s">
        <v>761</v>
      </c>
      <c r="CE351" s="433">
        <f t="shared" si="75"/>
        <v>0</v>
      </c>
      <c r="CF351" s="433">
        <f t="shared" si="76"/>
        <v>0</v>
      </c>
      <c r="CG351" s="433">
        <f t="shared" si="77"/>
        <v>0</v>
      </c>
      <c r="CH351" s="433">
        <f t="shared" si="78"/>
        <v>0</v>
      </c>
      <c r="CI351" s="433">
        <f t="shared" si="79"/>
        <v>0</v>
      </c>
      <c r="CJ351" s="433">
        <f t="shared" si="80"/>
        <v>0</v>
      </c>
      <c r="CK351" s="433">
        <f t="shared" si="81"/>
        <v>0</v>
      </c>
      <c r="CL351" s="433">
        <f t="shared" si="82"/>
        <v>0</v>
      </c>
      <c r="CM351" s="433">
        <f t="shared" si="83"/>
        <v>0</v>
      </c>
      <c r="CN351" s="433">
        <f t="shared" si="84"/>
        <v>0</v>
      </c>
      <c r="CO351" s="433">
        <f t="shared" si="85"/>
        <v>0</v>
      </c>
      <c r="CP351" s="433">
        <f t="shared" si="86"/>
        <v>27.170999999999999</v>
      </c>
      <c r="CQ351" s="433">
        <f t="shared" si="87"/>
        <v>9.0359999999999996</v>
      </c>
      <c r="CR351" s="433">
        <f t="shared" si="88"/>
        <v>0.79200000000000004</v>
      </c>
      <c r="CS351" s="433">
        <f t="shared" si="89"/>
        <v>0</v>
      </c>
      <c r="CT351" s="21"/>
    </row>
    <row r="352" spans="3:98">
      <c r="C352" s="417" t="s">
        <v>762</v>
      </c>
      <c r="D352" s="416">
        <v>0</v>
      </c>
      <c r="E352" s="416">
        <v>0</v>
      </c>
      <c r="F352" s="416">
        <v>0</v>
      </c>
      <c r="G352" s="416">
        <v>0</v>
      </c>
      <c r="H352" s="416">
        <v>0</v>
      </c>
      <c r="I352" s="416">
        <v>0</v>
      </c>
      <c r="J352" s="416">
        <v>0</v>
      </c>
      <c r="K352" s="416">
        <v>0</v>
      </c>
      <c r="L352" s="416">
        <v>0</v>
      </c>
      <c r="M352" s="416">
        <v>0</v>
      </c>
      <c r="N352" s="416">
        <v>0</v>
      </c>
      <c r="O352" s="416">
        <v>0</v>
      </c>
      <c r="P352" s="416">
        <v>0</v>
      </c>
      <c r="Q352" s="416">
        <v>0</v>
      </c>
      <c r="R352" s="416">
        <v>0</v>
      </c>
      <c r="S352" s="416">
        <v>0</v>
      </c>
      <c r="T352" s="416">
        <v>0</v>
      </c>
      <c r="U352" s="416">
        <v>0</v>
      </c>
      <c r="V352" s="416">
        <v>0</v>
      </c>
      <c r="W352" s="416">
        <v>0</v>
      </c>
      <c r="X352" s="416">
        <v>0</v>
      </c>
      <c r="Y352" s="416">
        <v>0</v>
      </c>
      <c r="Z352" s="416">
        <v>0</v>
      </c>
      <c r="AA352" s="416">
        <v>0</v>
      </c>
      <c r="AB352" s="416">
        <v>0</v>
      </c>
      <c r="AC352" s="416">
        <v>0</v>
      </c>
      <c r="AD352" s="416">
        <v>0</v>
      </c>
      <c r="AE352" s="416">
        <v>0</v>
      </c>
      <c r="AF352" s="416">
        <v>0</v>
      </c>
      <c r="AG352" s="416">
        <v>0</v>
      </c>
      <c r="AH352" s="416">
        <v>0</v>
      </c>
      <c r="AI352" s="416">
        <v>0</v>
      </c>
      <c r="AJ352" s="416">
        <v>0</v>
      </c>
      <c r="AK352" s="416">
        <v>0</v>
      </c>
      <c r="AL352" s="416">
        <v>0</v>
      </c>
      <c r="AM352" s="416">
        <v>0</v>
      </c>
      <c r="AN352" s="416">
        <v>0</v>
      </c>
      <c r="AO352" s="416">
        <v>0</v>
      </c>
      <c r="AP352" s="416">
        <v>0</v>
      </c>
      <c r="AQ352" s="416">
        <v>0</v>
      </c>
      <c r="AR352" s="416">
        <v>0</v>
      </c>
      <c r="AS352" s="416">
        <v>0</v>
      </c>
      <c r="AT352" s="416">
        <v>0</v>
      </c>
      <c r="AU352" s="416">
        <v>0</v>
      </c>
      <c r="AV352" s="416">
        <v>0</v>
      </c>
      <c r="AW352" s="416">
        <v>0</v>
      </c>
      <c r="AX352" s="416">
        <v>0</v>
      </c>
      <c r="AY352" s="416">
        <v>0</v>
      </c>
      <c r="AZ352" s="416">
        <v>0</v>
      </c>
      <c r="BA352" s="416">
        <v>0</v>
      </c>
      <c r="BB352" s="416">
        <v>0</v>
      </c>
      <c r="BC352" s="416">
        <v>0</v>
      </c>
      <c r="BD352" s="416">
        <v>0</v>
      </c>
      <c r="BE352" s="416">
        <v>0</v>
      </c>
      <c r="BF352" s="416">
        <v>0</v>
      </c>
      <c r="BG352" s="416">
        <v>0</v>
      </c>
      <c r="BH352" s="416">
        <v>0</v>
      </c>
      <c r="BI352" s="416">
        <v>0</v>
      </c>
      <c r="BJ352" s="416">
        <v>6.5970000000000004</v>
      </c>
      <c r="BK352" s="416">
        <v>6.5970000000000004</v>
      </c>
      <c r="BL352" s="416">
        <v>0</v>
      </c>
      <c r="BM352" s="416">
        <v>0</v>
      </c>
      <c r="BN352" s="416">
        <v>0</v>
      </c>
      <c r="BO352" s="416">
        <v>0.79200000000000004</v>
      </c>
      <c r="BP352" s="416">
        <v>0.79200000000000004</v>
      </c>
      <c r="BQ352" s="416">
        <v>0</v>
      </c>
      <c r="BR352" s="416">
        <v>0</v>
      </c>
      <c r="BS352" s="416">
        <v>0</v>
      </c>
      <c r="BT352" s="416">
        <v>0</v>
      </c>
      <c r="BU352" s="416">
        <v>0</v>
      </c>
      <c r="BV352" s="416">
        <v>0</v>
      </c>
      <c r="BW352" s="416">
        <v>0</v>
      </c>
      <c r="BX352" s="416">
        <v>0</v>
      </c>
      <c r="BY352" s="416">
        <v>0</v>
      </c>
      <c r="BZ352" s="416">
        <v>0</v>
      </c>
      <c r="CC352" s="21"/>
      <c r="CD352" s="417" t="s">
        <v>762</v>
      </c>
      <c r="CE352" s="433">
        <f t="shared" si="75"/>
        <v>0</v>
      </c>
      <c r="CF352" s="433">
        <f t="shared" si="76"/>
        <v>0</v>
      </c>
      <c r="CG352" s="433">
        <f t="shared" si="77"/>
        <v>0</v>
      </c>
      <c r="CH352" s="433">
        <f t="shared" si="78"/>
        <v>0</v>
      </c>
      <c r="CI352" s="433">
        <f t="shared" si="79"/>
        <v>0</v>
      </c>
      <c r="CJ352" s="433">
        <f t="shared" si="80"/>
        <v>0</v>
      </c>
      <c r="CK352" s="433">
        <f t="shared" si="81"/>
        <v>0</v>
      </c>
      <c r="CL352" s="433">
        <f t="shared" si="82"/>
        <v>0</v>
      </c>
      <c r="CM352" s="433">
        <f t="shared" si="83"/>
        <v>0</v>
      </c>
      <c r="CN352" s="433">
        <f t="shared" si="84"/>
        <v>0</v>
      </c>
      <c r="CO352" s="433">
        <f t="shared" si="85"/>
        <v>0</v>
      </c>
      <c r="CP352" s="433">
        <f t="shared" si="86"/>
        <v>6.5970000000000004</v>
      </c>
      <c r="CQ352" s="433">
        <f t="shared" si="87"/>
        <v>0.79200000000000004</v>
      </c>
      <c r="CR352" s="433">
        <f t="shared" si="88"/>
        <v>0</v>
      </c>
      <c r="CS352" s="433">
        <f t="shared" si="89"/>
        <v>0</v>
      </c>
      <c r="CT352" s="21"/>
    </row>
    <row r="353" spans="3:98">
      <c r="C353" s="417" t="s">
        <v>763</v>
      </c>
      <c r="D353" s="416">
        <v>0</v>
      </c>
      <c r="E353" s="416">
        <v>0</v>
      </c>
      <c r="F353" s="416">
        <v>0</v>
      </c>
      <c r="G353" s="416">
        <v>0</v>
      </c>
      <c r="H353" s="416">
        <v>0</v>
      </c>
      <c r="I353" s="416">
        <v>0</v>
      </c>
      <c r="J353" s="416">
        <v>0</v>
      </c>
      <c r="K353" s="416">
        <v>0</v>
      </c>
      <c r="L353" s="416">
        <v>0</v>
      </c>
      <c r="M353" s="416">
        <v>0</v>
      </c>
      <c r="N353" s="416">
        <v>0</v>
      </c>
      <c r="O353" s="416">
        <v>0</v>
      </c>
      <c r="P353" s="416">
        <v>0</v>
      </c>
      <c r="Q353" s="416">
        <v>0</v>
      </c>
      <c r="R353" s="416">
        <v>0</v>
      </c>
      <c r="S353" s="416">
        <v>0</v>
      </c>
      <c r="T353" s="416">
        <v>0</v>
      </c>
      <c r="U353" s="416">
        <v>0</v>
      </c>
      <c r="V353" s="416">
        <v>0</v>
      </c>
      <c r="W353" s="416">
        <v>0</v>
      </c>
      <c r="X353" s="416">
        <v>0</v>
      </c>
      <c r="Y353" s="416">
        <v>0</v>
      </c>
      <c r="Z353" s="416">
        <v>0</v>
      </c>
      <c r="AA353" s="416">
        <v>0</v>
      </c>
      <c r="AB353" s="416">
        <v>0</v>
      </c>
      <c r="AC353" s="416">
        <v>0</v>
      </c>
      <c r="AD353" s="416">
        <v>0</v>
      </c>
      <c r="AE353" s="416">
        <v>0</v>
      </c>
      <c r="AF353" s="416">
        <v>0</v>
      </c>
      <c r="AG353" s="416">
        <v>0</v>
      </c>
      <c r="AH353" s="416">
        <v>0</v>
      </c>
      <c r="AI353" s="416">
        <v>0</v>
      </c>
      <c r="AJ353" s="416">
        <v>0</v>
      </c>
      <c r="AK353" s="416">
        <v>0</v>
      </c>
      <c r="AL353" s="416">
        <v>0</v>
      </c>
      <c r="AM353" s="416">
        <v>0</v>
      </c>
      <c r="AN353" s="416">
        <v>0</v>
      </c>
      <c r="AO353" s="416">
        <v>0</v>
      </c>
      <c r="AP353" s="416">
        <v>0</v>
      </c>
      <c r="AQ353" s="416">
        <v>0</v>
      </c>
      <c r="AR353" s="416">
        <v>0</v>
      </c>
      <c r="AS353" s="416">
        <v>0</v>
      </c>
      <c r="AT353" s="416">
        <v>0</v>
      </c>
      <c r="AU353" s="416">
        <v>0</v>
      </c>
      <c r="AV353" s="416">
        <v>0</v>
      </c>
      <c r="AW353" s="416">
        <v>0</v>
      </c>
      <c r="AX353" s="416">
        <v>0</v>
      </c>
      <c r="AY353" s="416">
        <v>0</v>
      </c>
      <c r="AZ353" s="416">
        <v>0</v>
      </c>
      <c r="BA353" s="416">
        <v>0</v>
      </c>
      <c r="BB353" s="416">
        <v>0</v>
      </c>
      <c r="BC353" s="416">
        <v>0</v>
      </c>
      <c r="BD353" s="416">
        <v>0</v>
      </c>
      <c r="BE353" s="416">
        <v>0</v>
      </c>
      <c r="BF353" s="416">
        <v>0</v>
      </c>
      <c r="BG353" s="416">
        <v>0</v>
      </c>
      <c r="BH353" s="416">
        <v>0</v>
      </c>
      <c r="BI353" s="416">
        <v>0</v>
      </c>
      <c r="BJ353" s="416">
        <v>0.79200000000000004</v>
      </c>
      <c r="BK353" s="416">
        <v>0.79200000000000004</v>
      </c>
      <c r="BL353" s="416">
        <v>0</v>
      </c>
      <c r="BM353" s="416">
        <v>0</v>
      </c>
      <c r="BN353" s="416">
        <v>0</v>
      </c>
      <c r="BO353" s="416">
        <v>0</v>
      </c>
      <c r="BP353" s="416">
        <v>0</v>
      </c>
      <c r="BQ353" s="416">
        <v>0</v>
      </c>
      <c r="BR353" s="416">
        <v>0</v>
      </c>
      <c r="BS353" s="416">
        <v>0</v>
      </c>
      <c r="BT353" s="416">
        <v>0</v>
      </c>
      <c r="BU353" s="416">
        <v>0</v>
      </c>
      <c r="BV353" s="416">
        <v>0</v>
      </c>
      <c r="BW353" s="416">
        <v>0</v>
      </c>
      <c r="BX353" s="416">
        <v>0</v>
      </c>
      <c r="BY353" s="416">
        <v>0</v>
      </c>
      <c r="BZ353" s="416">
        <v>0</v>
      </c>
      <c r="CC353" s="21"/>
      <c r="CD353" s="417" t="s">
        <v>763</v>
      </c>
      <c r="CE353" s="433">
        <f t="shared" si="75"/>
        <v>0</v>
      </c>
      <c r="CF353" s="433">
        <f t="shared" si="76"/>
        <v>0</v>
      </c>
      <c r="CG353" s="433">
        <f t="shared" si="77"/>
        <v>0</v>
      </c>
      <c r="CH353" s="433">
        <f t="shared" si="78"/>
        <v>0</v>
      </c>
      <c r="CI353" s="433">
        <f t="shared" si="79"/>
        <v>0</v>
      </c>
      <c r="CJ353" s="433">
        <f t="shared" si="80"/>
        <v>0</v>
      </c>
      <c r="CK353" s="433">
        <f t="shared" si="81"/>
        <v>0</v>
      </c>
      <c r="CL353" s="433">
        <f t="shared" si="82"/>
        <v>0</v>
      </c>
      <c r="CM353" s="433">
        <f t="shared" si="83"/>
        <v>0</v>
      </c>
      <c r="CN353" s="433">
        <f t="shared" si="84"/>
        <v>0</v>
      </c>
      <c r="CO353" s="433">
        <f t="shared" si="85"/>
        <v>0</v>
      </c>
      <c r="CP353" s="433">
        <f t="shared" si="86"/>
        <v>0.79200000000000004</v>
      </c>
      <c r="CQ353" s="433">
        <f t="shared" si="87"/>
        <v>0</v>
      </c>
      <c r="CR353" s="433">
        <f t="shared" si="88"/>
        <v>0</v>
      </c>
      <c r="CS353" s="433">
        <f t="shared" si="89"/>
        <v>0</v>
      </c>
      <c r="CT353" s="21"/>
    </row>
    <row r="354" spans="3:98">
      <c r="C354" s="417" t="s">
        <v>764</v>
      </c>
      <c r="D354" s="416">
        <v>0</v>
      </c>
      <c r="E354" s="416">
        <v>0</v>
      </c>
      <c r="F354" s="416">
        <v>0</v>
      </c>
      <c r="G354" s="416">
        <v>0</v>
      </c>
      <c r="H354" s="416">
        <v>0</v>
      </c>
      <c r="I354" s="416">
        <v>0</v>
      </c>
      <c r="J354" s="416">
        <v>0</v>
      </c>
      <c r="K354" s="416">
        <v>0</v>
      </c>
      <c r="L354" s="416">
        <v>0</v>
      </c>
      <c r="M354" s="416">
        <v>0</v>
      </c>
      <c r="N354" s="416">
        <v>0</v>
      </c>
      <c r="O354" s="416">
        <v>0</v>
      </c>
      <c r="P354" s="416">
        <v>0</v>
      </c>
      <c r="Q354" s="416">
        <v>0</v>
      </c>
      <c r="R354" s="416">
        <v>0</v>
      </c>
      <c r="S354" s="416">
        <v>0</v>
      </c>
      <c r="T354" s="416">
        <v>0</v>
      </c>
      <c r="U354" s="416">
        <v>0</v>
      </c>
      <c r="V354" s="416">
        <v>0</v>
      </c>
      <c r="W354" s="416">
        <v>0</v>
      </c>
      <c r="X354" s="416">
        <v>0</v>
      </c>
      <c r="Y354" s="416">
        <v>0</v>
      </c>
      <c r="Z354" s="416">
        <v>0</v>
      </c>
      <c r="AA354" s="416">
        <v>0</v>
      </c>
      <c r="AB354" s="416">
        <v>0</v>
      </c>
      <c r="AC354" s="416">
        <v>0</v>
      </c>
      <c r="AD354" s="416">
        <v>0</v>
      </c>
      <c r="AE354" s="416">
        <v>0</v>
      </c>
      <c r="AF354" s="416">
        <v>0</v>
      </c>
      <c r="AG354" s="416">
        <v>0</v>
      </c>
      <c r="AH354" s="416">
        <v>0</v>
      </c>
      <c r="AI354" s="416">
        <v>0</v>
      </c>
      <c r="AJ354" s="416">
        <v>0</v>
      </c>
      <c r="AK354" s="416">
        <v>0</v>
      </c>
      <c r="AL354" s="416">
        <v>0</v>
      </c>
      <c r="AM354" s="416">
        <v>0</v>
      </c>
      <c r="AN354" s="416">
        <v>0</v>
      </c>
      <c r="AO354" s="416">
        <v>0</v>
      </c>
      <c r="AP354" s="416">
        <v>0</v>
      </c>
      <c r="AQ354" s="416">
        <v>0</v>
      </c>
      <c r="AR354" s="416">
        <v>0</v>
      </c>
      <c r="AS354" s="416">
        <v>0</v>
      </c>
      <c r="AT354" s="416">
        <v>0</v>
      </c>
      <c r="AU354" s="416">
        <v>0</v>
      </c>
      <c r="AV354" s="416">
        <v>0</v>
      </c>
      <c r="AW354" s="416">
        <v>0</v>
      </c>
      <c r="AX354" s="416">
        <v>0</v>
      </c>
      <c r="AY354" s="416">
        <v>0</v>
      </c>
      <c r="AZ354" s="416">
        <v>0</v>
      </c>
      <c r="BA354" s="416">
        <v>0</v>
      </c>
      <c r="BB354" s="416">
        <v>0</v>
      </c>
      <c r="BC354" s="416">
        <v>0</v>
      </c>
      <c r="BD354" s="416">
        <v>0</v>
      </c>
      <c r="BE354" s="416">
        <v>0</v>
      </c>
      <c r="BF354" s="416">
        <v>0</v>
      </c>
      <c r="BG354" s="416">
        <v>0</v>
      </c>
      <c r="BH354" s="416">
        <v>0</v>
      </c>
      <c r="BI354" s="416">
        <v>0</v>
      </c>
      <c r="BJ354" s="416">
        <v>-10.648999999999999</v>
      </c>
      <c r="BK354" s="416">
        <v>-10.648999999999999</v>
      </c>
      <c r="BL354" s="416">
        <v>0</v>
      </c>
      <c r="BM354" s="416">
        <v>0</v>
      </c>
      <c r="BN354" s="416">
        <v>0</v>
      </c>
      <c r="BO354" s="416">
        <v>-7.548</v>
      </c>
      <c r="BP354" s="416">
        <v>-7.548</v>
      </c>
      <c r="BQ354" s="416">
        <v>0</v>
      </c>
      <c r="BR354" s="416">
        <v>0</v>
      </c>
      <c r="BS354" s="416">
        <v>0</v>
      </c>
      <c r="BT354" s="416">
        <v>-3.7</v>
      </c>
      <c r="BU354" s="416">
        <v>-3.7</v>
      </c>
      <c r="BV354" s="416">
        <v>0</v>
      </c>
      <c r="BW354" s="416">
        <v>0</v>
      </c>
      <c r="BX354" s="416">
        <v>0</v>
      </c>
      <c r="BY354" s="416">
        <v>0</v>
      </c>
      <c r="BZ354" s="416">
        <v>0</v>
      </c>
      <c r="CC354" s="21"/>
      <c r="CD354" s="417" t="s">
        <v>764</v>
      </c>
      <c r="CE354" s="433">
        <f t="shared" si="75"/>
        <v>0</v>
      </c>
      <c r="CF354" s="433">
        <f t="shared" si="76"/>
        <v>0</v>
      </c>
      <c r="CG354" s="433">
        <f t="shared" si="77"/>
        <v>0</v>
      </c>
      <c r="CH354" s="433">
        <f t="shared" si="78"/>
        <v>0</v>
      </c>
      <c r="CI354" s="433">
        <f t="shared" si="79"/>
        <v>0</v>
      </c>
      <c r="CJ354" s="433">
        <f t="shared" si="80"/>
        <v>0</v>
      </c>
      <c r="CK354" s="433">
        <f t="shared" si="81"/>
        <v>0</v>
      </c>
      <c r="CL354" s="433">
        <f t="shared" si="82"/>
        <v>0</v>
      </c>
      <c r="CM354" s="433">
        <f t="shared" si="83"/>
        <v>0</v>
      </c>
      <c r="CN354" s="433">
        <f t="shared" si="84"/>
        <v>0</v>
      </c>
      <c r="CO354" s="433">
        <f t="shared" si="85"/>
        <v>0</v>
      </c>
      <c r="CP354" s="433">
        <f t="shared" si="86"/>
        <v>-10.648999999999999</v>
      </c>
      <c r="CQ354" s="433">
        <f t="shared" si="87"/>
        <v>-7.548</v>
      </c>
      <c r="CR354" s="433">
        <f t="shared" si="88"/>
        <v>-3.7</v>
      </c>
      <c r="CS354" s="433">
        <f t="shared" si="89"/>
        <v>0</v>
      </c>
      <c r="CT354" s="21"/>
    </row>
    <row r="355" spans="3:98" ht="15">
      <c r="C355" s="421" t="s">
        <v>448</v>
      </c>
      <c r="D355" s="422">
        <v>0</v>
      </c>
      <c r="E355" s="422">
        <v>0</v>
      </c>
      <c r="F355" s="422">
        <v>0</v>
      </c>
      <c r="G355" s="422">
        <v>0</v>
      </c>
      <c r="H355" s="422">
        <v>0</v>
      </c>
      <c r="I355" s="422">
        <v>0</v>
      </c>
      <c r="J355" s="422">
        <v>0</v>
      </c>
      <c r="K355" s="422">
        <v>0</v>
      </c>
      <c r="L355" s="422">
        <v>0</v>
      </c>
      <c r="M355" s="422">
        <v>0</v>
      </c>
      <c r="N355" s="422">
        <v>0</v>
      </c>
      <c r="O355" s="422">
        <v>0</v>
      </c>
      <c r="P355" s="422">
        <v>0</v>
      </c>
      <c r="Q355" s="422">
        <v>0</v>
      </c>
      <c r="R355" s="422">
        <v>0</v>
      </c>
      <c r="S355" s="422">
        <v>0</v>
      </c>
      <c r="T355" s="422">
        <v>0</v>
      </c>
      <c r="U355" s="422">
        <v>0</v>
      </c>
      <c r="V355" s="422">
        <v>0</v>
      </c>
      <c r="W355" s="422">
        <v>0</v>
      </c>
      <c r="X355" s="422">
        <v>0</v>
      </c>
      <c r="Y355" s="422">
        <v>0</v>
      </c>
      <c r="Z355" s="422">
        <v>0</v>
      </c>
      <c r="AA355" s="422">
        <v>0</v>
      </c>
      <c r="AB355" s="422">
        <v>0</v>
      </c>
      <c r="AC355" s="422">
        <v>0</v>
      </c>
      <c r="AD355" s="422">
        <v>0</v>
      </c>
      <c r="AE355" s="422">
        <v>0</v>
      </c>
      <c r="AF355" s="422">
        <v>0</v>
      </c>
      <c r="AG355" s="422">
        <v>0</v>
      </c>
      <c r="AH355" s="422">
        <v>0</v>
      </c>
      <c r="AI355" s="422">
        <v>0</v>
      </c>
      <c r="AJ355" s="422">
        <v>0</v>
      </c>
      <c r="AK355" s="422">
        <v>0</v>
      </c>
      <c r="AL355" s="422">
        <v>0</v>
      </c>
      <c r="AM355" s="422">
        <v>0</v>
      </c>
      <c r="AN355" s="422">
        <v>0</v>
      </c>
      <c r="AO355" s="422">
        <v>0</v>
      </c>
      <c r="AP355" s="422">
        <v>0</v>
      </c>
      <c r="AQ355" s="422">
        <v>0</v>
      </c>
      <c r="AR355" s="422">
        <v>0</v>
      </c>
      <c r="AS355" s="422">
        <v>0</v>
      </c>
      <c r="AT355" s="422">
        <v>0</v>
      </c>
      <c r="AU355" s="422">
        <v>0</v>
      </c>
      <c r="AV355" s="422">
        <v>0</v>
      </c>
      <c r="AW355" s="422">
        <v>0</v>
      </c>
      <c r="AX355" s="422">
        <v>0</v>
      </c>
      <c r="AY355" s="422">
        <v>0</v>
      </c>
      <c r="AZ355" s="422">
        <v>0</v>
      </c>
      <c r="BA355" s="422">
        <v>0</v>
      </c>
      <c r="BB355" s="422">
        <v>0</v>
      </c>
      <c r="BC355" s="422">
        <v>0</v>
      </c>
      <c r="BD355" s="422">
        <v>0</v>
      </c>
      <c r="BE355" s="422">
        <v>0</v>
      </c>
      <c r="BF355" s="422">
        <v>0</v>
      </c>
      <c r="BG355" s="422">
        <v>0</v>
      </c>
      <c r="BH355" s="422">
        <v>0</v>
      </c>
      <c r="BI355" s="422">
        <v>0</v>
      </c>
      <c r="BJ355" s="422">
        <v>107.77800000000001</v>
      </c>
      <c r="BK355" s="422">
        <v>107.77800000000001</v>
      </c>
      <c r="BL355" s="422">
        <v>0</v>
      </c>
      <c r="BM355" s="422">
        <v>0</v>
      </c>
      <c r="BN355" s="422">
        <v>0</v>
      </c>
      <c r="BO355" s="422">
        <v>106.444</v>
      </c>
      <c r="BP355" s="422">
        <v>106.444</v>
      </c>
      <c r="BQ355" s="422">
        <v>0</v>
      </c>
      <c r="BR355" s="422">
        <v>0</v>
      </c>
      <c r="BS355" s="422">
        <v>0</v>
      </c>
      <c r="BT355" s="422">
        <v>75.778000000000006</v>
      </c>
      <c r="BU355" s="422">
        <v>75.778000000000006</v>
      </c>
      <c r="BV355" s="422">
        <v>0</v>
      </c>
      <c r="BW355" s="422">
        <v>0</v>
      </c>
      <c r="BX355" s="422">
        <v>0</v>
      </c>
      <c r="BY355" s="422">
        <v>0</v>
      </c>
      <c r="BZ355" s="422">
        <v>0</v>
      </c>
      <c r="CC355" s="21"/>
      <c r="CD355" s="421" t="s">
        <v>448</v>
      </c>
      <c r="CE355" s="436">
        <f t="shared" si="75"/>
        <v>0</v>
      </c>
      <c r="CF355" s="436">
        <f t="shared" si="76"/>
        <v>0</v>
      </c>
      <c r="CG355" s="436">
        <f t="shared" si="77"/>
        <v>0</v>
      </c>
      <c r="CH355" s="436">
        <f t="shared" si="78"/>
        <v>0</v>
      </c>
      <c r="CI355" s="436">
        <f t="shared" si="79"/>
        <v>0</v>
      </c>
      <c r="CJ355" s="436">
        <f t="shared" si="80"/>
        <v>0</v>
      </c>
      <c r="CK355" s="436">
        <f t="shared" si="81"/>
        <v>0</v>
      </c>
      <c r="CL355" s="436">
        <f t="shared" si="82"/>
        <v>0</v>
      </c>
      <c r="CM355" s="436">
        <f t="shared" si="83"/>
        <v>0</v>
      </c>
      <c r="CN355" s="436">
        <f t="shared" si="84"/>
        <v>0</v>
      </c>
      <c r="CO355" s="436">
        <f t="shared" si="85"/>
        <v>0</v>
      </c>
      <c r="CP355" s="436">
        <f t="shared" si="86"/>
        <v>107.77800000000001</v>
      </c>
      <c r="CQ355" s="436">
        <f t="shared" si="87"/>
        <v>106.444</v>
      </c>
      <c r="CR355" s="436">
        <f t="shared" si="88"/>
        <v>75.778000000000006</v>
      </c>
      <c r="CS355" s="436">
        <f t="shared" si="89"/>
        <v>0</v>
      </c>
      <c r="CT355" s="21"/>
    </row>
    <row r="356" spans="3:98" ht="4.5" customHeight="1">
      <c r="C356" s="98"/>
      <c r="D356" s="416">
        <v>0</v>
      </c>
      <c r="E356" s="416">
        <v>0</v>
      </c>
      <c r="F356" s="416">
        <v>0</v>
      </c>
      <c r="G356" s="416">
        <v>0</v>
      </c>
      <c r="H356" s="416">
        <v>0</v>
      </c>
      <c r="I356" s="416">
        <v>0</v>
      </c>
      <c r="J356" s="416">
        <v>0</v>
      </c>
      <c r="K356" s="416">
        <v>0</v>
      </c>
      <c r="L356" s="416">
        <v>0</v>
      </c>
      <c r="M356" s="416">
        <v>0</v>
      </c>
      <c r="N356" s="416">
        <v>0</v>
      </c>
      <c r="O356" s="416">
        <v>0</v>
      </c>
      <c r="P356" s="416">
        <v>0</v>
      </c>
      <c r="Q356" s="416">
        <v>0</v>
      </c>
      <c r="R356" s="416">
        <v>0</v>
      </c>
      <c r="S356" s="416">
        <v>0</v>
      </c>
      <c r="T356" s="416">
        <v>0</v>
      </c>
      <c r="U356" s="416">
        <v>0</v>
      </c>
      <c r="V356" s="416">
        <v>0</v>
      </c>
      <c r="W356" s="416">
        <v>0</v>
      </c>
      <c r="X356" s="416">
        <v>0</v>
      </c>
      <c r="Y356" s="416">
        <v>0</v>
      </c>
      <c r="Z356" s="416">
        <v>0</v>
      </c>
      <c r="AA356" s="416">
        <v>0</v>
      </c>
      <c r="AB356" s="416">
        <v>0</v>
      </c>
      <c r="AC356" s="416">
        <v>0</v>
      </c>
      <c r="AD356" s="416">
        <v>0</v>
      </c>
      <c r="AE356" s="416">
        <v>0</v>
      </c>
      <c r="AF356" s="416">
        <v>0</v>
      </c>
      <c r="AG356" s="416">
        <v>0</v>
      </c>
      <c r="AH356" s="416">
        <v>0</v>
      </c>
      <c r="AI356" s="416">
        <v>0</v>
      </c>
      <c r="AJ356" s="416">
        <v>0</v>
      </c>
      <c r="AK356" s="416">
        <v>0</v>
      </c>
      <c r="AL356" s="416">
        <v>0</v>
      </c>
      <c r="AM356" s="416">
        <v>0</v>
      </c>
      <c r="AN356" s="416">
        <v>0</v>
      </c>
      <c r="AO356" s="416">
        <v>0</v>
      </c>
      <c r="AP356" s="416">
        <v>0</v>
      </c>
      <c r="AQ356" s="416">
        <v>0</v>
      </c>
      <c r="AR356" s="416">
        <v>0</v>
      </c>
      <c r="AS356" s="416">
        <v>0</v>
      </c>
      <c r="AT356" s="416">
        <v>0</v>
      </c>
      <c r="AU356" s="416">
        <v>0</v>
      </c>
      <c r="AV356" s="416">
        <v>0</v>
      </c>
      <c r="AW356" s="416">
        <v>0</v>
      </c>
      <c r="AX356" s="416">
        <v>0</v>
      </c>
      <c r="AY356" s="416">
        <v>0</v>
      </c>
      <c r="AZ356" s="416">
        <v>0</v>
      </c>
      <c r="BA356" s="416">
        <v>0</v>
      </c>
      <c r="BB356" s="416">
        <v>0</v>
      </c>
      <c r="BC356" s="416">
        <v>0</v>
      </c>
      <c r="BD356" s="416">
        <v>0</v>
      </c>
      <c r="BE356" s="416">
        <v>0</v>
      </c>
      <c r="BF356" s="416">
        <v>0</v>
      </c>
      <c r="BG356" s="416">
        <v>0</v>
      </c>
      <c r="BH356" s="416">
        <v>0</v>
      </c>
      <c r="BI356" s="416">
        <v>0</v>
      </c>
      <c r="BJ356" s="416">
        <v>0</v>
      </c>
      <c r="BK356" s="416">
        <v>0</v>
      </c>
      <c r="BL356" s="416">
        <v>0</v>
      </c>
      <c r="BM356" s="416">
        <v>0</v>
      </c>
      <c r="BN356" s="416">
        <v>0</v>
      </c>
      <c r="BO356" s="416">
        <v>0</v>
      </c>
      <c r="BP356" s="416">
        <v>0</v>
      </c>
      <c r="BQ356" s="416">
        <v>0</v>
      </c>
      <c r="BR356" s="416">
        <v>0</v>
      </c>
      <c r="BS356" s="416">
        <v>0</v>
      </c>
      <c r="BT356" s="416">
        <v>0</v>
      </c>
      <c r="BU356" s="416">
        <v>0</v>
      </c>
      <c r="BV356" s="416">
        <v>0</v>
      </c>
      <c r="BW356" s="416">
        <v>0</v>
      </c>
      <c r="BX356" s="416">
        <v>0</v>
      </c>
      <c r="BY356" s="416">
        <v>0</v>
      </c>
      <c r="BZ356" s="416">
        <v>0</v>
      </c>
      <c r="CC356" s="21"/>
      <c r="CD356" s="98"/>
      <c r="CE356" s="433"/>
      <c r="CF356" s="433"/>
      <c r="CG356" s="433"/>
      <c r="CH356" s="433"/>
      <c r="CI356" s="433"/>
      <c r="CJ356" s="433"/>
      <c r="CK356" s="433"/>
      <c r="CL356" s="433"/>
      <c r="CM356" s="433"/>
      <c r="CN356" s="433"/>
      <c r="CO356" s="433"/>
      <c r="CP356" s="433"/>
      <c r="CQ356" s="433"/>
      <c r="CR356" s="433"/>
      <c r="CS356" s="433"/>
      <c r="CT356" s="21"/>
    </row>
    <row r="357" spans="3:98">
      <c r="C357" s="417" t="s">
        <v>449</v>
      </c>
      <c r="D357" s="416">
        <v>0</v>
      </c>
      <c r="E357" s="416">
        <v>0</v>
      </c>
      <c r="F357" s="416">
        <v>0</v>
      </c>
      <c r="G357" s="416">
        <v>0</v>
      </c>
      <c r="H357" s="416">
        <v>0</v>
      </c>
      <c r="I357" s="416">
        <v>0</v>
      </c>
      <c r="J357" s="416">
        <v>0</v>
      </c>
      <c r="K357" s="416">
        <v>0</v>
      </c>
      <c r="L357" s="416">
        <v>0</v>
      </c>
      <c r="M357" s="416">
        <v>0</v>
      </c>
      <c r="N357" s="416">
        <v>0</v>
      </c>
      <c r="O357" s="416">
        <v>0</v>
      </c>
      <c r="P357" s="416">
        <v>0</v>
      </c>
      <c r="Q357" s="416">
        <v>0</v>
      </c>
      <c r="R357" s="416">
        <v>0</v>
      </c>
      <c r="S357" s="416">
        <v>0</v>
      </c>
      <c r="T357" s="416">
        <v>0</v>
      </c>
      <c r="U357" s="416">
        <v>0</v>
      </c>
      <c r="V357" s="416">
        <v>0</v>
      </c>
      <c r="W357" s="416">
        <v>0</v>
      </c>
      <c r="X357" s="416">
        <v>0</v>
      </c>
      <c r="Y357" s="416">
        <v>0</v>
      </c>
      <c r="Z357" s="416">
        <v>0</v>
      </c>
      <c r="AA357" s="416">
        <v>0</v>
      </c>
      <c r="AB357" s="416">
        <v>0</v>
      </c>
      <c r="AC357" s="416">
        <v>0</v>
      </c>
      <c r="AD357" s="416">
        <v>0</v>
      </c>
      <c r="AE357" s="416">
        <v>0</v>
      </c>
      <c r="AF357" s="416">
        <v>0</v>
      </c>
      <c r="AG357" s="416">
        <v>0</v>
      </c>
      <c r="AH357" s="416">
        <v>0</v>
      </c>
      <c r="AI357" s="416">
        <v>0</v>
      </c>
      <c r="AJ357" s="416">
        <v>0</v>
      </c>
      <c r="AK357" s="416">
        <v>0</v>
      </c>
      <c r="AL357" s="416">
        <v>0</v>
      </c>
      <c r="AM357" s="416">
        <v>0</v>
      </c>
      <c r="AN357" s="416">
        <v>0</v>
      </c>
      <c r="AO357" s="416">
        <v>0</v>
      </c>
      <c r="AP357" s="416">
        <v>0</v>
      </c>
      <c r="AQ357" s="416">
        <v>0</v>
      </c>
      <c r="AR357" s="416">
        <v>0</v>
      </c>
      <c r="AS357" s="416">
        <v>0</v>
      </c>
      <c r="AT357" s="416">
        <v>0</v>
      </c>
      <c r="AU357" s="416">
        <v>0</v>
      </c>
      <c r="AV357" s="416">
        <v>0</v>
      </c>
      <c r="AW357" s="416">
        <v>0</v>
      </c>
      <c r="AX357" s="416">
        <v>0</v>
      </c>
      <c r="AY357" s="416">
        <v>0</v>
      </c>
      <c r="AZ357" s="416">
        <v>0</v>
      </c>
      <c r="BA357" s="416">
        <v>0</v>
      </c>
      <c r="BB357" s="416">
        <v>0</v>
      </c>
      <c r="BC357" s="416">
        <v>0</v>
      </c>
      <c r="BD357" s="416">
        <v>0</v>
      </c>
      <c r="BE357" s="416">
        <v>0</v>
      </c>
      <c r="BF357" s="416">
        <v>0</v>
      </c>
      <c r="BG357" s="416">
        <v>0</v>
      </c>
      <c r="BH357" s="416">
        <v>0</v>
      </c>
      <c r="BI357" s="416">
        <v>0</v>
      </c>
      <c r="BJ357" s="416">
        <v>80.021000000000001</v>
      </c>
      <c r="BK357" s="416">
        <v>80.021000000000001</v>
      </c>
      <c r="BL357" s="416">
        <v>0</v>
      </c>
      <c r="BM357" s="416">
        <v>0</v>
      </c>
      <c r="BN357" s="416">
        <v>0</v>
      </c>
      <c r="BO357" s="416">
        <v>36.268000000000001</v>
      </c>
      <c r="BP357" s="416">
        <v>36.268000000000001</v>
      </c>
      <c r="BQ357" s="416">
        <v>0</v>
      </c>
      <c r="BR357" s="416">
        <v>0</v>
      </c>
      <c r="BS357" s="416">
        <v>0</v>
      </c>
      <c r="BT357" s="416">
        <v>36.259</v>
      </c>
      <c r="BU357" s="416">
        <v>36.259</v>
      </c>
      <c r="BV357" s="416">
        <v>0</v>
      </c>
      <c r="BW357" s="416">
        <v>0</v>
      </c>
      <c r="BX357" s="416">
        <v>0</v>
      </c>
      <c r="BY357" s="416">
        <v>0</v>
      </c>
      <c r="BZ357" s="416">
        <v>0</v>
      </c>
      <c r="CC357" s="21"/>
      <c r="CD357" s="417" t="s">
        <v>449</v>
      </c>
      <c r="CE357" s="433">
        <f t="shared" si="75"/>
        <v>0</v>
      </c>
      <c r="CF357" s="433">
        <f t="shared" si="76"/>
        <v>0</v>
      </c>
      <c r="CG357" s="433">
        <f t="shared" si="77"/>
        <v>0</v>
      </c>
      <c r="CH357" s="433">
        <f t="shared" si="78"/>
        <v>0</v>
      </c>
      <c r="CI357" s="433">
        <f t="shared" si="79"/>
        <v>0</v>
      </c>
      <c r="CJ357" s="433">
        <f t="shared" si="80"/>
        <v>0</v>
      </c>
      <c r="CK357" s="433">
        <f t="shared" si="81"/>
        <v>0</v>
      </c>
      <c r="CL357" s="433">
        <f t="shared" si="82"/>
        <v>0</v>
      </c>
      <c r="CM357" s="433">
        <f t="shared" si="83"/>
        <v>0</v>
      </c>
      <c r="CN357" s="433">
        <f t="shared" si="84"/>
        <v>0</v>
      </c>
      <c r="CO357" s="433">
        <f t="shared" si="85"/>
        <v>0</v>
      </c>
      <c r="CP357" s="433">
        <f t="shared" si="86"/>
        <v>80.021000000000001</v>
      </c>
      <c r="CQ357" s="433">
        <f t="shared" si="87"/>
        <v>36.268000000000001</v>
      </c>
      <c r="CR357" s="433">
        <f t="shared" si="88"/>
        <v>36.259</v>
      </c>
      <c r="CS357" s="433">
        <f t="shared" si="89"/>
        <v>0</v>
      </c>
      <c r="CT357" s="21"/>
    </row>
    <row r="358" spans="3:98">
      <c r="C358" s="417" t="s">
        <v>450</v>
      </c>
      <c r="D358" s="416">
        <v>0</v>
      </c>
      <c r="E358" s="416">
        <v>0</v>
      </c>
      <c r="F358" s="416">
        <v>0</v>
      </c>
      <c r="G358" s="416">
        <v>0</v>
      </c>
      <c r="H358" s="416">
        <v>0</v>
      </c>
      <c r="I358" s="416">
        <v>0</v>
      </c>
      <c r="J358" s="416">
        <v>0</v>
      </c>
      <c r="K358" s="416">
        <v>0</v>
      </c>
      <c r="L358" s="416">
        <v>0</v>
      </c>
      <c r="M358" s="416">
        <v>0</v>
      </c>
      <c r="N358" s="416">
        <v>0</v>
      </c>
      <c r="O358" s="416">
        <v>0</v>
      </c>
      <c r="P358" s="416">
        <v>0</v>
      </c>
      <c r="Q358" s="416">
        <v>0</v>
      </c>
      <c r="R358" s="416">
        <v>0</v>
      </c>
      <c r="S358" s="416">
        <v>0</v>
      </c>
      <c r="T358" s="416">
        <v>0</v>
      </c>
      <c r="U358" s="416">
        <v>0</v>
      </c>
      <c r="V358" s="416">
        <v>0</v>
      </c>
      <c r="W358" s="416">
        <v>0</v>
      </c>
      <c r="X358" s="416">
        <v>0</v>
      </c>
      <c r="Y358" s="416">
        <v>0</v>
      </c>
      <c r="Z358" s="416">
        <v>0</v>
      </c>
      <c r="AA358" s="416">
        <v>0</v>
      </c>
      <c r="AB358" s="416">
        <v>0</v>
      </c>
      <c r="AC358" s="416">
        <v>0</v>
      </c>
      <c r="AD358" s="416">
        <v>0</v>
      </c>
      <c r="AE358" s="416">
        <v>0</v>
      </c>
      <c r="AF358" s="416">
        <v>0</v>
      </c>
      <c r="AG358" s="416">
        <v>0</v>
      </c>
      <c r="AH358" s="416">
        <v>0</v>
      </c>
      <c r="AI358" s="416">
        <v>0</v>
      </c>
      <c r="AJ358" s="416">
        <v>0</v>
      </c>
      <c r="AK358" s="416">
        <v>0</v>
      </c>
      <c r="AL358" s="416">
        <v>0</v>
      </c>
      <c r="AM358" s="416">
        <v>0</v>
      </c>
      <c r="AN358" s="416">
        <v>0</v>
      </c>
      <c r="AO358" s="416">
        <v>0</v>
      </c>
      <c r="AP358" s="416">
        <v>0</v>
      </c>
      <c r="AQ358" s="416">
        <v>0</v>
      </c>
      <c r="AR358" s="416">
        <v>0</v>
      </c>
      <c r="AS358" s="416">
        <v>0</v>
      </c>
      <c r="AT358" s="416">
        <v>0</v>
      </c>
      <c r="AU358" s="416">
        <v>0</v>
      </c>
      <c r="AV358" s="416">
        <v>0</v>
      </c>
      <c r="AW358" s="416">
        <v>0</v>
      </c>
      <c r="AX358" s="416">
        <v>0</v>
      </c>
      <c r="AY358" s="416">
        <v>0</v>
      </c>
      <c r="AZ358" s="416">
        <v>0</v>
      </c>
      <c r="BA358" s="416">
        <v>0</v>
      </c>
      <c r="BB358" s="416">
        <v>0</v>
      </c>
      <c r="BC358" s="416">
        <v>0</v>
      </c>
      <c r="BD358" s="416">
        <v>0</v>
      </c>
      <c r="BE358" s="416">
        <v>0</v>
      </c>
      <c r="BF358" s="416">
        <v>0</v>
      </c>
      <c r="BG358" s="416">
        <v>0</v>
      </c>
      <c r="BH358" s="416">
        <v>0</v>
      </c>
      <c r="BI358" s="416">
        <v>0</v>
      </c>
      <c r="BJ358" s="416">
        <v>26.887</v>
      </c>
      <c r="BK358" s="416">
        <v>26.887</v>
      </c>
      <c r="BL358" s="416">
        <v>0</v>
      </c>
      <c r="BM358" s="416">
        <v>0</v>
      </c>
      <c r="BN358" s="416">
        <v>0</v>
      </c>
      <c r="BO358" s="416">
        <v>35.265999999999998</v>
      </c>
      <c r="BP358" s="416">
        <v>35.265999999999998</v>
      </c>
      <c r="BQ358" s="416">
        <v>0</v>
      </c>
      <c r="BR358" s="416">
        <v>0</v>
      </c>
      <c r="BS358" s="416">
        <v>0</v>
      </c>
      <c r="BT358" s="416">
        <v>33.606999999999999</v>
      </c>
      <c r="BU358" s="416">
        <v>33.606999999999999</v>
      </c>
      <c r="BV358" s="416">
        <v>0</v>
      </c>
      <c r="BW358" s="416">
        <v>0</v>
      </c>
      <c r="BX358" s="416">
        <v>0</v>
      </c>
      <c r="BY358" s="416">
        <v>0</v>
      </c>
      <c r="BZ358" s="416">
        <v>0</v>
      </c>
      <c r="CC358" s="21"/>
      <c r="CD358" s="417" t="s">
        <v>450</v>
      </c>
      <c r="CE358" s="433">
        <f t="shared" si="75"/>
        <v>0</v>
      </c>
      <c r="CF358" s="433">
        <f t="shared" si="76"/>
        <v>0</v>
      </c>
      <c r="CG358" s="433">
        <f t="shared" si="77"/>
        <v>0</v>
      </c>
      <c r="CH358" s="433">
        <f t="shared" si="78"/>
        <v>0</v>
      </c>
      <c r="CI358" s="433">
        <f t="shared" si="79"/>
        <v>0</v>
      </c>
      <c r="CJ358" s="433">
        <f t="shared" si="80"/>
        <v>0</v>
      </c>
      <c r="CK358" s="433">
        <f t="shared" si="81"/>
        <v>0</v>
      </c>
      <c r="CL358" s="433">
        <f t="shared" si="82"/>
        <v>0</v>
      </c>
      <c r="CM358" s="433">
        <f t="shared" si="83"/>
        <v>0</v>
      </c>
      <c r="CN358" s="433">
        <f t="shared" si="84"/>
        <v>0</v>
      </c>
      <c r="CO358" s="433">
        <f t="shared" si="85"/>
        <v>0</v>
      </c>
      <c r="CP358" s="433">
        <f t="shared" si="86"/>
        <v>26.887</v>
      </c>
      <c r="CQ358" s="433">
        <f t="shared" si="87"/>
        <v>35.265999999999998</v>
      </c>
      <c r="CR358" s="433">
        <f t="shared" si="88"/>
        <v>33.606999999999999</v>
      </c>
      <c r="CS358" s="433">
        <f t="shared" si="89"/>
        <v>0</v>
      </c>
      <c r="CT358" s="21"/>
    </row>
    <row r="359" spans="3:98">
      <c r="C359" s="417" t="s">
        <v>451</v>
      </c>
      <c r="D359" s="416">
        <v>0</v>
      </c>
      <c r="E359" s="416">
        <v>0</v>
      </c>
      <c r="F359" s="416">
        <v>0</v>
      </c>
      <c r="G359" s="416">
        <v>0</v>
      </c>
      <c r="H359" s="416">
        <v>0</v>
      </c>
      <c r="I359" s="416">
        <v>0</v>
      </c>
      <c r="J359" s="416">
        <v>0</v>
      </c>
      <c r="K359" s="416">
        <v>0</v>
      </c>
      <c r="L359" s="416">
        <v>0</v>
      </c>
      <c r="M359" s="416">
        <v>0</v>
      </c>
      <c r="N359" s="416">
        <v>0</v>
      </c>
      <c r="O359" s="416">
        <v>0</v>
      </c>
      <c r="P359" s="416">
        <v>0</v>
      </c>
      <c r="Q359" s="416">
        <v>0</v>
      </c>
      <c r="R359" s="416">
        <v>0</v>
      </c>
      <c r="S359" s="416">
        <v>0</v>
      </c>
      <c r="T359" s="416">
        <v>0</v>
      </c>
      <c r="U359" s="416">
        <v>0</v>
      </c>
      <c r="V359" s="416">
        <v>0</v>
      </c>
      <c r="W359" s="416">
        <v>0</v>
      </c>
      <c r="X359" s="416">
        <v>0</v>
      </c>
      <c r="Y359" s="416">
        <v>0</v>
      </c>
      <c r="Z359" s="416">
        <v>0</v>
      </c>
      <c r="AA359" s="416">
        <v>0</v>
      </c>
      <c r="AB359" s="416">
        <v>0</v>
      </c>
      <c r="AC359" s="416">
        <v>0</v>
      </c>
      <c r="AD359" s="416">
        <v>0</v>
      </c>
      <c r="AE359" s="416">
        <v>0</v>
      </c>
      <c r="AF359" s="416">
        <v>0</v>
      </c>
      <c r="AG359" s="416">
        <v>0</v>
      </c>
      <c r="AH359" s="416">
        <v>0</v>
      </c>
      <c r="AI359" s="416">
        <v>0</v>
      </c>
      <c r="AJ359" s="416">
        <v>0</v>
      </c>
      <c r="AK359" s="416">
        <v>0</v>
      </c>
      <c r="AL359" s="416">
        <v>0</v>
      </c>
      <c r="AM359" s="416">
        <v>0</v>
      </c>
      <c r="AN359" s="416">
        <v>0</v>
      </c>
      <c r="AO359" s="416">
        <v>0</v>
      </c>
      <c r="AP359" s="416">
        <v>0</v>
      </c>
      <c r="AQ359" s="416">
        <v>0</v>
      </c>
      <c r="AR359" s="416">
        <v>0</v>
      </c>
      <c r="AS359" s="416">
        <v>0</v>
      </c>
      <c r="AT359" s="416">
        <v>0</v>
      </c>
      <c r="AU359" s="416">
        <v>0</v>
      </c>
      <c r="AV359" s="416">
        <v>0</v>
      </c>
      <c r="AW359" s="416">
        <v>0</v>
      </c>
      <c r="AX359" s="416">
        <v>0</v>
      </c>
      <c r="AY359" s="416">
        <v>0</v>
      </c>
      <c r="AZ359" s="416">
        <v>0</v>
      </c>
      <c r="BA359" s="416">
        <v>0</v>
      </c>
      <c r="BB359" s="416">
        <v>0</v>
      </c>
      <c r="BC359" s="416">
        <v>0</v>
      </c>
      <c r="BD359" s="416">
        <v>0</v>
      </c>
      <c r="BE359" s="416">
        <v>0</v>
      </c>
      <c r="BF359" s="416">
        <v>0</v>
      </c>
      <c r="BG359" s="416">
        <v>0</v>
      </c>
      <c r="BH359" s="416">
        <v>0</v>
      </c>
      <c r="BI359" s="416">
        <v>0</v>
      </c>
      <c r="BJ359" s="416">
        <v>70.138000000000005</v>
      </c>
      <c r="BK359" s="416">
        <v>70.138000000000005</v>
      </c>
      <c r="BL359" s="416">
        <v>0</v>
      </c>
      <c r="BM359" s="416">
        <v>0</v>
      </c>
      <c r="BN359" s="416">
        <v>0</v>
      </c>
      <c r="BO359" s="416">
        <v>32.630000000000003</v>
      </c>
      <c r="BP359" s="416">
        <v>32.630000000000003</v>
      </c>
      <c r="BQ359" s="416">
        <v>0</v>
      </c>
      <c r="BR359" s="416">
        <v>0</v>
      </c>
      <c r="BS359" s="416">
        <v>0</v>
      </c>
      <c r="BT359" s="416">
        <v>8.82</v>
      </c>
      <c r="BU359" s="416">
        <v>8.82</v>
      </c>
      <c r="BV359" s="416">
        <v>0</v>
      </c>
      <c r="BW359" s="416">
        <v>0</v>
      </c>
      <c r="BX359" s="416">
        <v>0</v>
      </c>
      <c r="BY359" s="416">
        <v>0</v>
      </c>
      <c r="BZ359" s="416">
        <v>0</v>
      </c>
      <c r="CC359" s="21"/>
      <c r="CD359" s="417" t="s">
        <v>451</v>
      </c>
      <c r="CE359" s="433">
        <f t="shared" si="75"/>
        <v>0</v>
      </c>
      <c r="CF359" s="433">
        <f t="shared" si="76"/>
        <v>0</v>
      </c>
      <c r="CG359" s="433">
        <f t="shared" si="77"/>
        <v>0</v>
      </c>
      <c r="CH359" s="433">
        <f t="shared" si="78"/>
        <v>0</v>
      </c>
      <c r="CI359" s="433">
        <f t="shared" si="79"/>
        <v>0</v>
      </c>
      <c r="CJ359" s="433">
        <f t="shared" si="80"/>
        <v>0</v>
      </c>
      <c r="CK359" s="433">
        <f t="shared" si="81"/>
        <v>0</v>
      </c>
      <c r="CL359" s="433">
        <f t="shared" si="82"/>
        <v>0</v>
      </c>
      <c r="CM359" s="433">
        <f t="shared" si="83"/>
        <v>0</v>
      </c>
      <c r="CN359" s="433">
        <f t="shared" si="84"/>
        <v>0</v>
      </c>
      <c r="CO359" s="433">
        <f t="shared" si="85"/>
        <v>0</v>
      </c>
      <c r="CP359" s="433">
        <f t="shared" si="86"/>
        <v>70.138000000000005</v>
      </c>
      <c r="CQ359" s="433">
        <f t="shared" si="87"/>
        <v>32.630000000000003</v>
      </c>
      <c r="CR359" s="433">
        <f t="shared" si="88"/>
        <v>8.82</v>
      </c>
      <c r="CS359" s="433">
        <f t="shared" si="89"/>
        <v>0</v>
      </c>
      <c r="CT359" s="21"/>
    </row>
    <row r="360" spans="3:98">
      <c r="C360" s="417" t="s">
        <v>452</v>
      </c>
      <c r="D360" s="416">
        <v>0</v>
      </c>
      <c r="E360" s="416">
        <v>0</v>
      </c>
      <c r="F360" s="416">
        <v>0</v>
      </c>
      <c r="G360" s="416">
        <v>0</v>
      </c>
      <c r="H360" s="416">
        <v>0</v>
      </c>
      <c r="I360" s="416">
        <v>0</v>
      </c>
      <c r="J360" s="416">
        <v>0</v>
      </c>
      <c r="K360" s="416">
        <v>0</v>
      </c>
      <c r="L360" s="416">
        <v>0</v>
      </c>
      <c r="M360" s="416">
        <v>0</v>
      </c>
      <c r="N360" s="416">
        <v>0</v>
      </c>
      <c r="O360" s="416">
        <v>0</v>
      </c>
      <c r="P360" s="416">
        <v>0</v>
      </c>
      <c r="Q360" s="416">
        <v>0</v>
      </c>
      <c r="R360" s="416">
        <v>0</v>
      </c>
      <c r="S360" s="416">
        <v>0</v>
      </c>
      <c r="T360" s="416">
        <v>0</v>
      </c>
      <c r="U360" s="416">
        <v>0</v>
      </c>
      <c r="V360" s="416">
        <v>0</v>
      </c>
      <c r="W360" s="416">
        <v>0</v>
      </c>
      <c r="X360" s="416">
        <v>0</v>
      </c>
      <c r="Y360" s="416">
        <v>0</v>
      </c>
      <c r="Z360" s="416">
        <v>0</v>
      </c>
      <c r="AA360" s="416">
        <v>0</v>
      </c>
      <c r="AB360" s="416">
        <v>0</v>
      </c>
      <c r="AC360" s="416">
        <v>0</v>
      </c>
      <c r="AD360" s="416">
        <v>0</v>
      </c>
      <c r="AE360" s="416">
        <v>0</v>
      </c>
      <c r="AF360" s="416">
        <v>0</v>
      </c>
      <c r="AG360" s="416">
        <v>0</v>
      </c>
      <c r="AH360" s="416">
        <v>0</v>
      </c>
      <c r="AI360" s="416">
        <v>0</v>
      </c>
      <c r="AJ360" s="416">
        <v>0</v>
      </c>
      <c r="AK360" s="416">
        <v>0</v>
      </c>
      <c r="AL360" s="416">
        <v>0</v>
      </c>
      <c r="AM360" s="416">
        <v>0</v>
      </c>
      <c r="AN360" s="416">
        <v>0</v>
      </c>
      <c r="AO360" s="416">
        <v>0</v>
      </c>
      <c r="AP360" s="416">
        <v>0</v>
      </c>
      <c r="AQ360" s="416">
        <v>0</v>
      </c>
      <c r="AR360" s="416">
        <v>0</v>
      </c>
      <c r="AS360" s="416">
        <v>0</v>
      </c>
      <c r="AT360" s="416">
        <v>0</v>
      </c>
      <c r="AU360" s="416">
        <v>0</v>
      </c>
      <c r="AV360" s="416">
        <v>0</v>
      </c>
      <c r="AW360" s="416">
        <v>0</v>
      </c>
      <c r="AX360" s="416">
        <v>0</v>
      </c>
      <c r="AY360" s="416">
        <v>0</v>
      </c>
      <c r="AZ360" s="416">
        <v>0</v>
      </c>
      <c r="BA360" s="416">
        <v>0</v>
      </c>
      <c r="BB360" s="416">
        <v>0</v>
      </c>
      <c r="BC360" s="416">
        <v>0</v>
      </c>
      <c r="BD360" s="416">
        <v>0</v>
      </c>
      <c r="BE360" s="416">
        <v>0</v>
      </c>
      <c r="BF360" s="416">
        <v>0</v>
      </c>
      <c r="BG360" s="416">
        <v>0</v>
      </c>
      <c r="BH360" s="416">
        <v>0</v>
      </c>
      <c r="BI360" s="416">
        <v>0</v>
      </c>
      <c r="BJ360" s="416">
        <v>27.170999999999999</v>
      </c>
      <c r="BK360" s="416">
        <v>27.170999999999999</v>
      </c>
      <c r="BL360" s="416">
        <v>0</v>
      </c>
      <c r="BM360" s="416">
        <v>0</v>
      </c>
      <c r="BN360" s="416">
        <v>0</v>
      </c>
      <c r="BO360" s="416">
        <v>9.0359999999999996</v>
      </c>
      <c r="BP360" s="416">
        <v>9.0359999999999996</v>
      </c>
      <c r="BQ360" s="416">
        <v>0</v>
      </c>
      <c r="BR360" s="416">
        <v>0</v>
      </c>
      <c r="BS360" s="416">
        <v>0</v>
      </c>
      <c r="BT360" s="416">
        <v>0.79200000000000004</v>
      </c>
      <c r="BU360" s="416">
        <v>0.79200000000000004</v>
      </c>
      <c r="BV360" s="416">
        <v>0</v>
      </c>
      <c r="BW360" s="416">
        <v>0</v>
      </c>
      <c r="BX360" s="416">
        <v>0</v>
      </c>
      <c r="BY360" s="416">
        <v>0</v>
      </c>
      <c r="BZ360" s="416">
        <v>0</v>
      </c>
      <c r="CC360" s="21"/>
      <c r="CD360" s="417" t="s">
        <v>452</v>
      </c>
      <c r="CE360" s="433">
        <f t="shared" si="75"/>
        <v>0</v>
      </c>
      <c r="CF360" s="433">
        <f t="shared" si="76"/>
        <v>0</v>
      </c>
      <c r="CG360" s="433">
        <f t="shared" si="77"/>
        <v>0</v>
      </c>
      <c r="CH360" s="433">
        <f t="shared" si="78"/>
        <v>0</v>
      </c>
      <c r="CI360" s="433">
        <f t="shared" si="79"/>
        <v>0</v>
      </c>
      <c r="CJ360" s="433">
        <f t="shared" si="80"/>
        <v>0</v>
      </c>
      <c r="CK360" s="433">
        <f t="shared" si="81"/>
        <v>0</v>
      </c>
      <c r="CL360" s="433">
        <f t="shared" si="82"/>
        <v>0</v>
      </c>
      <c r="CM360" s="433">
        <f t="shared" si="83"/>
        <v>0</v>
      </c>
      <c r="CN360" s="433">
        <f t="shared" si="84"/>
        <v>0</v>
      </c>
      <c r="CO360" s="433">
        <f t="shared" si="85"/>
        <v>0</v>
      </c>
      <c r="CP360" s="433">
        <f t="shared" si="86"/>
        <v>27.170999999999999</v>
      </c>
      <c r="CQ360" s="433">
        <f t="shared" si="87"/>
        <v>9.0359999999999996</v>
      </c>
      <c r="CR360" s="433">
        <f t="shared" si="88"/>
        <v>0.79200000000000004</v>
      </c>
      <c r="CS360" s="433">
        <f t="shared" si="89"/>
        <v>0</v>
      </c>
      <c r="CT360" s="21"/>
    </row>
    <row r="361" spans="3:98">
      <c r="C361" s="417" t="s">
        <v>453</v>
      </c>
      <c r="D361" s="416">
        <v>0</v>
      </c>
      <c r="E361" s="416">
        <v>0</v>
      </c>
      <c r="F361" s="416">
        <v>0</v>
      </c>
      <c r="G361" s="416">
        <v>0</v>
      </c>
      <c r="H361" s="416">
        <v>0</v>
      </c>
      <c r="I361" s="416">
        <v>0</v>
      </c>
      <c r="J361" s="416">
        <v>0</v>
      </c>
      <c r="K361" s="416">
        <v>0</v>
      </c>
      <c r="L361" s="416">
        <v>0</v>
      </c>
      <c r="M361" s="416">
        <v>0</v>
      </c>
      <c r="N361" s="416">
        <v>0</v>
      </c>
      <c r="O361" s="416">
        <v>0</v>
      </c>
      <c r="P361" s="416">
        <v>0</v>
      </c>
      <c r="Q361" s="416">
        <v>0</v>
      </c>
      <c r="R361" s="416">
        <v>0</v>
      </c>
      <c r="S361" s="416">
        <v>0</v>
      </c>
      <c r="T361" s="416">
        <v>0</v>
      </c>
      <c r="U361" s="416">
        <v>0</v>
      </c>
      <c r="V361" s="416">
        <v>0</v>
      </c>
      <c r="W361" s="416">
        <v>0</v>
      </c>
      <c r="X361" s="416">
        <v>0</v>
      </c>
      <c r="Y361" s="416">
        <v>0</v>
      </c>
      <c r="Z361" s="416">
        <v>0</v>
      </c>
      <c r="AA361" s="416">
        <v>0</v>
      </c>
      <c r="AB361" s="416">
        <v>0</v>
      </c>
      <c r="AC361" s="416">
        <v>0</v>
      </c>
      <c r="AD361" s="416">
        <v>0</v>
      </c>
      <c r="AE361" s="416">
        <v>0</v>
      </c>
      <c r="AF361" s="416">
        <v>0</v>
      </c>
      <c r="AG361" s="416">
        <v>0</v>
      </c>
      <c r="AH361" s="416">
        <v>0</v>
      </c>
      <c r="AI361" s="416">
        <v>0</v>
      </c>
      <c r="AJ361" s="416">
        <v>0</v>
      </c>
      <c r="AK361" s="416">
        <v>0</v>
      </c>
      <c r="AL361" s="416">
        <v>0</v>
      </c>
      <c r="AM361" s="416">
        <v>0</v>
      </c>
      <c r="AN361" s="416">
        <v>0</v>
      </c>
      <c r="AO361" s="416">
        <v>0</v>
      </c>
      <c r="AP361" s="416">
        <v>0</v>
      </c>
      <c r="AQ361" s="416">
        <v>0</v>
      </c>
      <c r="AR361" s="416">
        <v>0</v>
      </c>
      <c r="AS361" s="416">
        <v>0</v>
      </c>
      <c r="AT361" s="416">
        <v>0</v>
      </c>
      <c r="AU361" s="416">
        <v>0</v>
      </c>
      <c r="AV361" s="416">
        <v>0</v>
      </c>
      <c r="AW361" s="416">
        <v>0</v>
      </c>
      <c r="AX361" s="416">
        <v>0</v>
      </c>
      <c r="AY361" s="416">
        <v>0</v>
      </c>
      <c r="AZ361" s="416">
        <v>0</v>
      </c>
      <c r="BA361" s="416">
        <v>0</v>
      </c>
      <c r="BB361" s="416">
        <v>0</v>
      </c>
      <c r="BC361" s="416">
        <v>0</v>
      </c>
      <c r="BD361" s="416">
        <v>0</v>
      </c>
      <c r="BE361" s="416">
        <v>0</v>
      </c>
      <c r="BF361" s="416">
        <v>0</v>
      </c>
      <c r="BG361" s="416">
        <v>0</v>
      </c>
      <c r="BH361" s="416">
        <v>0</v>
      </c>
      <c r="BI361" s="416">
        <v>0</v>
      </c>
      <c r="BJ361" s="416">
        <v>6.5970000000000004</v>
      </c>
      <c r="BK361" s="416">
        <v>6.5970000000000004</v>
      </c>
      <c r="BL361" s="416">
        <v>0</v>
      </c>
      <c r="BM361" s="416">
        <v>0</v>
      </c>
      <c r="BN361" s="416">
        <v>0</v>
      </c>
      <c r="BO361" s="416">
        <v>0.79200000000000004</v>
      </c>
      <c r="BP361" s="416">
        <v>0.79200000000000004</v>
      </c>
      <c r="BQ361" s="416">
        <v>0</v>
      </c>
      <c r="BR361" s="416">
        <v>0</v>
      </c>
      <c r="BS361" s="416">
        <v>0</v>
      </c>
      <c r="BT361" s="416">
        <v>0</v>
      </c>
      <c r="BU361" s="416">
        <v>0</v>
      </c>
      <c r="BV361" s="416">
        <v>0</v>
      </c>
      <c r="BW361" s="416">
        <v>0</v>
      </c>
      <c r="BX361" s="416">
        <v>0</v>
      </c>
      <c r="BY361" s="416">
        <v>0</v>
      </c>
      <c r="BZ361" s="416">
        <v>0</v>
      </c>
      <c r="CC361" s="21"/>
      <c r="CD361" s="417" t="s">
        <v>453</v>
      </c>
      <c r="CE361" s="433">
        <f t="shared" si="75"/>
        <v>0</v>
      </c>
      <c r="CF361" s="433">
        <f t="shared" si="76"/>
        <v>0</v>
      </c>
      <c r="CG361" s="433">
        <f t="shared" si="77"/>
        <v>0</v>
      </c>
      <c r="CH361" s="433">
        <f t="shared" si="78"/>
        <v>0</v>
      </c>
      <c r="CI361" s="433">
        <f t="shared" si="79"/>
        <v>0</v>
      </c>
      <c r="CJ361" s="433">
        <f t="shared" si="80"/>
        <v>0</v>
      </c>
      <c r="CK361" s="433">
        <f t="shared" si="81"/>
        <v>0</v>
      </c>
      <c r="CL361" s="433">
        <f t="shared" si="82"/>
        <v>0</v>
      </c>
      <c r="CM361" s="433">
        <f t="shared" si="83"/>
        <v>0</v>
      </c>
      <c r="CN361" s="433">
        <f t="shared" si="84"/>
        <v>0</v>
      </c>
      <c r="CO361" s="433">
        <f t="shared" si="85"/>
        <v>0</v>
      </c>
      <c r="CP361" s="433">
        <f t="shared" si="86"/>
        <v>6.5970000000000004</v>
      </c>
      <c r="CQ361" s="433">
        <f t="shared" si="87"/>
        <v>0.79200000000000004</v>
      </c>
      <c r="CR361" s="433">
        <f t="shared" si="88"/>
        <v>0</v>
      </c>
      <c r="CS361" s="433">
        <f t="shared" si="89"/>
        <v>0</v>
      </c>
      <c r="CT361" s="21"/>
    </row>
    <row r="362" spans="3:98">
      <c r="C362" s="417" t="s">
        <v>767</v>
      </c>
      <c r="D362" s="416">
        <v>0</v>
      </c>
      <c r="E362" s="416">
        <v>0</v>
      </c>
      <c r="F362" s="416">
        <v>0</v>
      </c>
      <c r="G362" s="416">
        <v>0</v>
      </c>
      <c r="H362" s="416">
        <v>0</v>
      </c>
      <c r="I362" s="416">
        <v>0</v>
      </c>
      <c r="J362" s="416">
        <v>0</v>
      </c>
      <c r="K362" s="416">
        <v>0</v>
      </c>
      <c r="L362" s="416">
        <v>0</v>
      </c>
      <c r="M362" s="416">
        <v>0</v>
      </c>
      <c r="N362" s="416">
        <v>0</v>
      </c>
      <c r="O362" s="416">
        <v>0</v>
      </c>
      <c r="P362" s="416">
        <v>0</v>
      </c>
      <c r="Q362" s="416">
        <v>0</v>
      </c>
      <c r="R362" s="416">
        <v>0</v>
      </c>
      <c r="S362" s="416">
        <v>0</v>
      </c>
      <c r="T362" s="416">
        <v>0</v>
      </c>
      <c r="U362" s="416">
        <v>0</v>
      </c>
      <c r="V362" s="416">
        <v>0</v>
      </c>
      <c r="W362" s="416">
        <v>0</v>
      </c>
      <c r="X362" s="416">
        <v>0</v>
      </c>
      <c r="Y362" s="416">
        <v>0</v>
      </c>
      <c r="Z362" s="416">
        <v>0</v>
      </c>
      <c r="AA362" s="416">
        <v>0</v>
      </c>
      <c r="AB362" s="416">
        <v>0</v>
      </c>
      <c r="AC362" s="416">
        <v>0</v>
      </c>
      <c r="AD362" s="416">
        <v>0</v>
      </c>
      <c r="AE362" s="416">
        <v>0</v>
      </c>
      <c r="AF362" s="416">
        <v>0</v>
      </c>
      <c r="AG362" s="416">
        <v>0</v>
      </c>
      <c r="AH362" s="416">
        <v>0</v>
      </c>
      <c r="AI362" s="416">
        <v>0</v>
      </c>
      <c r="AJ362" s="416">
        <v>0</v>
      </c>
      <c r="AK362" s="416">
        <v>0</v>
      </c>
      <c r="AL362" s="416">
        <v>0</v>
      </c>
      <c r="AM362" s="416">
        <v>0</v>
      </c>
      <c r="AN362" s="416">
        <v>0</v>
      </c>
      <c r="AO362" s="416">
        <v>0</v>
      </c>
      <c r="AP362" s="416">
        <v>0</v>
      </c>
      <c r="AQ362" s="416">
        <v>0</v>
      </c>
      <c r="AR362" s="416">
        <v>0</v>
      </c>
      <c r="AS362" s="416">
        <v>0</v>
      </c>
      <c r="AT362" s="416">
        <v>0</v>
      </c>
      <c r="AU362" s="416">
        <v>0</v>
      </c>
      <c r="AV362" s="416">
        <v>0</v>
      </c>
      <c r="AW362" s="416">
        <v>0</v>
      </c>
      <c r="AX362" s="416">
        <v>0</v>
      </c>
      <c r="AY362" s="416">
        <v>0</v>
      </c>
      <c r="AZ362" s="416">
        <v>0</v>
      </c>
      <c r="BA362" s="416">
        <v>0</v>
      </c>
      <c r="BB362" s="416">
        <v>0</v>
      </c>
      <c r="BC362" s="416">
        <v>0</v>
      </c>
      <c r="BD362" s="416">
        <v>0</v>
      </c>
      <c r="BE362" s="416">
        <v>0</v>
      </c>
      <c r="BF362" s="416">
        <v>0</v>
      </c>
      <c r="BG362" s="416">
        <v>0</v>
      </c>
      <c r="BH362" s="416">
        <v>0</v>
      </c>
      <c r="BI362" s="416">
        <v>0</v>
      </c>
      <c r="BJ362" s="416">
        <v>0.79200000000000004</v>
      </c>
      <c r="BK362" s="416">
        <v>0.79200000000000004</v>
      </c>
      <c r="BL362" s="416">
        <v>0</v>
      </c>
      <c r="BM362" s="416">
        <v>0</v>
      </c>
      <c r="BN362" s="416">
        <v>0</v>
      </c>
      <c r="BO362" s="416">
        <v>0</v>
      </c>
      <c r="BP362" s="416">
        <v>0</v>
      </c>
      <c r="BQ362" s="416">
        <v>0</v>
      </c>
      <c r="BR362" s="416">
        <v>0</v>
      </c>
      <c r="BS362" s="416">
        <v>0</v>
      </c>
      <c r="BT362" s="416">
        <v>0</v>
      </c>
      <c r="BU362" s="416">
        <v>0</v>
      </c>
      <c r="BV362" s="416">
        <v>0</v>
      </c>
      <c r="BW362" s="416">
        <v>0</v>
      </c>
      <c r="BX362" s="416">
        <v>0</v>
      </c>
      <c r="BY362" s="416">
        <v>0</v>
      </c>
      <c r="BZ362" s="416">
        <v>0</v>
      </c>
      <c r="CC362" s="21"/>
      <c r="CD362" s="417" t="s">
        <v>767</v>
      </c>
      <c r="CE362" s="433">
        <f t="shared" si="75"/>
        <v>0</v>
      </c>
      <c r="CF362" s="433">
        <f t="shared" si="76"/>
        <v>0</v>
      </c>
      <c r="CG362" s="433">
        <f t="shared" si="77"/>
        <v>0</v>
      </c>
      <c r="CH362" s="433">
        <f t="shared" si="78"/>
        <v>0</v>
      </c>
      <c r="CI362" s="433">
        <f t="shared" si="79"/>
        <v>0</v>
      </c>
      <c r="CJ362" s="433">
        <f t="shared" si="80"/>
        <v>0</v>
      </c>
      <c r="CK362" s="433">
        <f t="shared" si="81"/>
        <v>0</v>
      </c>
      <c r="CL362" s="433">
        <f t="shared" si="82"/>
        <v>0</v>
      </c>
      <c r="CM362" s="433">
        <f t="shared" si="83"/>
        <v>0</v>
      </c>
      <c r="CN362" s="433">
        <f t="shared" si="84"/>
        <v>0</v>
      </c>
      <c r="CO362" s="433">
        <f t="shared" si="85"/>
        <v>0</v>
      </c>
      <c r="CP362" s="433">
        <f t="shared" si="86"/>
        <v>0.79200000000000004</v>
      </c>
      <c r="CQ362" s="433">
        <f t="shared" si="87"/>
        <v>0</v>
      </c>
      <c r="CR362" s="433">
        <f t="shared" si="88"/>
        <v>0</v>
      </c>
      <c r="CS362" s="433">
        <f t="shared" si="89"/>
        <v>0</v>
      </c>
      <c r="CT362" s="21"/>
    </row>
    <row r="363" spans="3:98">
      <c r="C363" s="417" t="s">
        <v>766</v>
      </c>
      <c r="D363" s="416">
        <v>0</v>
      </c>
      <c r="E363" s="416">
        <v>0</v>
      </c>
      <c r="F363" s="416">
        <v>0</v>
      </c>
      <c r="G363" s="416">
        <v>0</v>
      </c>
      <c r="H363" s="416">
        <v>0</v>
      </c>
      <c r="I363" s="416">
        <v>0</v>
      </c>
      <c r="J363" s="416">
        <v>0</v>
      </c>
      <c r="K363" s="416">
        <v>0</v>
      </c>
      <c r="L363" s="416">
        <v>0</v>
      </c>
      <c r="M363" s="416">
        <v>0</v>
      </c>
      <c r="N363" s="416">
        <v>0</v>
      </c>
      <c r="O363" s="416">
        <v>0</v>
      </c>
      <c r="P363" s="416">
        <v>0</v>
      </c>
      <c r="Q363" s="416">
        <v>0</v>
      </c>
      <c r="R363" s="416">
        <v>0</v>
      </c>
      <c r="S363" s="416">
        <v>0</v>
      </c>
      <c r="T363" s="416">
        <v>0</v>
      </c>
      <c r="U363" s="416">
        <v>0</v>
      </c>
      <c r="V363" s="416">
        <v>0</v>
      </c>
      <c r="W363" s="416">
        <v>0</v>
      </c>
      <c r="X363" s="416">
        <v>0</v>
      </c>
      <c r="Y363" s="416">
        <v>0</v>
      </c>
      <c r="Z363" s="416">
        <v>0</v>
      </c>
      <c r="AA363" s="416">
        <v>0</v>
      </c>
      <c r="AB363" s="416">
        <v>0</v>
      </c>
      <c r="AC363" s="416">
        <v>0</v>
      </c>
      <c r="AD363" s="416">
        <v>0</v>
      </c>
      <c r="AE363" s="416">
        <v>0</v>
      </c>
      <c r="AF363" s="416">
        <v>0</v>
      </c>
      <c r="AG363" s="416">
        <v>0</v>
      </c>
      <c r="AH363" s="416">
        <v>0</v>
      </c>
      <c r="AI363" s="416">
        <v>0</v>
      </c>
      <c r="AJ363" s="416">
        <v>0</v>
      </c>
      <c r="AK363" s="416">
        <v>0</v>
      </c>
      <c r="AL363" s="416">
        <v>0</v>
      </c>
      <c r="AM363" s="416">
        <v>0</v>
      </c>
      <c r="AN363" s="416">
        <v>0</v>
      </c>
      <c r="AO363" s="416">
        <v>0</v>
      </c>
      <c r="AP363" s="416">
        <v>0</v>
      </c>
      <c r="AQ363" s="416">
        <v>0</v>
      </c>
      <c r="AR363" s="416">
        <v>0</v>
      </c>
      <c r="AS363" s="416">
        <v>0</v>
      </c>
      <c r="AT363" s="416">
        <v>0</v>
      </c>
      <c r="AU363" s="416">
        <v>0</v>
      </c>
      <c r="AV363" s="416">
        <v>0</v>
      </c>
      <c r="AW363" s="416">
        <v>0</v>
      </c>
      <c r="AX363" s="416">
        <v>0</v>
      </c>
      <c r="AY363" s="416">
        <v>0</v>
      </c>
      <c r="AZ363" s="416">
        <v>0</v>
      </c>
      <c r="BA363" s="416">
        <v>0</v>
      </c>
      <c r="BB363" s="416">
        <v>0</v>
      </c>
      <c r="BC363" s="416">
        <v>0</v>
      </c>
      <c r="BD363" s="416">
        <v>0</v>
      </c>
      <c r="BE363" s="416">
        <v>0</v>
      </c>
      <c r="BF363" s="416">
        <v>0</v>
      </c>
      <c r="BG363" s="416">
        <v>0</v>
      </c>
      <c r="BH363" s="416">
        <v>0</v>
      </c>
      <c r="BI363" s="416">
        <v>0</v>
      </c>
      <c r="BJ363" s="416">
        <v>-10.648999999999999</v>
      </c>
      <c r="BK363" s="416">
        <v>-10.648999999999999</v>
      </c>
      <c r="BL363" s="416">
        <v>0</v>
      </c>
      <c r="BM363" s="416">
        <v>0</v>
      </c>
      <c r="BN363" s="416">
        <v>0</v>
      </c>
      <c r="BO363" s="416">
        <v>-7.548</v>
      </c>
      <c r="BP363" s="416">
        <v>-7.548</v>
      </c>
      <c r="BQ363" s="416">
        <v>0</v>
      </c>
      <c r="BR363" s="416">
        <v>0</v>
      </c>
      <c r="BS363" s="416">
        <v>0</v>
      </c>
      <c r="BT363" s="416">
        <v>-3.7</v>
      </c>
      <c r="BU363" s="416">
        <v>-3.7</v>
      </c>
      <c r="BV363" s="416">
        <v>0</v>
      </c>
      <c r="BW363" s="416">
        <v>0</v>
      </c>
      <c r="BX363" s="416">
        <v>0</v>
      </c>
      <c r="BY363" s="416">
        <v>0</v>
      </c>
      <c r="BZ363" s="416">
        <v>0</v>
      </c>
      <c r="CC363" s="21"/>
      <c r="CD363" s="417" t="s">
        <v>766</v>
      </c>
      <c r="CE363" s="433">
        <f t="shared" si="75"/>
        <v>0</v>
      </c>
      <c r="CF363" s="433">
        <f t="shared" si="76"/>
        <v>0</v>
      </c>
      <c r="CG363" s="433">
        <f t="shared" si="77"/>
        <v>0</v>
      </c>
      <c r="CH363" s="433">
        <f t="shared" si="78"/>
        <v>0</v>
      </c>
      <c r="CI363" s="433">
        <f t="shared" si="79"/>
        <v>0</v>
      </c>
      <c r="CJ363" s="433">
        <f t="shared" si="80"/>
        <v>0</v>
      </c>
      <c r="CK363" s="433">
        <f t="shared" si="81"/>
        <v>0</v>
      </c>
      <c r="CL363" s="433">
        <f t="shared" si="82"/>
        <v>0</v>
      </c>
      <c r="CM363" s="433">
        <f t="shared" si="83"/>
        <v>0</v>
      </c>
      <c r="CN363" s="433">
        <f t="shared" si="84"/>
        <v>0</v>
      </c>
      <c r="CO363" s="433">
        <f t="shared" si="85"/>
        <v>0</v>
      </c>
      <c r="CP363" s="433">
        <f t="shared" si="86"/>
        <v>-10.648999999999999</v>
      </c>
      <c r="CQ363" s="433">
        <f t="shared" si="87"/>
        <v>-7.548</v>
      </c>
      <c r="CR363" s="433">
        <f t="shared" si="88"/>
        <v>-3.7</v>
      </c>
      <c r="CS363" s="433">
        <f t="shared" si="89"/>
        <v>0</v>
      </c>
      <c r="CT363" s="21"/>
    </row>
    <row r="364" spans="3:98" ht="15">
      <c r="C364" s="421" t="s">
        <v>765</v>
      </c>
      <c r="D364" s="422">
        <v>0</v>
      </c>
      <c r="E364" s="422">
        <v>0</v>
      </c>
      <c r="F364" s="422">
        <v>0</v>
      </c>
      <c r="G364" s="422">
        <v>0</v>
      </c>
      <c r="H364" s="422">
        <v>0</v>
      </c>
      <c r="I364" s="422">
        <v>0</v>
      </c>
      <c r="J364" s="422">
        <v>0</v>
      </c>
      <c r="K364" s="422">
        <v>0</v>
      </c>
      <c r="L364" s="422">
        <v>0</v>
      </c>
      <c r="M364" s="422">
        <v>0</v>
      </c>
      <c r="N364" s="422">
        <v>0</v>
      </c>
      <c r="O364" s="422">
        <v>0</v>
      </c>
      <c r="P364" s="422">
        <v>0</v>
      </c>
      <c r="Q364" s="422">
        <v>0</v>
      </c>
      <c r="R364" s="422">
        <v>0</v>
      </c>
      <c r="S364" s="422">
        <v>0</v>
      </c>
      <c r="T364" s="422">
        <v>0</v>
      </c>
      <c r="U364" s="422">
        <v>0</v>
      </c>
      <c r="V364" s="422">
        <v>0</v>
      </c>
      <c r="W364" s="422">
        <v>0</v>
      </c>
      <c r="X364" s="422">
        <v>0</v>
      </c>
      <c r="Y364" s="422">
        <v>0</v>
      </c>
      <c r="Z364" s="422">
        <v>0</v>
      </c>
      <c r="AA364" s="422">
        <v>0</v>
      </c>
      <c r="AB364" s="422">
        <v>0</v>
      </c>
      <c r="AC364" s="422">
        <v>0</v>
      </c>
      <c r="AD364" s="422">
        <v>0</v>
      </c>
      <c r="AE364" s="422">
        <v>0</v>
      </c>
      <c r="AF364" s="422">
        <v>0</v>
      </c>
      <c r="AG364" s="422">
        <v>0</v>
      </c>
      <c r="AH364" s="422">
        <v>0</v>
      </c>
      <c r="AI364" s="422">
        <v>0</v>
      </c>
      <c r="AJ364" s="422">
        <v>0</v>
      </c>
      <c r="AK364" s="422">
        <v>0</v>
      </c>
      <c r="AL364" s="422">
        <v>0</v>
      </c>
      <c r="AM364" s="422">
        <v>0</v>
      </c>
      <c r="AN364" s="422">
        <v>0</v>
      </c>
      <c r="AO364" s="422">
        <v>0</v>
      </c>
      <c r="AP364" s="422">
        <v>0</v>
      </c>
      <c r="AQ364" s="422">
        <v>0</v>
      </c>
      <c r="AR364" s="422">
        <v>0</v>
      </c>
      <c r="AS364" s="422">
        <v>0</v>
      </c>
      <c r="AT364" s="422">
        <v>0</v>
      </c>
      <c r="AU364" s="422">
        <v>0</v>
      </c>
      <c r="AV364" s="422">
        <v>0</v>
      </c>
      <c r="AW364" s="422">
        <v>0</v>
      </c>
      <c r="AX364" s="422">
        <v>0</v>
      </c>
      <c r="AY364" s="422">
        <v>0</v>
      </c>
      <c r="AZ364" s="422">
        <v>0</v>
      </c>
      <c r="BA364" s="422">
        <v>0</v>
      </c>
      <c r="BB364" s="422">
        <v>0</v>
      </c>
      <c r="BC364" s="422">
        <v>0</v>
      </c>
      <c r="BD364" s="422">
        <v>0</v>
      </c>
      <c r="BE364" s="422">
        <v>0</v>
      </c>
      <c r="BF364" s="422">
        <v>0</v>
      </c>
      <c r="BG364" s="422">
        <v>0</v>
      </c>
      <c r="BH364" s="422">
        <v>0</v>
      </c>
      <c r="BI364" s="422">
        <v>0</v>
      </c>
      <c r="BJ364" s="422">
        <v>200.95699999999999</v>
      </c>
      <c r="BK364" s="422">
        <v>200.95699999999999</v>
      </c>
      <c r="BL364" s="422">
        <v>0</v>
      </c>
      <c r="BM364" s="422">
        <v>0</v>
      </c>
      <c r="BN364" s="422">
        <v>0</v>
      </c>
      <c r="BO364" s="422">
        <v>106.444</v>
      </c>
      <c r="BP364" s="422">
        <v>106.444</v>
      </c>
      <c r="BQ364" s="422">
        <v>0</v>
      </c>
      <c r="BR364" s="422">
        <v>0</v>
      </c>
      <c r="BS364" s="422">
        <v>0</v>
      </c>
      <c r="BT364" s="422">
        <v>75.778000000000006</v>
      </c>
      <c r="BU364" s="422">
        <v>75.778000000000006</v>
      </c>
      <c r="BV364" s="422">
        <v>0</v>
      </c>
      <c r="BW364" s="422">
        <v>0</v>
      </c>
      <c r="BX364" s="422">
        <v>0</v>
      </c>
      <c r="BY364" s="422">
        <v>0</v>
      </c>
      <c r="BZ364" s="422">
        <v>0</v>
      </c>
      <c r="CC364" s="21"/>
      <c r="CD364" s="421" t="s">
        <v>765</v>
      </c>
      <c r="CE364" s="436">
        <f t="shared" si="75"/>
        <v>0</v>
      </c>
      <c r="CF364" s="436">
        <f t="shared" si="76"/>
        <v>0</v>
      </c>
      <c r="CG364" s="436">
        <f t="shared" si="77"/>
        <v>0</v>
      </c>
      <c r="CH364" s="436">
        <f t="shared" si="78"/>
        <v>0</v>
      </c>
      <c r="CI364" s="436">
        <f t="shared" si="79"/>
        <v>0</v>
      </c>
      <c r="CJ364" s="436">
        <f t="shared" si="80"/>
        <v>0</v>
      </c>
      <c r="CK364" s="436">
        <f t="shared" si="81"/>
        <v>0</v>
      </c>
      <c r="CL364" s="436">
        <f t="shared" si="82"/>
        <v>0</v>
      </c>
      <c r="CM364" s="436">
        <f t="shared" si="83"/>
        <v>0</v>
      </c>
      <c r="CN364" s="436">
        <f t="shared" si="84"/>
        <v>0</v>
      </c>
      <c r="CO364" s="436">
        <f t="shared" si="85"/>
        <v>0</v>
      </c>
      <c r="CP364" s="436">
        <f t="shared" si="86"/>
        <v>200.95699999999999</v>
      </c>
      <c r="CQ364" s="436">
        <f t="shared" si="87"/>
        <v>106.444</v>
      </c>
      <c r="CR364" s="436">
        <f t="shared" si="88"/>
        <v>75.778000000000006</v>
      </c>
      <c r="CS364" s="436">
        <f t="shared" si="89"/>
        <v>0</v>
      </c>
      <c r="CT364" s="21"/>
    </row>
    <row r="365" spans="3:98">
      <c r="CC365" s="21"/>
      <c r="CD365" s="443"/>
      <c r="CE365" s="21"/>
      <c r="CF365" s="21"/>
      <c r="CG365" s="21"/>
      <c r="CH365" s="21"/>
      <c r="CI365" s="21"/>
      <c r="CJ365" s="21"/>
      <c r="CK365" s="21"/>
      <c r="CL365" s="21"/>
      <c r="CM365" s="21"/>
      <c r="CN365" s="21"/>
      <c r="CO365" s="21"/>
      <c r="CP365" s="21"/>
      <c r="CQ365" s="21"/>
      <c r="CR365" s="21"/>
      <c r="CS365" s="21"/>
      <c r="CT365" s="21"/>
    </row>
    <row r="366" spans="3:98">
      <c r="CC366" s="21"/>
      <c r="CD366" s="443"/>
      <c r="CE366" s="21"/>
      <c r="CF366" s="21"/>
      <c r="CG366" s="21"/>
      <c r="CH366" s="21"/>
      <c r="CI366" s="21"/>
      <c r="CJ366" s="21"/>
      <c r="CK366" s="21"/>
      <c r="CL366" s="21"/>
      <c r="CM366" s="21"/>
      <c r="CN366" s="21"/>
      <c r="CO366" s="21"/>
      <c r="CP366" s="21"/>
      <c r="CQ366" s="21"/>
      <c r="CR366" s="21"/>
      <c r="CS366" s="21"/>
      <c r="CT366" s="21"/>
    </row>
    <row r="367" spans="3:98">
      <c r="CC367" s="21"/>
      <c r="CD367" s="443"/>
      <c r="CE367" s="21"/>
      <c r="CF367" s="21"/>
      <c r="CG367" s="21"/>
      <c r="CH367" s="21"/>
      <c r="CI367" s="21"/>
      <c r="CJ367" s="21"/>
      <c r="CK367" s="21"/>
      <c r="CL367" s="21"/>
      <c r="CM367" s="21"/>
      <c r="CN367" s="21"/>
      <c r="CO367" s="21"/>
      <c r="CP367" s="21"/>
      <c r="CQ367" s="21"/>
      <c r="CR367" s="21"/>
      <c r="CS367" s="21"/>
      <c r="CT367" s="21"/>
    </row>
    <row r="368" spans="3:98">
      <c r="CC368" s="21"/>
      <c r="CD368" s="21"/>
      <c r="CE368" s="21"/>
      <c r="CF368" s="21"/>
      <c r="CG368" s="21"/>
      <c r="CH368" s="21"/>
      <c r="CI368" s="21"/>
      <c r="CJ368" s="21"/>
      <c r="CK368" s="21"/>
      <c r="CL368" s="21"/>
      <c r="CM368" s="21"/>
      <c r="CN368" s="21"/>
      <c r="CO368" s="21"/>
      <c r="CP368" s="21"/>
      <c r="CQ368" s="21"/>
      <c r="CR368" s="21"/>
      <c r="CS368" s="21"/>
      <c r="CT368" s="21"/>
    </row>
    <row r="369" spans="81:98">
      <c r="CC369" s="21"/>
      <c r="CD369" s="21"/>
      <c r="CE369" s="21"/>
      <c r="CF369" s="21"/>
      <c r="CG369" s="21"/>
      <c r="CH369" s="21"/>
      <c r="CI369" s="21"/>
      <c r="CJ369" s="21"/>
      <c r="CK369" s="21"/>
      <c r="CL369" s="21"/>
      <c r="CM369" s="21"/>
      <c r="CN369" s="21"/>
      <c r="CO369" s="21"/>
      <c r="CP369" s="21"/>
      <c r="CQ369" s="21"/>
      <c r="CR369" s="21"/>
      <c r="CS369" s="21"/>
      <c r="CT369" s="21"/>
    </row>
    <row r="370" spans="81:98">
      <c r="CC370" s="21"/>
      <c r="CD370" s="21"/>
      <c r="CE370" s="21"/>
      <c r="CF370" s="21"/>
      <c r="CG370" s="21"/>
      <c r="CH370" s="21"/>
      <c r="CI370" s="21"/>
      <c r="CJ370" s="21"/>
      <c r="CK370" s="21"/>
      <c r="CL370" s="21"/>
      <c r="CM370" s="21"/>
      <c r="CN370" s="21"/>
      <c r="CO370" s="21"/>
      <c r="CP370" s="21"/>
      <c r="CQ370" s="21"/>
      <c r="CR370" s="21"/>
      <c r="CS370" s="21"/>
      <c r="CT370" s="21"/>
    </row>
    <row r="371" spans="81:98">
      <c r="CC371" s="21"/>
      <c r="CD371" s="21"/>
      <c r="CE371" s="21"/>
      <c r="CF371" s="21"/>
      <c r="CG371" s="21"/>
      <c r="CH371" s="21"/>
      <c r="CI371" s="21"/>
      <c r="CJ371" s="21"/>
      <c r="CK371" s="21"/>
      <c r="CL371" s="21"/>
      <c r="CM371" s="21"/>
      <c r="CN371" s="21"/>
      <c r="CO371" s="21"/>
      <c r="CP371" s="21"/>
      <c r="CQ371" s="21"/>
      <c r="CR371" s="21"/>
      <c r="CS371" s="21"/>
      <c r="CT371" s="21"/>
    </row>
    <row r="372" spans="81:98">
      <c r="CC372" s="21"/>
      <c r="CD372" s="21"/>
      <c r="CE372" s="21"/>
      <c r="CF372" s="21"/>
      <c r="CG372" s="21"/>
      <c r="CH372" s="21"/>
      <c r="CI372" s="21"/>
      <c r="CJ372" s="21"/>
      <c r="CK372" s="21"/>
      <c r="CL372" s="21"/>
      <c r="CM372" s="21"/>
      <c r="CN372" s="21"/>
      <c r="CO372" s="21"/>
      <c r="CP372" s="21"/>
      <c r="CQ372" s="21"/>
      <c r="CR372" s="21"/>
      <c r="CS372" s="21"/>
      <c r="CT372" s="21"/>
    </row>
    <row r="373" spans="81:98">
      <c r="CC373" s="21"/>
      <c r="CD373" s="21"/>
      <c r="CE373" s="21"/>
      <c r="CF373" s="21"/>
      <c r="CG373" s="21"/>
      <c r="CH373" s="21"/>
      <c r="CI373" s="21"/>
      <c r="CJ373" s="21"/>
      <c r="CK373" s="21"/>
      <c r="CL373" s="21"/>
      <c r="CM373" s="21"/>
      <c r="CN373" s="21"/>
      <c r="CO373" s="21"/>
      <c r="CP373" s="21"/>
      <c r="CQ373" s="21"/>
      <c r="CR373" s="21"/>
      <c r="CS373" s="21"/>
      <c r="CT373" s="21"/>
    </row>
    <row r="374" spans="81:98">
      <c r="CC374" s="21"/>
      <c r="CD374" s="21"/>
      <c r="CE374" s="21"/>
      <c r="CF374" s="21"/>
      <c r="CG374" s="21"/>
      <c r="CH374" s="21"/>
      <c r="CI374" s="21"/>
      <c r="CJ374" s="21"/>
      <c r="CK374" s="21"/>
      <c r="CL374" s="21"/>
      <c r="CM374" s="21"/>
      <c r="CN374" s="21"/>
      <c r="CO374" s="21"/>
      <c r="CP374" s="21"/>
      <c r="CQ374" s="21"/>
      <c r="CR374" s="21"/>
      <c r="CS374" s="21"/>
      <c r="CT374" s="21"/>
    </row>
    <row r="375" spans="81:98">
      <c r="CC375" s="21"/>
      <c r="CD375" s="21"/>
      <c r="CE375" s="21"/>
      <c r="CF375" s="21"/>
      <c r="CG375" s="21"/>
      <c r="CH375" s="21"/>
      <c r="CI375" s="21"/>
      <c r="CJ375" s="21"/>
      <c r="CK375" s="21"/>
      <c r="CL375" s="21"/>
      <c r="CM375" s="21"/>
      <c r="CN375" s="21"/>
      <c r="CO375" s="21"/>
      <c r="CP375" s="21"/>
      <c r="CQ375" s="21"/>
      <c r="CR375" s="21"/>
      <c r="CS375" s="21"/>
      <c r="CT375" s="21"/>
    </row>
    <row r="376" spans="81:98">
      <c r="CC376" s="21"/>
      <c r="CD376" s="21"/>
      <c r="CE376" s="21"/>
      <c r="CF376" s="21"/>
      <c r="CG376" s="21"/>
      <c r="CH376" s="21"/>
      <c r="CI376" s="21"/>
      <c r="CJ376" s="21"/>
      <c r="CK376" s="21"/>
      <c r="CL376" s="21"/>
      <c r="CM376" s="21"/>
      <c r="CN376" s="21"/>
      <c r="CO376" s="21"/>
      <c r="CP376" s="21"/>
      <c r="CQ376" s="21"/>
      <c r="CR376" s="21"/>
      <c r="CS376" s="21"/>
      <c r="CT376" s="21"/>
    </row>
    <row r="377" spans="81:98">
      <c r="CC377" s="21"/>
      <c r="CD377" s="21"/>
      <c r="CE377" s="21"/>
      <c r="CF377" s="21"/>
      <c r="CG377" s="21"/>
      <c r="CH377" s="21"/>
      <c r="CI377" s="21"/>
      <c r="CJ377" s="21"/>
      <c r="CK377" s="21"/>
      <c r="CL377" s="21"/>
      <c r="CM377" s="21"/>
      <c r="CN377" s="21"/>
      <c r="CO377" s="21"/>
      <c r="CP377" s="21"/>
      <c r="CQ377" s="21"/>
      <c r="CR377" s="21"/>
      <c r="CS377" s="21"/>
      <c r="CT377" s="21"/>
    </row>
    <row r="378" spans="81:98">
      <c r="CC378" s="21"/>
      <c r="CD378" s="21"/>
      <c r="CE378" s="21"/>
      <c r="CF378" s="21"/>
      <c r="CG378" s="21"/>
      <c r="CH378" s="21"/>
      <c r="CI378" s="21"/>
      <c r="CJ378" s="21"/>
      <c r="CK378" s="21"/>
      <c r="CL378" s="21"/>
      <c r="CM378" s="21"/>
      <c r="CN378" s="21"/>
      <c r="CO378" s="21"/>
      <c r="CP378" s="21"/>
      <c r="CQ378" s="21"/>
      <c r="CR378" s="21"/>
      <c r="CS378" s="21"/>
      <c r="CT378" s="21"/>
    </row>
    <row r="379" spans="81:98">
      <c r="CC379" s="21"/>
      <c r="CD379" s="21"/>
      <c r="CE379" s="21"/>
      <c r="CF379" s="21"/>
      <c r="CG379" s="21"/>
      <c r="CH379" s="21"/>
      <c r="CI379" s="21"/>
      <c r="CJ379" s="21"/>
      <c r="CK379" s="21"/>
      <c r="CL379" s="21"/>
      <c r="CM379" s="21"/>
      <c r="CN379" s="21"/>
      <c r="CO379" s="21"/>
      <c r="CP379" s="21"/>
      <c r="CQ379" s="21"/>
      <c r="CR379" s="21"/>
      <c r="CS379" s="21"/>
      <c r="CT379" s="21"/>
    </row>
    <row r="380" spans="81:98">
      <c r="CC380" s="21"/>
      <c r="CD380" s="21"/>
      <c r="CE380" s="21"/>
      <c r="CF380" s="21"/>
      <c r="CG380" s="21"/>
      <c r="CH380" s="21"/>
      <c r="CI380" s="21"/>
      <c r="CJ380" s="21"/>
      <c r="CK380" s="21"/>
      <c r="CL380" s="21"/>
      <c r="CM380" s="21"/>
      <c r="CN380" s="21"/>
      <c r="CO380" s="21"/>
      <c r="CP380" s="21"/>
      <c r="CQ380" s="21"/>
      <c r="CR380" s="21"/>
      <c r="CS380" s="21"/>
      <c r="CT380" s="21"/>
    </row>
    <row r="381" spans="81:98">
      <c r="CC381" s="21"/>
      <c r="CD381" s="21"/>
      <c r="CE381" s="21"/>
      <c r="CF381" s="21"/>
      <c r="CG381" s="21"/>
      <c r="CH381" s="21"/>
      <c r="CI381" s="21"/>
      <c r="CJ381" s="21"/>
      <c r="CK381" s="21"/>
      <c r="CL381" s="21"/>
      <c r="CM381" s="21"/>
      <c r="CN381" s="21"/>
      <c r="CO381" s="21"/>
      <c r="CP381" s="21"/>
      <c r="CQ381" s="21"/>
      <c r="CR381" s="21"/>
      <c r="CS381" s="21"/>
      <c r="CT381" s="21"/>
    </row>
    <row r="382" spans="81:98">
      <c r="CC382" s="21"/>
      <c r="CD382" s="21"/>
      <c r="CE382" s="21"/>
      <c r="CF382" s="21"/>
      <c r="CG382" s="21"/>
      <c r="CH382" s="21"/>
      <c r="CI382" s="21"/>
      <c r="CJ382" s="21"/>
      <c r="CK382" s="21"/>
      <c r="CL382" s="21"/>
      <c r="CM382" s="21"/>
      <c r="CN382" s="21"/>
      <c r="CO382" s="21"/>
      <c r="CP382" s="21"/>
      <c r="CQ382" s="21"/>
      <c r="CR382" s="21"/>
      <c r="CS382" s="21"/>
      <c r="CT382" s="21"/>
    </row>
    <row r="383" spans="81:98">
      <c r="CC383" s="21"/>
      <c r="CD383" s="21"/>
      <c r="CE383" s="21"/>
      <c r="CF383" s="21"/>
      <c r="CG383" s="21"/>
      <c r="CH383" s="21"/>
      <c r="CI383" s="21"/>
      <c r="CJ383" s="21"/>
      <c r="CK383" s="21"/>
      <c r="CL383" s="21"/>
      <c r="CM383" s="21"/>
      <c r="CN383" s="21"/>
      <c r="CO383" s="21"/>
      <c r="CP383" s="21"/>
      <c r="CQ383" s="21"/>
      <c r="CR383" s="21"/>
      <c r="CS383" s="21"/>
      <c r="CT383" s="21"/>
    </row>
    <row r="384" spans="81:98">
      <c r="CC384" s="21"/>
      <c r="CD384" s="21"/>
      <c r="CE384" s="21"/>
      <c r="CF384" s="21"/>
      <c r="CG384" s="21"/>
      <c r="CH384" s="21"/>
      <c r="CI384" s="21"/>
      <c r="CJ384" s="21"/>
      <c r="CK384" s="21"/>
      <c r="CL384" s="21"/>
      <c r="CM384" s="21"/>
      <c r="CN384" s="21"/>
      <c r="CO384" s="21"/>
      <c r="CP384" s="21"/>
      <c r="CQ384" s="21"/>
      <c r="CR384" s="21"/>
      <c r="CS384" s="21"/>
      <c r="CT384" s="21"/>
    </row>
    <row r="385" spans="81:98">
      <c r="CC385" s="21"/>
      <c r="CD385" s="21"/>
      <c r="CE385" s="21"/>
      <c r="CF385" s="21"/>
      <c r="CG385" s="21"/>
      <c r="CH385" s="21"/>
      <c r="CI385" s="21"/>
      <c r="CJ385" s="21"/>
      <c r="CK385" s="21"/>
      <c r="CL385" s="21"/>
      <c r="CM385" s="21"/>
      <c r="CN385" s="21"/>
      <c r="CO385" s="21"/>
      <c r="CP385" s="21"/>
      <c r="CQ385" s="21"/>
      <c r="CR385" s="21"/>
      <c r="CS385" s="21"/>
      <c r="CT385" s="21"/>
    </row>
    <row r="386" spans="81:98">
      <c r="CC386" s="21"/>
      <c r="CD386" s="21"/>
      <c r="CE386" s="21"/>
      <c r="CF386" s="21"/>
      <c r="CG386" s="21"/>
      <c r="CH386" s="21"/>
      <c r="CI386" s="21"/>
      <c r="CJ386" s="21"/>
      <c r="CK386" s="21"/>
      <c r="CL386" s="21"/>
      <c r="CM386" s="21"/>
      <c r="CN386" s="21"/>
      <c r="CO386" s="21"/>
      <c r="CP386" s="21"/>
      <c r="CQ386" s="21"/>
      <c r="CR386" s="21"/>
      <c r="CS386" s="21"/>
      <c r="CT386" s="21"/>
    </row>
    <row r="387" spans="81:98">
      <c r="CC387" s="21"/>
      <c r="CD387" s="21"/>
      <c r="CE387" s="21"/>
      <c r="CF387" s="21"/>
      <c r="CG387" s="21"/>
      <c r="CH387" s="21"/>
      <c r="CI387" s="21"/>
      <c r="CJ387" s="21"/>
      <c r="CK387" s="21"/>
      <c r="CL387" s="21"/>
      <c r="CM387" s="21"/>
      <c r="CN387" s="21"/>
      <c r="CO387" s="21"/>
      <c r="CP387" s="21"/>
      <c r="CQ387" s="21"/>
      <c r="CR387" s="21"/>
      <c r="CS387" s="21"/>
      <c r="CT387" s="21"/>
    </row>
    <row r="388" spans="81:98">
      <c r="CC388" s="21"/>
      <c r="CD388" s="21"/>
      <c r="CE388" s="21"/>
      <c r="CF388" s="21"/>
      <c r="CG388" s="21"/>
      <c r="CH388" s="21"/>
      <c r="CI388" s="21"/>
      <c r="CJ388" s="21"/>
      <c r="CK388" s="21"/>
      <c r="CL388" s="21"/>
      <c r="CM388" s="21"/>
      <c r="CN388" s="21"/>
      <c r="CO388" s="21"/>
      <c r="CP388" s="21"/>
      <c r="CQ388" s="21"/>
      <c r="CR388" s="21"/>
      <c r="CS388" s="21"/>
      <c r="CT388" s="21"/>
    </row>
    <row r="389" spans="81:98">
      <c r="CC389" s="21"/>
      <c r="CD389" s="21"/>
      <c r="CE389" s="21"/>
      <c r="CF389" s="21"/>
      <c r="CG389" s="21"/>
      <c r="CH389" s="21"/>
      <c r="CI389" s="21"/>
      <c r="CJ389" s="21"/>
      <c r="CK389" s="21"/>
      <c r="CL389" s="21"/>
      <c r="CM389" s="21"/>
      <c r="CN389" s="21"/>
      <c r="CO389" s="21"/>
      <c r="CP389" s="21"/>
      <c r="CQ389" s="21"/>
      <c r="CR389" s="21"/>
      <c r="CS389" s="21"/>
      <c r="CT389" s="21"/>
    </row>
    <row r="390" spans="81:98">
      <c r="CC390" s="21"/>
      <c r="CD390" s="21"/>
      <c r="CE390" s="21"/>
      <c r="CF390" s="21"/>
      <c r="CG390" s="21"/>
      <c r="CH390" s="21"/>
      <c r="CI390" s="21"/>
      <c r="CJ390" s="21"/>
      <c r="CK390" s="21"/>
      <c r="CL390" s="21"/>
      <c r="CM390" s="21"/>
      <c r="CN390" s="21"/>
      <c r="CO390" s="21"/>
      <c r="CP390" s="21"/>
      <c r="CQ390" s="21"/>
      <c r="CR390" s="21"/>
      <c r="CS390" s="21"/>
      <c r="CT390" s="21"/>
    </row>
    <row r="391" spans="81:98">
      <c r="CC391" s="21"/>
      <c r="CD391" s="21"/>
      <c r="CE391" s="21"/>
      <c r="CF391" s="21"/>
      <c r="CG391" s="21"/>
      <c r="CH391" s="21"/>
      <c r="CI391" s="21"/>
      <c r="CJ391" s="21"/>
      <c r="CK391" s="21"/>
      <c r="CL391" s="21"/>
      <c r="CM391" s="21"/>
      <c r="CN391" s="21"/>
      <c r="CO391" s="21"/>
      <c r="CP391" s="21"/>
      <c r="CQ391" s="21"/>
      <c r="CR391" s="21"/>
      <c r="CS391" s="21"/>
      <c r="CT391" s="21"/>
    </row>
    <row r="392" spans="81:98">
      <c r="CC392" s="21"/>
      <c r="CD392" s="21"/>
      <c r="CE392" s="21"/>
      <c r="CF392" s="21"/>
      <c r="CG392" s="21"/>
      <c r="CH392" s="21"/>
      <c r="CI392" s="21"/>
      <c r="CJ392" s="21"/>
      <c r="CK392" s="21"/>
      <c r="CL392" s="21"/>
      <c r="CM392" s="21"/>
      <c r="CN392" s="21"/>
      <c r="CO392" s="21"/>
      <c r="CP392" s="21"/>
      <c r="CQ392" s="21"/>
      <c r="CR392" s="21"/>
      <c r="CS392" s="21"/>
      <c r="CT392" s="21"/>
    </row>
    <row r="393" spans="81:98">
      <c r="CC393" s="21"/>
      <c r="CD393" s="21"/>
      <c r="CE393" s="21"/>
      <c r="CF393" s="21"/>
      <c r="CG393" s="21"/>
      <c r="CH393" s="21"/>
      <c r="CI393" s="21"/>
      <c r="CJ393" s="21"/>
      <c r="CK393" s="21"/>
      <c r="CL393" s="21"/>
      <c r="CM393" s="21"/>
      <c r="CN393" s="21"/>
      <c r="CO393" s="21"/>
      <c r="CP393" s="21"/>
      <c r="CQ393" s="21"/>
      <c r="CR393" s="21"/>
      <c r="CS393" s="21"/>
      <c r="CT393" s="21"/>
    </row>
    <row r="394" spans="81:98">
      <c r="CC394" s="21"/>
      <c r="CD394" s="21"/>
      <c r="CE394" s="21"/>
      <c r="CF394" s="21"/>
      <c r="CG394" s="21"/>
      <c r="CH394" s="21"/>
      <c r="CI394" s="21"/>
      <c r="CJ394" s="21"/>
      <c r="CK394" s="21"/>
      <c r="CL394" s="21"/>
      <c r="CM394" s="21"/>
      <c r="CN394" s="21"/>
      <c r="CO394" s="21"/>
      <c r="CP394" s="21"/>
      <c r="CQ394" s="21"/>
      <c r="CR394" s="21"/>
      <c r="CS394" s="21"/>
      <c r="CT394" s="21"/>
    </row>
    <row r="395" spans="81:98">
      <c r="CC395" s="21"/>
      <c r="CD395" s="21"/>
      <c r="CE395" s="21"/>
      <c r="CF395" s="21"/>
      <c r="CG395" s="21"/>
      <c r="CH395" s="21"/>
      <c r="CI395" s="21"/>
      <c r="CJ395" s="21"/>
      <c r="CK395" s="21"/>
      <c r="CL395" s="21"/>
      <c r="CM395" s="21"/>
      <c r="CN395" s="21"/>
      <c r="CO395" s="21"/>
      <c r="CP395" s="21"/>
      <c r="CQ395" s="21"/>
      <c r="CR395" s="21"/>
      <c r="CS395" s="21"/>
      <c r="CT395" s="21"/>
    </row>
    <row r="396" spans="81:98">
      <c r="CC396" s="21"/>
      <c r="CD396" s="21"/>
      <c r="CE396" s="21"/>
      <c r="CF396" s="21"/>
      <c r="CG396" s="21"/>
      <c r="CH396" s="21"/>
      <c r="CI396" s="21"/>
      <c r="CJ396" s="21"/>
      <c r="CK396" s="21"/>
      <c r="CL396" s="21"/>
      <c r="CM396" s="21"/>
      <c r="CN396" s="21"/>
      <c r="CO396" s="21"/>
      <c r="CP396" s="21"/>
      <c r="CQ396" s="21"/>
      <c r="CR396" s="21"/>
      <c r="CS396" s="21"/>
      <c r="CT396" s="21"/>
    </row>
    <row r="397" spans="81:98">
      <c r="CC397" s="21"/>
      <c r="CD397" s="21"/>
      <c r="CE397" s="21"/>
      <c r="CF397" s="21"/>
      <c r="CG397" s="21"/>
      <c r="CH397" s="21"/>
      <c r="CI397" s="21"/>
      <c r="CJ397" s="21"/>
      <c r="CK397" s="21"/>
      <c r="CL397" s="21"/>
      <c r="CM397" s="21"/>
      <c r="CN397" s="21"/>
      <c r="CO397" s="21"/>
      <c r="CP397" s="21"/>
      <c r="CQ397" s="21"/>
      <c r="CR397" s="21"/>
      <c r="CS397" s="21"/>
      <c r="CT397" s="21"/>
    </row>
    <row r="398" spans="81:98">
      <c r="CC398" s="21"/>
      <c r="CD398" s="21"/>
      <c r="CE398" s="21"/>
      <c r="CF398" s="21"/>
      <c r="CG398" s="21"/>
      <c r="CH398" s="21"/>
      <c r="CI398" s="21"/>
      <c r="CJ398" s="21"/>
      <c r="CK398" s="21"/>
      <c r="CL398" s="21"/>
      <c r="CM398" s="21"/>
      <c r="CN398" s="21"/>
      <c r="CO398" s="21"/>
      <c r="CP398" s="21"/>
      <c r="CQ398" s="21"/>
      <c r="CR398" s="21"/>
      <c r="CS398" s="21"/>
      <c r="CT398" s="21"/>
    </row>
    <row r="399" spans="81:98">
      <c r="CC399" s="21"/>
      <c r="CD399" s="21"/>
      <c r="CE399" s="21"/>
      <c r="CF399" s="21"/>
      <c r="CG399" s="21"/>
      <c r="CH399" s="21"/>
      <c r="CI399" s="21"/>
      <c r="CJ399" s="21"/>
      <c r="CK399" s="21"/>
      <c r="CL399" s="21"/>
      <c r="CM399" s="21"/>
      <c r="CN399" s="21"/>
      <c r="CO399" s="21"/>
      <c r="CP399" s="21"/>
      <c r="CQ399" s="21"/>
      <c r="CR399" s="21"/>
      <c r="CS399" s="21"/>
      <c r="CT399" s="21"/>
    </row>
    <row r="400" spans="81:98">
      <c r="CC400" s="21"/>
      <c r="CD400" s="21"/>
      <c r="CE400" s="21"/>
      <c r="CF400" s="21"/>
      <c r="CG400" s="21"/>
      <c r="CH400" s="21"/>
      <c r="CI400" s="21"/>
      <c r="CJ400" s="21"/>
      <c r="CK400" s="21"/>
      <c r="CL400" s="21"/>
      <c r="CM400" s="21"/>
      <c r="CN400" s="21"/>
      <c r="CO400" s="21"/>
      <c r="CP400" s="21"/>
      <c r="CQ400" s="21"/>
      <c r="CR400" s="21"/>
      <c r="CS400" s="21"/>
      <c r="CT400" s="21"/>
    </row>
    <row r="401" spans="81:98">
      <c r="CC401" s="21"/>
      <c r="CD401" s="21"/>
      <c r="CE401" s="21"/>
      <c r="CF401" s="21"/>
      <c r="CG401" s="21"/>
      <c r="CH401" s="21"/>
      <c r="CI401" s="21"/>
      <c r="CJ401" s="21"/>
      <c r="CK401" s="21"/>
      <c r="CL401" s="21"/>
      <c r="CM401" s="21"/>
      <c r="CN401" s="21"/>
      <c r="CO401" s="21"/>
      <c r="CP401" s="21"/>
      <c r="CQ401" s="21"/>
      <c r="CR401" s="21"/>
      <c r="CS401" s="21"/>
      <c r="CT401" s="21"/>
    </row>
    <row r="402" spans="81:98">
      <c r="CC402" s="21"/>
      <c r="CD402" s="21"/>
      <c r="CE402" s="21"/>
      <c r="CF402" s="21"/>
      <c r="CG402" s="21"/>
      <c r="CH402" s="21"/>
      <c r="CI402" s="21"/>
      <c r="CJ402" s="21"/>
      <c r="CK402" s="21"/>
      <c r="CL402" s="21"/>
      <c r="CM402" s="21"/>
      <c r="CN402" s="21"/>
      <c r="CO402" s="21"/>
      <c r="CP402" s="21"/>
      <c r="CQ402" s="21"/>
      <c r="CR402" s="21"/>
      <c r="CS402" s="21"/>
      <c r="CT402" s="21"/>
    </row>
    <row r="403" spans="81:98">
      <c r="CC403" s="21"/>
      <c r="CD403" s="21"/>
      <c r="CE403" s="21"/>
      <c r="CF403" s="21"/>
      <c r="CG403" s="21"/>
      <c r="CH403" s="21"/>
      <c r="CI403" s="21"/>
      <c r="CJ403" s="21"/>
      <c r="CK403" s="21"/>
      <c r="CL403" s="21"/>
      <c r="CM403" s="21"/>
      <c r="CN403" s="21"/>
      <c r="CO403" s="21"/>
      <c r="CP403" s="21"/>
      <c r="CQ403" s="21"/>
      <c r="CR403" s="21"/>
      <c r="CS403" s="21"/>
      <c r="CT403" s="21"/>
    </row>
    <row r="404" spans="81:98">
      <c r="CC404" s="21"/>
      <c r="CD404" s="21"/>
      <c r="CE404" s="21"/>
      <c r="CF404" s="21"/>
      <c r="CG404" s="21"/>
      <c r="CH404" s="21"/>
      <c r="CI404" s="21"/>
      <c r="CJ404" s="21"/>
      <c r="CK404" s="21"/>
      <c r="CL404" s="21"/>
      <c r="CM404" s="21"/>
      <c r="CN404" s="21"/>
      <c r="CO404" s="21"/>
      <c r="CP404" s="21"/>
      <c r="CQ404" s="21"/>
      <c r="CR404" s="21"/>
      <c r="CS404" s="21"/>
      <c r="CT404" s="21"/>
    </row>
    <row r="405" spans="81:98">
      <c r="CC405" s="21"/>
      <c r="CD405" s="21"/>
      <c r="CE405" s="21"/>
      <c r="CF405" s="21"/>
      <c r="CG405" s="21"/>
      <c r="CH405" s="21"/>
      <c r="CI405" s="21"/>
      <c r="CJ405" s="21"/>
      <c r="CK405" s="21"/>
      <c r="CL405" s="21"/>
      <c r="CM405" s="21"/>
      <c r="CN405" s="21"/>
      <c r="CO405" s="21"/>
      <c r="CP405" s="21"/>
      <c r="CQ405" s="21"/>
      <c r="CR405" s="21"/>
      <c r="CS405" s="21"/>
      <c r="CT405" s="21"/>
    </row>
    <row r="406" spans="81:98">
      <c r="CC406" s="21"/>
      <c r="CD406" s="21"/>
      <c r="CE406" s="21"/>
      <c r="CF406" s="21"/>
      <c r="CG406" s="21"/>
      <c r="CH406" s="21"/>
      <c r="CI406" s="21"/>
      <c r="CJ406" s="21"/>
      <c r="CK406" s="21"/>
      <c r="CL406" s="21"/>
      <c r="CM406" s="21"/>
      <c r="CN406" s="21"/>
      <c r="CO406" s="21"/>
      <c r="CP406" s="21"/>
      <c r="CQ406" s="21"/>
      <c r="CR406" s="21"/>
      <c r="CS406" s="21"/>
      <c r="CT406" s="21"/>
    </row>
    <row r="407" spans="81:98">
      <c r="CC407" s="21"/>
      <c r="CD407" s="21"/>
      <c r="CE407" s="21"/>
      <c r="CF407" s="21"/>
      <c r="CG407" s="21"/>
      <c r="CH407" s="21"/>
      <c r="CI407" s="21"/>
      <c r="CJ407" s="21"/>
      <c r="CK407" s="21"/>
      <c r="CL407" s="21"/>
      <c r="CM407" s="21"/>
      <c r="CN407" s="21"/>
      <c r="CO407" s="21"/>
      <c r="CP407" s="21"/>
      <c r="CQ407" s="21"/>
      <c r="CR407" s="21"/>
      <c r="CS407" s="21"/>
      <c r="CT407" s="21"/>
    </row>
    <row r="408" spans="81:98">
      <c r="CC408" s="21"/>
      <c r="CD408" s="21"/>
      <c r="CE408" s="21"/>
      <c r="CF408" s="21"/>
      <c r="CG408" s="21"/>
      <c r="CH408" s="21"/>
      <c r="CI408" s="21"/>
      <c r="CJ408" s="21"/>
      <c r="CK408" s="21"/>
      <c r="CL408" s="21"/>
      <c r="CM408" s="21"/>
      <c r="CN408" s="21"/>
      <c r="CO408" s="21"/>
      <c r="CP408" s="21"/>
      <c r="CQ408" s="21"/>
      <c r="CR408" s="21"/>
      <c r="CS408" s="21"/>
      <c r="CT408" s="21"/>
    </row>
    <row r="409" spans="81:98">
      <c r="CC409" s="21"/>
      <c r="CD409" s="21"/>
      <c r="CE409" s="21"/>
      <c r="CF409" s="21"/>
      <c r="CG409" s="21"/>
      <c r="CH409" s="21"/>
      <c r="CI409" s="21"/>
      <c r="CJ409" s="21"/>
      <c r="CK409" s="21"/>
      <c r="CL409" s="21"/>
      <c r="CM409" s="21"/>
      <c r="CN409" s="21"/>
      <c r="CO409" s="21"/>
      <c r="CP409" s="21"/>
      <c r="CQ409" s="21"/>
      <c r="CR409" s="21"/>
      <c r="CS409" s="21"/>
      <c r="CT409" s="21"/>
    </row>
    <row r="410" spans="81:98">
      <c r="CC410" s="21"/>
      <c r="CD410" s="21"/>
      <c r="CE410" s="21"/>
      <c r="CF410" s="21"/>
      <c r="CG410" s="21"/>
      <c r="CH410" s="21"/>
      <c r="CI410" s="21"/>
      <c r="CJ410" s="21"/>
      <c r="CK410" s="21"/>
      <c r="CL410" s="21"/>
      <c r="CM410" s="21"/>
      <c r="CN410" s="21"/>
      <c r="CO410" s="21"/>
      <c r="CP410" s="21"/>
      <c r="CQ410" s="21"/>
      <c r="CR410" s="21"/>
      <c r="CS410" s="21"/>
      <c r="CT410" s="21"/>
    </row>
    <row r="411" spans="81:98">
      <c r="CC411" s="21"/>
      <c r="CD411" s="21"/>
      <c r="CE411" s="21"/>
      <c r="CF411" s="21"/>
      <c r="CG411" s="21"/>
      <c r="CH411" s="21"/>
      <c r="CI411" s="21"/>
      <c r="CJ411" s="21"/>
      <c r="CK411" s="21"/>
      <c r="CL411" s="21"/>
      <c r="CM411" s="21"/>
      <c r="CN411" s="21"/>
      <c r="CO411" s="21"/>
      <c r="CP411" s="21"/>
      <c r="CQ411" s="21"/>
      <c r="CR411" s="21"/>
      <c r="CS411" s="21"/>
      <c r="CT411" s="21"/>
    </row>
    <row r="412" spans="81:98">
      <c r="CC412" s="21"/>
      <c r="CD412" s="21"/>
      <c r="CE412" s="21"/>
      <c r="CF412" s="21"/>
      <c r="CG412" s="21"/>
      <c r="CH412" s="21"/>
      <c r="CI412" s="21"/>
      <c r="CJ412" s="21"/>
      <c r="CK412" s="21"/>
      <c r="CL412" s="21"/>
      <c r="CM412" s="21"/>
      <c r="CN412" s="21"/>
      <c r="CO412" s="21"/>
      <c r="CP412" s="21"/>
      <c r="CQ412" s="21"/>
      <c r="CR412" s="21"/>
      <c r="CS412" s="21"/>
      <c r="CT412" s="21"/>
    </row>
    <row r="413" spans="81:98">
      <c r="CC413" s="21"/>
      <c r="CD413" s="21"/>
      <c r="CE413" s="21"/>
      <c r="CF413" s="21"/>
      <c r="CG413" s="21"/>
      <c r="CH413" s="21"/>
      <c r="CI413" s="21"/>
      <c r="CJ413" s="21"/>
      <c r="CK413" s="21"/>
      <c r="CL413" s="21"/>
      <c r="CM413" s="21"/>
      <c r="CN413" s="21"/>
      <c r="CO413" s="21"/>
      <c r="CP413" s="21"/>
      <c r="CQ413" s="21"/>
      <c r="CR413" s="21"/>
      <c r="CS413" s="21"/>
      <c r="CT413" s="21"/>
    </row>
    <row r="414" spans="81:98">
      <c r="CC414" s="21"/>
      <c r="CD414" s="21"/>
      <c r="CE414" s="21"/>
      <c r="CF414" s="21"/>
      <c r="CG414" s="21"/>
      <c r="CH414" s="21"/>
      <c r="CI414" s="21"/>
      <c r="CJ414" s="21"/>
      <c r="CK414" s="21"/>
      <c r="CL414" s="21"/>
      <c r="CM414" s="21"/>
      <c r="CN414" s="21"/>
      <c r="CO414" s="21"/>
      <c r="CP414" s="21"/>
      <c r="CQ414" s="21"/>
      <c r="CR414" s="21"/>
      <c r="CS414" s="21"/>
      <c r="CT414" s="21"/>
    </row>
    <row r="415" spans="81:98">
      <c r="CC415" s="21"/>
      <c r="CD415" s="21"/>
      <c r="CE415" s="21"/>
      <c r="CF415" s="21"/>
      <c r="CG415" s="21"/>
      <c r="CH415" s="21"/>
      <c r="CI415" s="21"/>
      <c r="CJ415" s="21"/>
      <c r="CK415" s="21"/>
      <c r="CL415" s="21"/>
      <c r="CM415" s="21"/>
      <c r="CN415" s="21"/>
      <c r="CO415" s="21"/>
      <c r="CP415" s="21"/>
      <c r="CQ415" s="21"/>
      <c r="CR415" s="21"/>
      <c r="CS415" s="21"/>
      <c r="CT415" s="21"/>
    </row>
    <row r="416" spans="81:98">
      <c r="CC416" s="21"/>
      <c r="CD416" s="21"/>
      <c r="CE416" s="21"/>
      <c r="CF416" s="21"/>
      <c r="CG416" s="21"/>
      <c r="CH416" s="21"/>
      <c r="CI416" s="21"/>
      <c r="CJ416" s="21"/>
      <c r="CK416" s="21"/>
      <c r="CL416" s="21"/>
      <c r="CM416" s="21"/>
      <c r="CN416" s="21"/>
      <c r="CO416" s="21"/>
      <c r="CP416" s="21"/>
      <c r="CQ416" s="21"/>
      <c r="CR416" s="21"/>
      <c r="CS416" s="21"/>
      <c r="CT416" s="21"/>
    </row>
    <row r="417" spans="81:98">
      <c r="CC417" s="21"/>
      <c r="CD417" s="21"/>
      <c r="CE417" s="21"/>
      <c r="CF417" s="21"/>
      <c r="CG417" s="21"/>
      <c r="CH417" s="21"/>
      <c r="CI417" s="21"/>
      <c r="CJ417" s="21"/>
      <c r="CK417" s="21"/>
      <c r="CL417" s="21"/>
      <c r="CM417" s="21"/>
      <c r="CN417" s="21"/>
      <c r="CO417" s="21"/>
      <c r="CP417" s="21"/>
      <c r="CQ417" s="21"/>
      <c r="CR417" s="21"/>
      <c r="CS417" s="21"/>
      <c r="CT417" s="21"/>
    </row>
    <row r="418" spans="81:98">
      <c r="CC418" s="21"/>
      <c r="CD418" s="21"/>
      <c r="CE418" s="21"/>
      <c r="CF418" s="21"/>
      <c r="CG418" s="21"/>
      <c r="CH418" s="21"/>
      <c r="CI418" s="21"/>
      <c r="CJ418" s="21"/>
      <c r="CK418" s="21"/>
      <c r="CL418" s="21"/>
      <c r="CM418" s="21"/>
      <c r="CN418" s="21"/>
      <c r="CO418" s="21"/>
      <c r="CP418" s="21"/>
      <c r="CQ418" s="21"/>
      <c r="CR418" s="21"/>
      <c r="CS418" s="21"/>
      <c r="CT418" s="21"/>
    </row>
    <row r="419" spans="81:98">
      <c r="CC419" s="21"/>
      <c r="CD419" s="21"/>
      <c r="CE419" s="21"/>
      <c r="CF419" s="21"/>
      <c r="CG419" s="21"/>
      <c r="CH419" s="21"/>
      <c r="CI419" s="21"/>
      <c r="CJ419" s="21"/>
      <c r="CK419" s="21"/>
      <c r="CL419" s="21"/>
      <c r="CM419" s="21"/>
      <c r="CN419" s="21"/>
      <c r="CO419" s="21"/>
      <c r="CP419" s="21"/>
      <c r="CQ419" s="21"/>
      <c r="CR419" s="21"/>
      <c r="CS419" s="21"/>
      <c r="CT419" s="21"/>
    </row>
    <row r="420" spans="81:98">
      <c r="CC420" s="21"/>
      <c r="CD420" s="21"/>
      <c r="CE420" s="21"/>
      <c r="CF420" s="21"/>
      <c r="CG420" s="21"/>
      <c r="CH420" s="21"/>
      <c r="CI420" s="21"/>
      <c r="CJ420" s="21"/>
      <c r="CK420" s="21"/>
      <c r="CL420" s="21"/>
      <c r="CM420" s="21"/>
      <c r="CN420" s="21"/>
      <c r="CO420" s="21"/>
      <c r="CP420" s="21"/>
      <c r="CQ420" s="21"/>
      <c r="CR420" s="21"/>
      <c r="CS420" s="21"/>
      <c r="CT420" s="21"/>
    </row>
    <row r="421" spans="81:98">
      <c r="CC421" s="21"/>
      <c r="CD421" s="21"/>
      <c r="CE421" s="21"/>
      <c r="CF421" s="21"/>
      <c r="CG421" s="21"/>
      <c r="CH421" s="21"/>
      <c r="CI421" s="21"/>
      <c r="CJ421" s="21"/>
      <c r="CK421" s="21"/>
      <c r="CL421" s="21"/>
      <c r="CM421" s="21"/>
      <c r="CN421" s="21"/>
      <c r="CO421" s="21"/>
      <c r="CP421" s="21"/>
      <c r="CQ421" s="21"/>
      <c r="CR421" s="21"/>
      <c r="CS421" s="21"/>
      <c r="CT421" s="21"/>
    </row>
    <row r="422" spans="81:98">
      <c r="CC422" s="21"/>
      <c r="CD422" s="21"/>
      <c r="CE422" s="21"/>
      <c r="CF422" s="21"/>
      <c r="CG422" s="21"/>
      <c r="CH422" s="21"/>
      <c r="CI422" s="21"/>
      <c r="CJ422" s="21"/>
      <c r="CK422" s="21"/>
      <c r="CL422" s="21"/>
      <c r="CM422" s="21"/>
      <c r="CN422" s="21"/>
      <c r="CO422" s="21"/>
      <c r="CP422" s="21"/>
      <c r="CQ422" s="21"/>
      <c r="CR422" s="21"/>
      <c r="CS422" s="21"/>
      <c r="CT422" s="21"/>
    </row>
    <row r="423" spans="81:98">
      <c r="CC423" s="21"/>
      <c r="CD423" s="21"/>
      <c r="CE423" s="21"/>
      <c r="CF423" s="21"/>
      <c r="CG423" s="21"/>
      <c r="CH423" s="21"/>
      <c r="CI423" s="21"/>
      <c r="CJ423" s="21"/>
      <c r="CK423" s="21"/>
      <c r="CL423" s="21"/>
      <c r="CM423" s="21"/>
      <c r="CN423" s="21"/>
      <c r="CO423" s="21"/>
      <c r="CP423" s="21"/>
      <c r="CQ423" s="21"/>
      <c r="CR423" s="21"/>
      <c r="CS423" s="21"/>
      <c r="CT423" s="21"/>
    </row>
  </sheetData>
  <sheetProtection algorithmName="SHA-512" hashValue="oAalCHMMM6YOMRhK+Ai5vWx4k1VNZDgO/V5r7j0NBi9zKDL/mr0jrLEnHiFL9EaMYLfRivFnfO6JFjnwyqByAA==" saltValue="zGBu2vQHXdUBtTiiu24XCQ==" spinCount="100000" sheet="1" objects="1" scenarios="1"/>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3AD2-9DD4-42EA-A197-43CCADC731C7}">
  <sheetPr codeName="Sheet15"/>
  <dimension ref="A1:CU269"/>
  <sheetViews>
    <sheetView showOutlineSymbols="0" topLeftCell="A175" workbookViewId="0">
      <selection activeCell="W64" sqref="W64"/>
    </sheetView>
  </sheetViews>
  <sheetFormatPr baseColWidth="10" defaultColWidth="9.1640625" defaultRowHeight="14" outlineLevelRow="3" outlineLevelCol="1"/>
  <cols>
    <col min="1" max="1" width="3.5" style="50" customWidth="1"/>
    <col min="2" max="2" width="3.5" style="2" customWidth="1"/>
    <col min="3" max="3" width="62.5" style="58" bestFit="1" customWidth="1"/>
    <col min="4" max="7" width="15.6640625" style="418" hidden="1" customWidth="1" outlineLevel="1"/>
    <col min="8" max="8" width="15.6640625" style="418" customWidth="1" collapsed="1"/>
    <col min="9" max="12" width="15.6640625" style="418" hidden="1" customWidth="1" outlineLevel="1"/>
    <col min="13" max="13" width="15.6640625" style="418" customWidth="1" collapsed="1"/>
    <col min="14" max="17" width="15.6640625" style="418" hidden="1" customWidth="1" outlineLevel="1"/>
    <col min="18" max="18" width="15.6640625" style="418" customWidth="1" collapsed="1"/>
    <col min="19" max="22" width="15.6640625" style="418" hidden="1" customWidth="1" outlineLevel="1"/>
    <col min="23" max="23" width="15.6640625" style="418" customWidth="1" collapsed="1"/>
    <col min="24" max="27" width="15.6640625" style="418" hidden="1" customWidth="1" outlineLevel="1"/>
    <col min="28" max="28" width="15.6640625" style="418" customWidth="1" collapsed="1"/>
    <col min="29" max="32" width="15.6640625" style="418" hidden="1" customWidth="1" outlineLevel="1"/>
    <col min="33" max="33" width="15.6640625" style="418" customWidth="1" collapsed="1"/>
    <col min="34" max="37" width="15.6640625" style="418" hidden="1" customWidth="1" outlineLevel="1"/>
    <col min="38" max="38" width="15.6640625" style="418" customWidth="1" collapsed="1"/>
    <col min="39" max="42" width="15.6640625" style="418" hidden="1" customWidth="1" outlineLevel="1"/>
    <col min="43" max="43" width="15.6640625" style="418" customWidth="1" collapsed="1"/>
    <col min="44" max="47" width="15.6640625" style="418" hidden="1" customWidth="1" outlineLevel="1"/>
    <col min="48" max="48" width="15.6640625" style="418" customWidth="1" collapsed="1"/>
    <col min="49" max="52" width="15.6640625" style="418" hidden="1" customWidth="1" outlineLevel="1"/>
    <col min="53" max="53" width="15.6640625" style="418" customWidth="1" collapsed="1"/>
    <col min="54" max="57" width="15.6640625" style="418" hidden="1" customWidth="1" outlineLevel="1"/>
    <col min="58" max="58" width="15.6640625" style="418" customWidth="1" collapsed="1"/>
    <col min="59" max="62" width="15.6640625" style="418" hidden="1" customWidth="1" outlineLevel="1"/>
    <col min="63" max="63" width="15.6640625" style="418" customWidth="1" collapsed="1"/>
    <col min="64" max="67" width="15.6640625" style="418" hidden="1" customWidth="1" outlineLevel="1"/>
    <col min="68" max="68" width="15.6640625" style="418" customWidth="1" collapsed="1"/>
    <col min="69" max="72" width="15.6640625" style="418" hidden="1" customWidth="1" outlineLevel="1"/>
    <col min="73" max="73" width="15.6640625" style="418" customWidth="1" collapsed="1"/>
    <col min="74" max="77" width="15.6640625" style="418" hidden="1" customWidth="1" outlineLevel="1"/>
    <col min="78" max="78" width="15.6640625" style="418" customWidth="1" collapsed="1"/>
    <col min="79" max="79" width="3.5" style="418" customWidth="1"/>
    <col min="80" max="80" width="3.5" style="419" customWidth="1"/>
    <col min="81" max="81" width="3.5" style="419" hidden="1" customWidth="1" outlineLevel="1"/>
    <col min="82" max="82" width="62.5" style="419" hidden="1" customWidth="1" outlineLevel="1"/>
    <col min="83" max="97" width="15.6640625" style="419" hidden="1" customWidth="1" outlineLevel="1"/>
    <col min="98" max="98" width="3.5" style="419" hidden="1" customWidth="1" outlineLevel="1"/>
    <col min="99" max="99" width="9.1640625" style="419" collapsed="1"/>
    <col min="100" max="16384" width="9.1640625" style="419"/>
  </cols>
  <sheetData>
    <row r="1" spans="2:98" s="50" customFormat="1"/>
    <row r="2" spans="2:98" s="50" customFormat="1">
      <c r="B2" s="2"/>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C2" s="9"/>
      <c r="CD2" s="9"/>
      <c r="CE2" s="9"/>
      <c r="CF2" s="9"/>
      <c r="CG2" s="9"/>
      <c r="CH2" s="9"/>
      <c r="CI2" s="9"/>
      <c r="CJ2" s="9"/>
      <c r="CK2" s="9"/>
      <c r="CL2" s="9"/>
      <c r="CM2" s="9"/>
      <c r="CN2" s="9"/>
      <c r="CO2" s="9"/>
      <c r="CP2" s="9"/>
      <c r="CQ2" s="9"/>
      <c r="CR2" s="9"/>
      <c r="CS2" s="9"/>
      <c r="CT2" s="2"/>
    </row>
    <row r="3" spans="2:98" s="50" customFormat="1" ht="25">
      <c r="B3" s="2"/>
      <c r="C3" s="408" t="e">
        <f>Valuation!C3</f>
        <v>#NAME?</v>
      </c>
      <c r="D3" s="409"/>
      <c r="E3" s="409"/>
      <c r="F3" s="409"/>
      <c r="G3" s="409"/>
      <c r="H3" s="409"/>
      <c r="I3" s="409"/>
      <c r="J3" s="409"/>
      <c r="K3" s="409"/>
      <c r="L3" s="409"/>
      <c r="M3" s="409"/>
      <c r="N3" s="409"/>
      <c r="O3" s="409"/>
      <c r="P3" s="409"/>
      <c r="Q3" s="409"/>
      <c r="R3" s="409"/>
      <c r="S3" s="409"/>
      <c r="T3" s="409"/>
      <c r="U3" s="409"/>
      <c r="V3" s="409"/>
      <c r="W3" s="409"/>
      <c r="X3" s="409"/>
      <c r="Y3" s="409"/>
      <c r="Z3" s="409"/>
      <c r="AA3" s="409"/>
      <c r="AB3" s="409"/>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409"/>
      <c r="BA3" s="409"/>
      <c r="BB3" s="409"/>
      <c r="BC3" s="409"/>
      <c r="BD3" s="409"/>
      <c r="BE3" s="409"/>
      <c r="BF3" s="409"/>
      <c r="BG3" s="409"/>
      <c r="BH3" s="409"/>
      <c r="BI3" s="409"/>
      <c r="BJ3" s="409"/>
      <c r="BK3" s="409"/>
      <c r="BL3" s="409"/>
      <c r="BM3" s="409"/>
      <c r="BN3" s="409"/>
      <c r="BO3" s="409"/>
      <c r="BP3" s="409"/>
      <c r="BQ3" s="409"/>
      <c r="BR3" s="409"/>
      <c r="BS3" s="409"/>
      <c r="BT3" s="409"/>
      <c r="BU3" s="409"/>
      <c r="BV3" s="409"/>
      <c r="BW3" s="409"/>
      <c r="BX3" s="409"/>
      <c r="BY3" s="409"/>
      <c r="BZ3" s="445"/>
      <c r="CA3" s="58"/>
      <c r="CC3" s="9"/>
      <c r="CD3" s="411" t="e">
        <f>C3</f>
        <v>#NAME?</v>
      </c>
      <c r="CE3" s="412"/>
      <c r="CF3" s="412"/>
      <c r="CG3" s="412"/>
      <c r="CH3" s="412"/>
      <c r="CI3" s="412"/>
      <c r="CJ3" s="412"/>
      <c r="CK3" s="412"/>
      <c r="CL3" s="412"/>
      <c r="CM3" s="412"/>
      <c r="CN3" s="412"/>
      <c r="CO3" s="412"/>
      <c r="CP3" s="412"/>
      <c r="CQ3" s="412"/>
      <c r="CR3" s="412"/>
      <c r="CS3" s="19"/>
      <c r="CT3" s="2"/>
    </row>
    <row r="4" spans="2:98" s="50" customFormat="1">
      <c r="B4" s="2"/>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C4" s="9"/>
      <c r="CD4" s="9"/>
      <c r="CE4" s="9"/>
      <c r="CF4" s="9"/>
      <c r="CG4" s="9"/>
      <c r="CH4" s="9"/>
      <c r="CI4" s="9"/>
      <c r="CJ4" s="9"/>
      <c r="CK4" s="9"/>
      <c r="CL4" s="9"/>
      <c r="CM4" s="9"/>
      <c r="CN4" s="9"/>
      <c r="CO4" s="9"/>
      <c r="CP4" s="9"/>
      <c r="CQ4" s="9"/>
      <c r="CR4" s="9"/>
      <c r="CS4" s="9"/>
      <c r="CT4" s="2"/>
    </row>
    <row r="5" spans="2:98" s="50" customFormat="1">
      <c r="B5" s="2"/>
      <c r="C5" s="107" t="str">
        <f>"Cash Flow Statement, "&amp;Valuation!V119&amp;" "&amp;Valuation!V122</f>
        <v>Cash Flow Statement, USD Thousands</v>
      </c>
      <c r="D5" s="413" t="str">
        <f>H5&amp;"Q1"</f>
        <v>2012Q1</v>
      </c>
      <c r="E5" s="413" t="str">
        <f>H5&amp;"Q2"</f>
        <v>2012Q2</v>
      </c>
      <c r="F5" s="413" t="str">
        <f>H5&amp;"Q3"</f>
        <v>2012Q3</v>
      </c>
      <c r="G5" s="413" t="str">
        <f>H5&amp;"Q4"</f>
        <v>2012Q4</v>
      </c>
      <c r="H5" s="414">
        <f>Valuation!E9-Control!$A$27</f>
        <v>2012</v>
      </c>
      <c r="I5" s="413" t="str">
        <f>M5&amp;"Q1"</f>
        <v>2013Q1</v>
      </c>
      <c r="J5" s="413" t="str">
        <f>M5&amp;"Q2"</f>
        <v>2013Q2</v>
      </c>
      <c r="K5" s="413" t="str">
        <f>M5&amp;"Q3"</f>
        <v>2013Q3</v>
      </c>
      <c r="L5" s="413" t="str">
        <f>M5&amp;"Q4"</f>
        <v>2013Q4</v>
      </c>
      <c r="M5" s="414">
        <f>Valuation!F9-Control!$A$27</f>
        <v>2013</v>
      </c>
      <c r="N5" s="413" t="str">
        <f>R5&amp;"Q1"</f>
        <v>2014Q1</v>
      </c>
      <c r="O5" s="413" t="str">
        <f>R5&amp;"Q2"</f>
        <v>2014Q2</v>
      </c>
      <c r="P5" s="413" t="str">
        <f>R5&amp;"Q3"</f>
        <v>2014Q3</v>
      </c>
      <c r="Q5" s="413" t="str">
        <f>R5&amp;"Q4"</f>
        <v>2014Q4</v>
      </c>
      <c r="R5" s="414">
        <f>Valuation!G9-Control!$A$27</f>
        <v>2014</v>
      </c>
      <c r="S5" s="413" t="str">
        <f>W5&amp;"Q1"</f>
        <v>2015Q1</v>
      </c>
      <c r="T5" s="413" t="str">
        <f>W5&amp;"Q2"</f>
        <v>2015Q2</v>
      </c>
      <c r="U5" s="413" t="str">
        <f>W5&amp;"Q3"</f>
        <v>2015Q3</v>
      </c>
      <c r="V5" s="413" t="str">
        <f>W5&amp;"Q4"</f>
        <v>2015Q4</v>
      </c>
      <c r="W5" s="414">
        <f>Valuation!H9-Control!$A$27</f>
        <v>2015</v>
      </c>
      <c r="X5" s="413" t="str">
        <f>AB5&amp;"Q1"</f>
        <v>2016Q1</v>
      </c>
      <c r="Y5" s="413" t="str">
        <f>AB5&amp;"Q2"</f>
        <v>2016Q2</v>
      </c>
      <c r="Z5" s="413" t="str">
        <f>AB5&amp;"Q3"</f>
        <v>2016Q3</v>
      </c>
      <c r="AA5" s="413" t="str">
        <f>AB5&amp;"Q4"</f>
        <v>2016Q4</v>
      </c>
      <c r="AB5" s="414">
        <f>Valuation!I9-Control!$A$27</f>
        <v>2016</v>
      </c>
      <c r="AC5" s="413" t="str">
        <f>AG5&amp;"Q1"</f>
        <v>2017Q1</v>
      </c>
      <c r="AD5" s="413" t="str">
        <f>AG5&amp;"Q2"</f>
        <v>2017Q2</v>
      </c>
      <c r="AE5" s="413" t="str">
        <f>AG5&amp;"Q3"</f>
        <v>2017Q3</v>
      </c>
      <c r="AF5" s="413" t="str">
        <f>AG5&amp;"Q4"</f>
        <v>2017Q4</v>
      </c>
      <c r="AG5" s="414">
        <f>Valuation!J9-Control!$A$27</f>
        <v>2017</v>
      </c>
      <c r="AH5" s="413" t="str">
        <f>AL5&amp;"Q1"</f>
        <v>2018Q1</v>
      </c>
      <c r="AI5" s="413" t="str">
        <f>AL5&amp;"Q2"</f>
        <v>2018Q2</v>
      </c>
      <c r="AJ5" s="413" t="str">
        <f>AL5&amp;"Q3"</f>
        <v>2018Q3</v>
      </c>
      <c r="AK5" s="413" t="str">
        <f>AL5&amp;"Q4"</f>
        <v>2018Q4</v>
      </c>
      <c r="AL5" s="414">
        <f>Valuation!K9-Control!$A$27</f>
        <v>2018</v>
      </c>
      <c r="AM5" s="413" t="str">
        <f>AQ5&amp;"Q1"</f>
        <v>2019Q1</v>
      </c>
      <c r="AN5" s="413" t="str">
        <f>AQ5&amp;"Q2"</f>
        <v>2019Q2</v>
      </c>
      <c r="AO5" s="413" t="str">
        <f>AQ5&amp;"Q3"</f>
        <v>2019Q3</v>
      </c>
      <c r="AP5" s="413" t="str">
        <f>AQ5&amp;"Q4"</f>
        <v>2019Q4</v>
      </c>
      <c r="AQ5" s="414">
        <f>Valuation!L9-Control!$A$27</f>
        <v>2019</v>
      </c>
      <c r="AR5" s="413" t="str">
        <f>AV5&amp;"Q1"</f>
        <v>2020Q1</v>
      </c>
      <c r="AS5" s="413" t="str">
        <f>AV5&amp;"Q2"</f>
        <v>2020Q2</v>
      </c>
      <c r="AT5" s="413" t="str">
        <f>AV5&amp;"Q3"</f>
        <v>2020Q3</v>
      </c>
      <c r="AU5" s="413" t="str">
        <f>AV5&amp;"Q4"</f>
        <v>2020Q4</v>
      </c>
      <c r="AV5" s="414">
        <f>Valuation!M9-Control!$A$27</f>
        <v>2020</v>
      </c>
      <c r="AW5" s="413" t="str">
        <f>BA5&amp;"Q1"</f>
        <v>2021Q1</v>
      </c>
      <c r="AX5" s="413" t="str">
        <f>BA5&amp;"Q2"</f>
        <v>2021Q2</v>
      </c>
      <c r="AY5" s="413" t="str">
        <f>BA5&amp;"Q3"</f>
        <v>2021Q3</v>
      </c>
      <c r="AZ5" s="413" t="str">
        <f>BA5&amp;"Q4"</f>
        <v>2021Q4</v>
      </c>
      <c r="BA5" s="414">
        <f>Valuation!N9-Control!$A$27</f>
        <v>2021</v>
      </c>
      <c r="BB5" s="413" t="str">
        <f>BF5&amp;"Q1"</f>
        <v>2022Q1</v>
      </c>
      <c r="BC5" s="413" t="str">
        <f>BF5&amp;"Q2"</f>
        <v>2022Q2</v>
      </c>
      <c r="BD5" s="413" t="str">
        <f>BF5&amp;"Q3"</f>
        <v>2022Q3</v>
      </c>
      <c r="BE5" s="413" t="str">
        <f>BF5&amp;"Q4"</f>
        <v>2022Q4</v>
      </c>
      <c r="BF5" s="414">
        <f>Valuation!O9-Control!$A$27</f>
        <v>2022</v>
      </c>
      <c r="BG5" s="413" t="str">
        <f>BK5&amp;"Q1"</f>
        <v>2023Q1</v>
      </c>
      <c r="BH5" s="413" t="str">
        <f>BK5&amp;"Q2"</f>
        <v>2023Q2</v>
      </c>
      <c r="BI5" s="413" t="str">
        <f>BK5&amp;"Q3"</f>
        <v>2023Q3</v>
      </c>
      <c r="BJ5" s="413" t="str">
        <f>BK5&amp;"Q4"</f>
        <v>2023Q4</v>
      </c>
      <c r="BK5" s="414">
        <f>Valuation!P9-Control!$A$27</f>
        <v>2023</v>
      </c>
      <c r="BL5" s="413" t="str">
        <f>BP5&amp;"Q1"</f>
        <v>2024Q1</v>
      </c>
      <c r="BM5" s="413" t="str">
        <f>BP5&amp;"Q2"</f>
        <v>2024Q2</v>
      </c>
      <c r="BN5" s="413" t="str">
        <f>BP5&amp;"Q3"</f>
        <v>2024Q3</v>
      </c>
      <c r="BO5" s="413" t="str">
        <f>BP5&amp;"Q4"</f>
        <v>2024Q4</v>
      </c>
      <c r="BP5" s="414">
        <f>Valuation!Q9-Control!$A$27</f>
        <v>2024</v>
      </c>
      <c r="BQ5" s="413" t="str">
        <f>BU5&amp;"Q1"</f>
        <v>2025Q1</v>
      </c>
      <c r="BR5" s="413" t="str">
        <f>BU5&amp;"Q2"</f>
        <v>2025Q2</v>
      </c>
      <c r="BS5" s="413" t="str">
        <f>BU5&amp;"Q3"</f>
        <v>2025Q3</v>
      </c>
      <c r="BT5" s="413" t="str">
        <f>BU5&amp;"Q4"</f>
        <v>2025Q4</v>
      </c>
      <c r="BU5" s="414">
        <f>Valuation!R9-Control!$A$27</f>
        <v>2025</v>
      </c>
      <c r="BV5" s="413" t="str">
        <f>BZ5&amp;"Q1"</f>
        <v>2026Q1</v>
      </c>
      <c r="BW5" s="413" t="str">
        <f>BZ5&amp;"Q2"</f>
        <v>2026Q2</v>
      </c>
      <c r="BX5" s="413" t="str">
        <f>BZ5&amp;"Q3"</f>
        <v>2026Q3</v>
      </c>
      <c r="BY5" s="413" t="str">
        <f>BZ5&amp;"Q4"</f>
        <v>2026Q4</v>
      </c>
      <c r="BZ5" s="414">
        <f>Valuation!S9-Control!$A$27</f>
        <v>2026</v>
      </c>
      <c r="CA5" s="58"/>
      <c r="CC5" s="9"/>
      <c r="CD5" s="107" t="str">
        <f>C5</f>
        <v>Cash Flow Statement, USD Thousands</v>
      </c>
      <c r="CE5" s="13">
        <f>Valuation!E9-Control!$A$27</f>
        <v>2012</v>
      </c>
      <c r="CF5" s="13">
        <f>Valuation!F9-Control!$A$27</f>
        <v>2013</v>
      </c>
      <c r="CG5" s="13">
        <f>Valuation!G9-Control!$A$27</f>
        <v>2014</v>
      </c>
      <c r="CH5" s="13">
        <f>Valuation!H9-Control!$A$27</f>
        <v>2015</v>
      </c>
      <c r="CI5" s="13">
        <f>Valuation!I9-Control!$A$27</f>
        <v>2016</v>
      </c>
      <c r="CJ5" s="13">
        <f>Valuation!J9-Control!$A$27</f>
        <v>2017</v>
      </c>
      <c r="CK5" s="13">
        <f>Valuation!K9-Control!$A$27</f>
        <v>2018</v>
      </c>
      <c r="CL5" s="13">
        <f>Valuation!L9-Control!$A$27</f>
        <v>2019</v>
      </c>
      <c r="CM5" s="13">
        <f>Valuation!M9-Control!$A$27</f>
        <v>2020</v>
      </c>
      <c r="CN5" s="13">
        <f>Valuation!N9-Control!$A$27</f>
        <v>2021</v>
      </c>
      <c r="CO5" s="13">
        <f>Valuation!O9-Control!$A$27</f>
        <v>2022</v>
      </c>
      <c r="CP5" s="13">
        <f>Valuation!P9-Control!$A$27</f>
        <v>2023</v>
      </c>
      <c r="CQ5" s="13">
        <f>Valuation!Q9-Control!$A$27</f>
        <v>2024</v>
      </c>
      <c r="CR5" s="13">
        <f>Valuation!R9-Control!$A$27</f>
        <v>2025</v>
      </c>
      <c r="CS5" s="13">
        <f>Valuation!S9-Control!$A$27</f>
        <v>2026</v>
      </c>
      <c r="CT5" s="2"/>
    </row>
    <row r="6" spans="2:98" s="50" customFormat="1" ht="4.5" customHeight="1">
      <c r="B6" s="2"/>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C6" s="2"/>
      <c r="CD6" s="2"/>
      <c r="CE6" s="2"/>
      <c r="CF6" s="2"/>
      <c r="CG6" s="2"/>
      <c r="CH6" s="2"/>
      <c r="CI6" s="2"/>
      <c r="CJ6" s="2"/>
      <c r="CK6" s="2"/>
      <c r="CL6" s="2"/>
      <c r="CM6" s="2"/>
      <c r="CN6" s="2"/>
      <c r="CO6" s="2"/>
      <c r="CP6" s="2"/>
      <c r="CQ6" s="2"/>
      <c r="CR6" s="2"/>
      <c r="CS6" s="2"/>
      <c r="CT6" s="2"/>
    </row>
    <row r="7" spans="2:98" s="50" customFormat="1" ht="24.75" hidden="1" customHeight="1" outlineLevel="2">
      <c r="B7" s="2"/>
      <c r="C7" s="424" t="s">
        <v>563</v>
      </c>
      <c r="D7" s="418">
        <v>0</v>
      </c>
      <c r="E7" s="418">
        <v>0</v>
      </c>
      <c r="F7" s="418">
        <v>0</v>
      </c>
      <c r="G7" s="418">
        <v>0</v>
      </c>
      <c r="H7" s="418">
        <v>0</v>
      </c>
      <c r="I7" s="418">
        <v>0</v>
      </c>
      <c r="J7" s="418">
        <v>0</v>
      </c>
      <c r="K7" s="418">
        <v>0</v>
      </c>
      <c r="L7" s="418">
        <v>0</v>
      </c>
      <c r="M7" s="418">
        <v>0</v>
      </c>
      <c r="N7" s="418">
        <v>0</v>
      </c>
      <c r="O7" s="418">
        <v>0</v>
      </c>
      <c r="P7" s="418">
        <v>0</v>
      </c>
      <c r="Q7" s="418">
        <v>0</v>
      </c>
      <c r="R7" s="418">
        <v>0</v>
      </c>
      <c r="S7" s="418">
        <v>0</v>
      </c>
      <c r="T7" s="418">
        <v>0</v>
      </c>
      <c r="U7" s="418">
        <v>0</v>
      </c>
      <c r="V7" s="418">
        <v>0</v>
      </c>
      <c r="W7" s="418">
        <v>0</v>
      </c>
      <c r="X7" s="418">
        <v>0</v>
      </c>
      <c r="Y7" s="418">
        <v>0</v>
      </c>
      <c r="Z7" s="418">
        <v>0</v>
      </c>
      <c r="AA7" s="418">
        <v>0</v>
      </c>
      <c r="AB7" s="418">
        <v>0</v>
      </c>
      <c r="AC7" s="418">
        <v>0</v>
      </c>
      <c r="AD7" s="418">
        <v>0</v>
      </c>
      <c r="AE7" s="418">
        <v>0</v>
      </c>
      <c r="AF7" s="418">
        <v>0</v>
      </c>
      <c r="AG7" s="418">
        <v>0</v>
      </c>
      <c r="AH7" s="418">
        <v>0</v>
      </c>
      <c r="AI7" s="418">
        <v>0</v>
      </c>
      <c r="AJ7" s="418">
        <v>0</v>
      </c>
      <c r="AK7" s="418">
        <v>0</v>
      </c>
      <c r="AL7" s="418">
        <v>0</v>
      </c>
      <c r="AM7" s="418">
        <v>0</v>
      </c>
      <c r="AN7" s="418">
        <v>0</v>
      </c>
      <c r="AO7" s="418">
        <v>0</v>
      </c>
      <c r="AP7" s="418">
        <v>0</v>
      </c>
      <c r="AQ7" s="418">
        <v>0</v>
      </c>
      <c r="AR7" s="418">
        <v>0</v>
      </c>
      <c r="AS7" s="418">
        <v>0</v>
      </c>
      <c r="AT7" s="418">
        <v>0</v>
      </c>
      <c r="AU7" s="418">
        <v>0</v>
      </c>
      <c r="AV7" s="418">
        <v>0</v>
      </c>
      <c r="AW7" s="418">
        <v>0</v>
      </c>
      <c r="AX7" s="418">
        <v>0</v>
      </c>
      <c r="AY7" s="418">
        <v>0</v>
      </c>
      <c r="AZ7" s="418">
        <v>0</v>
      </c>
      <c r="BA7" s="418">
        <v>0</v>
      </c>
      <c r="BB7" s="418">
        <v>0</v>
      </c>
      <c r="BC7" s="418">
        <v>0</v>
      </c>
      <c r="BD7" s="418">
        <v>0</v>
      </c>
      <c r="BE7" s="418">
        <v>0</v>
      </c>
      <c r="BF7" s="418">
        <v>0</v>
      </c>
      <c r="BG7" s="418">
        <v>0</v>
      </c>
      <c r="BH7" s="418">
        <v>0</v>
      </c>
      <c r="BI7" s="418">
        <v>0</v>
      </c>
      <c r="BJ7" s="418">
        <v>0</v>
      </c>
      <c r="BK7" s="418">
        <v>0</v>
      </c>
      <c r="BL7" s="418">
        <v>0</v>
      </c>
      <c r="BM7" s="418">
        <v>0</v>
      </c>
      <c r="BN7" s="418">
        <v>0</v>
      </c>
      <c r="BO7" s="418">
        <v>0</v>
      </c>
      <c r="BP7" s="418">
        <v>0</v>
      </c>
      <c r="BQ7" s="418">
        <v>0</v>
      </c>
      <c r="BR7" s="418">
        <v>0</v>
      </c>
      <c r="BS7" s="418">
        <v>0</v>
      </c>
      <c r="BT7" s="418">
        <v>0</v>
      </c>
      <c r="BU7" s="418">
        <v>0</v>
      </c>
      <c r="BV7" s="418">
        <v>0</v>
      </c>
      <c r="BW7" s="418">
        <v>0</v>
      </c>
      <c r="BX7" s="418">
        <v>0</v>
      </c>
      <c r="BY7" s="418">
        <v>0</v>
      </c>
      <c r="BZ7" s="418">
        <v>0</v>
      </c>
      <c r="CA7" s="58"/>
      <c r="CC7" s="2"/>
      <c r="CD7" s="446" t="s">
        <v>563</v>
      </c>
      <c r="CE7" s="433">
        <f>H7</f>
        <v>0</v>
      </c>
      <c r="CF7" s="433">
        <f>M7</f>
        <v>0</v>
      </c>
      <c r="CG7" s="433">
        <f>R7</f>
        <v>0</v>
      </c>
      <c r="CH7" s="433">
        <f>W7</f>
        <v>0</v>
      </c>
      <c r="CI7" s="433">
        <f>AB7</f>
        <v>0</v>
      </c>
      <c r="CJ7" s="433">
        <f>AG7</f>
        <v>0</v>
      </c>
      <c r="CK7" s="433">
        <f>AL7</f>
        <v>0</v>
      </c>
      <c r="CL7" s="433">
        <f>AQ7</f>
        <v>0</v>
      </c>
      <c r="CM7" s="433">
        <f>AV7</f>
        <v>0</v>
      </c>
      <c r="CN7" s="433">
        <f>BA7</f>
        <v>0</v>
      </c>
      <c r="CO7" s="433">
        <f>BF7</f>
        <v>0</v>
      </c>
      <c r="CP7" s="433">
        <f>BK7</f>
        <v>0</v>
      </c>
      <c r="CQ7" s="433">
        <f>BP7</f>
        <v>0</v>
      </c>
      <c r="CR7" s="433">
        <f>BU7</f>
        <v>0</v>
      </c>
      <c r="CS7" s="433">
        <f>BZ7</f>
        <v>0</v>
      </c>
      <c r="CT7" s="2"/>
    </row>
    <row r="8" spans="2:98" s="50" customFormat="1" ht="24.75" hidden="1" customHeight="1" outlineLevel="2">
      <c r="B8" s="2"/>
      <c r="C8" s="424" t="s">
        <v>564</v>
      </c>
      <c r="D8" s="418">
        <v>0</v>
      </c>
      <c r="E8" s="418">
        <v>0</v>
      </c>
      <c r="F8" s="418">
        <v>0</v>
      </c>
      <c r="G8" s="418">
        <v>0</v>
      </c>
      <c r="H8" s="418">
        <v>0</v>
      </c>
      <c r="I8" s="418">
        <v>0</v>
      </c>
      <c r="J8" s="418">
        <v>0</v>
      </c>
      <c r="K8" s="418">
        <v>0</v>
      </c>
      <c r="L8" s="418">
        <v>0</v>
      </c>
      <c r="M8" s="418">
        <v>0</v>
      </c>
      <c r="N8" s="418">
        <v>0</v>
      </c>
      <c r="O8" s="418">
        <v>0</v>
      </c>
      <c r="P8" s="418">
        <v>0</v>
      </c>
      <c r="Q8" s="418">
        <v>0</v>
      </c>
      <c r="R8" s="418">
        <v>0</v>
      </c>
      <c r="S8" s="418">
        <v>0</v>
      </c>
      <c r="T8" s="418">
        <v>0</v>
      </c>
      <c r="U8" s="418">
        <v>0</v>
      </c>
      <c r="V8" s="418">
        <v>0</v>
      </c>
      <c r="W8" s="418">
        <v>0</v>
      </c>
      <c r="X8" s="418">
        <v>0</v>
      </c>
      <c r="Y8" s="418">
        <v>0</v>
      </c>
      <c r="Z8" s="418">
        <v>0</v>
      </c>
      <c r="AA8" s="418">
        <v>0</v>
      </c>
      <c r="AB8" s="418">
        <v>0</v>
      </c>
      <c r="AC8" s="418">
        <v>0</v>
      </c>
      <c r="AD8" s="418">
        <v>0</v>
      </c>
      <c r="AE8" s="418">
        <v>0</v>
      </c>
      <c r="AF8" s="418">
        <v>0</v>
      </c>
      <c r="AG8" s="418">
        <v>0</v>
      </c>
      <c r="AH8" s="418">
        <v>0</v>
      </c>
      <c r="AI8" s="418">
        <v>0</v>
      </c>
      <c r="AJ8" s="418">
        <v>0</v>
      </c>
      <c r="AK8" s="418">
        <v>0</v>
      </c>
      <c r="AL8" s="418">
        <v>0</v>
      </c>
      <c r="AM8" s="418">
        <v>0</v>
      </c>
      <c r="AN8" s="418">
        <v>0</v>
      </c>
      <c r="AO8" s="418">
        <v>0</v>
      </c>
      <c r="AP8" s="418">
        <v>0</v>
      </c>
      <c r="AQ8" s="418">
        <v>0</v>
      </c>
      <c r="AR8" s="418">
        <v>0</v>
      </c>
      <c r="AS8" s="418">
        <v>0</v>
      </c>
      <c r="AT8" s="418">
        <v>0</v>
      </c>
      <c r="AU8" s="418">
        <v>0</v>
      </c>
      <c r="AV8" s="418">
        <v>0</v>
      </c>
      <c r="AW8" s="418">
        <v>0</v>
      </c>
      <c r="AX8" s="418">
        <v>0</v>
      </c>
      <c r="AY8" s="418">
        <v>0</v>
      </c>
      <c r="AZ8" s="418">
        <v>0</v>
      </c>
      <c r="BA8" s="418">
        <v>0</v>
      </c>
      <c r="BB8" s="418">
        <v>0</v>
      </c>
      <c r="BC8" s="418">
        <v>0</v>
      </c>
      <c r="BD8" s="418">
        <v>0</v>
      </c>
      <c r="BE8" s="418">
        <v>0</v>
      </c>
      <c r="BF8" s="418">
        <v>0</v>
      </c>
      <c r="BG8" s="418">
        <v>0</v>
      </c>
      <c r="BH8" s="418">
        <v>0</v>
      </c>
      <c r="BI8" s="418">
        <v>0</v>
      </c>
      <c r="BJ8" s="418">
        <v>0</v>
      </c>
      <c r="BK8" s="418">
        <v>0</v>
      </c>
      <c r="BL8" s="418">
        <v>0</v>
      </c>
      <c r="BM8" s="418">
        <v>0</v>
      </c>
      <c r="BN8" s="418">
        <v>0</v>
      </c>
      <c r="BO8" s="418">
        <v>0</v>
      </c>
      <c r="BP8" s="418">
        <v>0</v>
      </c>
      <c r="BQ8" s="418">
        <v>0</v>
      </c>
      <c r="BR8" s="418">
        <v>0</v>
      </c>
      <c r="BS8" s="418">
        <v>0</v>
      </c>
      <c r="BT8" s="418">
        <v>0</v>
      </c>
      <c r="BU8" s="418">
        <v>0</v>
      </c>
      <c r="BV8" s="418">
        <v>0</v>
      </c>
      <c r="BW8" s="418">
        <v>0</v>
      </c>
      <c r="BX8" s="418">
        <v>0</v>
      </c>
      <c r="BY8" s="418">
        <v>0</v>
      </c>
      <c r="BZ8" s="418">
        <v>0</v>
      </c>
      <c r="CA8" s="58"/>
      <c r="CC8" s="2"/>
      <c r="CD8" s="446" t="s">
        <v>564</v>
      </c>
      <c r="CE8" s="433">
        <f t="shared" ref="CE8:CE71" si="0">H8</f>
        <v>0</v>
      </c>
      <c r="CF8" s="433">
        <f t="shared" ref="CF8:CF71" si="1">M8</f>
        <v>0</v>
      </c>
      <c r="CG8" s="433">
        <f t="shared" ref="CG8:CG71" si="2">R8</f>
        <v>0</v>
      </c>
      <c r="CH8" s="433">
        <f t="shared" ref="CH8:CH71" si="3">W8</f>
        <v>0</v>
      </c>
      <c r="CI8" s="433">
        <f t="shared" ref="CI8:CI71" si="4">AB8</f>
        <v>0</v>
      </c>
      <c r="CJ8" s="433">
        <f t="shared" ref="CJ8:CJ71" si="5">AG8</f>
        <v>0</v>
      </c>
      <c r="CK8" s="433">
        <f t="shared" ref="CK8:CK71" si="6">AL8</f>
        <v>0</v>
      </c>
      <c r="CL8" s="433">
        <f t="shared" ref="CL8:CL71" si="7">AQ8</f>
        <v>0</v>
      </c>
      <c r="CM8" s="433">
        <f t="shared" ref="CM8:CM71" si="8">AV8</f>
        <v>0</v>
      </c>
      <c r="CN8" s="433">
        <f t="shared" ref="CN8:CN71" si="9">BA8</f>
        <v>0</v>
      </c>
      <c r="CO8" s="433">
        <f t="shared" ref="CO8:CO71" si="10">BF8</f>
        <v>0</v>
      </c>
      <c r="CP8" s="433">
        <f t="shared" ref="CP8:CP71" si="11">BK8</f>
        <v>0</v>
      </c>
      <c r="CQ8" s="433">
        <f t="shared" ref="CQ8:CQ71" si="12">BP8</f>
        <v>0</v>
      </c>
      <c r="CR8" s="433">
        <f t="shared" ref="CR8:CR71" si="13">BU8</f>
        <v>0</v>
      </c>
      <c r="CS8" s="433">
        <f t="shared" ref="CS8:CS71" si="14">BZ8</f>
        <v>0</v>
      </c>
      <c r="CT8" s="2"/>
    </row>
    <row r="9" spans="2:98" s="50" customFormat="1" ht="24.75" hidden="1" customHeight="1" outlineLevel="2">
      <c r="B9" s="2"/>
      <c r="C9" s="424" t="s">
        <v>565</v>
      </c>
      <c r="D9" s="418">
        <v>0</v>
      </c>
      <c r="E9" s="418">
        <v>0</v>
      </c>
      <c r="F9" s="418">
        <v>0</v>
      </c>
      <c r="G9" s="418">
        <v>0</v>
      </c>
      <c r="H9" s="418">
        <v>0</v>
      </c>
      <c r="I9" s="418">
        <v>0</v>
      </c>
      <c r="J9" s="418">
        <v>0</v>
      </c>
      <c r="K9" s="418">
        <v>0</v>
      </c>
      <c r="L9" s="418">
        <v>0</v>
      </c>
      <c r="M9" s="418">
        <v>0</v>
      </c>
      <c r="N9" s="418">
        <v>0</v>
      </c>
      <c r="O9" s="418">
        <v>0</v>
      </c>
      <c r="P9" s="418">
        <v>0</v>
      </c>
      <c r="Q9" s="418">
        <v>0</v>
      </c>
      <c r="R9" s="418">
        <v>0</v>
      </c>
      <c r="S9" s="418">
        <v>0</v>
      </c>
      <c r="T9" s="418">
        <v>0</v>
      </c>
      <c r="U9" s="418">
        <v>0</v>
      </c>
      <c r="V9" s="418">
        <v>0</v>
      </c>
      <c r="W9" s="418">
        <v>0</v>
      </c>
      <c r="X9" s="418">
        <v>0</v>
      </c>
      <c r="Y9" s="418">
        <v>0</v>
      </c>
      <c r="Z9" s="418">
        <v>0</v>
      </c>
      <c r="AA9" s="418">
        <v>0</v>
      </c>
      <c r="AB9" s="418">
        <v>0</v>
      </c>
      <c r="AC9" s="418">
        <v>0</v>
      </c>
      <c r="AD9" s="418">
        <v>0</v>
      </c>
      <c r="AE9" s="418">
        <v>0</v>
      </c>
      <c r="AF9" s="418">
        <v>0</v>
      </c>
      <c r="AG9" s="418">
        <v>0</v>
      </c>
      <c r="AH9" s="418">
        <v>0</v>
      </c>
      <c r="AI9" s="418">
        <v>0</v>
      </c>
      <c r="AJ9" s="418">
        <v>0</v>
      </c>
      <c r="AK9" s="418">
        <v>0</v>
      </c>
      <c r="AL9" s="418">
        <v>0</v>
      </c>
      <c r="AM9" s="418">
        <v>0</v>
      </c>
      <c r="AN9" s="418">
        <v>0</v>
      </c>
      <c r="AO9" s="418">
        <v>0</v>
      </c>
      <c r="AP9" s="418">
        <v>0</v>
      </c>
      <c r="AQ9" s="418">
        <v>0</v>
      </c>
      <c r="AR9" s="418">
        <v>0</v>
      </c>
      <c r="AS9" s="418">
        <v>0</v>
      </c>
      <c r="AT9" s="418">
        <v>0</v>
      </c>
      <c r="AU9" s="418">
        <v>0</v>
      </c>
      <c r="AV9" s="418">
        <v>0</v>
      </c>
      <c r="AW9" s="418">
        <v>0</v>
      </c>
      <c r="AX9" s="418">
        <v>0</v>
      </c>
      <c r="AY9" s="418">
        <v>0</v>
      </c>
      <c r="AZ9" s="418">
        <v>0</v>
      </c>
      <c r="BA9" s="418">
        <v>0</v>
      </c>
      <c r="BB9" s="418">
        <v>0</v>
      </c>
      <c r="BC9" s="418">
        <v>0</v>
      </c>
      <c r="BD9" s="418">
        <v>0</v>
      </c>
      <c r="BE9" s="418">
        <v>0</v>
      </c>
      <c r="BF9" s="418">
        <v>0</v>
      </c>
      <c r="BG9" s="418">
        <v>0</v>
      </c>
      <c r="BH9" s="418">
        <v>0</v>
      </c>
      <c r="BI9" s="418">
        <v>0</v>
      </c>
      <c r="BJ9" s="418">
        <v>0</v>
      </c>
      <c r="BK9" s="418">
        <v>0</v>
      </c>
      <c r="BL9" s="418">
        <v>0</v>
      </c>
      <c r="BM9" s="418">
        <v>0</v>
      </c>
      <c r="BN9" s="418">
        <v>0</v>
      </c>
      <c r="BO9" s="418">
        <v>0</v>
      </c>
      <c r="BP9" s="418">
        <v>0</v>
      </c>
      <c r="BQ9" s="418">
        <v>0</v>
      </c>
      <c r="BR9" s="418">
        <v>0</v>
      </c>
      <c r="BS9" s="418">
        <v>0</v>
      </c>
      <c r="BT9" s="418">
        <v>0</v>
      </c>
      <c r="BU9" s="418">
        <v>0</v>
      </c>
      <c r="BV9" s="418">
        <v>0</v>
      </c>
      <c r="BW9" s="418">
        <v>0</v>
      </c>
      <c r="BX9" s="418">
        <v>0</v>
      </c>
      <c r="BY9" s="418">
        <v>0</v>
      </c>
      <c r="BZ9" s="418">
        <v>0</v>
      </c>
      <c r="CA9" s="58"/>
      <c r="CC9" s="2"/>
      <c r="CD9" s="446" t="s">
        <v>565</v>
      </c>
      <c r="CE9" s="433">
        <f t="shared" si="0"/>
        <v>0</v>
      </c>
      <c r="CF9" s="433">
        <f t="shared" si="1"/>
        <v>0</v>
      </c>
      <c r="CG9" s="433">
        <f t="shared" si="2"/>
        <v>0</v>
      </c>
      <c r="CH9" s="433">
        <f t="shared" si="3"/>
        <v>0</v>
      </c>
      <c r="CI9" s="433">
        <f t="shared" si="4"/>
        <v>0</v>
      </c>
      <c r="CJ9" s="433">
        <f t="shared" si="5"/>
        <v>0</v>
      </c>
      <c r="CK9" s="433">
        <f t="shared" si="6"/>
        <v>0</v>
      </c>
      <c r="CL9" s="433">
        <f t="shared" si="7"/>
        <v>0</v>
      </c>
      <c r="CM9" s="433">
        <f t="shared" si="8"/>
        <v>0</v>
      </c>
      <c r="CN9" s="433">
        <f t="shared" si="9"/>
        <v>0</v>
      </c>
      <c r="CO9" s="433">
        <f t="shared" si="10"/>
        <v>0</v>
      </c>
      <c r="CP9" s="433">
        <f t="shared" si="11"/>
        <v>0</v>
      </c>
      <c r="CQ9" s="433">
        <f t="shared" si="12"/>
        <v>0</v>
      </c>
      <c r="CR9" s="433">
        <f t="shared" si="13"/>
        <v>0</v>
      </c>
      <c r="CS9" s="433">
        <f t="shared" si="14"/>
        <v>0</v>
      </c>
      <c r="CT9" s="2"/>
    </row>
    <row r="10" spans="2:98" s="50" customFormat="1" ht="24.75" hidden="1" customHeight="1" outlineLevel="2">
      <c r="B10" s="2"/>
      <c r="C10" s="424" t="s">
        <v>566</v>
      </c>
      <c r="D10" s="418">
        <v>0</v>
      </c>
      <c r="E10" s="418">
        <v>0</v>
      </c>
      <c r="F10" s="418">
        <v>0</v>
      </c>
      <c r="G10" s="418">
        <v>0</v>
      </c>
      <c r="H10" s="418">
        <v>0</v>
      </c>
      <c r="I10" s="418">
        <v>0</v>
      </c>
      <c r="J10" s="418">
        <v>0</v>
      </c>
      <c r="K10" s="418">
        <v>0</v>
      </c>
      <c r="L10" s="418">
        <v>0</v>
      </c>
      <c r="M10" s="418">
        <v>0</v>
      </c>
      <c r="N10" s="418">
        <v>0</v>
      </c>
      <c r="O10" s="418">
        <v>0</v>
      </c>
      <c r="P10" s="418">
        <v>0</v>
      </c>
      <c r="Q10" s="418">
        <v>0</v>
      </c>
      <c r="R10" s="418">
        <v>0</v>
      </c>
      <c r="S10" s="418">
        <v>0</v>
      </c>
      <c r="T10" s="418">
        <v>0</v>
      </c>
      <c r="U10" s="418">
        <v>0</v>
      </c>
      <c r="V10" s="418">
        <v>0</v>
      </c>
      <c r="W10" s="418">
        <v>0</v>
      </c>
      <c r="X10" s="418">
        <v>0</v>
      </c>
      <c r="Y10" s="418">
        <v>0</v>
      </c>
      <c r="Z10" s="418">
        <v>0</v>
      </c>
      <c r="AA10" s="418">
        <v>0</v>
      </c>
      <c r="AB10" s="418">
        <v>0</v>
      </c>
      <c r="AC10" s="418">
        <v>0</v>
      </c>
      <c r="AD10" s="418">
        <v>0</v>
      </c>
      <c r="AE10" s="418">
        <v>0</v>
      </c>
      <c r="AF10" s="418">
        <v>0</v>
      </c>
      <c r="AG10" s="418">
        <v>0</v>
      </c>
      <c r="AH10" s="418">
        <v>0</v>
      </c>
      <c r="AI10" s="418">
        <v>0</v>
      </c>
      <c r="AJ10" s="418">
        <v>0</v>
      </c>
      <c r="AK10" s="418">
        <v>0</v>
      </c>
      <c r="AL10" s="418">
        <v>0</v>
      </c>
      <c r="AM10" s="418">
        <v>0</v>
      </c>
      <c r="AN10" s="418">
        <v>0</v>
      </c>
      <c r="AO10" s="418">
        <v>0</v>
      </c>
      <c r="AP10" s="418">
        <v>0</v>
      </c>
      <c r="AQ10" s="418">
        <v>0</v>
      </c>
      <c r="AR10" s="418">
        <v>0</v>
      </c>
      <c r="AS10" s="418">
        <v>0</v>
      </c>
      <c r="AT10" s="418">
        <v>0</v>
      </c>
      <c r="AU10" s="418">
        <v>0</v>
      </c>
      <c r="AV10" s="418">
        <v>0</v>
      </c>
      <c r="AW10" s="418">
        <v>0</v>
      </c>
      <c r="AX10" s="418">
        <v>0</v>
      </c>
      <c r="AY10" s="418">
        <v>0</v>
      </c>
      <c r="AZ10" s="418">
        <v>0</v>
      </c>
      <c r="BA10" s="418">
        <v>0</v>
      </c>
      <c r="BB10" s="418">
        <v>0</v>
      </c>
      <c r="BC10" s="418">
        <v>0</v>
      </c>
      <c r="BD10" s="418">
        <v>0</v>
      </c>
      <c r="BE10" s="418">
        <v>0</v>
      </c>
      <c r="BF10" s="418">
        <v>0</v>
      </c>
      <c r="BG10" s="418">
        <v>0</v>
      </c>
      <c r="BH10" s="418">
        <v>0</v>
      </c>
      <c r="BI10" s="418">
        <v>0</v>
      </c>
      <c r="BJ10" s="418">
        <v>0</v>
      </c>
      <c r="BK10" s="418">
        <v>0</v>
      </c>
      <c r="BL10" s="418">
        <v>0</v>
      </c>
      <c r="BM10" s="418">
        <v>0</v>
      </c>
      <c r="BN10" s="418">
        <v>0</v>
      </c>
      <c r="BO10" s="418">
        <v>0</v>
      </c>
      <c r="BP10" s="418">
        <v>0</v>
      </c>
      <c r="BQ10" s="418">
        <v>0</v>
      </c>
      <c r="BR10" s="418">
        <v>0</v>
      </c>
      <c r="BS10" s="418">
        <v>0</v>
      </c>
      <c r="BT10" s="418">
        <v>0</v>
      </c>
      <c r="BU10" s="418">
        <v>0</v>
      </c>
      <c r="BV10" s="418">
        <v>0</v>
      </c>
      <c r="BW10" s="418">
        <v>0</v>
      </c>
      <c r="BX10" s="418">
        <v>0</v>
      </c>
      <c r="BY10" s="418">
        <v>0</v>
      </c>
      <c r="BZ10" s="418">
        <v>0</v>
      </c>
      <c r="CA10" s="58"/>
      <c r="CC10" s="2"/>
      <c r="CD10" s="446" t="s">
        <v>566</v>
      </c>
      <c r="CE10" s="433">
        <f t="shared" si="0"/>
        <v>0</v>
      </c>
      <c r="CF10" s="433">
        <f t="shared" si="1"/>
        <v>0</v>
      </c>
      <c r="CG10" s="433">
        <f t="shared" si="2"/>
        <v>0</v>
      </c>
      <c r="CH10" s="433">
        <f t="shared" si="3"/>
        <v>0</v>
      </c>
      <c r="CI10" s="433">
        <f t="shared" si="4"/>
        <v>0</v>
      </c>
      <c r="CJ10" s="433">
        <f t="shared" si="5"/>
        <v>0</v>
      </c>
      <c r="CK10" s="433">
        <f t="shared" si="6"/>
        <v>0</v>
      </c>
      <c r="CL10" s="433">
        <f t="shared" si="7"/>
        <v>0</v>
      </c>
      <c r="CM10" s="433">
        <f t="shared" si="8"/>
        <v>0</v>
      </c>
      <c r="CN10" s="433">
        <f t="shared" si="9"/>
        <v>0</v>
      </c>
      <c r="CO10" s="433">
        <f t="shared" si="10"/>
        <v>0</v>
      </c>
      <c r="CP10" s="433">
        <f t="shared" si="11"/>
        <v>0</v>
      </c>
      <c r="CQ10" s="433">
        <f t="shared" si="12"/>
        <v>0</v>
      </c>
      <c r="CR10" s="433">
        <f t="shared" si="13"/>
        <v>0</v>
      </c>
      <c r="CS10" s="433">
        <f t="shared" si="14"/>
        <v>0</v>
      </c>
      <c r="CT10" s="2"/>
    </row>
    <row r="11" spans="2:98" ht="24.75" hidden="1" customHeight="1" outlineLevel="2">
      <c r="C11" s="424" t="s">
        <v>567</v>
      </c>
      <c r="D11" s="418">
        <v>0</v>
      </c>
      <c r="E11" s="418">
        <v>0</v>
      </c>
      <c r="F11" s="418">
        <v>0</v>
      </c>
      <c r="G11" s="418">
        <v>0</v>
      </c>
      <c r="H11" s="418">
        <v>0</v>
      </c>
      <c r="I11" s="418">
        <v>0</v>
      </c>
      <c r="J11" s="418">
        <v>0</v>
      </c>
      <c r="K11" s="418">
        <v>0</v>
      </c>
      <c r="L11" s="418">
        <v>0</v>
      </c>
      <c r="M11" s="418">
        <v>0</v>
      </c>
      <c r="N11" s="418">
        <v>0</v>
      </c>
      <c r="O11" s="418">
        <v>0</v>
      </c>
      <c r="P11" s="418">
        <v>0</v>
      </c>
      <c r="Q11" s="418">
        <v>0</v>
      </c>
      <c r="R11" s="418">
        <v>0</v>
      </c>
      <c r="S11" s="418">
        <v>0</v>
      </c>
      <c r="T11" s="418">
        <v>0</v>
      </c>
      <c r="U11" s="418">
        <v>0</v>
      </c>
      <c r="V11" s="418">
        <v>0</v>
      </c>
      <c r="W11" s="418">
        <v>0</v>
      </c>
      <c r="X11" s="418">
        <v>0</v>
      </c>
      <c r="Y11" s="418">
        <v>0</v>
      </c>
      <c r="Z11" s="418">
        <v>0</v>
      </c>
      <c r="AA11" s="418">
        <v>0</v>
      </c>
      <c r="AB11" s="418">
        <v>0</v>
      </c>
      <c r="AC11" s="418">
        <v>0</v>
      </c>
      <c r="AD11" s="418">
        <v>0</v>
      </c>
      <c r="AE11" s="418">
        <v>0</v>
      </c>
      <c r="AF11" s="418">
        <v>0</v>
      </c>
      <c r="AG11" s="418">
        <v>0</v>
      </c>
      <c r="AH11" s="418">
        <v>0</v>
      </c>
      <c r="AI11" s="418">
        <v>0</v>
      </c>
      <c r="AJ11" s="418">
        <v>0</v>
      </c>
      <c r="AK11" s="418">
        <v>0</v>
      </c>
      <c r="AL11" s="418">
        <v>0</v>
      </c>
      <c r="AM11" s="418">
        <v>0</v>
      </c>
      <c r="AN11" s="418">
        <v>0</v>
      </c>
      <c r="AO11" s="418">
        <v>0</v>
      </c>
      <c r="AP11" s="418">
        <v>0</v>
      </c>
      <c r="AQ11" s="418">
        <v>0</v>
      </c>
      <c r="AR11" s="418">
        <v>0</v>
      </c>
      <c r="AS11" s="418">
        <v>0</v>
      </c>
      <c r="AT11" s="418">
        <v>0</v>
      </c>
      <c r="AU11" s="418">
        <v>0</v>
      </c>
      <c r="AV11" s="418">
        <v>0</v>
      </c>
      <c r="AW11" s="418">
        <v>0</v>
      </c>
      <c r="AX11" s="418">
        <v>0</v>
      </c>
      <c r="AY11" s="418">
        <v>0</v>
      </c>
      <c r="AZ11" s="418">
        <v>0</v>
      </c>
      <c r="BA11" s="418">
        <v>0</v>
      </c>
      <c r="BB11" s="418">
        <v>0</v>
      </c>
      <c r="BC11" s="418">
        <v>0</v>
      </c>
      <c r="BD11" s="418">
        <v>0</v>
      </c>
      <c r="BE11" s="418">
        <v>0</v>
      </c>
      <c r="BF11" s="418">
        <v>0</v>
      </c>
      <c r="BG11" s="418">
        <v>0</v>
      </c>
      <c r="BH11" s="418">
        <v>0</v>
      </c>
      <c r="BI11" s="418">
        <v>0</v>
      </c>
      <c r="BJ11" s="418">
        <v>0</v>
      </c>
      <c r="BK11" s="418">
        <v>0</v>
      </c>
      <c r="BL11" s="418">
        <v>0</v>
      </c>
      <c r="BM11" s="418">
        <v>0</v>
      </c>
      <c r="BN11" s="418">
        <v>0</v>
      </c>
      <c r="BO11" s="418">
        <v>0</v>
      </c>
      <c r="BP11" s="418">
        <v>0</v>
      </c>
      <c r="BQ11" s="418">
        <v>0</v>
      </c>
      <c r="BR11" s="418">
        <v>0</v>
      </c>
      <c r="BS11" s="418">
        <v>0</v>
      </c>
      <c r="BT11" s="418">
        <v>0</v>
      </c>
      <c r="BU11" s="418">
        <v>0</v>
      </c>
      <c r="BV11" s="418">
        <v>0</v>
      </c>
      <c r="BW11" s="418">
        <v>0</v>
      </c>
      <c r="BX11" s="418">
        <v>0</v>
      </c>
      <c r="BY11" s="418">
        <v>0</v>
      </c>
      <c r="BZ11" s="418">
        <v>0</v>
      </c>
      <c r="CC11" s="21"/>
      <c r="CD11" s="446" t="s">
        <v>567</v>
      </c>
      <c r="CE11" s="433">
        <f t="shared" si="0"/>
        <v>0</v>
      </c>
      <c r="CF11" s="433">
        <f t="shared" si="1"/>
        <v>0</v>
      </c>
      <c r="CG11" s="433">
        <f t="shared" si="2"/>
        <v>0</v>
      </c>
      <c r="CH11" s="433">
        <f t="shared" si="3"/>
        <v>0</v>
      </c>
      <c r="CI11" s="433">
        <f t="shared" si="4"/>
        <v>0</v>
      </c>
      <c r="CJ11" s="433">
        <f t="shared" si="5"/>
        <v>0</v>
      </c>
      <c r="CK11" s="433">
        <f t="shared" si="6"/>
        <v>0</v>
      </c>
      <c r="CL11" s="433">
        <f t="shared" si="7"/>
        <v>0</v>
      </c>
      <c r="CM11" s="433">
        <f t="shared" si="8"/>
        <v>0</v>
      </c>
      <c r="CN11" s="433">
        <f t="shared" si="9"/>
        <v>0</v>
      </c>
      <c r="CO11" s="433">
        <f t="shared" si="10"/>
        <v>0</v>
      </c>
      <c r="CP11" s="433">
        <f t="shared" si="11"/>
        <v>0</v>
      </c>
      <c r="CQ11" s="433">
        <f t="shared" si="12"/>
        <v>0</v>
      </c>
      <c r="CR11" s="433">
        <f t="shared" si="13"/>
        <v>0</v>
      </c>
      <c r="CS11" s="433">
        <f t="shared" si="14"/>
        <v>0</v>
      </c>
      <c r="CT11" s="21"/>
    </row>
    <row r="12" spans="2:98" ht="24.75" hidden="1" customHeight="1" outlineLevel="2">
      <c r="C12" s="424" t="s">
        <v>568</v>
      </c>
      <c r="D12" s="418">
        <v>0</v>
      </c>
      <c r="E12" s="418">
        <v>0</v>
      </c>
      <c r="F12" s="418">
        <v>0</v>
      </c>
      <c r="G12" s="418">
        <v>0</v>
      </c>
      <c r="H12" s="418">
        <v>0</v>
      </c>
      <c r="I12" s="418">
        <v>0</v>
      </c>
      <c r="J12" s="418">
        <v>0</v>
      </c>
      <c r="K12" s="418">
        <v>0</v>
      </c>
      <c r="L12" s="418">
        <v>0</v>
      </c>
      <c r="M12" s="418">
        <v>0</v>
      </c>
      <c r="N12" s="418">
        <v>0</v>
      </c>
      <c r="O12" s="418">
        <v>0</v>
      </c>
      <c r="P12" s="418">
        <v>0</v>
      </c>
      <c r="Q12" s="418">
        <v>0</v>
      </c>
      <c r="R12" s="418">
        <v>0</v>
      </c>
      <c r="S12" s="418">
        <v>0</v>
      </c>
      <c r="T12" s="418">
        <v>0</v>
      </c>
      <c r="U12" s="418">
        <v>0</v>
      </c>
      <c r="V12" s="418">
        <v>0</v>
      </c>
      <c r="W12" s="418">
        <v>0</v>
      </c>
      <c r="X12" s="418">
        <v>0</v>
      </c>
      <c r="Y12" s="418">
        <v>0</v>
      </c>
      <c r="Z12" s="418">
        <v>0</v>
      </c>
      <c r="AA12" s="418">
        <v>0</v>
      </c>
      <c r="AB12" s="418">
        <v>0</v>
      </c>
      <c r="AC12" s="418">
        <v>0</v>
      </c>
      <c r="AD12" s="418">
        <v>0</v>
      </c>
      <c r="AE12" s="418">
        <v>0</v>
      </c>
      <c r="AF12" s="418">
        <v>0</v>
      </c>
      <c r="AG12" s="418">
        <v>0</v>
      </c>
      <c r="AH12" s="418">
        <v>0</v>
      </c>
      <c r="AI12" s="418">
        <v>0</v>
      </c>
      <c r="AJ12" s="418">
        <v>0</v>
      </c>
      <c r="AK12" s="418">
        <v>0</v>
      </c>
      <c r="AL12" s="418">
        <v>0</v>
      </c>
      <c r="AM12" s="418">
        <v>0</v>
      </c>
      <c r="AN12" s="418">
        <v>0</v>
      </c>
      <c r="AO12" s="418">
        <v>0</v>
      </c>
      <c r="AP12" s="418">
        <v>0</v>
      </c>
      <c r="AQ12" s="418">
        <v>0</v>
      </c>
      <c r="AR12" s="418">
        <v>0</v>
      </c>
      <c r="AS12" s="418">
        <v>0</v>
      </c>
      <c r="AT12" s="418">
        <v>0</v>
      </c>
      <c r="AU12" s="418">
        <v>0</v>
      </c>
      <c r="AV12" s="418">
        <v>0</v>
      </c>
      <c r="AW12" s="418">
        <v>0</v>
      </c>
      <c r="AX12" s="418">
        <v>0</v>
      </c>
      <c r="AY12" s="418">
        <v>0</v>
      </c>
      <c r="AZ12" s="418">
        <v>0</v>
      </c>
      <c r="BA12" s="418">
        <v>0</v>
      </c>
      <c r="BB12" s="418">
        <v>0</v>
      </c>
      <c r="BC12" s="418">
        <v>0</v>
      </c>
      <c r="BD12" s="418">
        <v>0</v>
      </c>
      <c r="BE12" s="418">
        <v>0</v>
      </c>
      <c r="BF12" s="418">
        <v>0</v>
      </c>
      <c r="BG12" s="418">
        <v>0</v>
      </c>
      <c r="BH12" s="418">
        <v>0</v>
      </c>
      <c r="BI12" s="418">
        <v>0</v>
      </c>
      <c r="BJ12" s="418">
        <v>0</v>
      </c>
      <c r="BK12" s="418">
        <v>0</v>
      </c>
      <c r="BL12" s="418">
        <v>0</v>
      </c>
      <c r="BM12" s="418">
        <v>0</v>
      </c>
      <c r="BN12" s="418">
        <v>0</v>
      </c>
      <c r="BO12" s="418">
        <v>0</v>
      </c>
      <c r="BP12" s="418">
        <v>0</v>
      </c>
      <c r="BQ12" s="418">
        <v>0</v>
      </c>
      <c r="BR12" s="418">
        <v>0</v>
      </c>
      <c r="BS12" s="418">
        <v>0</v>
      </c>
      <c r="BT12" s="418">
        <v>0</v>
      </c>
      <c r="BU12" s="418">
        <v>0</v>
      </c>
      <c r="BV12" s="418">
        <v>0</v>
      </c>
      <c r="BW12" s="418">
        <v>0</v>
      </c>
      <c r="BX12" s="418">
        <v>0</v>
      </c>
      <c r="BY12" s="418">
        <v>0</v>
      </c>
      <c r="BZ12" s="418">
        <v>0</v>
      </c>
      <c r="CC12" s="21"/>
      <c r="CD12" s="446" t="s">
        <v>568</v>
      </c>
      <c r="CE12" s="433">
        <f t="shared" si="0"/>
        <v>0</v>
      </c>
      <c r="CF12" s="433">
        <f t="shared" si="1"/>
        <v>0</v>
      </c>
      <c r="CG12" s="433">
        <f t="shared" si="2"/>
        <v>0</v>
      </c>
      <c r="CH12" s="433">
        <f t="shared" si="3"/>
        <v>0</v>
      </c>
      <c r="CI12" s="433">
        <f t="shared" si="4"/>
        <v>0</v>
      </c>
      <c r="CJ12" s="433">
        <f t="shared" si="5"/>
        <v>0</v>
      </c>
      <c r="CK12" s="433">
        <f t="shared" si="6"/>
        <v>0</v>
      </c>
      <c r="CL12" s="433">
        <f t="shared" si="7"/>
        <v>0</v>
      </c>
      <c r="CM12" s="433">
        <f t="shared" si="8"/>
        <v>0</v>
      </c>
      <c r="CN12" s="433">
        <f t="shared" si="9"/>
        <v>0</v>
      </c>
      <c r="CO12" s="433">
        <f t="shared" si="10"/>
        <v>0</v>
      </c>
      <c r="CP12" s="433">
        <f t="shared" si="11"/>
        <v>0</v>
      </c>
      <c r="CQ12" s="433">
        <f t="shared" si="12"/>
        <v>0</v>
      </c>
      <c r="CR12" s="433">
        <f t="shared" si="13"/>
        <v>0</v>
      </c>
      <c r="CS12" s="433">
        <f t="shared" si="14"/>
        <v>0</v>
      </c>
      <c r="CT12" s="21"/>
    </row>
    <row r="13" spans="2:98" ht="24.75" hidden="1" customHeight="1" outlineLevel="1">
      <c r="C13" s="415" t="s">
        <v>562</v>
      </c>
      <c r="D13" s="418">
        <v>0</v>
      </c>
      <c r="E13" s="418">
        <v>0</v>
      </c>
      <c r="F13" s="418">
        <v>0</v>
      </c>
      <c r="G13" s="418">
        <v>0</v>
      </c>
      <c r="H13" s="418">
        <v>0</v>
      </c>
      <c r="I13" s="418">
        <v>0</v>
      </c>
      <c r="J13" s="418">
        <v>0</v>
      </c>
      <c r="K13" s="418">
        <v>0</v>
      </c>
      <c r="L13" s="418">
        <v>0</v>
      </c>
      <c r="M13" s="418">
        <v>0</v>
      </c>
      <c r="N13" s="418">
        <v>0</v>
      </c>
      <c r="O13" s="418">
        <v>0</v>
      </c>
      <c r="P13" s="418">
        <v>0</v>
      </c>
      <c r="Q13" s="418">
        <v>0</v>
      </c>
      <c r="R13" s="418">
        <v>0</v>
      </c>
      <c r="S13" s="418">
        <v>0</v>
      </c>
      <c r="T13" s="418">
        <v>0</v>
      </c>
      <c r="U13" s="418">
        <v>0</v>
      </c>
      <c r="V13" s="418">
        <v>0</v>
      </c>
      <c r="W13" s="418">
        <v>0</v>
      </c>
      <c r="X13" s="418">
        <v>0</v>
      </c>
      <c r="Y13" s="418">
        <v>0</v>
      </c>
      <c r="Z13" s="418">
        <v>0</v>
      </c>
      <c r="AA13" s="418">
        <v>0</v>
      </c>
      <c r="AB13" s="418">
        <v>0</v>
      </c>
      <c r="AC13" s="418">
        <v>0</v>
      </c>
      <c r="AD13" s="418">
        <v>0</v>
      </c>
      <c r="AE13" s="418">
        <v>0</v>
      </c>
      <c r="AF13" s="418">
        <v>0</v>
      </c>
      <c r="AG13" s="418">
        <v>0</v>
      </c>
      <c r="AH13" s="418">
        <v>0</v>
      </c>
      <c r="AI13" s="418">
        <v>0</v>
      </c>
      <c r="AJ13" s="418">
        <v>0</v>
      </c>
      <c r="AK13" s="418">
        <v>0</v>
      </c>
      <c r="AL13" s="418">
        <v>0</v>
      </c>
      <c r="AM13" s="418">
        <v>0</v>
      </c>
      <c r="AN13" s="418">
        <v>0</v>
      </c>
      <c r="AO13" s="418">
        <v>0</v>
      </c>
      <c r="AP13" s="418">
        <v>0</v>
      </c>
      <c r="AQ13" s="418">
        <v>0</v>
      </c>
      <c r="AR13" s="418">
        <v>0</v>
      </c>
      <c r="AS13" s="418">
        <v>0</v>
      </c>
      <c r="AT13" s="418">
        <v>0</v>
      </c>
      <c r="AU13" s="418">
        <v>0</v>
      </c>
      <c r="AV13" s="418">
        <v>0</v>
      </c>
      <c r="AW13" s="418">
        <v>0</v>
      </c>
      <c r="AX13" s="418">
        <v>0</v>
      </c>
      <c r="AY13" s="418">
        <v>0</v>
      </c>
      <c r="AZ13" s="418">
        <v>0</v>
      </c>
      <c r="BA13" s="418">
        <v>0</v>
      </c>
      <c r="BB13" s="418">
        <v>0</v>
      </c>
      <c r="BC13" s="418">
        <v>0</v>
      </c>
      <c r="BD13" s="418">
        <v>0</v>
      </c>
      <c r="BE13" s="418">
        <v>0</v>
      </c>
      <c r="BF13" s="418">
        <v>0</v>
      </c>
      <c r="BG13" s="418">
        <v>0</v>
      </c>
      <c r="BH13" s="418">
        <v>0</v>
      </c>
      <c r="BI13" s="418">
        <v>0</v>
      </c>
      <c r="BJ13" s="418">
        <v>0</v>
      </c>
      <c r="BK13" s="418">
        <v>0</v>
      </c>
      <c r="BL13" s="418">
        <v>0</v>
      </c>
      <c r="BM13" s="418">
        <v>0</v>
      </c>
      <c r="BN13" s="418">
        <v>0</v>
      </c>
      <c r="BO13" s="418">
        <v>0</v>
      </c>
      <c r="BP13" s="418">
        <v>0</v>
      </c>
      <c r="BQ13" s="418">
        <v>0</v>
      </c>
      <c r="BR13" s="418">
        <v>0</v>
      </c>
      <c r="BS13" s="418">
        <v>0</v>
      </c>
      <c r="BT13" s="418">
        <v>0</v>
      </c>
      <c r="BU13" s="418">
        <v>0</v>
      </c>
      <c r="BV13" s="418">
        <v>0</v>
      </c>
      <c r="BW13" s="418">
        <v>0</v>
      </c>
      <c r="BX13" s="418">
        <v>0</v>
      </c>
      <c r="BY13" s="418">
        <v>0</v>
      </c>
      <c r="BZ13" s="418">
        <v>0</v>
      </c>
      <c r="CC13" s="21"/>
      <c r="CD13" s="17" t="s">
        <v>562</v>
      </c>
      <c r="CE13" s="433">
        <f t="shared" si="0"/>
        <v>0</v>
      </c>
      <c r="CF13" s="433">
        <f t="shared" si="1"/>
        <v>0</v>
      </c>
      <c r="CG13" s="433">
        <f t="shared" si="2"/>
        <v>0</v>
      </c>
      <c r="CH13" s="433">
        <f t="shared" si="3"/>
        <v>0</v>
      </c>
      <c r="CI13" s="433">
        <f t="shared" si="4"/>
        <v>0</v>
      </c>
      <c r="CJ13" s="433">
        <f t="shared" si="5"/>
        <v>0</v>
      </c>
      <c r="CK13" s="433">
        <f t="shared" si="6"/>
        <v>0</v>
      </c>
      <c r="CL13" s="433">
        <f t="shared" si="7"/>
        <v>0</v>
      </c>
      <c r="CM13" s="433">
        <f t="shared" si="8"/>
        <v>0</v>
      </c>
      <c r="CN13" s="433">
        <f t="shared" si="9"/>
        <v>0</v>
      </c>
      <c r="CO13" s="433">
        <f t="shared" si="10"/>
        <v>0</v>
      </c>
      <c r="CP13" s="433">
        <f t="shared" si="11"/>
        <v>0</v>
      </c>
      <c r="CQ13" s="433">
        <f t="shared" si="12"/>
        <v>0</v>
      </c>
      <c r="CR13" s="433">
        <f t="shared" si="13"/>
        <v>0</v>
      </c>
      <c r="CS13" s="433">
        <f t="shared" si="14"/>
        <v>0</v>
      </c>
      <c r="CT13" s="21"/>
    </row>
    <row r="14" spans="2:98" ht="24.75" hidden="1" customHeight="1" outlineLevel="2">
      <c r="C14" s="424" t="s">
        <v>570</v>
      </c>
      <c r="D14" s="418">
        <v>0</v>
      </c>
      <c r="E14" s="418">
        <v>0</v>
      </c>
      <c r="F14" s="418">
        <v>0</v>
      </c>
      <c r="G14" s="418">
        <v>0</v>
      </c>
      <c r="H14" s="418">
        <v>0</v>
      </c>
      <c r="I14" s="418">
        <v>0</v>
      </c>
      <c r="J14" s="418">
        <v>0</v>
      </c>
      <c r="K14" s="418">
        <v>0</v>
      </c>
      <c r="L14" s="418">
        <v>0</v>
      </c>
      <c r="M14" s="418">
        <v>0</v>
      </c>
      <c r="N14" s="418">
        <v>0</v>
      </c>
      <c r="O14" s="418">
        <v>0</v>
      </c>
      <c r="P14" s="418">
        <v>0</v>
      </c>
      <c r="Q14" s="418">
        <v>0</v>
      </c>
      <c r="R14" s="418">
        <v>0</v>
      </c>
      <c r="S14" s="418">
        <v>0</v>
      </c>
      <c r="T14" s="418">
        <v>0</v>
      </c>
      <c r="U14" s="418">
        <v>0</v>
      </c>
      <c r="V14" s="418">
        <v>0</v>
      </c>
      <c r="W14" s="418">
        <v>0</v>
      </c>
      <c r="X14" s="418">
        <v>0</v>
      </c>
      <c r="Y14" s="418">
        <v>0</v>
      </c>
      <c r="Z14" s="418">
        <v>0</v>
      </c>
      <c r="AA14" s="418">
        <v>0</v>
      </c>
      <c r="AB14" s="418">
        <v>0</v>
      </c>
      <c r="AC14" s="418">
        <v>0</v>
      </c>
      <c r="AD14" s="418">
        <v>0</v>
      </c>
      <c r="AE14" s="418">
        <v>0</v>
      </c>
      <c r="AF14" s="418">
        <v>0</v>
      </c>
      <c r="AG14" s="418">
        <v>0</v>
      </c>
      <c r="AH14" s="418">
        <v>0</v>
      </c>
      <c r="AI14" s="418">
        <v>0</v>
      </c>
      <c r="AJ14" s="418">
        <v>0</v>
      </c>
      <c r="AK14" s="418">
        <v>0</v>
      </c>
      <c r="AL14" s="418">
        <v>0</v>
      </c>
      <c r="AM14" s="418">
        <v>0</v>
      </c>
      <c r="AN14" s="418">
        <v>0</v>
      </c>
      <c r="AO14" s="418">
        <v>0</v>
      </c>
      <c r="AP14" s="418">
        <v>0</v>
      </c>
      <c r="AQ14" s="418">
        <v>0</v>
      </c>
      <c r="AR14" s="418">
        <v>0</v>
      </c>
      <c r="AS14" s="418">
        <v>0</v>
      </c>
      <c r="AT14" s="418">
        <v>0</v>
      </c>
      <c r="AU14" s="418">
        <v>0</v>
      </c>
      <c r="AV14" s="418">
        <v>0</v>
      </c>
      <c r="AW14" s="418">
        <v>0</v>
      </c>
      <c r="AX14" s="418">
        <v>0</v>
      </c>
      <c r="AY14" s="418">
        <v>0</v>
      </c>
      <c r="AZ14" s="418">
        <v>0</v>
      </c>
      <c r="BA14" s="418">
        <v>0</v>
      </c>
      <c r="BB14" s="418">
        <v>0</v>
      </c>
      <c r="BC14" s="418">
        <v>0</v>
      </c>
      <c r="BD14" s="418">
        <v>0</v>
      </c>
      <c r="BE14" s="418">
        <v>0</v>
      </c>
      <c r="BF14" s="418">
        <v>0</v>
      </c>
      <c r="BG14" s="418">
        <v>0</v>
      </c>
      <c r="BH14" s="418">
        <v>0</v>
      </c>
      <c r="BI14" s="418">
        <v>0</v>
      </c>
      <c r="BJ14" s="418">
        <v>0</v>
      </c>
      <c r="BK14" s="418">
        <v>0</v>
      </c>
      <c r="BL14" s="418">
        <v>0</v>
      </c>
      <c r="BM14" s="418">
        <v>0</v>
      </c>
      <c r="BN14" s="418">
        <v>0</v>
      </c>
      <c r="BO14" s="418">
        <v>0</v>
      </c>
      <c r="BP14" s="418">
        <v>0</v>
      </c>
      <c r="BQ14" s="418">
        <v>0</v>
      </c>
      <c r="BR14" s="418">
        <v>0</v>
      </c>
      <c r="BS14" s="418">
        <v>0</v>
      </c>
      <c r="BT14" s="418">
        <v>0</v>
      </c>
      <c r="BU14" s="418">
        <v>0</v>
      </c>
      <c r="BV14" s="418">
        <v>0</v>
      </c>
      <c r="BW14" s="418">
        <v>0</v>
      </c>
      <c r="BX14" s="418">
        <v>0</v>
      </c>
      <c r="BY14" s="418">
        <v>0</v>
      </c>
      <c r="BZ14" s="418">
        <v>0</v>
      </c>
      <c r="CC14" s="21"/>
      <c r="CD14" s="446" t="s">
        <v>570</v>
      </c>
      <c r="CE14" s="433">
        <f t="shared" si="0"/>
        <v>0</v>
      </c>
      <c r="CF14" s="433">
        <f t="shared" si="1"/>
        <v>0</v>
      </c>
      <c r="CG14" s="433">
        <f t="shared" si="2"/>
        <v>0</v>
      </c>
      <c r="CH14" s="433">
        <f t="shared" si="3"/>
        <v>0</v>
      </c>
      <c r="CI14" s="433">
        <f t="shared" si="4"/>
        <v>0</v>
      </c>
      <c r="CJ14" s="433">
        <f t="shared" si="5"/>
        <v>0</v>
      </c>
      <c r="CK14" s="433">
        <f t="shared" si="6"/>
        <v>0</v>
      </c>
      <c r="CL14" s="433">
        <f t="shared" si="7"/>
        <v>0</v>
      </c>
      <c r="CM14" s="433">
        <f t="shared" si="8"/>
        <v>0</v>
      </c>
      <c r="CN14" s="433">
        <f t="shared" si="9"/>
        <v>0</v>
      </c>
      <c r="CO14" s="433">
        <f t="shared" si="10"/>
        <v>0</v>
      </c>
      <c r="CP14" s="433">
        <f t="shared" si="11"/>
        <v>0</v>
      </c>
      <c r="CQ14" s="433">
        <f t="shared" si="12"/>
        <v>0</v>
      </c>
      <c r="CR14" s="433">
        <f t="shared" si="13"/>
        <v>0</v>
      </c>
      <c r="CS14" s="433">
        <f t="shared" si="14"/>
        <v>0</v>
      </c>
      <c r="CT14" s="21"/>
    </row>
    <row r="15" spans="2:98" ht="24.75" hidden="1" customHeight="1" outlineLevel="2">
      <c r="C15" s="424" t="s">
        <v>571</v>
      </c>
      <c r="D15" s="418">
        <v>0</v>
      </c>
      <c r="E15" s="418">
        <v>0</v>
      </c>
      <c r="F15" s="418">
        <v>0</v>
      </c>
      <c r="G15" s="418">
        <v>0</v>
      </c>
      <c r="H15" s="418">
        <v>0</v>
      </c>
      <c r="I15" s="418">
        <v>0</v>
      </c>
      <c r="J15" s="418">
        <v>0</v>
      </c>
      <c r="K15" s="418">
        <v>0</v>
      </c>
      <c r="L15" s="418">
        <v>0</v>
      </c>
      <c r="M15" s="418">
        <v>0</v>
      </c>
      <c r="N15" s="418">
        <v>0</v>
      </c>
      <c r="O15" s="418">
        <v>0</v>
      </c>
      <c r="P15" s="418">
        <v>0</v>
      </c>
      <c r="Q15" s="418">
        <v>0</v>
      </c>
      <c r="R15" s="418">
        <v>0</v>
      </c>
      <c r="S15" s="418">
        <v>0</v>
      </c>
      <c r="T15" s="418">
        <v>0</v>
      </c>
      <c r="U15" s="418">
        <v>0</v>
      </c>
      <c r="V15" s="418">
        <v>0</v>
      </c>
      <c r="W15" s="418">
        <v>0</v>
      </c>
      <c r="X15" s="418">
        <v>0</v>
      </c>
      <c r="Y15" s="418">
        <v>0</v>
      </c>
      <c r="Z15" s="418">
        <v>0</v>
      </c>
      <c r="AA15" s="418">
        <v>0</v>
      </c>
      <c r="AB15" s="418">
        <v>0</v>
      </c>
      <c r="AC15" s="418">
        <v>0</v>
      </c>
      <c r="AD15" s="418">
        <v>0</v>
      </c>
      <c r="AE15" s="418">
        <v>0</v>
      </c>
      <c r="AF15" s="418">
        <v>0</v>
      </c>
      <c r="AG15" s="418">
        <v>0</v>
      </c>
      <c r="AH15" s="418">
        <v>0</v>
      </c>
      <c r="AI15" s="418">
        <v>0</v>
      </c>
      <c r="AJ15" s="418">
        <v>0</v>
      </c>
      <c r="AK15" s="418">
        <v>0</v>
      </c>
      <c r="AL15" s="418">
        <v>0</v>
      </c>
      <c r="AM15" s="418">
        <v>0</v>
      </c>
      <c r="AN15" s="418">
        <v>0</v>
      </c>
      <c r="AO15" s="418">
        <v>0</v>
      </c>
      <c r="AP15" s="418">
        <v>0</v>
      </c>
      <c r="AQ15" s="418">
        <v>0</v>
      </c>
      <c r="AR15" s="418">
        <v>0</v>
      </c>
      <c r="AS15" s="418">
        <v>0</v>
      </c>
      <c r="AT15" s="418">
        <v>0</v>
      </c>
      <c r="AU15" s="418">
        <v>0</v>
      </c>
      <c r="AV15" s="418">
        <v>0</v>
      </c>
      <c r="AW15" s="418">
        <v>0</v>
      </c>
      <c r="AX15" s="418">
        <v>0</v>
      </c>
      <c r="AY15" s="418">
        <v>0</v>
      </c>
      <c r="AZ15" s="418">
        <v>0</v>
      </c>
      <c r="BA15" s="418">
        <v>0</v>
      </c>
      <c r="BB15" s="418">
        <v>0</v>
      </c>
      <c r="BC15" s="418">
        <v>0</v>
      </c>
      <c r="BD15" s="418">
        <v>0</v>
      </c>
      <c r="BE15" s="418">
        <v>0</v>
      </c>
      <c r="BF15" s="418">
        <v>0</v>
      </c>
      <c r="BG15" s="418">
        <v>0</v>
      </c>
      <c r="BH15" s="418">
        <v>0</v>
      </c>
      <c r="BI15" s="418">
        <v>0</v>
      </c>
      <c r="BJ15" s="418">
        <v>0</v>
      </c>
      <c r="BK15" s="418">
        <v>0</v>
      </c>
      <c r="BL15" s="418">
        <v>0</v>
      </c>
      <c r="BM15" s="418">
        <v>0</v>
      </c>
      <c r="BN15" s="418">
        <v>0</v>
      </c>
      <c r="BO15" s="418">
        <v>0</v>
      </c>
      <c r="BP15" s="418">
        <v>0</v>
      </c>
      <c r="BQ15" s="418">
        <v>0</v>
      </c>
      <c r="BR15" s="418">
        <v>0</v>
      </c>
      <c r="BS15" s="418">
        <v>0</v>
      </c>
      <c r="BT15" s="418">
        <v>0</v>
      </c>
      <c r="BU15" s="418">
        <v>0</v>
      </c>
      <c r="BV15" s="418">
        <v>0</v>
      </c>
      <c r="BW15" s="418">
        <v>0</v>
      </c>
      <c r="BX15" s="418">
        <v>0</v>
      </c>
      <c r="BY15" s="418">
        <v>0</v>
      </c>
      <c r="BZ15" s="418">
        <v>0</v>
      </c>
      <c r="CC15" s="21"/>
      <c r="CD15" s="446" t="s">
        <v>571</v>
      </c>
      <c r="CE15" s="433">
        <f t="shared" si="0"/>
        <v>0</v>
      </c>
      <c r="CF15" s="433">
        <f t="shared" si="1"/>
        <v>0</v>
      </c>
      <c r="CG15" s="433">
        <f t="shared" si="2"/>
        <v>0</v>
      </c>
      <c r="CH15" s="433">
        <f t="shared" si="3"/>
        <v>0</v>
      </c>
      <c r="CI15" s="433">
        <f t="shared" si="4"/>
        <v>0</v>
      </c>
      <c r="CJ15" s="433">
        <f t="shared" si="5"/>
        <v>0</v>
      </c>
      <c r="CK15" s="433">
        <f t="shared" si="6"/>
        <v>0</v>
      </c>
      <c r="CL15" s="433">
        <f t="shared" si="7"/>
        <v>0</v>
      </c>
      <c r="CM15" s="433">
        <f t="shared" si="8"/>
        <v>0</v>
      </c>
      <c r="CN15" s="433">
        <f t="shared" si="9"/>
        <v>0</v>
      </c>
      <c r="CO15" s="433">
        <f t="shared" si="10"/>
        <v>0</v>
      </c>
      <c r="CP15" s="433">
        <f t="shared" si="11"/>
        <v>0</v>
      </c>
      <c r="CQ15" s="433">
        <f t="shared" si="12"/>
        <v>0</v>
      </c>
      <c r="CR15" s="433">
        <f t="shared" si="13"/>
        <v>0</v>
      </c>
      <c r="CS15" s="433">
        <f t="shared" si="14"/>
        <v>0</v>
      </c>
      <c r="CT15" s="21"/>
    </row>
    <row r="16" spans="2:98" ht="24.75" hidden="1" customHeight="1" outlineLevel="2">
      <c r="C16" s="424" t="s">
        <v>572</v>
      </c>
      <c r="D16" s="418">
        <v>0</v>
      </c>
      <c r="E16" s="418">
        <v>0</v>
      </c>
      <c r="F16" s="418">
        <v>0</v>
      </c>
      <c r="G16" s="418">
        <v>0</v>
      </c>
      <c r="H16" s="418">
        <v>0</v>
      </c>
      <c r="I16" s="418">
        <v>0</v>
      </c>
      <c r="J16" s="418">
        <v>0</v>
      </c>
      <c r="K16" s="418">
        <v>0</v>
      </c>
      <c r="L16" s="418">
        <v>0</v>
      </c>
      <c r="M16" s="418">
        <v>0</v>
      </c>
      <c r="N16" s="418">
        <v>0</v>
      </c>
      <c r="O16" s="418">
        <v>0</v>
      </c>
      <c r="P16" s="418">
        <v>0</v>
      </c>
      <c r="Q16" s="418">
        <v>0</v>
      </c>
      <c r="R16" s="418">
        <v>0</v>
      </c>
      <c r="S16" s="418">
        <v>0</v>
      </c>
      <c r="T16" s="418">
        <v>0</v>
      </c>
      <c r="U16" s="418">
        <v>0</v>
      </c>
      <c r="V16" s="418">
        <v>0</v>
      </c>
      <c r="W16" s="418">
        <v>0</v>
      </c>
      <c r="X16" s="418">
        <v>0</v>
      </c>
      <c r="Y16" s="418">
        <v>0</v>
      </c>
      <c r="Z16" s="418">
        <v>0</v>
      </c>
      <c r="AA16" s="418">
        <v>0</v>
      </c>
      <c r="AB16" s="418">
        <v>0</v>
      </c>
      <c r="AC16" s="418">
        <v>0</v>
      </c>
      <c r="AD16" s="418">
        <v>0</v>
      </c>
      <c r="AE16" s="418">
        <v>0</v>
      </c>
      <c r="AF16" s="418">
        <v>0</v>
      </c>
      <c r="AG16" s="418">
        <v>0</v>
      </c>
      <c r="AH16" s="418">
        <v>0</v>
      </c>
      <c r="AI16" s="418">
        <v>0</v>
      </c>
      <c r="AJ16" s="418">
        <v>0</v>
      </c>
      <c r="AK16" s="418">
        <v>0</v>
      </c>
      <c r="AL16" s="418">
        <v>0</v>
      </c>
      <c r="AM16" s="418">
        <v>0</v>
      </c>
      <c r="AN16" s="418">
        <v>0</v>
      </c>
      <c r="AO16" s="418">
        <v>0</v>
      </c>
      <c r="AP16" s="418">
        <v>0</v>
      </c>
      <c r="AQ16" s="418">
        <v>0</v>
      </c>
      <c r="AR16" s="418">
        <v>0</v>
      </c>
      <c r="AS16" s="418">
        <v>0</v>
      </c>
      <c r="AT16" s="418">
        <v>0</v>
      </c>
      <c r="AU16" s="418">
        <v>0</v>
      </c>
      <c r="AV16" s="418">
        <v>0</v>
      </c>
      <c r="AW16" s="418">
        <v>0</v>
      </c>
      <c r="AX16" s="418">
        <v>0</v>
      </c>
      <c r="AY16" s="418">
        <v>0</v>
      </c>
      <c r="AZ16" s="418">
        <v>0</v>
      </c>
      <c r="BA16" s="418">
        <v>0</v>
      </c>
      <c r="BB16" s="418">
        <v>0</v>
      </c>
      <c r="BC16" s="418">
        <v>0</v>
      </c>
      <c r="BD16" s="418">
        <v>0</v>
      </c>
      <c r="BE16" s="418">
        <v>0</v>
      </c>
      <c r="BF16" s="418">
        <v>0</v>
      </c>
      <c r="BG16" s="418">
        <v>0</v>
      </c>
      <c r="BH16" s="418">
        <v>0</v>
      </c>
      <c r="BI16" s="418">
        <v>0</v>
      </c>
      <c r="BJ16" s="418">
        <v>0</v>
      </c>
      <c r="BK16" s="418">
        <v>0</v>
      </c>
      <c r="BL16" s="418">
        <v>0</v>
      </c>
      <c r="BM16" s="418">
        <v>0</v>
      </c>
      <c r="BN16" s="418">
        <v>0</v>
      </c>
      <c r="BO16" s="418">
        <v>0</v>
      </c>
      <c r="BP16" s="418">
        <v>0</v>
      </c>
      <c r="BQ16" s="418">
        <v>0</v>
      </c>
      <c r="BR16" s="418">
        <v>0</v>
      </c>
      <c r="BS16" s="418">
        <v>0</v>
      </c>
      <c r="BT16" s="418">
        <v>0</v>
      </c>
      <c r="BU16" s="418">
        <v>0</v>
      </c>
      <c r="BV16" s="418">
        <v>0</v>
      </c>
      <c r="BW16" s="418">
        <v>0</v>
      </c>
      <c r="BX16" s="418">
        <v>0</v>
      </c>
      <c r="BY16" s="418">
        <v>0</v>
      </c>
      <c r="BZ16" s="418">
        <v>0</v>
      </c>
      <c r="CC16" s="21"/>
      <c r="CD16" s="446" t="s">
        <v>572</v>
      </c>
      <c r="CE16" s="433">
        <f t="shared" si="0"/>
        <v>0</v>
      </c>
      <c r="CF16" s="433">
        <f t="shared" si="1"/>
        <v>0</v>
      </c>
      <c r="CG16" s="433">
        <f t="shared" si="2"/>
        <v>0</v>
      </c>
      <c r="CH16" s="433">
        <f t="shared" si="3"/>
        <v>0</v>
      </c>
      <c r="CI16" s="433">
        <f t="shared" si="4"/>
        <v>0</v>
      </c>
      <c r="CJ16" s="433">
        <f t="shared" si="5"/>
        <v>0</v>
      </c>
      <c r="CK16" s="433">
        <f t="shared" si="6"/>
        <v>0</v>
      </c>
      <c r="CL16" s="433">
        <f t="shared" si="7"/>
        <v>0</v>
      </c>
      <c r="CM16" s="433">
        <f t="shared" si="8"/>
        <v>0</v>
      </c>
      <c r="CN16" s="433">
        <f t="shared" si="9"/>
        <v>0</v>
      </c>
      <c r="CO16" s="433">
        <f t="shared" si="10"/>
        <v>0</v>
      </c>
      <c r="CP16" s="433">
        <f t="shared" si="11"/>
        <v>0</v>
      </c>
      <c r="CQ16" s="433">
        <f t="shared" si="12"/>
        <v>0</v>
      </c>
      <c r="CR16" s="433">
        <f t="shared" si="13"/>
        <v>0</v>
      </c>
      <c r="CS16" s="433">
        <f t="shared" si="14"/>
        <v>0</v>
      </c>
      <c r="CT16" s="21"/>
    </row>
    <row r="17" spans="3:98" ht="24.75" hidden="1" customHeight="1" outlineLevel="3">
      <c r="C17" s="426" t="s">
        <v>574</v>
      </c>
      <c r="D17" s="418">
        <v>0</v>
      </c>
      <c r="E17" s="418">
        <v>0</v>
      </c>
      <c r="F17" s="418">
        <v>0</v>
      </c>
      <c r="G17" s="418">
        <v>0</v>
      </c>
      <c r="H17" s="418">
        <v>0</v>
      </c>
      <c r="I17" s="418">
        <v>0</v>
      </c>
      <c r="J17" s="418">
        <v>0</v>
      </c>
      <c r="K17" s="418">
        <v>0</v>
      </c>
      <c r="L17" s="418">
        <v>0</v>
      </c>
      <c r="M17" s="418">
        <v>0</v>
      </c>
      <c r="N17" s="418">
        <v>0</v>
      </c>
      <c r="O17" s="418">
        <v>0</v>
      </c>
      <c r="P17" s="418">
        <v>0</v>
      </c>
      <c r="Q17" s="418">
        <v>0</v>
      </c>
      <c r="R17" s="418">
        <v>0</v>
      </c>
      <c r="S17" s="418">
        <v>0</v>
      </c>
      <c r="T17" s="418">
        <v>0</v>
      </c>
      <c r="U17" s="418">
        <v>0</v>
      </c>
      <c r="V17" s="418">
        <v>0</v>
      </c>
      <c r="W17" s="418">
        <v>0</v>
      </c>
      <c r="X17" s="418">
        <v>0</v>
      </c>
      <c r="Y17" s="418">
        <v>0</v>
      </c>
      <c r="Z17" s="418">
        <v>0</v>
      </c>
      <c r="AA17" s="418">
        <v>0</v>
      </c>
      <c r="AB17" s="418">
        <v>0</v>
      </c>
      <c r="AC17" s="418">
        <v>0</v>
      </c>
      <c r="AD17" s="418">
        <v>0</v>
      </c>
      <c r="AE17" s="418">
        <v>0</v>
      </c>
      <c r="AF17" s="418">
        <v>0</v>
      </c>
      <c r="AG17" s="418">
        <v>0</v>
      </c>
      <c r="AH17" s="418">
        <v>0</v>
      </c>
      <c r="AI17" s="418">
        <v>0</v>
      </c>
      <c r="AJ17" s="418">
        <v>0</v>
      </c>
      <c r="AK17" s="418">
        <v>0</v>
      </c>
      <c r="AL17" s="418">
        <v>0</v>
      </c>
      <c r="AM17" s="418">
        <v>0</v>
      </c>
      <c r="AN17" s="418">
        <v>0</v>
      </c>
      <c r="AO17" s="418">
        <v>0</v>
      </c>
      <c r="AP17" s="418">
        <v>0</v>
      </c>
      <c r="AQ17" s="418">
        <v>0</v>
      </c>
      <c r="AR17" s="418">
        <v>0</v>
      </c>
      <c r="AS17" s="418">
        <v>0</v>
      </c>
      <c r="AT17" s="418">
        <v>0</v>
      </c>
      <c r="AU17" s="418">
        <v>0</v>
      </c>
      <c r="AV17" s="418">
        <v>0</v>
      </c>
      <c r="AW17" s="418">
        <v>0</v>
      </c>
      <c r="AX17" s="418">
        <v>0</v>
      </c>
      <c r="AY17" s="418">
        <v>0</v>
      </c>
      <c r="AZ17" s="418">
        <v>0</v>
      </c>
      <c r="BA17" s="418">
        <v>0</v>
      </c>
      <c r="BB17" s="418">
        <v>0</v>
      </c>
      <c r="BC17" s="418">
        <v>0</v>
      </c>
      <c r="BD17" s="418">
        <v>0</v>
      </c>
      <c r="BE17" s="418">
        <v>0</v>
      </c>
      <c r="BF17" s="418">
        <v>0</v>
      </c>
      <c r="BG17" s="418">
        <v>0</v>
      </c>
      <c r="BH17" s="418">
        <v>0</v>
      </c>
      <c r="BI17" s="418">
        <v>0</v>
      </c>
      <c r="BJ17" s="418">
        <v>0</v>
      </c>
      <c r="BK17" s="418">
        <v>0</v>
      </c>
      <c r="BL17" s="418">
        <v>0</v>
      </c>
      <c r="BM17" s="418">
        <v>0</v>
      </c>
      <c r="BN17" s="418">
        <v>0</v>
      </c>
      <c r="BO17" s="418">
        <v>0</v>
      </c>
      <c r="BP17" s="418">
        <v>0</v>
      </c>
      <c r="BQ17" s="418">
        <v>0</v>
      </c>
      <c r="BR17" s="418">
        <v>0</v>
      </c>
      <c r="BS17" s="418">
        <v>0</v>
      </c>
      <c r="BT17" s="418">
        <v>0</v>
      </c>
      <c r="BU17" s="418">
        <v>0</v>
      </c>
      <c r="BV17" s="418">
        <v>0</v>
      </c>
      <c r="BW17" s="418">
        <v>0</v>
      </c>
      <c r="BX17" s="418">
        <v>0</v>
      </c>
      <c r="BY17" s="418">
        <v>0</v>
      </c>
      <c r="BZ17" s="418">
        <v>0</v>
      </c>
      <c r="CC17" s="21"/>
      <c r="CD17" s="447" t="s">
        <v>574</v>
      </c>
      <c r="CE17" s="433">
        <f t="shared" si="0"/>
        <v>0</v>
      </c>
      <c r="CF17" s="433">
        <f t="shared" si="1"/>
        <v>0</v>
      </c>
      <c r="CG17" s="433">
        <f t="shared" si="2"/>
        <v>0</v>
      </c>
      <c r="CH17" s="433">
        <f t="shared" si="3"/>
        <v>0</v>
      </c>
      <c r="CI17" s="433">
        <f t="shared" si="4"/>
        <v>0</v>
      </c>
      <c r="CJ17" s="433">
        <f t="shared" si="5"/>
        <v>0</v>
      </c>
      <c r="CK17" s="433">
        <f t="shared" si="6"/>
        <v>0</v>
      </c>
      <c r="CL17" s="433">
        <f t="shared" si="7"/>
        <v>0</v>
      </c>
      <c r="CM17" s="433">
        <f t="shared" si="8"/>
        <v>0</v>
      </c>
      <c r="CN17" s="433">
        <f t="shared" si="9"/>
        <v>0</v>
      </c>
      <c r="CO17" s="433">
        <f t="shared" si="10"/>
        <v>0</v>
      </c>
      <c r="CP17" s="433">
        <f t="shared" si="11"/>
        <v>0</v>
      </c>
      <c r="CQ17" s="433">
        <f t="shared" si="12"/>
        <v>0</v>
      </c>
      <c r="CR17" s="433">
        <f t="shared" si="13"/>
        <v>0</v>
      </c>
      <c r="CS17" s="433">
        <f t="shared" si="14"/>
        <v>0</v>
      </c>
      <c r="CT17" s="21"/>
    </row>
    <row r="18" spans="3:98" ht="24.75" hidden="1" customHeight="1" outlineLevel="3">
      <c r="C18" s="426" t="s">
        <v>575</v>
      </c>
      <c r="D18" s="418">
        <v>0</v>
      </c>
      <c r="E18" s="418">
        <v>0</v>
      </c>
      <c r="F18" s="418">
        <v>0</v>
      </c>
      <c r="G18" s="418">
        <v>0</v>
      </c>
      <c r="H18" s="418">
        <v>0</v>
      </c>
      <c r="I18" s="418">
        <v>0</v>
      </c>
      <c r="J18" s="418">
        <v>0</v>
      </c>
      <c r="K18" s="418">
        <v>0</v>
      </c>
      <c r="L18" s="418">
        <v>0</v>
      </c>
      <c r="M18" s="418">
        <v>0</v>
      </c>
      <c r="N18" s="418">
        <v>0</v>
      </c>
      <c r="O18" s="418">
        <v>0</v>
      </c>
      <c r="P18" s="418">
        <v>0</v>
      </c>
      <c r="Q18" s="418">
        <v>0</v>
      </c>
      <c r="R18" s="418">
        <v>0</v>
      </c>
      <c r="S18" s="418">
        <v>0</v>
      </c>
      <c r="T18" s="418">
        <v>0</v>
      </c>
      <c r="U18" s="418">
        <v>0</v>
      </c>
      <c r="V18" s="418">
        <v>0</v>
      </c>
      <c r="W18" s="418">
        <v>0</v>
      </c>
      <c r="X18" s="418">
        <v>0</v>
      </c>
      <c r="Y18" s="418">
        <v>0</v>
      </c>
      <c r="Z18" s="418">
        <v>0</v>
      </c>
      <c r="AA18" s="418">
        <v>0</v>
      </c>
      <c r="AB18" s="418">
        <v>0</v>
      </c>
      <c r="AC18" s="418">
        <v>0</v>
      </c>
      <c r="AD18" s="418">
        <v>0</v>
      </c>
      <c r="AE18" s="418">
        <v>0</v>
      </c>
      <c r="AF18" s="418">
        <v>0</v>
      </c>
      <c r="AG18" s="418">
        <v>0</v>
      </c>
      <c r="AH18" s="418">
        <v>0</v>
      </c>
      <c r="AI18" s="418">
        <v>0</v>
      </c>
      <c r="AJ18" s="418">
        <v>0</v>
      </c>
      <c r="AK18" s="418">
        <v>0</v>
      </c>
      <c r="AL18" s="418">
        <v>0</v>
      </c>
      <c r="AM18" s="418">
        <v>0</v>
      </c>
      <c r="AN18" s="418">
        <v>0</v>
      </c>
      <c r="AO18" s="418">
        <v>0</v>
      </c>
      <c r="AP18" s="418">
        <v>0</v>
      </c>
      <c r="AQ18" s="418">
        <v>0</v>
      </c>
      <c r="AR18" s="418">
        <v>0</v>
      </c>
      <c r="AS18" s="418">
        <v>0</v>
      </c>
      <c r="AT18" s="418">
        <v>0</v>
      </c>
      <c r="AU18" s="418">
        <v>0</v>
      </c>
      <c r="AV18" s="418">
        <v>0</v>
      </c>
      <c r="AW18" s="418">
        <v>0</v>
      </c>
      <c r="AX18" s="418">
        <v>0</v>
      </c>
      <c r="AY18" s="418">
        <v>0</v>
      </c>
      <c r="AZ18" s="418">
        <v>0</v>
      </c>
      <c r="BA18" s="418">
        <v>0</v>
      </c>
      <c r="BB18" s="418">
        <v>0</v>
      </c>
      <c r="BC18" s="418">
        <v>0</v>
      </c>
      <c r="BD18" s="418">
        <v>0</v>
      </c>
      <c r="BE18" s="418">
        <v>0</v>
      </c>
      <c r="BF18" s="418">
        <v>0</v>
      </c>
      <c r="BG18" s="418">
        <v>0</v>
      </c>
      <c r="BH18" s="418">
        <v>0</v>
      </c>
      <c r="BI18" s="418">
        <v>0</v>
      </c>
      <c r="BJ18" s="418">
        <v>0</v>
      </c>
      <c r="BK18" s="418">
        <v>0</v>
      </c>
      <c r="BL18" s="418">
        <v>0</v>
      </c>
      <c r="BM18" s="418">
        <v>0</v>
      </c>
      <c r="BN18" s="418">
        <v>0</v>
      </c>
      <c r="BO18" s="418">
        <v>0</v>
      </c>
      <c r="BP18" s="418">
        <v>0</v>
      </c>
      <c r="BQ18" s="418">
        <v>0</v>
      </c>
      <c r="BR18" s="418">
        <v>0</v>
      </c>
      <c r="BS18" s="418">
        <v>0</v>
      </c>
      <c r="BT18" s="418">
        <v>0</v>
      </c>
      <c r="BU18" s="418">
        <v>0</v>
      </c>
      <c r="BV18" s="418">
        <v>0</v>
      </c>
      <c r="BW18" s="418">
        <v>0</v>
      </c>
      <c r="BX18" s="418">
        <v>0</v>
      </c>
      <c r="BY18" s="418">
        <v>0</v>
      </c>
      <c r="BZ18" s="418">
        <v>0</v>
      </c>
      <c r="CC18" s="21"/>
      <c r="CD18" s="447" t="s">
        <v>575</v>
      </c>
      <c r="CE18" s="433">
        <f t="shared" si="0"/>
        <v>0</v>
      </c>
      <c r="CF18" s="433">
        <f t="shared" si="1"/>
        <v>0</v>
      </c>
      <c r="CG18" s="433">
        <f t="shared" si="2"/>
        <v>0</v>
      </c>
      <c r="CH18" s="433">
        <f t="shared" si="3"/>
        <v>0</v>
      </c>
      <c r="CI18" s="433">
        <f t="shared" si="4"/>
        <v>0</v>
      </c>
      <c r="CJ18" s="433">
        <f t="shared" si="5"/>
        <v>0</v>
      </c>
      <c r="CK18" s="433">
        <f t="shared" si="6"/>
        <v>0</v>
      </c>
      <c r="CL18" s="433">
        <f t="shared" si="7"/>
        <v>0</v>
      </c>
      <c r="CM18" s="433">
        <f t="shared" si="8"/>
        <v>0</v>
      </c>
      <c r="CN18" s="433">
        <f t="shared" si="9"/>
        <v>0</v>
      </c>
      <c r="CO18" s="433">
        <f t="shared" si="10"/>
        <v>0</v>
      </c>
      <c r="CP18" s="433">
        <f t="shared" si="11"/>
        <v>0</v>
      </c>
      <c r="CQ18" s="433">
        <f t="shared" si="12"/>
        <v>0</v>
      </c>
      <c r="CR18" s="433">
        <f t="shared" si="13"/>
        <v>0</v>
      </c>
      <c r="CS18" s="433">
        <f t="shared" si="14"/>
        <v>0</v>
      </c>
      <c r="CT18" s="21"/>
    </row>
    <row r="19" spans="3:98" ht="24.75" hidden="1" customHeight="1" outlineLevel="2">
      <c r="C19" s="424" t="s">
        <v>573</v>
      </c>
      <c r="D19" s="418">
        <v>0</v>
      </c>
      <c r="E19" s="418">
        <v>0</v>
      </c>
      <c r="F19" s="418">
        <v>0</v>
      </c>
      <c r="G19" s="418">
        <v>0</v>
      </c>
      <c r="H19" s="418">
        <v>0</v>
      </c>
      <c r="I19" s="418">
        <v>0</v>
      </c>
      <c r="J19" s="418">
        <v>0</v>
      </c>
      <c r="K19" s="418">
        <v>0</v>
      </c>
      <c r="L19" s="418">
        <v>0</v>
      </c>
      <c r="M19" s="418">
        <v>0</v>
      </c>
      <c r="N19" s="418">
        <v>0</v>
      </c>
      <c r="O19" s="418">
        <v>0</v>
      </c>
      <c r="P19" s="418">
        <v>0</v>
      </c>
      <c r="Q19" s="418">
        <v>0</v>
      </c>
      <c r="R19" s="418">
        <v>0</v>
      </c>
      <c r="S19" s="418">
        <v>0</v>
      </c>
      <c r="T19" s="418">
        <v>0</v>
      </c>
      <c r="U19" s="418">
        <v>0</v>
      </c>
      <c r="V19" s="418">
        <v>0</v>
      </c>
      <c r="W19" s="418">
        <v>0</v>
      </c>
      <c r="X19" s="418">
        <v>0</v>
      </c>
      <c r="Y19" s="418">
        <v>0</v>
      </c>
      <c r="Z19" s="418">
        <v>0</v>
      </c>
      <c r="AA19" s="418">
        <v>0</v>
      </c>
      <c r="AB19" s="418">
        <v>0</v>
      </c>
      <c r="AC19" s="418">
        <v>0</v>
      </c>
      <c r="AD19" s="418">
        <v>0</v>
      </c>
      <c r="AE19" s="418">
        <v>0</v>
      </c>
      <c r="AF19" s="418">
        <v>0</v>
      </c>
      <c r="AG19" s="418">
        <v>0</v>
      </c>
      <c r="AH19" s="418">
        <v>0</v>
      </c>
      <c r="AI19" s="418">
        <v>0</v>
      </c>
      <c r="AJ19" s="418">
        <v>0</v>
      </c>
      <c r="AK19" s="418">
        <v>0</v>
      </c>
      <c r="AL19" s="418">
        <v>0</v>
      </c>
      <c r="AM19" s="418">
        <v>0</v>
      </c>
      <c r="AN19" s="418">
        <v>0</v>
      </c>
      <c r="AO19" s="418">
        <v>0</v>
      </c>
      <c r="AP19" s="418">
        <v>0</v>
      </c>
      <c r="AQ19" s="418">
        <v>0</v>
      </c>
      <c r="AR19" s="418">
        <v>0</v>
      </c>
      <c r="AS19" s="418">
        <v>0</v>
      </c>
      <c r="AT19" s="418">
        <v>0</v>
      </c>
      <c r="AU19" s="418">
        <v>0</v>
      </c>
      <c r="AV19" s="418">
        <v>0</v>
      </c>
      <c r="AW19" s="418">
        <v>0</v>
      </c>
      <c r="AX19" s="418">
        <v>0</v>
      </c>
      <c r="AY19" s="418">
        <v>0</v>
      </c>
      <c r="AZ19" s="418">
        <v>0</v>
      </c>
      <c r="BA19" s="418">
        <v>0</v>
      </c>
      <c r="BB19" s="418">
        <v>0</v>
      </c>
      <c r="BC19" s="418">
        <v>0</v>
      </c>
      <c r="BD19" s="418">
        <v>0</v>
      </c>
      <c r="BE19" s="418">
        <v>0</v>
      </c>
      <c r="BF19" s="418">
        <v>0</v>
      </c>
      <c r="BG19" s="418">
        <v>0</v>
      </c>
      <c r="BH19" s="418">
        <v>0</v>
      </c>
      <c r="BI19" s="418">
        <v>0</v>
      </c>
      <c r="BJ19" s="418">
        <v>0</v>
      </c>
      <c r="BK19" s="418">
        <v>0</v>
      </c>
      <c r="BL19" s="418">
        <v>0</v>
      </c>
      <c r="BM19" s="418">
        <v>0</v>
      </c>
      <c r="BN19" s="418">
        <v>0</v>
      </c>
      <c r="BO19" s="418">
        <v>0</v>
      </c>
      <c r="BP19" s="418">
        <v>0</v>
      </c>
      <c r="BQ19" s="418">
        <v>0</v>
      </c>
      <c r="BR19" s="418">
        <v>0</v>
      </c>
      <c r="BS19" s="418">
        <v>0</v>
      </c>
      <c r="BT19" s="418">
        <v>0</v>
      </c>
      <c r="BU19" s="418">
        <v>0</v>
      </c>
      <c r="BV19" s="418">
        <v>0</v>
      </c>
      <c r="BW19" s="418">
        <v>0</v>
      </c>
      <c r="BX19" s="418">
        <v>0</v>
      </c>
      <c r="BY19" s="418">
        <v>0</v>
      </c>
      <c r="BZ19" s="418">
        <v>0</v>
      </c>
      <c r="CC19" s="21"/>
      <c r="CD19" s="446" t="s">
        <v>573</v>
      </c>
      <c r="CE19" s="433">
        <f t="shared" si="0"/>
        <v>0</v>
      </c>
      <c r="CF19" s="433">
        <f t="shared" si="1"/>
        <v>0</v>
      </c>
      <c r="CG19" s="433">
        <f t="shared" si="2"/>
        <v>0</v>
      </c>
      <c r="CH19" s="433">
        <f t="shared" si="3"/>
        <v>0</v>
      </c>
      <c r="CI19" s="433">
        <f t="shared" si="4"/>
        <v>0</v>
      </c>
      <c r="CJ19" s="433">
        <f t="shared" si="5"/>
        <v>0</v>
      </c>
      <c r="CK19" s="433">
        <f t="shared" si="6"/>
        <v>0</v>
      </c>
      <c r="CL19" s="433">
        <f t="shared" si="7"/>
        <v>0</v>
      </c>
      <c r="CM19" s="433">
        <f t="shared" si="8"/>
        <v>0</v>
      </c>
      <c r="CN19" s="433">
        <f t="shared" si="9"/>
        <v>0</v>
      </c>
      <c r="CO19" s="433">
        <f t="shared" si="10"/>
        <v>0</v>
      </c>
      <c r="CP19" s="433">
        <f t="shared" si="11"/>
        <v>0</v>
      </c>
      <c r="CQ19" s="433">
        <f t="shared" si="12"/>
        <v>0</v>
      </c>
      <c r="CR19" s="433">
        <f t="shared" si="13"/>
        <v>0</v>
      </c>
      <c r="CS19" s="433">
        <f t="shared" si="14"/>
        <v>0</v>
      </c>
      <c r="CT19" s="21"/>
    </row>
    <row r="20" spans="3:98" ht="24.75" hidden="1" customHeight="1" outlineLevel="2">
      <c r="C20" s="424" t="s">
        <v>576</v>
      </c>
      <c r="D20" s="418">
        <v>0</v>
      </c>
      <c r="E20" s="418">
        <v>0</v>
      </c>
      <c r="F20" s="418">
        <v>0</v>
      </c>
      <c r="G20" s="418">
        <v>0</v>
      </c>
      <c r="H20" s="418">
        <v>0</v>
      </c>
      <c r="I20" s="418">
        <v>0</v>
      </c>
      <c r="J20" s="418">
        <v>0</v>
      </c>
      <c r="K20" s="418">
        <v>0</v>
      </c>
      <c r="L20" s="418">
        <v>0</v>
      </c>
      <c r="M20" s="418">
        <v>0</v>
      </c>
      <c r="N20" s="418">
        <v>0</v>
      </c>
      <c r="O20" s="418">
        <v>0</v>
      </c>
      <c r="P20" s="418">
        <v>0</v>
      </c>
      <c r="Q20" s="418">
        <v>0</v>
      </c>
      <c r="R20" s="418">
        <v>0</v>
      </c>
      <c r="S20" s="418">
        <v>0</v>
      </c>
      <c r="T20" s="418">
        <v>0</v>
      </c>
      <c r="U20" s="418">
        <v>0</v>
      </c>
      <c r="V20" s="418">
        <v>0</v>
      </c>
      <c r="W20" s="418">
        <v>0</v>
      </c>
      <c r="X20" s="418">
        <v>0</v>
      </c>
      <c r="Y20" s="418">
        <v>0</v>
      </c>
      <c r="Z20" s="418">
        <v>0</v>
      </c>
      <c r="AA20" s="418">
        <v>0</v>
      </c>
      <c r="AB20" s="418">
        <v>0</v>
      </c>
      <c r="AC20" s="418">
        <v>0</v>
      </c>
      <c r="AD20" s="418">
        <v>0</v>
      </c>
      <c r="AE20" s="418">
        <v>0</v>
      </c>
      <c r="AF20" s="418">
        <v>0</v>
      </c>
      <c r="AG20" s="418">
        <v>0</v>
      </c>
      <c r="AH20" s="418">
        <v>0</v>
      </c>
      <c r="AI20" s="418">
        <v>0</v>
      </c>
      <c r="AJ20" s="418">
        <v>0</v>
      </c>
      <c r="AK20" s="418">
        <v>0</v>
      </c>
      <c r="AL20" s="418">
        <v>0</v>
      </c>
      <c r="AM20" s="418">
        <v>0</v>
      </c>
      <c r="AN20" s="418">
        <v>0</v>
      </c>
      <c r="AO20" s="418">
        <v>0</v>
      </c>
      <c r="AP20" s="418">
        <v>0</v>
      </c>
      <c r="AQ20" s="418">
        <v>0</v>
      </c>
      <c r="AR20" s="418">
        <v>0</v>
      </c>
      <c r="AS20" s="418">
        <v>0</v>
      </c>
      <c r="AT20" s="418">
        <v>0</v>
      </c>
      <c r="AU20" s="418">
        <v>0</v>
      </c>
      <c r="AV20" s="418">
        <v>0</v>
      </c>
      <c r="AW20" s="418">
        <v>0</v>
      </c>
      <c r="AX20" s="418">
        <v>0</v>
      </c>
      <c r="AY20" s="418">
        <v>0</v>
      </c>
      <c r="AZ20" s="418">
        <v>0</v>
      </c>
      <c r="BA20" s="418">
        <v>0</v>
      </c>
      <c r="BB20" s="418">
        <v>0</v>
      </c>
      <c r="BC20" s="418">
        <v>0</v>
      </c>
      <c r="BD20" s="418">
        <v>0</v>
      </c>
      <c r="BE20" s="418">
        <v>0</v>
      </c>
      <c r="BF20" s="418">
        <v>0</v>
      </c>
      <c r="BG20" s="418">
        <v>0</v>
      </c>
      <c r="BH20" s="418">
        <v>0</v>
      </c>
      <c r="BI20" s="418">
        <v>0</v>
      </c>
      <c r="BJ20" s="418">
        <v>0</v>
      </c>
      <c r="BK20" s="418">
        <v>0</v>
      </c>
      <c r="BL20" s="418">
        <v>0</v>
      </c>
      <c r="BM20" s="418">
        <v>0</v>
      </c>
      <c r="BN20" s="418">
        <v>0</v>
      </c>
      <c r="BO20" s="418">
        <v>0</v>
      </c>
      <c r="BP20" s="418">
        <v>0</v>
      </c>
      <c r="BQ20" s="418">
        <v>0</v>
      </c>
      <c r="BR20" s="418">
        <v>0</v>
      </c>
      <c r="BS20" s="418">
        <v>0</v>
      </c>
      <c r="BT20" s="418">
        <v>0</v>
      </c>
      <c r="BU20" s="418">
        <v>0</v>
      </c>
      <c r="BV20" s="418">
        <v>0</v>
      </c>
      <c r="BW20" s="418">
        <v>0</v>
      </c>
      <c r="BX20" s="418">
        <v>0</v>
      </c>
      <c r="BY20" s="418">
        <v>0</v>
      </c>
      <c r="BZ20" s="418">
        <v>0</v>
      </c>
      <c r="CC20" s="21"/>
      <c r="CD20" s="446" t="s">
        <v>576</v>
      </c>
      <c r="CE20" s="433">
        <f t="shared" si="0"/>
        <v>0</v>
      </c>
      <c r="CF20" s="433">
        <f t="shared" si="1"/>
        <v>0</v>
      </c>
      <c r="CG20" s="433">
        <f t="shared" si="2"/>
        <v>0</v>
      </c>
      <c r="CH20" s="433">
        <f t="shared" si="3"/>
        <v>0</v>
      </c>
      <c r="CI20" s="433">
        <f t="shared" si="4"/>
        <v>0</v>
      </c>
      <c r="CJ20" s="433">
        <f t="shared" si="5"/>
        <v>0</v>
      </c>
      <c r="CK20" s="433">
        <f t="shared" si="6"/>
        <v>0</v>
      </c>
      <c r="CL20" s="433">
        <f t="shared" si="7"/>
        <v>0</v>
      </c>
      <c r="CM20" s="433">
        <f t="shared" si="8"/>
        <v>0</v>
      </c>
      <c r="CN20" s="433">
        <f t="shared" si="9"/>
        <v>0</v>
      </c>
      <c r="CO20" s="433">
        <f t="shared" si="10"/>
        <v>0</v>
      </c>
      <c r="CP20" s="433">
        <f t="shared" si="11"/>
        <v>0</v>
      </c>
      <c r="CQ20" s="433">
        <f t="shared" si="12"/>
        <v>0</v>
      </c>
      <c r="CR20" s="433">
        <f t="shared" si="13"/>
        <v>0</v>
      </c>
      <c r="CS20" s="433">
        <f t="shared" si="14"/>
        <v>0</v>
      </c>
      <c r="CT20" s="21"/>
    </row>
    <row r="21" spans="3:98" ht="24.75" hidden="1" customHeight="1" outlineLevel="2">
      <c r="C21" s="424" t="s">
        <v>577</v>
      </c>
      <c r="D21" s="441">
        <v>0</v>
      </c>
      <c r="E21" s="441">
        <v>0</v>
      </c>
      <c r="F21" s="441">
        <v>0</v>
      </c>
      <c r="G21" s="441">
        <v>0</v>
      </c>
      <c r="H21" s="441">
        <v>0</v>
      </c>
      <c r="I21" s="441">
        <v>0</v>
      </c>
      <c r="J21" s="441">
        <v>0</v>
      </c>
      <c r="K21" s="441">
        <v>0</v>
      </c>
      <c r="L21" s="441">
        <v>0</v>
      </c>
      <c r="M21" s="441">
        <v>0</v>
      </c>
      <c r="N21" s="441">
        <v>0</v>
      </c>
      <c r="O21" s="441">
        <v>0</v>
      </c>
      <c r="P21" s="441">
        <v>0</v>
      </c>
      <c r="Q21" s="441">
        <v>0</v>
      </c>
      <c r="R21" s="441">
        <v>0</v>
      </c>
      <c r="S21" s="441">
        <v>0</v>
      </c>
      <c r="T21" s="441">
        <v>0</v>
      </c>
      <c r="U21" s="441">
        <v>0</v>
      </c>
      <c r="V21" s="441">
        <v>0</v>
      </c>
      <c r="W21" s="441">
        <v>0</v>
      </c>
      <c r="X21" s="441">
        <v>0</v>
      </c>
      <c r="Y21" s="441">
        <v>0</v>
      </c>
      <c r="Z21" s="441">
        <v>0</v>
      </c>
      <c r="AA21" s="441">
        <v>0</v>
      </c>
      <c r="AB21" s="441">
        <v>0</v>
      </c>
      <c r="AC21" s="441">
        <v>0</v>
      </c>
      <c r="AD21" s="441">
        <v>0</v>
      </c>
      <c r="AE21" s="441">
        <v>0</v>
      </c>
      <c r="AF21" s="441">
        <v>0</v>
      </c>
      <c r="AG21" s="441">
        <v>0</v>
      </c>
      <c r="AH21" s="441">
        <v>0</v>
      </c>
      <c r="AI21" s="441">
        <v>0</v>
      </c>
      <c r="AJ21" s="441">
        <v>0</v>
      </c>
      <c r="AK21" s="441">
        <v>0</v>
      </c>
      <c r="AL21" s="441">
        <v>0</v>
      </c>
      <c r="AM21" s="441">
        <v>0</v>
      </c>
      <c r="AN21" s="441">
        <v>0</v>
      </c>
      <c r="AO21" s="441">
        <v>0</v>
      </c>
      <c r="AP21" s="441">
        <v>0</v>
      </c>
      <c r="AQ21" s="441">
        <v>0</v>
      </c>
      <c r="AR21" s="441">
        <v>0</v>
      </c>
      <c r="AS21" s="441">
        <v>0</v>
      </c>
      <c r="AT21" s="441">
        <v>0</v>
      </c>
      <c r="AU21" s="441">
        <v>0</v>
      </c>
      <c r="AV21" s="441">
        <v>0</v>
      </c>
      <c r="AW21" s="441">
        <v>0</v>
      </c>
      <c r="AX21" s="441">
        <v>0</v>
      </c>
      <c r="AY21" s="441">
        <v>0</v>
      </c>
      <c r="AZ21" s="441">
        <v>0</v>
      </c>
      <c r="BA21" s="441">
        <v>0</v>
      </c>
      <c r="BB21" s="441">
        <v>0</v>
      </c>
      <c r="BC21" s="441">
        <v>0</v>
      </c>
      <c r="BD21" s="441">
        <v>0</v>
      </c>
      <c r="BE21" s="441">
        <v>0</v>
      </c>
      <c r="BF21" s="441">
        <v>0</v>
      </c>
      <c r="BG21" s="441">
        <v>0</v>
      </c>
      <c r="BH21" s="441">
        <v>0</v>
      </c>
      <c r="BI21" s="441">
        <v>0</v>
      </c>
      <c r="BJ21" s="441">
        <v>0</v>
      </c>
      <c r="BK21" s="441">
        <v>0</v>
      </c>
      <c r="BL21" s="441">
        <v>0</v>
      </c>
      <c r="BM21" s="441">
        <v>0</v>
      </c>
      <c r="BN21" s="441">
        <v>0</v>
      </c>
      <c r="BO21" s="441">
        <v>0</v>
      </c>
      <c r="BP21" s="441">
        <v>0</v>
      </c>
      <c r="BQ21" s="441">
        <v>0</v>
      </c>
      <c r="BR21" s="441">
        <v>0</v>
      </c>
      <c r="BS21" s="441">
        <v>0</v>
      </c>
      <c r="BT21" s="441">
        <v>0</v>
      </c>
      <c r="BU21" s="441">
        <v>0</v>
      </c>
      <c r="BV21" s="441">
        <v>0</v>
      </c>
      <c r="BW21" s="441">
        <v>0</v>
      </c>
      <c r="BX21" s="441">
        <v>0</v>
      </c>
      <c r="BY21" s="441">
        <v>0</v>
      </c>
      <c r="BZ21" s="441">
        <v>0</v>
      </c>
      <c r="CC21" s="21"/>
      <c r="CD21" s="446" t="s">
        <v>577</v>
      </c>
      <c r="CE21" s="433">
        <f t="shared" si="0"/>
        <v>0</v>
      </c>
      <c r="CF21" s="433">
        <f t="shared" si="1"/>
        <v>0</v>
      </c>
      <c r="CG21" s="433">
        <f t="shared" si="2"/>
        <v>0</v>
      </c>
      <c r="CH21" s="433">
        <f t="shared" si="3"/>
        <v>0</v>
      </c>
      <c r="CI21" s="433">
        <f t="shared" si="4"/>
        <v>0</v>
      </c>
      <c r="CJ21" s="433">
        <f t="shared" si="5"/>
        <v>0</v>
      </c>
      <c r="CK21" s="433">
        <f t="shared" si="6"/>
        <v>0</v>
      </c>
      <c r="CL21" s="433">
        <f t="shared" si="7"/>
        <v>0</v>
      </c>
      <c r="CM21" s="433">
        <f t="shared" si="8"/>
        <v>0</v>
      </c>
      <c r="CN21" s="433">
        <f t="shared" si="9"/>
        <v>0</v>
      </c>
      <c r="CO21" s="433">
        <f t="shared" si="10"/>
        <v>0</v>
      </c>
      <c r="CP21" s="433">
        <f t="shared" si="11"/>
        <v>0</v>
      </c>
      <c r="CQ21" s="433">
        <f t="shared" si="12"/>
        <v>0</v>
      </c>
      <c r="CR21" s="433">
        <f t="shared" si="13"/>
        <v>0</v>
      </c>
      <c r="CS21" s="433">
        <f t="shared" si="14"/>
        <v>0</v>
      </c>
      <c r="CT21" s="21"/>
    </row>
    <row r="22" spans="3:98" ht="24.75" hidden="1" customHeight="1" outlineLevel="1">
      <c r="C22" s="415" t="s">
        <v>569</v>
      </c>
      <c r="D22" s="441">
        <v>0</v>
      </c>
      <c r="E22" s="441">
        <v>0</v>
      </c>
      <c r="F22" s="441">
        <v>0</v>
      </c>
      <c r="G22" s="441">
        <v>0</v>
      </c>
      <c r="H22" s="441">
        <v>0</v>
      </c>
      <c r="I22" s="441">
        <v>0</v>
      </c>
      <c r="J22" s="441">
        <v>0</v>
      </c>
      <c r="K22" s="441">
        <v>0</v>
      </c>
      <c r="L22" s="441">
        <v>0</v>
      </c>
      <c r="M22" s="441">
        <v>0</v>
      </c>
      <c r="N22" s="441">
        <v>0</v>
      </c>
      <c r="O22" s="441">
        <v>0</v>
      </c>
      <c r="P22" s="441">
        <v>0</v>
      </c>
      <c r="Q22" s="441">
        <v>0</v>
      </c>
      <c r="R22" s="441">
        <v>0</v>
      </c>
      <c r="S22" s="441">
        <v>0</v>
      </c>
      <c r="T22" s="441">
        <v>0</v>
      </c>
      <c r="U22" s="441">
        <v>0</v>
      </c>
      <c r="V22" s="441">
        <v>0</v>
      </c>
      <c r="W22" s="441">
        <v>0</v>
      </c>
      <c r="X22" s="441">
        <v>0</v>
      </c>
      <c r="Y22" s="441">
        <v>0</v>
      </c>
      <c r="Z22" s="441">
        <v>0</v>
      </c>
      <c r="AA22" s="441">
        <v>0</v>
      </c>
      <c r="AB22" s="441">
        <v>0</v>
      </c>
      <c r="AC22" s="441">
        <v>0</v>
      </c>
      <c r="AD22" s="441">
        <v>0</v>
      </c>
      <c r="AE22" s="441">
        <v>0</v>
      </c>
      <c r="AF22" s="441">
        <v>0</v>
      </c>
      <c r="AG22" s="441">
        <v>0</v>
      </c>
      <c r="AH22" s="441">
        <v>0</v>
      </c>
      <c r="AI22" s="441">
        <v>0</v>
      </c>
      <c r="AJ22" s="441">
        <v>0</v>
      </c>
      <c r="AK22" s="441">
        <v>0</v>
      </c>
      <c r="AL22" s="441">
        <v>0</v>
      </c>
      <c r="AM22" s="441">
        <v>0</v>
      </c>
      <c r="AN22" s="441">
        <v>0</v>
      </c>
      <c r="AO22" s="441">
        <v>0</v>
      </c>
      <c r="AP22" s="441">
        <v>0</v>
      </c>
      <c r="AQ22" s="441">
        <v>0</v>
      </c>
      <c r="AR22" s="441">
        <v>0</v>
      </c>
      <c r="AS22" s="441">
        <v>0</v>
      </c>
      <c r="AT22" s="441">
        <v>0</v>
      </c>
      <c r="AU22" s="441">
        <v>0</v>
      </c>
      <c r="AV22" s="441">
        <v>0</v>
      </c>
      <c r="AW22" s="441">
        <v>0</v>
      </c>
      <c r="AX22" s="441">
        <v>0</v>
      </c>
      <c r="AY22" s="441">
        <v>0</v>
      </c>
      <c r="AZ22" s="441">
        <v>0</v>
      </c>
      <c r="BA22" s="441">
        <v>0</v>
      </c>
      <c r="BB22" s="441">
        <v>0</v>
      </c>
      <c r="BC22" s="441">
        <v>0</v>
      </c>
      <c r="BD22" s="441">
        <v>0</v>
      </c>
      <c r="BE22" s="441">
        <v>0</v>
      </c>
      <c r="BF22" s="441">
        <v>0</v>
      </c>
      <c r="BG22" s="441">
        <v>0</v>
      </c>
      <c r="BH22" s="441">
        <v>0</v>
      </c>
      <c r="BI22" s="441">
        <v>0</v>
      </c>
      <c r="BJ22" s="441">
        <v>0</v>
      </c>
      <c r="BK22" s="441">
        <v>0</v>
      </c>
      <c r="BL22" s="441">
        <v>0</v>
      </c>
      <c r="BM22" s="441">
        <v>0</v>
      </c>
      <c r="BN22" s="441">
        <v>0</v>
      </c>
      <c r="BO22" s="441">
        <v>0</v>
      </c>
      <c r="BP22" s="441">
        <v>0</v>
      </c>
      <c r="BQ22" s="441">
        <v>0</v>
      </c>
      <c r="BR22" s="441">
        <v>0</v>
      </c>
      <c r="BS22" s="441">
        <v>0</v>
      </c>
      <c r="BT22" s="441">
        <v>0</v>
      </c>
      <c r="BU22" s="441">
        <v>0</v>
      </c>
      <c r="BV22" s="441">
        <v>0</v>
      </c>
      <c r="BW22" s="441">
        <v>0</v>
      </c>
      <c r="BX22" s="441">
        <v>0</v>
      </c>
      <c r="BY22" s="441">
        <v>0</v>
      </c>
      <c r="BZ22" s="441">
        <v>0</v>
      </c>
      <c r="CC22" s="21"/>
      <c r="CD22" s="17" t="s">
        <v>569</v>
      </c>
      <c r="CE22" s="433">
        <f t="shared" si="0"/>
        <v>0</v>
      </c>
      <c r="CF22" s="433">
        <f t="shared" si="1"/>
        <v>0</v>
      </c>
      <c r="CG22" s="433">
        <f t="shared" si="2"/>
        <v>0</v>
      </c>
      <c r="CH22" s="433">
        <f t="shared" si="3"/>
        <v>0</v>
      </c>
      <c r="CI22" s="433">
        <f t="shared" si="4"/>
        <v>0</v>
      </c>
      <c r="CJ22" s="433">
        <f t="shared" si="5"/>
        <v>0</v>
      </c>
      <c r="CK22" s="433">
        <f t="shared" si="6"/>
        <v>0</v>
      </c>
      <c r="CL22" s="433">
        <f t="shared" si="7"/>
        <v>0</v>
      </c>
      <c r="CM22" s="433">
        <f t="shared" si="8"/>
        <v>0</v>
      </c>
      <c r="CN22" s="433">
        <f t="shared" si="9"/>
        <v>0</v>
      </c>
      <c r="CO22" s="433">
        <f t="shared" si="10"/>
        <v>0</v>
      </c>
      <c r="CP22" s="433">
        <f t="shared" si="11"/>
        <v>0</v>
      </c>
      <c r="CQ22" s="433">
        <f t="shared" si="12"/>
        <v>0</v>
      </c>
      <c r="CR22" s="433">
        <f t="shared" si="13"/>
        <v>0</v>
      </c>
      <c r="CS22" s="433">
        <f t="shared" si="14"/>
        <v>0</v>
      </c>
      <c r="CT22" s="21"/>
    </row>
    <row r="23" spans="3:98" ht="24.75" customHeight="1" collapsed="1">
      <c r="C23" s="417" t="s">
        <v>561</v>
      </c>
      <c r="D23" s="427">
        <v>0</v>
      </c>
      <c r="E23" s="427">
        <v>0</v>
      </c>
      <c r="F23" s="427">
        <v>0</v>
      </c>
      <c r="G23" s="427">
        <v>0</v>
      </c>
      <c r="H23" s="427">
        <v>0</v>
      </c>
      <c r="I23" s="427">
        <v>0</v>
      </c>
      <c r="J23" s="427">
        <v>0</v>
      </c>
      <c r="K23" s="427">
        <v>0</v>
      </c>
      <c r="L23" s="427">
        <v>0</v>
      </c>
      <c r="M23" s="427">
        <v>0</v>
      </c>
      <c r="N23" s="427">
        <v>0</v>
      </c>
      <c r="O23" s="427">
        <v>0</v>
      </c>
      <c r="P23" s="427">
        <v>0</v>
      </c>
      <c r="Q23" s="427">
        <v>0</v>
      </c>
      <c r="R23" s="427">
        <v>0</v>
      </c>
      <c r="S23" s="427">
        <v>0</v>
      </c>
      <c r="T23" s="427">
        <v>0</v>
      </c>
      <c r="U23" s="427">
        <v>0</v>
      </c>
      <c r="V23" s="427">
        <v>0</v>
      </c>
      <c r="W23" s="427">
        <v>0</v>
      </c>
      <c r="X23" s="427">
        <v>0</v>
      </c>
      <c r="Y23" s="427">
        <v>0</v>
      </c>
      <c r="Z23" s="427">
        <v>0</v>
      </c>
      <c r="AA23" s="427">
        <v>0</v>
      </c>
      <c r="AB23" s="427">
        <v>0</v>
      </c>
      <c r="AC23" s="427">
        <v>0</v>
      </c>
      <c r="AD23" s="427">
        <v>0</v>
      </c>
      <c r="AE23" s="427">
        <v>0</v>
      </c>
      <c r="AF23" s="427">
        <v>0</v>
      </c>
      <c r="AG23" s="427">
        <v>0</v>
      </c>
      <c r="AH23" s="427">
        <v>0</v>
      </c>
      <c r="AI23" s="427">
        <v>0</v>
      </c>
      <c r="AJ23" s="427">
        <v>0</v>
      </c>
      <c r="AK23" s="427">
        <v>0</v>
      </c>
      <c r="AL23" s="427">
        <v>0</v>
      </c>
      <c r="AM23" s="427">
        <v>0</v>
      </c>
      <c r="AN23" s="427">
        <v>0</v>
      </c>
      <c r="AO23" s="427">
        <v>0</v>
      </c>
      <c r="AP23" s="427">
        <v>0</v>
      </c>
      <c r="AQ23" s="427">
        <v>0</v>
      </c>
      <c r="AR23" s="427">
        <v>0</v>
      </c>
      <c r="AS23" s="427">
        <v>0</v>
      </c>
      <c r="AT23" s="427">
        <v>0</v>
      </c>
      <c r="AU23" s="427">
        <v>0</v>
      </c>
      <c r="AV23" s="427">
        <v>0</v>
      </c>
      <c r="AW23" s="427">
        <v>0</v>
      </c>
      <c r="AX23" s="427">
        <v>0</v>
      </c>
      <c r="AY23" s="427">
        <v>0</v>
      </c>
      <c r="AZ23" s="427">
        <v>0</v>
      </c>
      <c r="BA23" s="427">
        <v>0</v>
      </c>
      <c r="BB23" s="427">
        <v>0</v>
      </c>
      <c r="BC23" s="427">
        <v>0</v>
      </c>
      <c r="BD23" s="427">
        <v>0</v>
      </c>
      <c r="BE23" s="427">
        <v>0</v>
      </c>
      <c r="BF23" s="427">
        <v>0</v>
      </c>
      <c r="BG23" s="427">
        <v>0</v>
      </c>
      <c r="BH23" s="427">
        <v>0</v>
      </c>
      <c r="BI23" s="427">
        <v>0</v>
      </c>
      <c r="BJ23" s="427">
        <v>0</v>
      </c>
      <c r="BK23" s="427">
        <v>0</v>
      </c>
      <c r="BL23" s="427">
        <v>0</v>
      </c>
      <c r="BM23" s="427">
        <v>0</v>
      </c>
      <c r="BN23" s="427">
        <v>0</v>
      </c>
      <c r="BO23" s="427">
        <v>0</v>
      </c>
      <c r="BP23" s="427">
        <v>0</v>
      </c>
      <c r="BQ23" s="427">
        <v>0</v>
      </c>
      <c r="BR23" s="427">
        <v>0</v>
      </c>
      <c r="BS23" s="427">
        <v>0</v>
      </c>
      <c r="BT23" s="427">
        <v>0</v>
      </c>
      <c r="BU23" s="427">
        <v>0</v>
      </c>
      <c r="BV23" s="427">
        <v>0</v>
      </c>
      <c r="BW23" s="427">
        <v>0</v>
      </c>
      <c r="BX23" s="427">
        <v>0</v>
      </c>
      <c r="BY23" s="427">
        <v>0</v>
      </c>
      <c r="BZ23" s="427">
        <v>0</v>
      </c>
      <c r="CC23" s="21"/>
      <c r="CD23" s="417" t="s">
        <v>561</v>
      </c>
      <c r="CE23" s="433">
        <f t="shared" si="0"/>
        <v>0</v>
      </c>
      <c r="CF23" s="433">
        <f t="shared" si="1"/>
        <v>0</v>
      </c>
      <c r="CG23" s="433">
        <f t="shared" si="2"/>
        <v>0</v>
      </c>
      <c r="CH23" s="433">
        <f t="shared" si="3"/>
        <v>0</v>
      </c>
      <c r="CI23" s="433">
        <f t="shared" si="4"/>
        <v>0</v>
      </c>
      <c r="CJ23" s="433">
        <f t="shared" si="5"/>
        <v>0</v>
      </c>
      <c r="CK23" s="433">
        <f t="shared" si="6"/>
        <v>0</v>
      </c>
      <c r="CL23" s="433">
        <f t="shared" si="7"/>
        <v>0</v>
      </c>
      <c r="CM23" s="433">
        <f t="shared" si="8"/>
        <v>0</v>
      </c>
      <c r="CN23" s="433">
        <f t="shared" si="9"/>
        <v>0</v>
      </c>
      <c r="CO23" s="433">
        <f t="shared" si="10"/>
        <v>0</v>
      </c>
      <c r="CP23" s="433">
        <f t="shared" si="11"/>
        <v>0</v>
      </c>
      <c r="CQ23" s="433">
        <f t="shared" si="12"/>
        <v>0</v>
      </c>
      <c r="CR23" s="433">
        <f t="shared" si="13"/>
        <v>0</v>
      </c>
      <c r="CS23" s="433">
        <f t="shared" si="14"/>
        <v>0</v>
      </c>
      <c r="CT23" s="21"/>
    </row>
    <row r="24" spans="3:98" ht="24.75" customHeight="1" collapsed="1">
      <c r="C24" s="417" t="s">
        <v>578</v>
      </c>
      <c r="D24" s="427">
        <v>0</v>
      </c>
      <c r="E24" s="427">
        <v>0</v>
      </c>
      <c r="F24" s="427">
        <v>0</v>
      </c>
      <c r="G24" s="427">
        <v>0</v>
      </c>
      <c r="H24" s="427">
        <v>0</v>
      </c>
      <c r="I24" s="427">
        <v>0</v>
      </c>
      <c r="J24" s="427">
        <v>0</v>
      </c>
      <c r="K24" s="427">
        <v>0</v>
      </c>
      <c r="L24" s="427">
        <v>0</v>
      </c>
      <c r="M24" s="427">
        <v>0</v>
      </c>
      <c r="N24" s="427">
        <v>0</v>
      </c>
      <c r="O24" s="427">
        <v>0</v>
      </c>
      <c r="P24" s="427">
        <v>0</v>
      </c>
      <c r="Q24" s="427">
        <v>0</v>
      </c>
      <c r="R24" s="427">
        <v>0</v>
      </c>
      <c r="S24" s="427">
        <v>0</v>
      </c>
      <c r="T24" s="427">
        <v>0</v>
      </c>
      <c r="U24" s="427">
        <v>0</v>
      </c>
      <c r="V24" s="427">
        <v>0</v>
      </c>
      <c r="W24" s="427">
        <v>0</v>
      </c>
      <c r="X24" s="427">
        <v>0</v>
      </c>
      <c r="Y24" s="427">
        <v>0</v>
      </c>
      <c r="Z24" s="427">
        <v>0</v>
      </c>
      <c r="AA24" s="427">
        <v>0</v>
      </c>
      <c r="AB24" s="427">
        <v>0</v>
      </c>
      <c r="AC24" s="427">
        <v>0</v>
      </c>
      <c r="AD24" s="427">
        <v>0</v>
      </c>
      <c r="AE24" s="427">
        <v>0</v>
      </c>
      <c r="AF24" s="427">
        <v>0</v>
      </c>
      <c r="AG24" s="427">
        <v>0</v>
      </c>
      <c r="AH24" s="427">
        <v>0</v>
      </c>
      <c r="AI24" s="427">
        <v>0</v>
      </c>
      <c r="AJ24" s="427">
        <v>0</v>
      </c>
      <c r="AK24" s="427">
        <v>0</v>
      </c>
      <c r="AL24" s="427">
        <v>0</v>
      </c>
      <c r="AM24" s="427">
        <v>0</v>
      </c>
      <c r="AN24" s="427">
        <v>0</v>
      </c>
      <c r="AO24" s="427">
        <v>0</v>
      </c>
      <c r="AP24" s="427">
        <v>0</v>
      </c>
      <c r="AQ24" s="427">
        <v>0</v>
      </c>
      <c r="AR24" s="427">
        <v>0</v>
      </c>
      <c r="AS24" s="427">
        <v>0</v>
      </c>
      <c r="AT24" s="427">
        <v>0</v>
      </c>
      <c r="AU24" s="427">
        <v>0</v>
      </c>
      <c r="AV24" s="427">
        <v>0</v>
      </c>
      <c r="AW24" s="427">
        <v>0</v>
      </c>
      <c r="AX24" s="427">
        <v>0</v>
      </c>
      <c r="AY24" s="427">
        <v>0</v>
      </c>
      <c r="AZ24" s="427">
        <v>0</v>
      </c>
      <c r="BA24" s="427">
        <v>0</v>
      </c>
      <c r="BB24" s="427">
        <v>0</v>
      </c>
      <c r="BC24" s="427">
        <v>0</v>
      </c>
      <c r="BD24" s="427">
        <v>0</v>
      </c>
      <c r="BE24" s="427">
        <v>0</v>
      </c>
      <c r="BF24" s="427">
        <v>0</v>
      </c>
      <c r="BG24" s="427">
        <v>0</v>
      </c>
      <c r="BH24" s="427">
        <v>0</v>
      </c>
      <c r="BI24" s="427">
        <v>0</v>
      </c>
      <c r="BJ24" s="427">
        <v>0</v>
      </c>
      <c r="BK24" s="427">
        <v>0</v>
      </c>
      <c r="BL24" s="427">
        <v>0</v>
      </c>
      <c r="BM24" s="427">
        <v>0</v>
      </c>
      <c r="BN24" s="427">
        <v>0</v>
      </c>
      <c r="BO24" s="427">
        <v>0</v>
      </c>
      <c r="BP24" s="427">
        <v>0</v>
      </c>
      <c r="BQ24" s="427">
        <v>0</v>
      </c>
      <c r="BR24" s="427">
        <v>0</v>
      </c>
      <c r="BS24" s="427">
        <v>0</v>
      </c>
      <c r="BT24" s="427">
        <v>0</v>
      </c>
      <c r="BU24" s="427">
        <v>0</v>
      </c>
      <c r="BV24" s="427">
        <v>0</v>
      </c>
      <c r="BW24" s="427">
        <v>0</v>
      </c>
      <c r="BX24" s="427">
        <v>0</v>
      </c>
      <c r="BY24" s="427">
        <v>0</v>
      </c>
      <c r="BZ24" s="427">
        <v>0</v>
      </c>
      <c r="CC24" s="21"/>
      <c r="CD24" s="417" t="s">
        <v>578</v>
      </c>
      <c r="CE24" s="433">
        <f t="shared" si="0"/>
        <v>0</v>
      </c>
      <c r="CF24" s="433">
        <f t="shared" si="1"/>
        <v>0</v>
      </c>
      <c r="CG24" s="433">
        <f t="shared" si="2"/>
        <v>0</v>
      </c>
      <c r="CH24" s="433">
        <f t="shared" si="3"/>
        <v>0</v>
      </c>
      <c r="CI24" s="433">
        <f t="shared" si="4"/>
        <v>0</v>
      </c>
      <c r="CJ24" s="433">
        <f t="shared" si="5"/>
        <v>0</v>
      </c>
      <c r="CK24" s="433">
        <f t="shared" si="6"/>
        <v>0</v>
      </c>
      <c r="CL24" s="433">
        <f t="shared" si="7"/>
        <v>0</v>
      </c>
      <c r="CM24" s="433">
        <f t="shared" si="8"/>
        <v>0</v>
      </c>
      <c r="CN24" s="433">
        <f t="shared" si="9"/>
        <v>0</v>
      </c>
      <c r="CO24" s="433">
        <f t="shared" si="10"/>
        <v>0</v>
      </c>
      <c r="CP24" s="433">
        <f t="shared" si="11"/>
        <v>0</v>
      </c>
      <c r="CQ24" s="433">
        <f t="shared" si="12"/>
        <v>0</v>
      </c>
      <c r="CR24" s="433">
        <f t="shared" si="13"/>
        <v>0</v>
      </c>
      <c r="CS24" s="433">
        <f t="shared" si="14"/>
        <v>0</v>
      </c>
      <c r="CT24" s="21"/>
    </row>
    <row r="25" spans="3:98" ht="24.75" customHeight="1">
      <c r="C25" s="421" t="s">
        <v>560</v>
      </c>
      <c r="D25" s="422">
        <v>0</v>
      </c>
      <c r="E25" s="422">
        <v>0</v>
      </c>
      <c r="F25" s="422">
        <v>0</v>
      </c>
      <c r="G25" s="422">
        <v>0</v>
      </c>
      <c r="H25" s="422">
        <v>0</v>
      </c>
      <c r="I25" s="422">
        <v>0</v>
      </c>
      <c r="J25" s="422">
        <v>0</v>
      </c>
      <c r="K25" s="422">
        <v>0</v>
      </c>
      <c r="L25" s="422">
        <v>0</v>
      </c>
      <c r="M25" s="422">
        <v>0</v>
      </c>
      <c r="N25" s="422">
        <v>0</v>
      </c>
      <c r="O25" s="422">
        <v>0</v>
      </c>
      <c r="P25" s="422">
        <v>0</v>
      </c>
      <c r="Q25" s="422">
        <v>0</v>
      </c>
      <c r="R25" s="422">
        <v>0</v>
      </c>
      <c r="S25" s="422">
        <v>0</v>
      </c>
      <c r="T25" s="422">
        <v>0</v>
      </c>
      <c r="U25" s="422">
        <v>0</v>
      </c>
      <c r="V25" s="422">
        <v>0</v>
      </c>
      <c r="W25" s="422">
        <v>0</v>
      </c>
      <c r="X25" s="422">
        <v>0</v>
      </c>
      <c r="Y25" s="422">
        <v>0</v>
      </c>
      <c r="Z25" s="422">
        <v>0</v>
      </c>
      <c r="AA25" s="422">
        <v>0</v>
      </c>
      <c r="AB25" s="422">
        <v>0</v>
      </c>
      <c r="AC25" s="422">
        <v>0</v>
      </c>
      <c r="AD25" s="422">
        <v>0</v>
      </c>
      <c r="AE25" s="422">
        <v>0</v>
      </c>
      <c r="AF25" s="422">
        <v>0</v>
      </c>
      <c r="AG25" s="422">
        <v>0</v>
      </c>
      <c r="AH25" s="422">
        <v>0</v>
      </c>
      <c r="AI25" s="422">
        <v>0</v>
      </c>
      <c r="AJ25" s="422">
        <v>0</v>
      </c>
      <c r="AK25" s="422">
        <v>0</v>
      </c>
      <c r="AL25" s="422">
        <v>0</v>
      </c>
      <c r="AM25" s="422">
        <v>0</v>
      </c>
      <c r="AN25" s="422">
        <v>0</v>
      </c>
      <c r="AO25" s="422">
        <v>0</v>
      </c>
      <c r="AP25" s="422">
        <v>0</v>
      </c>
      <c r="AQ25" s="422">
        <v>0</v>
      </c>
      <c r="AR25" s="422">
        <v>0</v>
      </c>
      <c r="AS25" s="422">
        <v>0</v>
      </c>
      <c r="AT25" s="422">
        <v>0</v>
      </c>
      <c r="AU25" s="422">
        <v>0</v>
      </c>
      <c r="AV25" s="422">
        <v>0</v>
      </c>
      <c r="AW25" s="422">
        <v>0</v>
      </c>
      <c r="AX25" s="422">
        <v>0</v>
      </c>
      <c r="AY25" s="422">
        <v>0</v>
      </c>
      <c r="AZ25" s="422">
        <v>0</v>
      </c>
      <c r="BA25" s="422">
        <v>0</v>
      </c>
      <c r="BB25" s="422">
        <v>0</v>
      </c>
      <c r="BC25" s="422">
        <v>0</v>
      </c>
      <c r="BD25" s="422">
        <v>0</v>
      </c>
      <c r="BE25" s="422">
        <v>0</v>
      </c>
      <c r="BF25" s="422">
        <v>0</v>
      </c>
      <c r="BG25" s="422">
        <v>0</v>
      </c>
      <c r="BH25" s="422">
        <v>0</v>
      </c>
      <c r="BI25" s="422">
        <v>0</v>
      </c>
      <c r="BJ25" s="422">
        <v>0</v>
      </c>
      <c r="BK25" s="422">
        <v>0</v>
      </c>
      <c r="BL25" s="422">
        <v>0</v>
      </c>
      <c r="BM25" s="422">
        <v>0</v>
      </c>
      <c r="BN25" s="422">
        <v>0</v>
      </c>
      <c r="BO25" s="422">
        <v>0</v>
      </c>
      <c r="BP25" s="422">
        <v>0</v>
      </c>
      <c r="BQ25" s="422">
        <v>0</v>
      </c>
      <c r="BR25" s="422">
        <v>0</v>
      </c>
      <c r="BS25" s="422">
        <v>0</v>
      </c>
      <c r="BT25" s="422">
        <v>0</v>
      </c>
      <c r="BU25" s="422">
        <v>0</v>
      </c>
      <c r="BV25" s="422">
        <v>0</v>
      </c>
      <c r="BW25" s="422">
        <v>0</v>
      </c>
      <c r="BX25" s="422">
        <v>0</v>
      </c>
      <c r="BY25" s="422">
        <v>0</v>
      </c>
      <c r="BZ25" s="422">
        <v>0</v>
      </c>
      <c r="CC25" s="21"/>
      <c r="CD25" s="421" t="s">
        <v>560</v>
      </c>
      <c r="CE25" s="436">
        <f t="shared" si="0"/>
        <v>0</v>
      </c>
      <c r="CF25" s="436">
        <f t="shared" si="1"/>
        <v>0</v>
      </c>
      <c r="CG25" s="436">
        <f t="shared" si="2"/>
        <v>0</v>
      </c>
      <c r="CH25" s="436">
        <f t="shared" si="3"/>
        <v>0</v>
      </c>
      <c r="CI25" s="436">
        <f t="shared" si="4"/>
        <v>0</v>
      </c>
      <c r="CJ25" s="436">
        <f t="shared" si="5"/>
        <v>0</v>
      </c>
      <c r="CK25" s="436">
        <f t="shared" si="6"/>
        <v>0</v>
      </c>
      <c r="CL25" s="436">
        <f t="shared" si="7"/>
        <v>0</v>
      </c>
      <c r="CM25" s="436">
        <f t="shared" si="8"/>
        <v>0</v>
      </c>
      <c r="CN25" s="436">
        <f t="shared" si="9"/>
        <v>0</v>
      </c>
      <c r="CO25" s="436">
        <f t="shared" si="10"/>
        <v>0</v>
      </c>
      <c r="CP25" s="436">
        <f t="shared" si="11"/>
        <v>0</v>
      </c>
      <c r="CQ25" s="436">
        <f t="shared" si="12"/>
        <v>0</v>
      </c>
      <c r="CR25" s="436">
        <f t="shared" si="13"/>
        <v>0</v>
      </c>
      <c r="CS25" s="436">
        <f t="shared" si="14"/>
        <v>0</v>
      </c>
      <c r="CT25" s="21"/>
    </row>
    <row r="26" spans="3:98" ht="24.75" customHeight="1">
      <c r="C26" s="430"/>
      <c r="D26" s="427"/>
      <c r="E26" s="427"/>
      <c r="F26" s="427"/>
      <c r="G26" s="427"/>
      <c r="H26" s="434"/>
      <c r="I26" s="434"/>
      <c r="J26" s="434"/>
      <c r="K26" s="434"/>
      <c r="L26" s="434"/>
      <c r="M26" s="434"/>
      <c r="N26" s="434"/>
      <c r="O26" s="434"/>
      <c r="P26" s="434"/>
      <c r="Q26" s="434"/>
      <c r="R26" s="434"/>
      <c r="S26" s="434"/>
      <c r="T26" s="434"/>
      <c r="U26" s="434"/>
      <c r="V26" s="434"/>
      <c r="W26" s="434"/>
      <c r="X26" s="434"/>
      <c r="Y26" s="434"/>
      <c r="Z26" s="434"/>
      <c r="AA26" s="434"/>
      <c r="AB26" s="434"/>
      <c r="AC26" s="434"/>
      <c r="AD26" s="434"/>
      <c r="AE26" s="434"/>
      <c r="AF26" s="434"/>
      <c r="AG26" s="434"/>
      <c r="AH26" s="434"/>
      <c r="AI26" s="434"/>
      <c r="AJ26" s="434"/>
      <c r="AK26" s="434"/>
      <c r="AL26" s="434"/>
      <c r="AM26" s="434"/>
      <c r="AN26" s="434"/>
      <c r="AO26" s="434"/>
      <c r="AP26" s="434"/>
      <c r="AQ26" s="434"/>
      <c r="AR26" s="434"/>
      <c r="AS26" s="434"/>
      <c r="AT26" s="434"/>
      <c r="AU26" s="434"/>
      <c r="AV26" s="434"/>
      <c r="AW26" s="434"/>
      <c r="AX26" s="434"/>
      <c r="AY26" s="434"/>
      <c r="AZ26" s="434"/>
      <c r="BA26" s="434"/>
      <c r="BB26" s="434"/>
      <c r="BC26" s="434"/>
      <c r="BD26" s="434"/>
      <c r="BE26" s="434"/>
      <c r="BF26" s="434"/>
      <c r="BG26" s="434"/>
      <c r="BH26" s="434"/>
      <c r="BI26" s="434"/>
      <c r="BJ26" s="434"/>
      <c r="BK26" s="434"/>
      <c r="BL26" s="434"/>
      <c r="BM26" s="434"/>
      <c r="BN26" s="434"/>
      <c r="BO26" s="434"/>
      <c r="BP26" s="434"/>
      <c r="BQ26" s="434"/>
      <c r="BR26" s="434"/>
      <c r="BS26" s="434"/>
      <c r="BT26" s="434"/>
      <c r="BU26" s="434"/>
      <c r="BV26" s="434"/>
      <c r="BW26" s="434"/>
      <c r="BX26" s="434"/>
      <c r="BY26" s="434"/>
      <c r="BZ26" s="434"/>
      <c r="CC26" s="21"/>
      <c r="CD26" s="430"/>
      <c r="CE26" s="433"/>
      <c r="CF26" s="433"/>
      <c r="CG26" s="433"/>
      <c r="CH26" s="433"/>
      <c r="CI26" s="433"/>
      <c r="CJ26" s="433"/>
      <c r="CK26" s="433"/>
      <c r="CL26" s="433"/>
      <c r="CM26" s="433"/>
      <c r="CN26" s="433"/>
      <c r="CO26" s="433"/>
      <c r="CP26" s="433"/>
      <c r="CQ26" s="433"/>
      <c r="CR26" s="433"/>
      <c r="CS26" s="433"/>
      <c r="CT26" s="21"/>
    </row>
    <row r="27" spans="3:98" ht="24.75" customHeight="1">
      <c r="C27" s="448" t="s">
        <v>581</v>
      </c>
      <c r="D27" s="434">
        <v>0</v>
      </c>
      <c r="E27" s="434">
        <v>0</v>
      </c>
      <c r="F27" s="434">
        <v>0</v>
      </c>
      <c r="G27" s="434">
        <v>0</v>
      </c>
      <c r="H27" s="434">
        <v>0</v>
      </c>
      <c r="I27" s="434">
        <v>0</v>
      </c>
      <c r="J27" s="434">
        <v>0</v>
      </c>
      <c r="K27" s="434">
        <v>0</v>
      </c>
      <c r="L27" s="434">
        <v>0</v>
      </c>
      <c r="M27" s="434">
        <v>0</v>
      </c>
      <c r="N27" s="434">
        <v>0</v>
      </c>
      <c r="O27" s="434">
        <v>0</v>
      </c>
      <c r="P27" s="434">
        <v>0</v>
      </c>
      <c r="Q27" s="434">
        <v>0</v>
      </c>
      <c r="R27" s="434">
        <v>0</v>
      </c>
      <c r="S27" s="434">
        <v>0</v>
      </c>
      <c r="T27" s="434">
        <v>0</v>
      </c>
      <c r="U27" s="434">
        <v>0</v>
      </c>
      <c r="V27" s="434">
        <v>0</v>
      </c>
      <c r="W27" s="434">
        <v>0</v>
      </c>
      <c r="X27" s="434">
        <v>0</v>
      </c>
      <c r="Y27" s="434">
        <v>0</v>
      </c>
      <c r="Z27" s="434">
        <v>0</v>
      </c>
      <c r="AA27" s="434">
        <v>0</v>
      </c>
      <c r="AB27" s="434">
        <v>0</v>
      </c>
      <c r="AC27" s="434">
        <v>0</v>
      </c>
      <c r="AD27" s="434">
        <v>0</v>
      </c>
      <c r="AE27" s="434">
        <v>0</v>
      </c>
      <c r="AF27" s="434">
        <v>0</v>
      </c>
      <c r="AG27" s="434">
        <v>0</v>
      </c>
      <c r="AH27" s="434">
        <v>0</v>
      </c>
      <c r="AI27" s="434">
        <v>0</v>
      </c>
      <c r="AJ27" s="434">
        <v>0</v>
      </c>
      <c r="AK27" s="434">
        <v>0</v>
      </c>
      <c r="AL27" s="434">
        <v>0</v>
      </c>
      <c r="AM27" s="434">
        <v>0</v>
      </c>
      <c r="AN27" s="434">
        <v>0</v>
      </c>
      <c r="AO27" s="434">
        <v>0</v>
      </c>
      <c r="AP27" s="434">
        <v>0</v>
      </c>
      <c r="AQ27" s="434">
        <v>0</v>
      </c>
      <c r="AR27" s="434">
        <v>0</v>
      </c>
      <c r="AS27" s="434">
        <v>0</v>
      </c>
      <c r="AT27" s="434">
        <v>0</v>
      </c>
      <c r="AU27" s="434">
        <v>0</v>
      </c>
      <c r="AV27" s="434">
        <v>0</v>
      </c>
      <c r="AW27" s="434">
        <v>0</v>
      </c>
      <c r="AX27" s="434">
        <v>0</v>
      </c>
      <c r="AY27" s="434">
        <v>0</v>
      </c>
      <c r="AZ27" s="434">
        <v>0</v>
      </c>
      <c r="BA27" s="434">
        <v>0</v>
      </c>
      <c r="BB27" s="434">
        <v>0</v>
      </c>
      <c r="BC27" s="434">
        <v>0</v>
      </c>
      <c r="BD27" s="434">
        <v>0</v>
      </c>
      <c r="BE27" s="434">
        <v>0</v>
      </c>
      <c r="BF27" s="434">
        <v>-30.387</v>
      </c>
      <c r="BG27" s="434">
        <v>31.972999999999999</v>
      </c>
      <c r="BH27" s="434">
        <v>32.26</v>
      </c>
      <c r="BI27" s="434">
        <v>81.299000000000007</v>
      </c>
      <c r="BJ27" s="434">
        <v>176.785</v>
      </c>
      <c r="BK27" s="434">
        <v>322.31700000000001</v>
      </c>
      <c r="BL27" s="434">
        <v>771.46299999999997</v>
      </c>
      <c r="BM27" s="434">
        <v>1606.3489999999999</v>
      </c>
      <c r="BN27" s="434">
        <v>406.1</v>
      </c>
      <c r="BO27" s="434">
        <v>840.20799999999997</v>
      </c>
      <c r="BP27" s="434">
        <v>3624.12</v>
      </c>
      <c r="BQ27" s="434">
        <v>-429.65899999999999</v>
      </c>
      <c r="BR27" s="434">
        <v>-1093.654</v>
      </c>
      <c r="BS27" s="434">
        <v>-544.63499999999999</v>
      </c>
      <c r="BT27" s="434">
        <v>-557.00099999999998</v>
      </c>
      <c r="BU27" s="434">
        <v>-2624.9490000000001</v>
      </c>
      <c r="BV27" s="434">
        <v>-78.896000000000001</v>
      </c>
      <c r="BW27" s="434">
        <v>-97.405000000000001</v>
      </c>
      <c r="BX27" s="434">
        <v>-2.2650000000000001</v>
      </c>
      <c r="BY27" s="434">
        <v>0</v>
      </c>
      <c r="BZ27" s="434">
        <v>0</v>
      </c>
      <c r="CC27" s="21"/>
      <c r="CD27" s="448" t="s">
        <v>581</v>
      </c>
      <c r="CE27" s="433">
        <f t="shared" si="0"/>
        <v>0</v>
      </c>
      <c r="CF27" s="433">
        <f t="shared" si="1"/>
        <v>0</v>
      </c>
      <c r="CG27" s="433">
        <f t="shared" si="2"/>
        <v>0</v>
      </c>
      <c r="CH27" s="433">
        <f t="shared" si="3"/>
        <v>0</v>
      </c>
      <c r="CI27" s="433">
        <f t="shared" si="4"/>
        <v>0</v>
      </c>
      <c r="CJ27" s="433">
        <f t="shared" si="5"/>
        <v>0</v>
      </c>
      <c r="CK27" s="433">
        <f t="shared" si="6"/>
        <v>0</v>
      </c>
      <c r="CL27" s="433">
        <f t="shared" si="7"/>
        <v>0</v>
      </c>
      <c r="CM27" s="433">
        <f t="shared" si="8"/>
        <v>0</v>
      </c>
      <c r="CN27" s="433">
        <f t="shared" si="9"/>
        <v>0</v>
      </c>
      <c r="CO27" s="433">
        <f t="shared" si="10"/>
        <v>-30.387</v>
      </c>
      <c r="CP27" s="433">
        <f t="shared" si="11"/>
        <v>322.31700000000001</v>
      </c>
      <c r="CQ27" s="433">
        <f t="shared" si="12"/>
        <v>3624.12</v>
      </c>
      <c r="CR27" s="433">
        <f t="shared" si="13"/>
        <v>-2624.9490000000001</v>
      </c>
      <c r="CS27" s="433">
        <f t="shared" si="14"/>
        <v>0</v>
      </c>
      <c r="CT27" s="21"/>
    </row>
    <row r="28" spans="3:98" ht="4.5" customHeight="1">
      <c r="D28" s="427">
        <v>0</v>
      </c>
      <c r="E28" s="427">
        <v>0</v>
      </c>
      <c r="F28" s="427">
        <v>0</v>
      </c>
      <c r="G28" s="427">
        <v>0</v>
      </c>
      <c r="H28" s="427">
        <v>0</v>
      </c>
      <c r="I28" s="427">
        <v>0</v>
      </c>
      <c r="J28" s="427">
        <v>0</v>
      </c>
      <c r="K28" s="427">
        <v>0</v>
      </c>
      <c r="L28" s="427">
        <v>0</v>
      </c>
      <c r="M28" s="427">
        <v>0</v>
      </c>
      <c r="N28" s="427">
        <v>0</v>
      </c>
      <c r="O28" s="427">
        <v>0</v>
      </c>
      <c r="P28" s="427">
        <v>0</v>
      </c>
      <c r="Q28" s="427">
        <v>0</v>
      </c>
      <c r="R28" s="427">
        <v>0</v>
      </c>
      <c r="S28" s="427">
        <v>0</v>
      </c>
      <c r="T28" s="427">
        <v>0</v>
      </c>
      <c r="U28" s="427">
        <v>0</v>
      </c>
      <c r="V28" s="427">
        <v>0</v>
      </c>
      <c r="W28" s="427">
        <v>0</v>
      </c>
      <c r="X28" s="427">
        <v>0</v>
      </c>
      <c r="Y28" s="427">
        <v>0</v>
      </c>
      <c r="Z28" s="427">
        <v>0</v>
      </c>
      <c r="AA28" s="427">
        <v>0</v>
      </c>
      <c r="AB28" s="427">
        <v>0</v>
      </c>
      <c r="AC28" s="427">
        <v>0</v>
      </c>
      <c r="AD28" s="427">
        <v>0</v>
      </c>
      <c r="AE28" s="427">
        <v>0</v>
      </c>
      <c r="AF28" s="427">
        <v>0</v>
      </c>
      <c r="AG28" s="427">
        <v>0</v>
      </c>
      <c r="AH28" s="427">
        <v>0</v>
      </c>
      <c r="AI28" s="427">
        <v>0</v>
      </c>
      <c r="AJ28" s="427">
        <v>0</v>
      </c>
      <c r="AK28" s="427">
        <v>0</v>
      </c>
      <c r="AL28" s="427">
        <v>0</v>
      </c>
      <c r="AM28" s="427">
        <v>0</v>
      </c>
      <c r="AN28" s="427">
        <v>0</v>
      </c>
      <c r="AO28" s="427">
        <v>0</v>
      </c>
      <c r="AP28" s="427">
        <v>0</v>
      </c>
      <c r="AQ28" s="427">
        <v>0</v>
      </c>
      <c r="AR28" s="427">
        <v>0</v>
      </c>
      <c r="AS28" s="427">
        <v>0</v>
      </c>
      <c r="AT28" s="427">
        <v>0</v>
      </c>
      <c r="AU28" s="427">
        <v>0</v>
      </c>
      <c r="AV28" s="427">
        <v>0</v>
      </c>
      <c r="AW28" s="427">
        <v>0</v>
      </c>
      <c r="AX28" s="427">
        <v>0</v>
      </c>
      <c r="AY28" s="427">
        <v>0</v>
      </c>
      <c r="AZ28" s="427">
        <v>0</v>
      </c>
      <c r="BA28" s="427">
        <v>0</v>
      </c>
      <c r="BB28" s="427">
        <v>0</v>
      </c>
      <c r="BC28" s="427">
        <v>0</v>
      </c>
      <c r="BD28" s="427">
        <v>0</v>
      </c>
      <c r="BE28" s="427">
        <v>0</v>
      </c>
      <c r="BF28" s="427">
        <v>0</v>
      </c>
      <c r="BG28" s="427">
        <v>0</v>
      </c>
      <c r="BH28" s="427">
        <v>0</v>
      </c>
      <c r="BI28" s="427">
        <v>0</v>
      </c>
      <c r="BJ28" s="427">
        <v>0</v>
      </c>
      <c r="BK28" s="427">
        <v>0</v>
      </c>
      <c r="BL28" s="427">
        <v>0</v>
      </c>
      <c r="BM28" s="427">
        <v>0</v>
      </c>
      <c r="BN28" s="427">
        <v>0</v>
      </c>
      <c r="BO28" s="427">
        <v>0</v>
      </c>
      <c r="BP28" s="427">
        <v>0</v>
      </c>
      <c r="BQ28" s="427">
        <v>0</v>
      </c>
      <c r="BR28" s="427">
        <v>0</v>
      </c>
      <c r="BS28" s="427">
        <v>0</v>
      </c>
      <c r="BT28" s="427">
        <v>0</v>
      </c>
      <c r="BU28" s="427">
        <v>0</v>
      </c>
      <c r="BV28" s="427">
        <v>0</v>
      </c>
      <c r="BW28" s="427">
        <v>0</v>
      </c>
      <c r="BX28" s="427">
        <v>0</v>
      </c>
      <c r="BY28" s="427">
        <v>0</v>
      </c>
      <c r="BZ28" s="427">
        <v>0</v>
      </c>
      <c r="CC28" s="21"/>
      <c r="CD28" s="58"/>
      <c r="CE28" s="433"/>
      <c r="CF28" s="433"/>
      <c r="CG28" s="433"/>
      <c r="CH28" s="433"/>
      <c r="CI28" s="433"/>
      <c r="CJ28" s="433"/>
      <c r="CK28" s="433"/>
      <c r="CL28" s="433"/>
      <c r="CM28" s="433"/>
      <c r="CN28" s="433"/>
      <c r="CO28" s="433"/>
      <c r="CP28" s="433"/>
      <c r="CQ28" s="433"/>
      <c r="CR28" s="433"/>
      <c r="CS28" s="433"/>
      <c r="CT28" s="21"/>
    </row>
    <row r="29" spans="3:98" ht="24.75" hidden="1" customHeight="1" outlineLevel="2">
      <c r="C29" s="438" t="s">
        <v>11</v>
      </c>
      <c r="D29" s="427">
        <v>0</v>
      </c>
      <c r="E29" s="427">
        <v>0</v>
      </c>
      <c r="F29" s="427">
        <v>0</v>
      </c>
      <c r="G29" s="427">
        <v>0</v>
      </c>
      <c r="H29" s="427">
        <v>0</v>
      </c>
      <c r="I29" s="427">
        <v>0</v>
      </c>
      <c r="J29" s="427">
        <v>0</v>
      </c>
      <c r="K29" s="427">
        <v>0</v>
      </c>
      <c r="L29" s="427">
        <v>0</v>
      </c>
      <c r="M29" s="427">
        <v>0</v>
      </c>
      <c r="N29" s="427">
        <v>0</v>
      </c>
      <c r="O29" s="427">
        <v>0</v>
      </c>
      <c r="P29" s="427">
        <v>0</v>
      </c>
      <c r="Q29" s="427">
        <v>0</v>
      </c>
      <c r="R29" s="427">
        <v>0</v>
      </c>
      <c r="S29" s="427">
        <v>0</v>
      </c>
      <c r="T29" s="427">
        <v>0</v>
      </c>
      <c r="U29" s="427">
        <v>0</v>
      </c>
      <c r="V29" s="427">
        <v>0</v>
      </c>
      <c r="W29" s="427">
        <v>0</v>
      </c>
      <c r="X29" s="427">
        <v>0</v>
      </c>
      <c r="Y29" s="427">
        <v>0</v>
      </c>
      <c r="Z29" s="427">
        <v>0</v>
      </c>
      <c r="AA29" s="427">
        <v>0</v>
      </c>
      <c r="AB29" s="427">
        <v>0</v>
      </c>
      <c r="AC29" s="427">
        <v>0</v>
      </c>
      <c r="AD29" s="427">
        <v>0</v>
      </c>
      <c r="AE29" s="427">
        <v>0</v>
      </c>
      <c r="AF29" s="427">
        <v>0</v>
      </c>
      <c r="AG29" s="427">
        <v>0</v>
      </c>
      <c r="AH29" s="427">
        <v>0</v>
      </c>
      <c r="AI29" s="427">
        <v>0</v>
      </c>
      <c r="AJ29" s="427">
        <v>0</v>
      </c>
      <c r="AK29" s="427">
        <v>0</v>
      </c>
      <c r="AL29" s="427">
        <v>0</v>
      </c>
      <c r="AM29" s="427">
        <v>0</v>
      </c>
      <c r="AN29" s="427">
        <v>0</v>
      </c>
      <c r="AO29" s="427">
        <v>0</v>
      </c>
      <c r="AP29" s="427">
        <v>0</v>
      </c>
      <c r="AQ29" s="427">
        <v>0</v>
      </c>
      <c r="AR29" s="427">
        <v>0</v>
      </c>
      <c r="AS29" s="427">
        <v>0</v>
      </c>
      <c r="AT29" s="427">
        <v>0</v>
      </c>
      <c r="AU29" s="427">
        <v>0</v>
      </c>
      <c r="AV29" s="427">
        <v>0</v>
      </c>
      <c r="AW29" s="427">
        <v>0</v>
      </c>
      <c r="AX29" s="427">
        <v>0</v>
      </c>
      <c r="AY29" s="427">
        <v>0</v>
      </c>
      <c r="AZ29" s="427">
        <v>0</v>
      </c>
      <c r="BA29" s="427">
        <v>0</v>
      </c>
      <c r="BB29" s="427">
        <v>0</v>
      </c>
      <c r="BC29" s="427">
        <v>0</v>
      </c>
      <c r="BD29" s="427">
        <v>0</v>
      </c>
      <c r="BE29" s="427">
        <v>0</v>
      </c>
      <c r="BF29" s="427">
        <v>0</v>
      </c>
      <c r="BG29" s="427">
        <v>0</v>
      </c>
      <c r="BH29" s="427">
        <v>0</v>
      </c>
      <c r="BI29" s="427">
        <v>0</v>
      </c>
      <c r="BJ29" s="427">
        <v>0</v>
      </c>
      <c r="BK29" s="427">
        <v>0</v>
      </c>
      <c r="BL29" s="427">
        <v>0</v>
      </c>
      <c r="BM29" s="427">
        <v>0</v>
      </c>
      <c r="BN29" s="427">
        <v>0</v>
      </c>
      <c r="BO29" s="427">
        <v>0</v>
      </c>
      <c r="BP29" s="427">
        <v>0</v>
      </c>
      <c r="BQ29" s="427">
        <v>0</v>
      </c>
      <c r="BR29" s="427">
        <v>0</v>
      </c>
      <c r="BS29" s="427">
        <v>0</v>
      </c>
      <c r="BT29" s="427">
        <v>0</v>
      </c>
      <c r="BU29" s="427">
        <v>0</v>
      </c>
      <c r="BV29" s="427">
        <v>0</v>
      </c>
      <c r="BW29" s="427">
        <v>0</v>
      </c>
      <c r="BX29" s="427">
        <v>0</v>
      </c>
      <c r="BY29" s="427">
        <v>0</v>
      </c>
      <c r="BZ29" s="427">
        <v>0</v>
      </c>
      <c r="CC29" s="21"/>
      <c r="CD29" s="438" t="s">
        <v>11</v>
      </c>
      <c r="CE29" s="433">
        <f t="shared" si="0"/>
        <v>0</v>
      </c>
      <c r="CF29" s="433">
        <f t="shared" si="1"/>
        <v>0</v>
      </c>
      <c r="CG29" s="433">
        <f t="shared" si="2"/>
        <v>0</v>
      </c>
      <c r="CH29" s="433">
        <f t="shared" si="3"/>
        <v>0</v>
      </c>
      <c r="CI29" s="433">
        <f t="shared" si="4"/>
        <v>0</v>
      </c>
      <c r="CJ29" s="433">
        <f t="shared" si="5"/>
        <v>0</v>
      </c>
      <c r="CK29" s="433">
        <f t="shared" si="6"/>
        <v>0</v>
      </c>
      <c r="CL29" s="433">
        <f t="shared" si="7"/>
        <v>0</v>
      </c>
      <c r="CM29" s="433">
        <f t="shared" si="8"/>
        <v>0</v>
      </c>
      <c r="CN29" s="433">
        <f t="shared" si="9"/>
        <v>0</v>
      </c>
      <c r="CO29" s="433">
        <f t="shared" si="10"/>
        <v>0</v>
      </c>
      <c r="CP29" s="433">
        <f t="shared" si="11"/>
        <v>0</v>
      </c>
      <c r="CQ29" s="433">
        <f t="shared" si="12"/>
        <v>0</v>
      </c>
      <c r="CR29" s="433">
        <f t="shared" si="13"/>
        <v>0</v>
      </c>
      <c r="CS29" s="433">
        <f t="shared" si="14"/>
        <v>0</v>
      </c>
      <c r="CT29" s="21"/>
    </row>
    <row r="30" spans="3:98" ht="24.75" hidden="1" customHeight="1" outlineLevel="2">
      <c r="C30" s="438" t="s">
        <v>15</v>
      </c>
      <c r="D30" s="427">
        <v>0</v>
      </c>
      <c r="E30" s="427">
        <v>0</v>
      </c>
      <c r="F30" s="427">
        <v>0</v>
      </c>
      <c r="G30" s="427">
        <v>0</v>
      </c>
      <c r="H30" s="427">
        <v>0</v>
      </c>
      <c r="I30" s="427">
        <v>0</v>
      </c>
      <c r="J30" s="427">
        <v>0</v>
      </c>
      <c r="K30" s="427">
        <v>0</v>
      </c>
      <c r="L30" s="427">
        <v>0</v>
      </c>
      <c r="M30" s="427">
        <v>0</v>
      </c>
      <c r="N30" s="427">
        <v>0</v>
      </c>
      <c r="O30" s="427">
        <v>0</v>
      </c>
      <c r="P30" s="427">
        <v>0</v>
      </c>
      <c r="Q30" s="427">
        <v>0</v>
      </c>
      <c r="R30" s="427">
        <v>0</v>
      </c>
      <c r="S30" s="427">
        <v>0</v>
      </c>
      <c r="T30" s="427">
        <v>0</v>
      </c>
      <c r="U30" s="427">
        <v>0</v>
      </c>
      <c r="V30" s="427">
        <v>0</v>
      </c>
      <c r="W30" s="427">
        <v>0</v>
      </c>
      <c r="X30" s="427">
        <v>0</v>
      </c>
      <c r="Y30" s="427">
        <v>0</v>
      </c>
      <c r="Z30" s="427">
        <v>0</v>
      </c>
      <c r="AA30" s="427">
        <v>0</v>
      </c>
      <c r="AB30" s="427">
        <v>0</v>
      </c>
      <c r="AC30" s="427">
        <v>0</v>
      </c>
      <c r="AD30" s="427">
        <v>0</v>
      </c>
      <c r="AE30" s="427">
        <v>0</v>
      </c>
      <c r="AF30" s="427">
        <v>0</v>
      </c>
      <c r="AG30" s="427">
        <v>0</v>
      </c>
      <c r="AH30" s="427">
        <v>0</v>
      </c>
      <c r="AI30" s="427">
        <v>0</v>
      </c>
      <c r="AJ30" s="427">
        <v>0</v>
      </c>
      <c r="AK30" s="427">
        <v>0</v>
      </c>
      <c r="AL30" s="427">
        <v>0</v>
      </c>
      <c r="AM30" s="427">
        <v>0</v>
      </c>
      <c r="AN30" s="427">
        <v>0</v>
      </c>
      <c r="AO30" s="427">
        <v>0</v>
      </c>
      <c r="AP30" s="427">
        <v>0</v>
      </c>
      <c r="AQ30" s="427">
        <v>0</v>
      </c>
      <c r="AR30" s="427">
        <v>0</v>
      </c>
      <c r="AS30" s="427">
        <v>0</v>
      </c>
      <c r="AT30" s="427">
        <v>0</v>
      </c>
      <c r="AU30" s="427">
        <v>0</v>
      </c>
      <c r="AV30" s="427">
        <v>0</v>
      </c>
      <c r="AW30" s="427">
        <v>0</v>
      </c>
      <c r="AX30" s="427">
        <v>0</v>
      </c>
      <c r="AY30" s="427">
        <v>0</v>
      </c>
      <c r="AZ30" s="427">
        <v>0</v>
      </c>
      <c r="BA30" s="427">
        <v>0</v>
      </c>
      <c r="BB30" s="427">
        <v>0</v>
      </c>
      <c r="BC30" s="427">
        <v>0</v>
      </c>
      <c r="BD30" s="427">
        <v>0</v>
      </c>
      <c r="BE30" s="427">
        <v>0</v>
      </c>
      <c r="BF30" s="427">
        <v>0</v>
      </c>
      <c r="BG30" s="427">
        <v>0</v>
      </c>
      <c r="BH30" s="427">
        <v>0</v>
      </c>
      <c r="BI30" s="427">
        <v>0</v>
      </c>
      <c r="BJ30" s="427">
        <v>0</v>
      </c>
      <c r="BK30" s="427">
        <v>0</v>
      </c>
      <c r="BL30" s="427">
        <v>0</v>
      </c>
      <c r="BM30" s="427">
        <v>0</v>
      </c>
      <c r="BN30" s="427">
        <v>0</v>
      </c>
      <c r="BO30" s="427">
        <v>0</v>
      </c>
      <c r="BP30" s="427">
        <v>0</v>
      </c>
      <c r="BQ30" s="427">
        <v>0</v>
      </c>
      <c r="BR30" s="427">
        <v>0</v>
      </c>
      <c r="BS30" s="427">
        <v>0</v>
      </c>
      <c r="BT30" s="427">
        <v>0</v>
      </c>
      <c r="BU30" s="427">
        <v>0</v>
      </c>
      <c r="BV30" s="427">
        <v>0</v>
      </c>
      <c r="BW30" s="427">
        <v>0</v>
      </c>
      <c r="BX30" s="427">
        <v>0</v>
      </c>
      <c r="BY30" s="427">
        <v>0</v>
      </c>
      <c r="BZ30" s="427">
        <v>0</v>
      </c>
      <c r="CC30" s="21"/>
      <c r="CD30" s="438" t="s">
        <v>15</v>
      </c>
      <c r="CE30" s="433">
        <f t="shared" si="0"/>
        <v>0</v>
      </c>
      <c r="CF30" s="433">
        <f t="shared" si="1"/>
        <v>0</v>
      </c>
      <c r="CG30" s="433">
        <f t="shared" si="2"/>
        <v>0</v>
      </c>
      <c r="CH30" s="433">
        <f t="shared" si="3"/>
        <v>0</v>
      </c>
      <c r="CI30" s="433">
        <f t="shared" si="4"/>
        <v>0</v>
      </c>
      <c r="CJ30" s="433">
        <f t="shared" si="5"/>
        <v>0</v>
      </c>
      <c r="CK30" s="433">
        <f t="shared" si="6"/>
        <v>0</v>
      </c>
      <c r="CL30" s="433">
        <f t="shared" si="7"/>
        <v>0</v>
      </c>
      <c r="CM30" s="433">
        <f t="shared" si="8"/>
        <v>0</v>
      </c>
      <c r="CN30" s="433">
        <f t="shared" si="9"/>
        <v>0</v>
      </c>
      <c r="CO30" s="433">
        <f t="shared" si="10"/>
        <v>0</v>
      </c>
      <c r="CP30" s="433">
        <f t="shared" si="11"/>
        <v>0</v>
      </c>
      <c r="CQ30" s="433">
        <f t="shared" si="12"/>
        <v>0</v>
      </c>
      <c r="CR30" s="433">
        <f t="shared" si="13"/>
        <v>0</v>
      </c>
      <c r="CS30" s="433">
        <f t="shared" si="14"/>
        <v>0</v>
      </c>
      <c r="CT30" s="21"/>
    </row>
    <row r="31" spans="3:98" ht="24.75" hidden="1" customHeight="1" outlineLevel="1">
      <c r="C31" s="437" t="s">
        <v>12</v>
      </c>
      <c r="D31" s="427">
        <v>0</v>
      </c>
      <c r="E31" s="427">
        <v>0</v>
      </c>
      <c r="F31" s="427">
        <v>0</v>
      </c>
      <c r="G31" s="427">
        <v>0</v>
      </c>
      <c r="H31" s="427">
        <v>0</v>
      </c>
      <c r="I31" s="427">
        <v>0</v>
      </c>
      <c r="J31" s="427">
        <v>0</v>
      </c>
      <c r="K31" s="427">
        <v>0</v>
      </c>
      <c r="L31" s="427">
        <v>0</v>
      </c>
      <c r="M31" s="427">
        <v>0</v>
      </c>
      <c r="N31" s="427">
        <v>0</v>
      </c>
      <c r="O31" s="427">
        <v>0</v>
      </c>
      <c r="P31" s="427">
        <v>0</v>
      </c>
      <c r="Q31" s="427">
        <v>0</v>
      </c>
      <c r="R31" s="427">
        <v>0</v>
      </c>
      <c r="S31" s="427">
        <v>0</v>
      </c>
      <c r="T31" s="427">
        <v>0</v>
      </c>
      <c r="U31" s="427">
        <v>0</v>
      </c>
      <c r="V31" s="427">
        <v>0</v>
      </c>
      <c r="W31" s="427">
        <v>0</v>
      </c>
      <c r="X31" s="427">
        <v>0</v>
      </c>
      <c r="Y31" s="427">
        <v>0</v>
      </c>
      <c r="Z31" s="427">
        <v>0</v>
      </c>
      <c r="AA31" s="427">
        <v>0</v>
      </c>
      <c r="AB31" s="427">
        <v>0</v>
      </c>
      <c r="AC31" s="427">
        <v>0</v>
      </c>
      <c r="AD31" s="427">
        <v>0</v>
      </c>
      <c r="AE31" s="427">
        <v>0</v>
      </c>
      <c r="AF31" s="427">
        <v>0</v>
      </c>
      <c r="AG31" s="427">
        <v>0</v>
      </c>
      <c r="AH31" s="427">
        <v>0</v>
      </c>
      <c r="AI31" s="427">
        <v>0</v>
      </c>
      <c r="AJ31" s="427">
        <v>0</v>
      </c>
      <c r="AK31" s="427">
        <v>0</v>
      </c>
      <c r="AL31" s="427">
        <v>0</v>
      </c>
      <c r="AM31" s="427">
        <v>0</v>
      </c>
      <c r="AN31" s="427">
        <v>0</v>
      </c>
      <c r="AO31" s="427">
        <v>0</v>
      </c>
      <c r="AP31" s="427">
        <v>0</v>
      </c>
      <c r="AQ31" s="427">
        <v>0</v>
      </c>
      <c r="AR31" s="427">
        <v>0</v>
      </c>
      <c r="AS31" s="427">
        <v>0</v>
      </c>
      <c r="AT31" s="427">
        <v>0</v>
      </c>
      <c r="AU31" s="427">
        <v>0</v>
      </c>
      <c r="AV31" s="427">
        <v>0</v>
      </c>
      <c r="AW31" s="427">
        <v>0</v>
      </c>
      <c r="AX31" s="427">
        <v>0</v>
      </c>
      <c r="AY31" s="427">
        <v>0</v>
      </c>
      <c r="AZ31" s="427">
        <v>0</v>
      </c>
      <c r="BA31" s="427">
        <v>0</v>
      </c>
      <c r="BB31" s="427">
        <v>0</v>
      </c>
      <c r="BC31" s="427">
        <v>0</v>
      </c>
      <c r="BD31" s="427">
        <v>0</v>
      </c>
      <c r="BE31" s="427">
        <v>0</v>
      </c>
      <c r="BF31" s="427">
        <v>16.878</v>
      </c>
      <c r="BG31" s="427">
        <v>6.8940000000000001</v>
      </c>
      <c r="BH31" s="427">
        <v>7.484</v>
      </c>
      <c r="BI31" s="427">
        <v>8.0069999999999997</v>
      </c>
      <c r="BJ31" s="427">
        <v>8.577</v>
      </c>
      <c r="BK31" s="427">
        <v>30.962</v>
      </c>
      <c r="BL31" s="427">
        <v>10.922000000000001</v>
      </c>
      <c r="BM31" s="427">
        <v>12.612</v>
      </c>
      <c r="BN31" s="427">
        <v>17.099</v>
      </c>
      <c r="BO31" s="427">
        <v>23.018000000000001</v>
      </c>
      <c r="BP31" s="427">
        <v>63.651000000000003</v>
      </c>
      <c r="BQ31" s="427">
        <v>31.58</v>
      </c>
      <c r="BR31" s="427">
        <v>42.027000000000001</v>
      </c>
      <c r="BS31" s="427">
        <v>40.113999999999997</v>
      </c>
      <c r="BT31" s="427">
        <v>40.347999999999999</v>
      </c>
      <c r="BU31" s="427">
        <v>154.06899999999999</v>
      </c>
      <c r="BV31" s="427">
        <v>41.207999999999998</v>
      </c>
      <c r="BW31" s="427">
        <v>36.981999999999999</v>
      </c>
      <c r="BX31" s="427">
        <v>31.966999999999999</v>
      </c>
      <c r="BY31" s="427">
        <v>0</v>
      </c>
      <c r="BZ31" s="427">
        <v>0</v>
      </c>
      <c r="CC31" s="21"/>
      <c r="CD31" s="437" t="s">
        <v>12</v>
      </c>
      <c r="CE31" s="433">
        <f t="shared" si="0"/>
        <v>0</v>
      </c>
      <c r="CF31" s="433">
        <f t="shared" si="1"/>
        <v>0</v>
      </c>
      <c r="CG31" s="433">
        <f t="shared" si="2"/>
        <v>0</v>
      </c>
      <c r="CH31" s="433">
        <f t="shared" si="3"/>
        <v>0</v>
      </c>
      <c r="CI31" s="433">
        <f t="shared" si="4"/>
        <v>0</v>
      </c>
      <c r="CJ31" s="433">
        <f t="shared" si="5"/>
        <v>0</v>
      </c>
      <c r="CK31" s="433">
        <f t="shared" si="6"/>
        <v>0</v>
      </c>
      <c r="CL31" s="433">
        <f t="shared" si="7"/>
        <v>0</v>
      </c>
      <c r="CM31" s="433">
        <f t="shared" si="8"/>
        <v>0</v>
      </c>
      <c r="CN31" s="433">
        <f t="shared" si="9"/>
        <v>0</v>
      </c>
      <c r="CO31" s="433">
        <f t="shared" si="10"/>
        <v>16.878</v>
      </c>
      <c r="CP31" s="433">
        <f t="shared" si="11"/>
        <v>30.962</v>
      </c>
      <c r="CQ31" s="433">
        <f t="shared" si="12"/>
        <v>63.651000000000003</v>
      </c>
      <c r="CR31" s="433">
        <f t="shared" si="13"/>
        <v>154.06899999999999</v>
      </c>
      <c r="CS31" s="433">
        <f t="shared" si="14"/>
        <v>0</v>
      </c>
      <c r="CT31" s="21"/>
    </row>
    <row r="32" spans="3:98" ht="24.75" hidden="1" customHeight="1" outlineLevel="1">
      <c r="C32" s="437" t="s">
        <v>583</v>
      </c>
      <c r="D32" s="427">
        <v>0</v>
      </c>
      <c r="E32" s="427">
        <v>0</v>
      </c>
      <c r="F32" s="427">
        <v>0</v>
      </c>
      <c r="G32" s="427">
        <v>0</v>
      </c>
      <c r="H32" s="427">
        <v>0</v>
      </c>
      <c r="I32" s="427">
        <v>0</v>
      </c>
      <c r="J32" s="427">
        <v>0</v>
      </c>
      <c r="K32" s="427">
        <v>0</v>
      </c>
      <c r="L32" s="427">
        <v>0</v>
      </c>
      <c r="M32" s="427">
        <v>0</v>
      </c>
      <c r="N32" s="427">
        <v>0</v>
      </c>
      <c r="O32" s="427">
        <v>0</v>
      </c>
      <c r="P32" s="427">
        <v>0</v>
      </c>
      <c r="Q32" s="427">
        <v>0</v>
      </c>
      <c r="R32" s="427">
        <v>0</v>
      </c>
      <c r="S32" s="427">
        <v>0</v>
      </c>
      <c r="T32" s="427">
        <v>0</v>
      </c>
      <c r="U32" s="427">
        <v>0</v>
      </c>
      <c r="V32" s="427">
        <v>0</v>
      </c>
      <c r="W32" s="427">
        <v>0</v>
      </c>
      <c r="X32" s="427">
        <v>0</v>
      </c>
      <c r="Y32" s="427">
        <v>0</v>
      </c>
      <c r="Z32" s="427">
        <v>0</v>
      </c>
      <c r="AA32" s="427">
        <v>0</v>
      </c>
      <c r="AB32" s="427">
        <v>0</v>
      </c>
      <c r="AC32" s="427">
        <v>0</v>
      </c>
      <c r="AD32" s="427">
        <v>0</v>
      </c>
      <c r="AE32" s="427">
        <v>0</v>
      </c>
      <c r="AF32" s="427">
        <v>0</v>
      </c>
      <c r="AG32" s="427">
        <v>0</v>
      </c>
      <c r="AH32" s="427">
        <v>0</v>
      </c>
      <c r="AI32" s="427">
        <v>0</v>
      </c>
      <c r="AJ32" s="427">
        <v>0</v>
      </c>
      <c r="AK32" s="427">
        <v>0</v>
      </c>
      <c r="AL32" s="427">
        <v>0</v>
      </c>
      <c r="AM32" s="427">
        <v>0</v>
      </c>
      <c r="AN32" s="427">
        <v>0</v>
      </c>
      <c r="AO32" s="427">
        <v>0</v>
      </c>
      <c r="AP32" s="427">
        <v>0</v>
      </c>
      <c r="AQ32" s="427">
        <v>0</v>
      </c>
      <c r="AR32" s="427">
        <v>0</v>
      </c>
      <c r="AS32" s="427">
        <v>0</v>
      </c>
      <c r="AT32" s="427">
        <v>0</v>
      </c>
      <c r="AU32" s="427">
        <v>0</v>
      </c>
      <c r="AV32" s="427">
        <v>0</v>
      </c>
      <c r="AW32" s="427">
        <v>0</v>
      </c>
      <c r="AX32" s="427">
        <v>0</v>
      </c>
      <c r="AY32" s="427">
        <v>0</v>
      </c>
      <c r="AZ32" s="427">
        <v>0</v>
      </c>
      <c r="BA32" s="427">
        <v>0</v>
      </c>
      <c r="BB32" s="427">
        <v>0</v>
      </c>
      <c r="BC32" s="427">
        <v>0</v>
      </c>
      <c r="BD32" s="427">
        <v>0</v>
      </c>
      <c r="BE32" s="427">
        <v>0</v>
      </c>
      <c r="BF32" s="427">
        <v>0</v>
      </c>
      <c r="BG32" s="427">
        <v>0</v>
      </c>
      <c r="BH32" s="427">
        <v>0</v>
      </c>
      <c r="BI32" s="427">
        <v>0</v>
      </c>
      <c r="BJ32" s="427">
        <v>0</v>
      </c>
      <c r="BK32" s="427">
        <v>0</v>
      </c>
      <c r="BL32" s="427">
        <v>0</v>
      </c>
      <c r="BM32" s="427">
        <v>0</v>
      </c>
      <c r="BN32" s="427">
        <v>0</v>
      </c>
      <c r="BO32" s="427">
        <v>0</v>
      </c>
      <c r="BP32" s="427">
        <v>0</v>
      </c>
      <c r="BQ32" s="427">
        <v>0</v>
      </c>
      <c r="BR32" s="427">
        <v>0</v>
      </c>
      <c r="BS32" s="427">
        <v>0</v>
      </c>
      <c r="BT32" s="427">
        <v>0</v>
      </c>
      <c r="BU32" s="427">
        <v>0</v>
      </c>
      <c r="BV32" s="427">
        <v>0</v>
      </c>
      <c r="BW32" s="427">
        <v>0</v>
      </c>
      <c r="BX32" s="427">
        <v>0</v>
      </c>
      <c r="BY32" s="427">
        <v>0</v>
      </c>
      <c r="BZ32" s="427">
        <v>0</v>
      </c>
      <c r="CC32" s="21"/>
      <c r="CD32" s="437" t="s">
        <v>583</v>
      </c>
      <c r="CE32" s="433">
        <f t="shared" si="0"/>
        <v>0</v>
      </c>
      <c r="CF32" s="433">
        <f t="shared" si="1"/>
        <v>0</v>
      </c>
      <c r="CG32" s="433">
        <f t="shared" si="2"/>
        <v>0</v>
      </c>
      <c r="CH32" s="433">
        <f t="shared" si="3"/>
        <v>0</v>
      </c>
      <c r="CI32" s="433">
        <f t="shared" si="4"/>
        <v>0</v>
      </c>
      <c r="CJ32" s="433">
        <f t="shared" si="5"/>
        <v>0</v>
      </c>
      <c r="CK32" s="433">
        <f t="shared" si="6"/>
        <v>0</v>
      </c>
      <c r="CL32" s="433">
        <f t="shared" si="7"/>
        <v>0</v>
      </c>
      <c r="CM32" s="433">
        <f t="shared" si="8"/>
        <v>0</v>
      </c>
      <c r="CN32" s="433">
        <f t="shared" si="9"/>
        <v>0</v>
      </c>
      <c r="CO32" s="433">
        <f t="shared" si="10"/>
        <v>0</v>
      </c>
      <c r="CP32" s="433">
        <f t="shared" si="11"/>
        <v>0</v>
      </c>
      <c r="CQ32" s="433">
        <f t="shared" si="12"/>
        <v>0</v>
      </c>
      <c r="CR32" s="433">
        <f t="shared" si="13"/>
        <v>0</v>
      </c>
      <c r="CS32" s="433">
        <f t="shared" si="14"/>
        <v>0</v>
      </c>
      <c r="CT32" s="21"/>
    </row>
    <row r="33" spans="3:98" ht="24.75" customHeight="1" collapsed="1">
      <c r="C33" s="426" t="s">
        <v>13</v>
      </c>
      <c r="D33" s="427">
        <v>0</v>
      </c>
      <c r="E33" s="427">
        <v>0</v>
      </c>
      <c r="F33" s="427">
        <v>0</v>
      </c>
      <c r="G33" s="427">
        <v>0</v>
      </c>
      <c r="H33" s="427">
        <v>0</v>
      </c>
      <c r="I33" s="427">
        <v>0</v>
      </c>
      <c r="J33" s="427">
        <v>0</v>
      </c>
      <c r="K33" s="427">
        <v>0</v>
      </c>
      <c r="L33" s="427">
        <v>0</v>
      </c>
      <c r="M33" s="427">
        <v>0</v>
      </c>
      <c r="N33" s="427">
        <v>0</v>
      </c>
      <c r="O33" s="427">
        <v>0</v>
      </c>
      <c r="P33" s="427">
        <v>0</v>
      </c>
      <c r="Q33" s="427">
        <v>0</v>
      </c>
      <c r="R33" s="427">
        <v>0</v>
      </c>
      <c r="S33" s="427">
        <v>0</v>
      </c>
      <c r="T33" s="427">
        <v>0</v>
      </c>
      <c r="U33" s="427">
        <v>0</v>
      </c>
      <c r="V33" s="427">
        <v>0</v>
      </c>
      <c r="W33" s="427">
        <v>0</v>
      </c>
      <c r="X33" s="427">
        <v>0</v>
      </c>
      <c r="Y33" s="427">
        <v>0</v>
      </c>
      <c r="Z33" s="427">
        <v>0</v>
      </c>
      <c r="AA33" s="427">
        <v>0</v>
      </c>
      <c r="AB33" s="427">
        <v>0</v>
      </c>
      <c r="AC33" s="427">
        <v>0</v>
      </c>
      <c r="AD33" s="427">
        <v>0</v>
      </c>
      <c r="AE33" s="427">
        <v>0</v>
      </c>
      <c r="AF33" s="427">
        <v>0</v>
      </c>
      <c r="AG33" s="427">
        <v>0</v>
      </c>
      <c r="AH33" s="427">
        <v>0</v>
      </c>
      <c r="AI33" s="427">
        <v>0</v>
      </c>
      <c r="AJ33" s="427">
        <v>0</v>
      </c>
      <c r="AK33" s="427">
        <v>0</v>
      </c>
      <c r="AL33" s="427">
        <v>0</v>
      </c>
      <c r="AM33" s="427">
        <v>0</v>
      </c>
      <c r="AN33" s="427">
        <v>0</v>
      </c>
      <c r="AO33" s="427">
        <v>0</v>
      </c>
      <c r="AP33" s="427">
        <v>0</v>
      </c>
      <c r="AQ33" s="427">
        <v>0</v>
      </c>
      <c r="AR33" s="427">
        <v>0</v>
      </c>
      <c r="AS33" s="427">
        <v>0</v>
      </c>
      <c r="AT33" s="427">
        <v>0</v>
      </c>
      <c r="AU33" s="427">
        <v>0</v>
      </c>
      <c r="AV33" s="427">
        <v>0</v>
      </c>
      <c r="AW33" s="427">
        <v>0</v>
      </c>
      <c r="AX33" s="427">
        <v>0</v>
      </c>
      <c r="AY33" s="427">
        <v>0</v>
      </c>
      <c r="AZ33" s="427">
        <v>0</v>
      </c>
      <c r="BA33" s="427">
        <v>0</v>
      </c>
      <c r="BB33" s="427">
        <v>0</v>
      </c>
      <c r="BC33" s="427">
        <v>0</v>
      </c>
      <c r="BD33" s="427">
        <v>0</v>
      </c>
      <c r="BE33" s="427">
        <v>0</v>
      </c>
      <c r="BF33" s="427">
        <v>16.878</v>
      </c>
      <c r="BG33" s="427">
        <v>6.8940000000000001</v>
      </c>
      <c r="BH33" s="427">
        <v>7.484</v>
      </c>
      <c r="BI33" s="427">
        <v>8.0069999999999997</v>
      </c>
      <c r="BJ33" s="427">
        <v>8.577</v>
      </c>
      <c r="BK33" s="427">
        <v>30.962</v>
      </c>
      <c r="BL33" s="427">
        <v>10.922000000000001</v>
      </c>
      <c r="BM33" s="427">
        <v>12.612</v>
      </c>
      <c r="BN33" s="427">
        <v>17.099</v>
      </c>
      <c r="BO33" s="427">
        <v>23.018000000000001</v>
      </c>
      <c r="BP33" s="427">
        <v>63.651000000000003</v>
      </c>
      <c r="BQ33" s="427">
        <v>31.58</v>
      </c>
      <c r="BR33" s="427">
        <v>42.027000000000001</v>
      </c>
      <c r="BS33" s="427">
        <v>40.113999999999997</v>
      </c>
      <c r="BT33" s="427">
        <v>40.347999999999999</v>
      </c>
      <c r="BU33" s="427">
        <v>154.06899999999999</v>
      </c>
      <c r="BV33" s="427">
        <v>41.207999999999998</v>
      </c>
      <c r="BW33" s="427">
        <v>36.981999999999999</v>
      </c>
      <c r="BX33" s="427">
        <v>31.966999999999999</v>
      </c>
      <c r="BY33" s="427">
        <v>0</v>
      </c>
      <c r="BZ33" s="427">
        <v>0</v>
      </c>
      <c r="CC33" s="21"/>
      <c r="CD33" s="426" t="s">
        <v>13</v>
      </c>
      <c r="CE33" s="433">
        <f t="shared" si="0"/>
        <v>0</v>
      </c>
      <c r="CF33" s="433">
        <f t="shared" si="1"/>
        <v>0</v>
      </c>
      <c r="CG33" s="433">
        <f t="shared" si="2"/>
        <v>0</v>
      </c>
      <c r="CH33" s="433">
        <f t="shared" si="3"/>
        <v>0</v>
      </c>
      <c r="CI33" s="433">
        <f t="shared" si="4"/>
        <v>0</v>
      </c>
      <c r="CJ33" s="433">
        <f t="shared" si="5"/>
        <v>0</v>
      </c>
      <c r="CK33" s="433">
        <f t="shared" si="6"/>
        <v>0</v>
      </c>
      <c r="CL33" s="433">
        <f t="shared" si="7"/>
        <v>0</v>
      </c>
      <c r="CM33" s="433">
        <f t="shared" si="8"/>
        <v>0</v>
      </c>
      <c r="CN33" s="433">
        <f t="shared" si="9"/>
        <v>0</v>
      </c>
      <c r="CO33" s="433">
        <f t="shared" si="10"/>
        <v>16.878</v>
      </c>
      <c r="CP33" s="433">
        <f t="shared" si="11"/>
        <v>30.962</v>
      </c>
      <c r="CQ33" s="433">
        <f t="shared" si="12"/>
        <v>63.651000000000003</v>
      </c>
      <c r="CR33" s="433">
        <f t="shared" si="13"/>
        <v>154.06899999999999</v>
      </c>
      <c r="CS33" s="433">
        <f t="shared" si="14"/>
        <v>0</v>
      </c>
      <c r="CT33" s="21"/>
    </row>
    <row r="34" spans="3:98" ht="24.75" customHeight="1">
      <c r="C34" s="426" t="s">
        <v>584</v>
      </c>
      <c r="D34" s="427">
        <v>0</v>
      </c>
      <c r="E34" s="427">
        <v>0</v>
      </c>
      <c r="F34" s="427">
        <v>0</v>
      </c>
      <c r="G34" s="427">
        <v>0</v>
      </c>
      <c r="H34" s="427">
        <v>0</v>
      </c>
      <c r="I34" s="427">
        <v>0</v>
      </c>
      <c r="J34" s="427">
        <v>0</v>
      </c>
      <c r="K34" s="427">
        <v>0</v>
      </c>
      <c r="L34" s="427">
        <v>0</v>
      </c>
      <c r="M34" s="427">
        <v>0</v>
      </c>
      <c r="N34" s="427">
        <v>0</v>
      </c>
      <c r="O34" s="427">
        <v>0</v>
      </c>
      <c r="P34" s="427">
        <v>0</v>
      </c>
      <c r="Q34" s="427">
        <v>0</v>
      </c>
      <c r="R34" s="427">
        <v>0</v>
      </c>
      <c r="S34" s="427">
        <v>0</v>
      </c>
      <c r="T34" s="427">
        <v>0</v>
      </c>
      <c r="U34" s="427">
        <v>0</v>
      </c>
      <c r="V34" s="427">
        <v>0</v>
      </c>
      <c r="W34" s="427">
        <v>0</v>
      </c>
      <c r="X34" s="427">
        <v>0</v>
      </c>
      <c r="Y34" s="427">
        <v>0</v>
      </c>
      <c r="Z34" s="427">
        <v>0</v>
      </c>
      <c r="AA34" s="427">
        <v>0</v>
      </c>
      <c r="AB34" s="427">
        <v>0</v>
      </c>
      <c r="AC34" s="427">
        <v>0</v>
      </c>
      <c r="AD34" s="427">
        <v>0</v>
      </c>
      <c r="AE34" s="427">
        <v>0</v>
      </c>
      <c r="AF34" s="427">
        <v>0</v>
      </c>
      <c r="AG34" s="427">
        <v>0</v>
      </c>
      <c r="AH34" s="427">
        <v>0</v>
      </c>
      <c r="AI34" s="427">
        <v>0</v>
      </c>
      <c r="AJ34" s="427">
        <v>0</v>
      </c>
      <c r="AK34" s="427">
        <v>0</v>
      </c>
      <c r="AL34" s="427">
        <v>0</v>
      </c>
      <c r="AM34" s="427">
        <v>0</v>
      </c>
      <c r="AN34" s="427">
        <v>0</v>
      </c>
      <c r="AO34" s="427">
        <v>0</v>
      </c>
      <c r="AP34" s="427">
        <v>0</v>
      </c>
      <c r="AQ34" s="427">
        <v>0</v>
      </c>
      <c r="AR34" s="427">
        <v>0</v>
      </c>
      <c r="AS34" s="427">
        <v>0</v>
      </c>
      <c r="AT34" s="427">
        <v>0</v>
      </c>
      <c r="AU34" s="427">
        <v>0</v>
      </c>
      <c r="AV34" s="427">
        <v>0</v>
      </c>
      <c r="AW34" s="427">
        <v>0</v>
      </c>
      <c r="AX34" s="427">
        <v>0</v>
      </c>
      <c r="AY34" s="427">
        <v>0</v>
      </c>
      <c r="AZ34" s="427">
        <v>0</v>
      </c>
      <c r="BA34" s="427">
        <v>0</v>
      </c>
      <c r="BB34" s="427">
        <v>0</v>
      </c>
      <c r="BC34" s="427">
        <v>0</v>
      </c>
      <c r="BD34" s="427">
        <v>0</v>
      </c>
      <c r="BE34" s="427">
        <v>0</v>
      </c>
      <c r="BF34" s="427">
        <v>0</v>
      </c>
      <c r="BG34" s="427">
        <v>0</v>
      </c>
      <c r="BH34" s="427">
        <v>0</v>
      </c>
      <c r="BI34" s="427">
        <v>0</v>
      </c>
      <c r="BJ34" s="427">
        <v>0</v>
      </c>
      <c r="BK34" s="427">
        <v>0</v>
      </c>
      <c r="BL34" s="427">
        <v>0</v>
      </c>
      <c r="BM34" s="427">
        <v>0</v>
      </c>
      <c r="BN34" s="427">
        <v>0</v>
      </c>
      <c r="BO34" s="427">
        <v>0</v>
      </c>
      <c r="BP34" s="427">
        <v>0</v>
      </c>
      <c r="BQ34" s="427">
        <v>0</v>
      </c>
      <c r="BR34" s="427">
        <v>0</v>
      </c>
      <c r="BS34" s="427">
        <v>0</v>
      </c>
      <c r="BT34" s="427">
        <v>0</v>
      </c>
      <c r="BU34" s="427">
        <v>0</v>
      </c>
      <c r="BV34" s="427">
        <v>0</v>
      </c>
      <c r="BW34" s="427">
        <v>0</v>
      </c>
      <c r="BX34" s="427">
        <v>0</v>
      </c>
      <c r="BY34" s="427">
        <v>0</v>
      </c>
      <c r="BZ34" s="427">
        <v>0</v>
      </c>
      <c r="CC34" s="21"/>
      <c r="CD34" s="426" t="s">
        <v>584</v>
      </c>
      <c r="CE34" s="433">
        <f t="shared" si="0"/>
        <v>0</v>
      </c>
      <c r="CF34" s="433">
        <f t="shared" si="1"/>
        <v>0</v>
      </c>
      <c r="CG34" s="433">
        <f t="shared" si="2"/>
        <v>0</v>
      </c>
      <c r="CH34" s="433">
        <f t="shared" si="3"/>
        <v>0</v>
      </c>
      <c r="CI34" s="433">
        <f t="shared" si="4"/>
        <v>0</v>
      </c>
      <c r="CJ34" s="433">
        <f t="shared" si="5"/>
        <v>0</v>
      </c>
      <c r="CK34" s="433">
        <f t="shared" si="6"/>
        <v>0</v>
      </c>
      <c r="CL34" s="433">
        <f t="shared" si="7"/>
        <v>0</v>
      </c>
      <c r="CM34" s="433">
        <f t="shared" si="8"/>
        <v>0</v>
      </c>
      <c r="CN34" s="433">
        <f t="shared" si="9"/>
        <v>0</v>
      </c>
      <c r="CO34" s="433">
        <f t="shared" si="10"/>
        <v>0</v>
      </c>
      <c r="CP34" s="433">
        <f t="shared" si="11"/>
        <v>0</v>
      </c>
      <c r="CQ34" s="433">
        <f t="shared" si="12"/>
        <v>0</v>
      </c>
      <c r="CR34" s="433">
        <f t="shared" si="13"/>
        <v>0</v>
      </c>
      <c r="CS34" s="433">
        <f t="shared" si="14"/>
        <v>0</v>
      </c>
      <c r="CT34" s="21"/>
    </row>
    <row r="35" spans="3:98" ht="24.75" customHeight="1">
      <c r="C35" s="426" t="s">
        <v>585</v>
      </c>
      <c r="D35" s="427">
        <v>0</v>
      </c>
      <c r="E35" s="427">
        <v>0</v>
      </c>
      <c r="F35" s="427">
        <v>0</v>
      </c>
      <c r="G35" s="427">
        <v>0</v>
      </c>
      <c r="H35" s="427">
        <v>0</v>
      </c>
      <c r="I35" s="427">
        <v>0</v>
      </c>
      <c r="J35" s="427">
        <v>0</v>
      </c>
      <c r="K35" s="427">
        <v>0</v>
      </c>
      <c r="L35" s="427">
        <v>0</v>
      </c>
      <c r="M35" s="427">
        <v>0</v>
      </c>
      <c r="N35" s="427">
        <v>0</v>
      </c>
      <c r="O35" s="427">
        <v>0</v>
      </c>
      <c r="P35" s="427">
        <v>0</v>
      </c>
      <c r="Q35" s="427">
        <v>0</v>
      </c>
      <c r="R35" s="427">
        <v>0</v>
      </c>
      <c r="S35" s="427">
        <v>0</v>
      </c>
      <c r="T35" s="427">
        <v>0</v>
      </c>
      <c r="U35" s="427">
        <v>0</v>
      </c>
      <c r="V35" s="427">
        <v>0</v>
      </c>
      <c r="W35" s="427">
        <v>0</v>
      </c>
      <c r="X35" s="427">
        <v>0</v>
      </c>
      <c r="Y35" s="427">
        <v>0</v>
      </c>
      <c r="Z35" s="427">
        <v>0</v>
      </c>
      <c r="AA35" s="427">
        <v>0</v>
      </c>
      <c r="AB35" s="427">
        <v>0</v>
      </c>
      <c r="AC35" s="427">
        <v>0</v>
      </c>
      <c r="AD35" s="427">
        <v>0</v>
      </c>
      <c r="AE35" s="427">
        <v>0</v>
      </c>
      <c r="AF35" s="427">
        <v>0</v>
      </c>
      <c r="AG35" s="427">
        <v>0</v>
      </c>
      <c r="AH35" s="427">
        <v>0</v>
      </c>
      <c r="AI35" s="427">
        <v>0</v>
      </c>
      <c r="AJ35" s="427">
        <v>0</v>
      </c>
      <c r="AK35" s="427">
        <v>0</v>
      </c>
      <c r="AL35" s="427">
        <v>0</v>
      </c>
      <c r="AM35" s="427">
        <v>0</v>
      </c>
      <c r="AN35" s="427">
        <v>0</v>
      </c>
      <c r="AO35" s="427">
        <v>0</v>
      </c>
      <c r="AP35" s="427">
        <v>0</v>
      </c>
      <c r="AQ35" s="427">
        <v>0</v>
      </c>
      <c r="AR35" s="427">
        <v>0</v>
      </c>
      <c r="AS35" s="427">
        <v>0</v>
      </c>
      <c r="AT35" s="427">
        <v>0</v>
      </c>
      <c r="AU35" s="427">
        <v>0</v>
      </c>
      <c r="AV35" s="427">
        <v>0</v>
      </c>
      <c r="AW35" s="427">
        <v>0</v>
      </c>
      <c r="AX35" s="427">
        <v>0</v>
      </c>
      <c r="AY35" s="427">
        <v>0</v>
      </c>
      <c r="AZ35" s="427">
        <v>0</v>
      </c>
      <c r="BA35" s="427">
        <v>0</v>
      </c>
      <c r="BB35" s="427">
        <v>0</v>
      </c>
      <c r="BC35" s="427">
        <v>0</v>
      </c>
      <c r="BD35" s="427">
        <v>0</v>
      </c>
      <c r="BE35" s="427">
        <v>0</v>
      </c>
      <c r="BF35" s="427">
        <v>0</v>
      </c>
      <c r="BG35" s="427">
        <v>0</v>
      </c>
      <c r="BH35" s="427">
        <v>0</v>
      </c>
      <c r="BI35" s="427">
        <v>0</v>
      </c>
      <c r="BJ35" s="427">
        <v>0</v>
      </c>
      <c r="BK35" s="427">
        <v>0</v>
      </c>
      <c r="BL35" s="427">
        <v>0</v>
      </c>
      <c r="BM35" s="427">
        <v>0</v>
      </c>
      <c r="BN35" s="427">
        <v>0</v>
      </c>
      <c r="BO35" s="427">
        <v>0</v>
      </c>
      <c r="BP35" s="427">
        <v>0</v>
      </c>
      <c r="BQ35" s="427">
        <v>0</v>
      </c>
      <c r="BR35" s="427">
        <v>0</v>
      </c>
      <c r="BS35" s="427">
        <v>0</v>
      </c>
      <c r="BT35" s="427">
        <v>0</v>
      </c>
      <c r="BU35" s="427">
        <v>0</v>
      </c>
      <c r="BV35" s="427">
        <v>0</v>
      </c>
      <c r="BW35" s="427">
        <v>0</v>
      </c>
      <c r="BX35" s="427">
        <v>0</v>
      </c>
      <c r="BY35" s="427">
        <v>0</v>
      </c>
      <c r="BZ35" s="427">
        <v>0</v>
      </c>
      <c r="CC35" s="21"/>
      <c r="CD35" s="426" t="s">
        <v>585</v>
      </c>
      <c r="CE35" s="433">
        <f t="shared" si="0"/>
        <v>0</v>
      </c>
      <c r="CF35" s="433">
        <f t="shared" si="1"/>
        <v>0</v>
      </c>
      <c r="CG35" s="433">
        <f t="shared" si="2"/>
        <v>0</v>
      </c>
      <c r="CH35" s="433">
        <f t="shared" si="3"/>
        <v>0</v>
      </c>
      <c r="CI35" s="433">
        <f t="shared" si="4"/>
        <v>0</v>
      </c>
      <c r="CJ35" s="433">
        <f t="shared" si="5"/>
        <v>0</v>
      </c>
      <c r="CK35" s="433">
        <f t="shared" si="6"/>
        <v>0</v>
      </c>
      <c r="CL35" s="433">
        <f t="shared" si="7"/>
        <v>0</v>
      </c>
      <c r="CM35" s="433">
        <f t="shared" si="8"/>
        <v>0</v>
      </c>
      <c r="CN35" s="433">
        <f t="shared" si="9"/>
        <v>0</v>
      </c>
      <c r="CO35" s="433">
        <f t="shared" si="10"/>
        <v>0</v>
      </c>
      <c r="CP35" s="433">
        <f t="shared" si="11"/>
        <v>0</v>
      </c>
      <c r="CQ35" s="433">
        <f t="shared" si="12"/>
        <v>0</v>
      </c>
      <c r="CR35" s="433">
        <f t="shared" si="13"/>
        <v>0</v>
      </c>
      <c r="CS35" s="433">
        <f t="shared" si="14"/>
        <v>0</v>
      </c>
      <c r="CT35" s="21"/>
    </row>
    <row r="36" spans="3:98" ht="24.75" customHeight="1">
      <c r="C36" s="426" t="s">
        <v>586</v>
      </c>
      <c r="D36" s="427">
        <v>0</v>
      </c>
      <c r="E36" s="427">
        <v>0</v>
      </c>
      <c r="F36" s="427">
        <v>0</v>
      </c>
      <c r="G36" s="427">
        <v>0</v>
      </c>
      <c r="H36" s="427">
        <v>0</v>
      </c>
      <c r="I36" s="427">
        <v>0</v>
      </c>
      <c r="J36" s="427">
        <v>0</v>
      </c>
      <c r="K36" s="427">
        <v>0</v>
      </c>
      <c r="L36" s="427">
        <v>0</v>
      </c>
      <c r="M36" s="427">
        <v>0</v>
      </c>
      <c r="N36" s="427">
        <v>0</v>
      </c>
      <c r="O36" s="427">
        <v>0</v>
      </c>
      <c r="P36" s="427">
        <v>0</v>
      </c>
      <c r="Q36" s="427">
        <v>0</v>
      </c>
      <c r="R36" s="427">
        <v>0</v>
      </c>
      <c r="S36" s="427">
        <v>0</v>
      </c>
      <c r="T36" s="427">
        <v>0</v>
      </c>
      <c r="U36" s="427">
        <v>0</v>
      </c>
      <c r="V36" s="427">
        <v>0</v>
      </c>
      <c r="W36" s="427">
        <v>0</v>
      </c>
      <c r="X36" s="427">
        <v>0</v>
      </c>
      <c r="Y36" s="427">
        <v>0</v>
      </c>
      <c r="Z36" s="427">
        <v>0</v>
      </c>
      <c r="AA36" s="427">
        <v>0</v>
      </c>
      <c r="AB36" s="427">
        <v>0</v>
      </c>
      <c r="AC36" s="427">
        <v>0</v>
      </c>
      <c r="AD36" s="427">
        <v>0</v>
      </c>
      <c r="AE36" s="427">
        <v>0</v>
      </c>
      <c r="AF36" s="427">
        <v>0</v>
      </c>
      <c r="AG36" s="427">
        <v>0</v>
      </c>
      <c r="AH36" s="427">
        <v>0</v>
      </c>
      <c r="AI36" s="427">
        <v>0</v>
      </c>
      <c r="AJ36" s="427">
        <v>0</v>
      </c>
      <c r="AK36" s="427">
        <v>0</v>
      </c>
      <c r="AL36" s="427">
        <v>0</v>
      </c>
      <c r="AM36" s="427">
        <v>0</v>
      </c>
      <c r="AN36" s="427">
        <v>0</v>
      </c>
      <c r="AO36" s="427">
        <v>0</v>
      </c>
      <c r="AP36" s="427">
        <v>0</v>
      </c>
      <c r="AQ36" s="427">
        <v>0</v>
      </c>
      <c r="AR36" s="427">
        <v>0</v>
      </c>
      <c r="AS36" s="427">
        <v>0</v>
      </c>
      <c r="AT36" s="427">
        <v>0</v>
      </c>
      <c r="AU36" s="427">
        <v>0</v>
      </c>
      <c r="AV36" s="427">
        <v>0</v>
      </c>
      <c r="AW36" s="427">
        <v>0</v>
      </c>
      <c r="AX36" s="427">
        <v>0</v>
      </c>
      <c r="AY36" s="427">
        <v>0</v>
      </c>
      <c r="AZ36" s="427">
        <v>0</v>
      </c>
      <c r="BA36" s="427">
        <v>0</v>
      </c>
      <c r="BB36" s="427">
        <v>0</v>
      </c>
      <c r="BC36" s="427">
        <v>0</v>
      </c>
      <c r="BD36" s="427">
        <v>0</v>
      </c>
      <c r="BE36" s="427">
        <v>0</v>
      </c>
      <c r="BF36" s="427">
        <v>0</v>
      </c>
      <c r="BG36" s="427">
        <v>0</v>
      </c>
      <c r="BH36" s="427">
        <v>0</v>
      </c>
      <c r="BI36" s="427">
        <v>0</v>
      </c>
      <c r="BJ36" s="427">
        <v>0</v>
      </c>
      <c r="BK36" s="427">
        <v>0</v>
      </c>
      <c r="BL36" s="427">
        <v>0</v>
      </c>
      <c r="BM36" s="427">
        <v>0</v>
      </c>
      <c r="BN36" s="427">
        <v>0</v>
      </c>
      <c r="BO36" s="427">
        <v>0</v>
      </c>
      <c r="BP36" s="427">
        <v>0</v>
      </c>
      <c r="BQ36" s="427">
        <v>0</v>
      </c>
      <c r="BR36" s="427">
        <v>0</v>
      </c>
      <c r="BS36" s="427">
        <v>0</v>
      </c>
      <c r="BT36" s="427">
        <v>0</v>
      </c>
      <c r="BU36" s="427">
        <v>0</v>
      </c>
      <c r="BV36" s="427">
        <v>0</v>
      </c>
      <c r="BW36" s="427">
        <v>0</v>
      </c>
      <c r="BX36" s="427">
        <v>0</v>
      </c>
      <c r="BY36" s="427">
        <v>0</v>
      </c>
      <c r="BZ36" s="427">
        <v>0</v>
      </c>
      <c r="CC36" s="21"/>
      <c r="CD36" s="426" t="s">
        <v>586</v>
      </c>
      <c r="CE36" s="433">
        <f t="shared" si="0"/>
        <v>0</v>
      </c>
      <c r="CF36" s="433">
        <f t="shared" si="1"/>
        <v>0</v>
      </c>
      <c r="CG36" s="433">
        <f t="shared" si="2"/>
        <v>0</v>
      </c>
      <c r="CH36" s="433">
        <f t="shared" si="3"/>
        <v>0</v>
      </c>
      <c r="CI36" s="433">
        <f t="shared" si="4"/>
        <v>0</v>
      </c>
      <c r="CJ36" s="433">
        <f t="shared" si="5"/>
        <v>0</v>
      </c>
      <c r="CK36" s="433">
        <f t="shared" si="6"/>
        <v>0</v>
      </c>
      <c r="CL36" s="433">
        <f t="shared" si="7"/>
        <v>0</v>
      </c>
      <c r="CM36" s="433">
        <f t="shared" si="8"/>
        <v>0</v>
      </c>
      <c r="CN36" s="433">
        <f t="shared" si="9"/>
        <v>0</v>
      </c>
      <c r="CO36" s="433">
        <f t="shared" si="10"/>
        <v>0</v>
      </c>
      <c r="CP36" s="433">
        <f t="shared" si="11"/>
        <v>0</v>
      </c>
      <c r="CQ36" s="433">
        <f t="shared" si="12"/>
        <v>0</v>
      </c>
      <c r="CR36" s="433">
        <f t="shared" si="13"/>
        <v>0</v>
      </c>
      <c r="CS36" s="433">
        <f t="shared" si="14"/>
        <v>0</v>
      </c>
      <c r="CT36" s="21"/>
    </row>
    <row r="37" spans="3:98" ht="24.75" customHeight="1">
      <c r="C37" s="426" t="s">
        <v>587</v>
      </c>
      <c r="D37" s="427">
        <v>0</v>
      </c>
      <c r="E37" s="427">
        <v>0</v>
      </c>
      <c r="F37" s="427">
        <v>0</v>
      </c>
      <c r="G37" s="427">
        <v>0</v>
      </c>
      <c r="H37" s="427">
        <v>0</v>
      </c>
      <c r="I37" s="427">
        <v>0</v>
      </c>
      <c r="J37" s="427">
        <v>0</v>
      </c>
      <c r="K37" s="427">
        <v>0</v>
      </c>
      <c r="L37" s="427">
        <v>0</v>
      </c>
      <c r="M37" s="427">
        <v>0</v>
      </c>
      <c r="N37" s="427">
        <v>0</v>
      </c>
      <c r="O37" s="427">
        <v>0</v>
      </c>
      <c r="P37" s="427">
        <v>0</v>
      </c>
      <c r="Q37" s="427">
        <v>0</v>
      </c>
      <c r="R37" s="427">
        <v>0</v>
      </c>
      <c r="S37" s="427">
        <v>0</v>
      </c>
      <c r="T37" s="427">
        <v>0</v>
      </c>
      <c r="U37" s="427">
        <v>0</v>
      </c>
      <c r="V37" s="427">
        <v>0</v>
      </c>
      <c r="W37" s="427">
        <v>0</v>
      </c>
      <c r="X37" s="427">
        <v>0</v>
      </c>
      <c r="Y37" s="427">
        <v>0</v>
      </c>
      <c r="Z37" s="427">
        <v>0</v>
      </c>
      <c r="AA37" s="427">
        <v>0</v>
      </c>
      <c r="AB37" s="427">
        <v>0</v>
      </c>
      <c r="AC37" s="427">
        <v>0</v>
      </c>
      <c r="AD37" s="427">
        <v>0</v>
      </c>
      <c r="AE37" s="427">
        <v>0</v>
      </c>
      <c r="AF37" s="427">
        <v>0</v>
      </c>
      <c r="AG37" s="427">
        <v>0</v>
      </c>
      <c r="AH37" s="427">
        <v>0</v>
      </c>
      <c r="AI37" s="427">
        <v>0</v>
      </c>
      <c r="AJ37" s="427">
        <v>0</v>
      </c>
      <c r="AK37" s="427">
        <v>0</v>
      </c>
      <c r="AL37" s="427">
        <v>0</v>
      </c>
      <c r="AM37" s="427">
        <v>0</v>
      </c>
      <c r="AN37" s="427">
        <v>0</v>
      </c>
      <c r="AO37" s="427">
        <v>0</v>
      </c>
      <c r="AP37" s="427">
        <v>0</v>
      </c>
      <c r="AQ37" s="427">
        <v>0</v>
      </c>
      <c r="AR37" s="427">
        <v>0</v>
      </c>
      <c r="AS37" s="427">
        <v>0</v>
      </c>
      <c r="AT37" s="427">
        <v>0</v>
      </c>
      <c r="AU37" s="427">
        <v>0</v>
      </c>
      <c r="AV37" s="427">
        <v>0</v>
      </c>
      <c r="AW37" s="427">
        <v>0</v>
      </c>
      <c r="AX37" s="427">
        <v>0</v>
      </c>
      <c r="AY37" s="427">
        <v>0</v>
      </c>
      <c r="AZ37" s="427">
        <v>0</v>
      </c>
      <c r="BA37" s="427">
        <v>0</v>
      </c>
      <c r="BB37" s="427">
        <v>0</v>
      </c>
      <c r="BC37" s="427">
        <v>0</v>
      </c>
      <c r="BD37" s="427">
        <v>0</v>
      </c>
      <c r="BE37" s="427">
        <v>0</v>
      </c>
      <c r="BF37" s="427">
        <v>31.146999999999998</v>
      </c>
      <c r="BG37" s="427">
        <v>8.7720000000000002</v>
      </c>
      <c r="BH37" s="427">
        <v>12.647</v>
      </c>
      <c r="BI37" s="427">
        <v>16.381</v>
      </c>
      <c r="BJ37" s="427">
        <v>32.747999999999998</v>
      </c>
      <c r="BK37" s="427">
        <v>70.548000000000002</v>
      </c>
      <c r="BL37" s="427">
        <v>104.628</v>
      </c>
      <c r="BM37" s="427">
        <v>189.33500000000001</v>
      </c>
      <c r="BN37" s="427">
        <v>264.19400000000002</v>
      </c>
      <c r="BO37" s="427">
        <v>262.52800000000002</v>
      </c>
      <c r="BP37" s="427">
        <v>820.68499999999995</v>
      </c>
      <c r="BQ37" s="427">
        <v>352.14100000000002</v>
      </c>
      <c r="BR37" s="427">
        <v>391.49599999999998</v>
      </c>
      <c r="BS37" s="427">
        <v>391.44099999999997</v>
      </c>
      <c r="BT37" s="427">
        <v>430.745</v>
      </c>
      <c r="BU37" s="427">
        <v>1565.8230000000001</v>
      </c>
      <c r="BV37" s="427">
        <v>282.90199999999999</v>
      </c>
      <c r="BW37" s="427">
        <v>199.77199999999999</v>
      </c>
      <c r="BX37" s="427">
        <v>218.15299999999999</v>
      </c>
      <c r="BY37" s="427">
        <v>0</v>
      </c>
      <c r="BZ37" s="427">
        <v>0</v>
      </c>
      <c r="CC37" s="21"/>
      <c r="CD37" s="426" t="s">
        <v>587</v>
      </c>
      <c r="CE37" s="433">
        <f t="shared" si="0"/>
        <v>0</v>
      </c>
      <c r="CF37" s="433">
        <f t="shared" si="1"/>
        <v>0</v>
      </c>
      <c r="CG37" s="433">
        <f t="shared" si="2"/>
        <v>0</v>
      </c>
      <c r="CH37" s="433">
        <f t="shared" si="3"/>
        <v>0</v>
      </c>
      <c r="CI37" s="433">
        <f t="shared" si="4"/>
        <v>0</v>
      </c>
      <c r="CJ37" s="433">
        <f t="shared" si="5"/>
        <v>0</v>
      </c>
      <c r="CK37" s="433">
        <f t="shared" si="6"/>
        <v>0</v>
      </c>
      <c r="CL37" s="433">
        <f t="shared" si="7"/>
        <v>0</v>
      </c>
      <c r="CM37" s="433">
        <f t="shared" si="8"/>
        <v>0</v>
      </c>
      <c r="CN37" s="433">
        <f t="shared" si="9"/>
        <v>0</v>
      </c>
      <c r="CO37" s="433">
        <f t="shared" si="10"/>
        <v>31.146999999999998</v>
      </c>
      <c r="CP37" s="433">
        <f t="shared" si="11"/>
        <v>70.548000000000002</v>
      </c>
      <c r="CQ37" s="433">
        <f t="shared" si="12"/>
        <v>820.68499999999995</v>
      </c>
      <c r="CR37" s="433">
        <f t="shared" si="13"/>
        <v>1565.8230000000001</v>
      </c>
      <c r="CS37" s="433">
        <f t="shared" si="14"/>
        <v>0</v>
      </c>
      <c r="CT37" s="21"/>
    </row>
    <row r="38" spans="3:98" ht="24.75" customHeight="1">
      <c r="C38" s="426" t="s">
        <v>588</v>
      </c>
      <c r="D38" s="427">
        <v>0</v>
      </c>
      <c r="E38" s="427">
        <v>0</v>
      </c>
      <c r="F38" s="427">
        <v>0</v>
      </c>
      <c r="G38" s="427">
        <v>0</v>
      </c>
      <c r="H38" s="427">
        <v>0</v>
      </c>
      <c r="I38" s="427">
        <v>0</v>
      </c>
      <c r="J38" s="427">
        <v>0</v>
      </c>
      <c r="K38" s="427">
        <v>0</v>
      </c>
      <c r="L38" s="427">
        <v>0</v>
      </c>
      <c r="M38" s="427">
        <v>0</v>
      </c>
      <c r="N38" s="427">
        <v>0</v>
      </c>
      <c r="O38" s="427">
        <v>0</v>
      </c>
      <c r="P38" s="427">
        <v>0</v>
      </c>
      <c r="Q38" s="427">
        <v>0</v>
      </c>
      <c r="R38" s="427">
        <v>0</v>
      </c>
      <c r="S38" s="427">
        <v>0</v>
      </c>
      <c r="T38" s="427">
        <v>0</v>
      </c>
      <c r="U38" s="427">
        <v>0</v>
      </c>
      <c r="V38" s="427">
        <v>0</v>
      </c>
      <c r="W38" s="427">
        <v>0</v>
      </c>
      <c r="X38" s="427">
        <v>0</v>
      </c>
      <c r="Y38" s="427">
        <v>0</v>
      </c>
      <c r="Z38" s="427">
        <v>0</v>
      </c>
      <c r="AA38" s="427">
        <v>0</v>
      </c>
      <c r="AB38" s="427">
        <v>0</v>
      </c>
      <c r="AC38" s="427">
        <v>0</v>
      </c>
      <c r="AD38" s="427">
        <v>0</v>
      </c>
      <c r="AE38" s="427">
        <v>0</v>
      </c>
      <c r="AF38" s="427">
        <v>0</v>
      </c>
      <c r="AG38" s="427">
        <v>0</v>
      </c>
      <c r="AH38" s="427">
        <v>0</v>
      </c>
      <c r="AI38" s="427">
        <v>0</v>
      </c>
      <c r="AJ38" s="427">
        <v>0</v>
      </c>
      <c r="AK38" s="427">
        <v>0</v>
      </c>
      <c r="AL38" s="427">
        <v>0</v>
      </c>
      <c r="AM38" s="427">
        <v>0</v>
      </c>
      <c r="AN38" s="427">
        <v>0</v>
      </c>
      <c r="AO38" s="427">
        <v>0</v>
      </c>
      <c r="AP38" s="427">
        <v>0</v>
      </c>
      <c r="AQ38" s="427">
        <v>0</v>
      </c>
      <c r="AR38" s="427">
        <v>0</v>
      </c>
      <c r="AS38" s="427">
        <v>0</v>
      </c>
      <c r="AT38" s="427">
        <v>0</v>
      </c>
      <c r="AU38" s="427">
        <v>0</v>
      </c>
      <c r="AV38" s="427">
        <v>0</v>
      </c>
      <c r="AW38" s="427">
        <v>0</v>
      </c>
      <c r="AX38" s="427">
        <v>0</v>
      </c>
      <c r="AY38" s="427">
        <v>0</v>
      </c>
      <c r="AZ38" s="427">
        <v>0</v>
      </c>
      <c r="BA38" s="427">
        <v>0</v>
      </c>
      <c r="BB38" s="427">
        <v>0</v>
      </c>
      <c r="BC38" s="427">
        <v>0</v>
      </c>
      <c r="BD38" s="427">
        <v>0</v>
      </c>
      <c r="BE38" s="427">
        <v>0</v>
      </c>
      <c r="BF38" s="427">
        <v>-20.902999999999999</v>
      </c>
      <c r="BG38" s="427">
        <v>7.6369999999999996</v>
      </c>
      <c r="BH38" s="427">
        <v>5.851</v>
      </c>
      <c r="BI38" s="427">
        <v>-5.851</v>
      </c>
      <c r="BJ38" s="427">
        <v>-7.1630000000000003</v>
      </c>
      <c r="BK38" s="427">
        <v>0.47399999999999998</v>
      </c>
      <c r="BL38" s="427">
        <v>3.5999999999999997E-2</v>
      </c>
      <c r="BM38" s="427">
        <v>-93.364000000000004</v>
      </c>
      <c r="BN38" s="427">
        <v>-478.71600000000001</v>
      </c>
      <c r="BO38" s="427">
        <v>13.715</v>
      </c>
      <c r="BP38" s="427">
        <v>-558.32899999999995</v>
      </c>
      <c r="BQ38" s="427">
        <v>-183.18299999999999</v>
      </c>
      <c r="BR38" s="427">
        <v>-154.33699999999999</v>
      </c>
      <c r="BS38" s="427">
        <v>-106.705</v>
      </c>
      <c r="BT38" s="427">
        <v>-23.81</v>
      </c>
      <c r="BU38" s="427">
        <v>-468.03500000000003</v>
      </c>
      <c r="BV38" s="427">
        <v>-84.168999999999997</v>
      </c>
      <c r="BW38" s="427">
        <v>12.734</v>
      </c>
      <c r="BX38" s="427">
        <v>21.218</v>
      </c>
      <c r="BY38" s="427">
        <v>0</v>
      </c>
      <c r="BZ38" s="427">
        <v>0</v>
      </c>
      <c r="CC38" s="21"/>
      <c r="CD38" s="426" t="s">
        <v>588</v>
      </c>
      <c r="CE38" s="433">
        <f t="shared" si="0"/>
        <v>0</v>
      </c>
      <c r="CF38" s="433">
        <f t="shared" si="1"/>
        <v>0</v>
      </c>
      <c r="CG38" s="433">
        <f t="shared" si="2"/>
        <v>0</v>
      </c>
      <c r="CH38" s="433">
        <f t="shared" si="3"/>
        <v>0</v>
      </c>
      <c r="CI38" s="433">
        <f t="shared" si="4"/>
        <v>0</v>
      </c>
      <c r="CJ38" s="433">
        <f t="shared" si="5"/>
        <v>0</v>
      </c>
      <c r="CK38" s="433">
        <f t="shared" si="6"/>
        <v>0</v>
      </c>
      <c r="CL38" s="433">
        <f t="shared" si="7"/>
        <v>0</v>
      </c>
      <c r="CM38" s="433">
        <f t="shared" si="8"/>
        <v>0</v>
      </c>
      <c r="CN38" s="433">
        <f t="shared" si="9"/>
        <v>0</v>
      </c>
      <c r="CO38" s="433">
        <f t="shared" si="10"/>
        <v>-20.902999999999999</v>
      </c>
      <c r="CP38" s="433">
        <f t="shared" si="11"/>
        <v>0.47399999999999998</v>
      </c>
      <c r="CQ38" s="433">
        <f t="shared" si="12"/>
        <v>-558.32899999999995</v>
      </c>
      <c r="CR38" s="433">
        <f t="shared" si="13"/>
        <v>-468.03500000000003</v>
      </c>
      <c r="CS38" s="433">
        <f t="shared" si="14"/>
        <v>0</v>
      </c>
      <c r="CT38" s="21"/>
    </row>
    <row r="39" spans="3:98" ht="24.75" customHeight="1">
      <c r="C39" s="426" t="s">
        <v>589</v>
      </c>
      <c r="D39" s="427">
        <v>0</v>
      </c>
      <c r="E39" s="427">
        <v>0</v>
      </c>
      <c r="F39" s="427">
        <v>0</v>
      </c>
      <c r="G39" s="427">
        <v>0</v>
      </c>
      <c r="H39" s="427">
        <v>0</v>
      </c>
      <c r="I39" s="427">
        <v>0</v>
      </c>
      <c r="J39" s="427">
        <v>0</v>
      </c>
      <c r="K39" s="427">
        <v>0</v>
      </c>
      <c r="L39" s="427">
        <v>0</v>
      </c>
      <c r="M39" s="427">
        <v>0</v>
      </c>
      <c r="N39" s="427">
        <v>0</v>
      </c>
      <c r="O39" s="427">
        <v>0</v>
      </c>
      <c r="P39" s="427">
        <v>0</v>
      </c>
      <c r="Q39" s="427">
        <v>0</v>
      </c>
      <c r="R39" s="427">
        <v>0</v>
      </c>
      <c r="S39" s="427">
        <v>0</v>
      </c>
      <c r="T39" s="427">
        <v>0</v>
      </c>
      <c r="U39" s="427">
        <v>0</v>
      </c>
      <c r="V39" s="427">
        <v>0</v>
      </c>
      <c r="W39" s="427">
        <v>0</v>
      </c>
      <c r="X39" s="427">
        <v>0</v>
      </c>
      <c r="Y39" s="427">
        <v>0</v>
      </c>
      <c r="Z39" s="427">
        <v>0</v>
      </c>
      <c r="AA39" s="427">
        <v>0</v>
      </c>
      <c r="AB39" s="427">
        <v>0</v>
      </c>
      <c r="AC39" s="427">
        <v>0</v>
      </c>
      <c r="AD39" s="427">
        <v>0</v>
      </c>
      <c r="AE39" s="427">
        <v>0</v>
      </c>
      <c r="AF39" s="427">
        <v>0</v>
      </c>
      <c r="AG39" s="427">
        <v>0</v>
      </c>
      <c r="AH39" s="427">
        <v>0</v>
      </c>
      <c r="AI39" s="427">
        <v>0</v>
      </c>
      <c r="AJ39" s="427">
        <v>0</v>
      </c>
      <c r="AK39" s="427">
        <v>0</v>
      </c>
      <c r="AL39" s="427">
        <v>0</v>
      </c>
      <c r="AM39" s="427">
        <v>0</v>
      </c>
      <c r="AN39" s="427">
        <v>0</v>
      </c>
      <c r="AO39" s="427">
        <v>0</v>
      </c>
      <c r="AP39" s="427">
        <v>0</v>
      </c>
      <c r="AQ39" s="427">
        <v>0</v>
      </c>
      <c r="AR39" s="427">
        <v>0</v>
      </c>
      <c r="AS39" s="427">
        <v>0</v>
      </c>
      <c r="AT39" s="427">
        <v>0</v>
      </c>
      <c r="AU39" s="427">
        <v>0</v>
      </c>
      <c r="AV39" s="427">
        <v>0</v>
      </c>
      <c r="AW39" s="427">
        <v>0</v>
      </c>
      <c r="AX39" s="427">
        <v>0</v>
      </c>
      <c r="AY39" s="427">
        <v>0</v>
      </c>
      <c r="AZ39" s="427">
        <v>0</v>
      </c>
      <c r="BA39" s="427">
        <v>0</v>
      </c>
      <c r="BB39" s="427">
        <v>0</v>
      </c>
      <c r="BC39" s="427">
        <v>0</v>
      </c>
      <c r="BD39" s="427">
        <v>0</v>
      </c>
      <c r="BE39" s="427">
        <v>0</v>
      </c>
      <c r="BF39" s="427">
        <v>0</v>
      </c>
      <c r="BG39" s="427">
        <v>0</v>
      </c>
      <c r="BH39" s="427">
        <v>0</v>
      </c>
      <c r="BI39" s="427">
        <v>0</v>
      </c>
      <c r="BJ39" s="427">
        <v>0</v>
      </c>
      <c r="BK39" s="427">
        <v>0</v>
      </c>
      <c r="BL39" s="427">
        <v>0</v>
      </c>
      <c r="BM39" s="427">
        <v>0</v>
      </c>
      <c r="BN39" s="427">
        <v>0</v>
      </c>
      <c r="BO39" s="427">
        <v>0</v>
      </c>
      <c r="BP39" s="427">
        <v>0</v>
      </c>
      <c r="BQ39" s="427">
        <v>0</v>
      </c>
      <c r="BR39" s="427">
        <v>0</v>
      </c>
      <c r="BS39" s="427">
        <v>0</v>
      </c>
      <c r="BT39" s="427">
        <v>0</v>
      </c>
      <c r="BU39" s="427">
        <v>0</v>
      </c>
      <c r="BV39" s="427">
        <v>0</v>
      </c>
      <c r="BW39" s="427">
        <v>0</v>
      </c>
      <c r="BX39" s="427">
        <v>0</v>
      </c>
      <c r="BY39" s="427">
        <v>0</v>
      </c>
      <c r="BZ39" s="427">
        <v>0</v>
      </c>
      <c r="CC39" s="21"/>
      <c r="CD39" s="426" t="s">
        <v>589</v>
      </c>
      <c r="CE39" s="433">
        <f t="shared" si="0"/>
        <v>0</v>
      </c>
      <c r="CF39" s="433">
        <f t="shared" si="1"/>
        <v>0</v>
      </c>
      <c r="CG39" s="433">
        <f t="shared" si="2"/>
        <v>0</v>
      </c>
      <c r="CH39" s="433">
        <f t="shared" si="3"/>
        <v>0</v>
      </c>
      <c r="CI39" s="433">
        <f t="shared" si="4"/>
        <v>0</v>
      </c>
      <c r="CJ39" s="433">
        <f t="shared" si="5"/>
        <v>0</v>
      </c>
      <c r="CK39" s="433">
        <f t="shared" si="6"/>
        <v>0</v>
      </c>
      <c r="CL39" s="433">
        <f t="shared" si="7"/>
        <v>0</v>
      </c>
      <c r="CM39" s="433">
        <f t="shared" si="8"/>
        <v>0</v>
      </c>
      <c r="CN39" s="433">
        <f t="shared" si="9"/>
        <v>0</v>
      </c>
      <c r="CO39" s="433">
        <f t="shared" si="10"/>
        <v>0</v>
      </c>
      <c r="CP39" s="433">
        <f t="shared" si="11"/>
        <v>0</v>
      </c>
      <c r="CQ39" s="433">
        <f t="shared" si="12"/>
        <v>0</v>
      </c>
      <c r="CR39" s="433">
        <f t="shared" si="13"/>
        <v>0</v>
      </c>
      <c r="CS39" s="433">
        <f t="shared" si="14"/>
        <v>0</v>
      </c>
      <c r="CT39" s="21"/>
    </row>
    <row r="40" spans="3:98" ht="24.75" customHeight="1">
      <c r="C40" s="426" t="s">
        <v>590</v>
      </c>
      <c r="D40" s="427">
        <v>0</v>
      </c>
      <c r="E40" s="427">
        <v>0</v>
      </c>
      <c r="F40" s="427">
        <v>0</v>
      </c>
      <c r="G40" s="427">
        <v>0</v>
      </c>
      <c r="H40" s="427">
        <v>0</v>
      </c>
      <c r="I40" s="427">
        <v>0</v>
      </c>
      <c r="J40" s="427">
        <v>0</v>
      </c>
      <c r="K40" s="427">
        <v>0</v>
      </c>
      <c r="L40" s="427">
        <v>0</v>
      </c>
      <c r="M40" s="427">
        <v>0</v>
      </c>
      <c r="N40" s="427">
        <v>0</v>
      </c>
      <c r="O40" s="427">
        <v>0</v>
      </c>
      <c r="P40" s="427">
        <v>0</v>
      </c>
      <c r="Q40" s="427">
        <v>0</v>
      </c>
      <c r="R40" s="427">
        <v>0</v>
      </c>
      <c r="S40" s="427">
        <v>0</v>
      </c>
      <c r="T40" s="427">
        <v>0</v>
      </c>
      <c r="U40" s="427">
        <v>0</v>
      </c>
      <c r="V40" s="427">
        <v>0</v>
      </c>
      <c r="W40" s="427">
        <v>0</v>
      </c>
      <c r="X40" s="427">
        <v>0</v>
      </c>
      <c r="Y40" s="427">
        <v>0</v>
      </c>
      <c r="Z40" s="427">
        <v>0</v>
      </c>
      <c r="AA40" s="427">
        <v>0</v>
      </c>
      <c r="AB40" s="427">
        <v>0</v>
      </c>
      <c r="AC40" s="427">
        <v>0</v>
      </c>
      <c r="AD40" s="427">
        <v>0</v>
      </c>
      <c r="AE40" s="427">
        <v>0</v>
      </c>
      <c r="AF40" s="427">
        <v>0</v>
      </c>
      <c r="AG40" s="427">
        <v>0</v>
      </c>
      <c r="AH40" s="427">
        <v>0</v>
      </c>
      <c r="AI40" s="427">
        <v>0</v>
      </c>
      <c r="AJ40" s="427">
        <v>0</v>
      </c>
      <c r="AK40" s="427">
        <v>0</v>
      </c>
      <c r="AL40" s="427">
        <v>0</v>
      </c>
      <c r="AM40" s="427">
        <v>0</v>
      </c>
      <c r="AN40" s="427">
        <v>0</v>
      </c>
      <c r="AO40" s="427">
        <v>0</v>
      </c>
      <c r="AP40" s="427">
        <v>0</v>
      </c>
      <c r="AQ40" s="427">
        <v>0</v>
      </c>
      <c r="AR40" s="427">
        <v>0</v>
      </c>
      <c r="AS40" s="427">
        <v>0</v>
      </c>
      <c r="AT40" s="427">
        <v>0</v>
      </c>
      <c r="AU40" s="427">
        <v>0</v>
      </c>
      <c r="AV40" s="427">
        <v>0</v>
      </c>
      <c r="AW40" s="427">
        <v>0</v>
      </c>
      <c r="AX40" s="427">
        <v>0</v>
      </c>
      <c r="AY40" s="427">
        <v>0</v>
      </c>
      <c r="AZ40" s="427">
        <v>0</v>
      </c>
      <c r="BA40" s="427">
        <v>0</v>
      </c>
      <c r="BB40" s="427">
        <v>0</v>
      </c>
      <c r="BC40" s="427">
        <v>0</v>
      </c>
      <c r="BD40" s="427">
        <v>0</v>
      </c>
      <c r="BE40" s="427">
        <v>0</v>
      </c>
      <c r="BF40" s="427">
        <v>0</v>
      </c>
      <c r="BG40" s="427">
        <v>0</v>
      </c>
      <c r="BH40" s="427">
        <v>0</v>
      </c>
      <c r="BI40" s="427">
        <v>0</v>
      </c>
      <c r="BJ40" s="427">
        <v>0</v>
      </c>
      <c r="BK40" s="427">
        <v>0</v>
      </c>
      <c r="BL40" s="427">
        <v>0</v>
      </c>
      <c r="BM40" s="427">
        <v>0.748</v>
      </c>
      <c r="BN40" s="427">
        <v>1.6719999999999999</v>
      </c>
      <c r="BO40" s="427">
        <v>2.6110000000000002</v>
      </c>
      <c r="BP40" s="427">
        <v>5.0309999999999997</v>
      </c>
      <c r="BQ40" s="427">
        <v>2.097</v>
      </c>
      <c r="BR40" s="427">
        <v>2.7410000000000001</v>
      </c>
      <c r="BS40" s="427">
        <v>2.2040000000000002</v>
      </c>
      <c r="BT40" s="427">
        <v>2.2109999999999999</v>
      </c>
      <c r="BU40" s="427">
        <v>9.2530000000000001</v>
      </c>
      <c r="BV40" s="427">
        <v>2.165</v>
      </c>
      <c r="BW40" s="427">
        <v>2.238</v>
      </c>
      <c r="BX40" s="427">
        <v>2.262</v>
      </c>
      <c r="BY40" s="427">
        <v>0</v>
      </c>
      <c r="BZ40" s="427">
        <v>0</v>
      </c>
      <c r="CC40" s="21"/>
      <c r="CD40" s="426" t="s">
        <v>590</v>
      </c>
      <c r="CE40" s="433">
        <f t="shared" si="0"/>
        <v>0</v>
      </c>
      <c r="CF40" s="433">
        <f t="shared" si="1"/>
        <v>0</v>
      </c>
      <c r="CG40" s="433">
        <f t="shared" si="2"/>
        <v>0</v>
      </c>
      <c r="CH40" s="433">
        <f t="shared" si="3"/>
        <v>0</v>
      </c>
      <c r="CI40" s="433">
        <f t="shared" si="4"/>
        <v>0</v>
      </c>
      <c r="CJ40" s="433">
        <f t="shared" si="5"/>
        <v>0</v>
      </c>
      <c r="CK40" s="433">
        <f t="shared" si="6"/>
        <v>0</v>
      </c>
      <c r="CL40" s="433">
        <f t="shared" si="7"/>
        <v>0</v>
      </c>
      <c r="CM40" s="433">
        <f t="shared" si="8"/>
        <v>0</v>
      </c>
      <c r="CN40" s="433">
        <f t="shared" si="9"/>
        <v>0</v>
      </c>
      <c r="CO40" s="433">
        <f t="shared" si="10"/>
        <v>0</v>
      </c>
      <c r="CP40" s="433">
        <f t="shared" si="11"/>
        <v>0</v>
      </c>
      <c r="CQ40" s="433">
        <f t="shared" si="12"/>
        <v>5.0309999999999997</v>
      </c>
      <c r="CR40" s="433">
        <f t="shared" si="13"/>
        <v>9.2530000000000001</v>
      </c>
      <c r="CS40" s="433">
        <f t="shared" si="14"/>
        <v>0</v>
      </c>
      <c r="CT40" s="21"/>
    </row>
    <row r="41" spans="3:98" ht="24.75" customHeight="1">
      <c r="C41" s="426" t="s">
        <v>591</v>
      </c>
      <c r="D41" s="427">
        <v>0</v>
      </c>
      <c r="E41" s="427">
        <v>0</v>
      </c>
      <c r="F41" s="427">
        <v>0</v>
      </c>
      <c r="G41" s="427">
        <v>0</v>
      </c>
      <c r="H41" s="427">
        <v>0</v>
      </c>
      <c r="I41" s="427">
        <v>0</v>
      </c>
      <c r="J41" s="427">
        <v>0</v>
      </c>
      <c r="K41" s="427">
        <v>0</v>
      </c>
      <c r="L41" s="427">
        <v>0</v>
      </c>
      <c r="M41" s="427">
        <v>0</v>
      </c>
      <c r="N41" s="427">
        <v>0</v>
      </c>
      <c r="O41" s="427">
        <v>0</v>
      </c>
      <c r="P41" s="427">
        <v>0</v>
      </c>
      <c r="Q41" s="427">
        <v>0</v>
      </c>
      <c r="R41" s="427">
        <v>0</v>
      </c>
      <c r="S41" s="427">
        <v>0</v>
      </c>
      <c r="T41" s="427">
        <v>0</v>
      </c>
      <c r="U41" s="427">
        <v>0</v>
      </c>
      <c r="V41" s="427">
        <v>0</v>
      </c>
      <c r="W41" s="427">
        <v>0</v>
      </c>
      <c r="X41" s="427">
        <v>0</v>
      </c>
      <c r="Y41" s="427">
        <v>0</v>
      </c>
      <c r="Z41" s="427">
        <v>0</v>
      </c>
      <c r="AA41" s="427">
        <v>0</v>
      </c>
      <c r="AB41" s="427">
        <v>0</v>
      </c>
      <c r="AC41" s="427">
        <v>0</v>
      </c>
      <c r="AD41" s="427">
        <v>0</v>
      </c>
      <c r="AE41" s="427">
        <v>0</v>
      </c>
      <c r="AF41" s="427">
        <v>0</v>
      </c>
      <c r="AG41" s="427">
        <v>0</v>
      </c>
      <c r="AH41" s="427">
        <v>0</v>
      </c>
      <c r="AI41" s="427">
        <v>0</v>
      </c>
      <c r="AJ41" s="427">
        <v>0</v>
      </c>
      <c r="AK41" s="427">
        <v>0</v>
      </c>
      <c r="AL41" s="427">
        <v>0</v>
      </c>
      <c r="AM41" s="427">
        <v>0</v>
      </c>
      <c r="AN41" s="427">
        <v>0</v>
      </c>
      <c r="AO41" s="427">
        <v>0</v>
      </c>
      <c r="AP41" s="427">
        <v>0</v>
      </c>
      <c r="AQ41" s="427">
        <v>0</v>
      </c>
      <c r="AR41" s="427">
        <v>0</v>
      </c>
      <c r="AS41" s="427">
        <v>0</v>
      </c>
      <c r="AT41" s="427">
        <v>0</v>
      </c>
      <c r="AU41" s="427">
        <v>0</v>
      </c>
      <c r="AV41" s="427">
        <v>0</v>
      </c>
      <c r="AW41" s="427">
        <v>0</v>
      </c>
      <c r="AX41" s="427">
        <v>0</v>
      </c>
      <c r="AY41" s="427">
        <v>0</v>
      </c>
      <c r="AZ41" s="427">
        <v>0</v>
      </c>
      <c r="BA41" s="427">
        <v>0</v>
      </c>
      <c r="BB41" s="427">
        <v>0</v>
      </c>
      <c r="BC41" s="427">
        <v>0</v>
      </c>
      <c r="BD41" s="427">
        <v>0</v>
      </c>
      <c r="BE41" s="427">
        <v>0</v>
      </c>
      <c r="BF41" s="427">
        <v>0</v>
      </c>
      <c r="BG41" s="427">
        <v>0</v>
      </c>
      <c r="BH41" s="427">
        <v>0</v>
      </c>
      <c r="BI41" s="427">
        <v>0</v>
      </c>
      <c r="BJ41" s="427">
        <v>0</v>
      </c>
      <c r="BK41" s="427">
        <v>0</v>
      </c>
      <c r="BL41" s="427">
        <v>0</v>
      </c>
      <c r="BM41" s="427">
        <v>0</v>
      </c>
      <c r="BN41" s="427">
        <v>0</v>
      </c>
      <c r="BO41" s="427">
        <v>0</v>
      </c>
      <c r="BP41" s="427">
        <v>0</v>
      </c>
      <c r="BQ41" s="427">
        <v>0</v>
      </c>
      <c r="BR41" s="427">
        <v>0</v>
      </c>
      <c r="BS41" s="427">
        <v>0</v>
      </c>
      <c r="BT41" s="427">
        <v>0</v>
      </c>
      <c r="BU41" s="427">
        <v>0</v>
      </c>
      <c r="BV41" s="427">
        <v>0</v>
      </c>
      <c r="BW41" s="427">
        <v>0</v>
      </c>
      <c r="BX41" s="427">
        <v>0</v>
      </c>
      <c r="BY41" s="427">
        <v>0</v>
      </c>
      <c r="BZ41" s="427">
        <v>0</v>
      </c>
      <c r="CC41" s="21"/>
      <c r="CD41" s="426" t="s">
        <v>591</v>
      </c>
      <c r="CE41" s="433">
        <f t="shared" si="0"/>
        <v>0</v>
      </c>
      <c r="CF41" s="433">
        <f t="shared" si="1"/>
        <v>0</v>
      </c>
      <c r="CG41" s="433">
        <f t="shared" si="2"/>
        <v>0</v>
      </c>
      <c r="CH41" s="433">
        <f t="shared" si="3"/>
        <v>0</v>
      </c>
      <c r="CI41" s="433">
        <f t="shared" si="4"/>
        <v>0</v>
      </c>
      <c r="CJ41" s="433">
        <f t="shared" si="5"/>
        <v>0</v>
      </c>
      <c r="CK41" s="433">
        <f t="shared" si="6"/>
        <v>0</v>
      </c>
      <c r="CL41" s="433">
        <f t="shared" si="7"/>
        <v>0</v>
      </c>
      <c r="CM41" s="433">
        <f t="shared" si="8"/>
        <v>0</v>
      </c>
      <c r="CN41" s="433">
        <f t="shared" si="9"/>
        <v>0</v>
      </c>
      <c r="CO41" s="433">
        <f t="shared" si="10"/>
        <v>0</v>
      </c>
      <c r="CP41" s="433">
        <f t="shared" si="11"/>
        <v>0</v>
      </c>
      <c r="CQ41" s="433">
        <f t="shared" si="12"/>
        <v>0</v>
      </c>
      <c r="CR41" s="433">
        <f t="shared" si="13"/>
        <v>0</v>
      </c>
      <c r="CS41" s="433">
        <f t="shared" si="14"/>
        <v>0</v>
      </c>
      <c r="CT41" s="21"/>
    </row>
    <row r="42" spans="3:98" ht="24.75" customHeight="1">
      <c r="C42" s="426" t="s">
        <v>592</v>
      </c>
      <c r="D42" s="427">
        <v>0</v>
      </c>
      <c r="E42" s="427">
        <v>0</v>
      </c>
      <c r="F42" s="427">
        <v>0</v>
      </c>
      <c r="G42" s="427">
        <v>0</v>
      </c>
      <c r="H42" s="427">
        <v>0</v>
      </c>
      <c r="I42" s="427">
        <v>0</v>
      </c>
      <c r="J42" s="427">
        <v>0</v>
      </c>
      <c r="K42" s="427">
        <v>0</v>
      </c>
      <c r="L42" s="427">
        <v>0</v>
      </c>
      <c r="M42" s="427">
        <v>0</v>
      </c>
      <c r="N42" s="427">
        <v>0</v>
      </c>
      <c r="O42" s="427">
        <v>0</v>
      </c>
      <c r="P42" s="427">
        <v>0</v>
      </c>
      <c r="Q42" s="427">
        <v>0</v>
      </c>
      <c r="R42" s="427">
        <v>0</v>
      </c>
      <c r="S42" s="427">
        <v>0</v>
      </c>
      <c r="T42" s="427">
        <v>0</v>
      </c>
      <c r="U42" s="427">
        <v>0</v>
      </c>
      <c r="V42" s="427">
        <v>0</v>
      </c>
      <c r="W42" s="427">
        <v>0</v>
      </c>
      <c r="X42" s="427">
        <v>0</v>
      </c>
      <c r="Y42" s="427">
        <v>0</v>
      </c>
      <c r="Z42" s="427">
        <v>0</v>
      </c>
      <c r="AA42" s="427">
        <v>0</v>
      </c>
      <c r="AB42" s="427">
        <v>0</v>
      </c>
      <c r="AC42" s="427">
        <v>0</v>
      </c>
      <c r="AD42" s="427">
        <v>0</v>
      </c>
      <c r="AE42" s="427">
        <v>0</v>
      </c>
      <c r="AF42" s="427">
        <v>0</v>
      </c>
      <c r="AG42" s="427">
        <v>0</v>
      </c>
      <c r="AH42" s="427">
        <v>0</v>
      </c>
      <c r="AI42" s="427">
        <v>0</v>
      </c>
      <c r="AJ42" s="427">
        <v>0</v>
      </c>
      <c r="AK42" s="427">
        <v>0</v>
      </c>
      <c r="AL42" s="427">
        <v>0</v>
      </c>
      <c r="AM42" s="427">
        <v>0</v>
      </c>
      <c r="AN42" s="427">
        <v>0</v>
      </c>
      <c r="AO42" s="427">
        <v>0</v>
      </c>
      <c r="AP42" s="427">
        <v>0</v>
      </c>
      <c r="AQ42" s="427">
        <v>0</v>
      </c>
      <c r="AR42" s="427">
        <v>0</v>
      </c>
      <c r="AS42" s="427">
        <v>0</v>
      </c>
      <c r="AT42" s="427">
        <v>0</v>
      </c>
      <c r="AU42" s="427">
        <v>0</v>
      </c>
      <c r="AV42" s="427">
        <v>0</v>
      </c>
      <c r="AW42" s="427">
        <v>0</v>
      </c>
      <c r="AX42" s="427">
        <v>0</v>
      </c>
      <c r="AY42" s="427">
        <v>0</v>
      </c>
      <c r="AZ42" s="427">
        <v>0</v>
      </c>
      <c r="BA42" s="427">
        <v>0</v>
      </c>
      <c r="BB42" s="427">
        <v>0</v>
      </c>
      <c r="BC42" s="427">
        <v>0</v>
      </c>
      <c r="BD42" s="427">
        <v>0</v>
      </c>
      <c r="BE42" s="427">
        <v>0</v>
      </c>
      <c r="BF42" s="427">
        <v>-4.6790000000000003</v>
      </c>
      <c r="BG42" s="427">
        <v>0.254</v>
      </c>
      <c r="BH42" s="427">
        <v>-3.3780000000000001</v>
      </c>
      <c r="BI42" s="427">
        <v>0.73599999999999999</v>
      </c>
      <c r="BJ42" s="427">
        <v>-0.57799999999999996</v>
      </c>
      <c r="BK42" s="427">
        <v>-2.9660000000000002</v>
      </c>
      <c r="BL42" s="427">
        <v>2.5030000000000001</v>
      </c>
      <c r="BM42" s="427">
        <v>7.2939999999999996</v>
      </c>
      <c r="BN42" s="427">
        <v>5.0190000000000001</v>
      </c>
      <c r="BO42" s="427">
        <v>7.5739999999999998</v>
      </c>
      <c r="BP42" s="427">
        <v>22.39</v>
      </c>
      <c r="BQ42" s="427">
        <v>-4.1340000000000003</v>
      </c>
      <c r="BR42" s="427">
        <v>-4.8819999999999997</v>
      </c>
      <c r="BS42" s="427">
        <v>1.417</v>
      </c>
      <c r="BT42" s="427">
        <v>-5.452</v>
      </c>
      <c r="BU42" s="427">
        <v>-13.051</v>
      </c>
      <c r="BV42" s="427">
        <v>2.8929999999999998</v>
      </c>
      <c r="BW42" s="427">
        <v>-1.0840000000000001</v>
      </c>
      <c r="BX42" s="427">
        <v>8.5470000000000006</v>
      </c>
      <c r="BY42" s="427">
        <v>0</v>
      </c>
      <c r="BZ42" s="427">
        <v>0</v>
      </c>
      <c r="CC42" s="21"/>
      <c r="CD42" s="426" t="s">
        <v>592</v>
      </c>
      <c r="CE42" s="433">
        <f t="shared" si="0"/>
        <v>0</v>
      </c>
      <c r="CF42" s="433">
        <f t="shared" si="1"/>
        <v>0</v>
      </c>
      <c r="CG42" s="433">
        <f t="shared" si="2"/>
        <v>0</v>
      </c>
      <c r="CH42" s="433">
        <f t="shared" si="3"/>
        <v>0</v>
      </c>
      <c r="CI42" s="433">
        <f t="shared" si="4"/>
        <v>0</v>
      </c>
      <c r="CJ42" s="433">
        <f t="shared" si="5"/>
        <v>0</v>
      </c>
      <c r="CK42" s="433">
        <f t="shared" si="6"/>
        <v>0</v>
      </c>
      <c r="CL42" s="433">
        <f t="shared" si="7"/>
        <v>0</v>
      </c>
      <c r="CM42" s="433">
        <f t="shared" si="8"/>
        <v>0</v>
      </c>
      <c r="CN42" s="433">
        <f t="shared" si="9"/>
        <v>0</v>
      </c>
      <c r="CO42" s="433">
        <f t="shared" si="10"/>
        <v>-4.6790000000000003</v>
      </c>
      <c r="CP42" s="433">
        <f t="shared" si="11"/>
        <v>-2.9660000000000002</v>
      </c>
      <c r="CQ42" s="433">
        <f t="shared" si="12"/>
        <v>22.39</v>
      </c>
      <c r="CR42" s="433">
        <f t="shared" si="13"/>
        <v>-13.051</v>
      </c>
      <c r="CS42" s="433">
        <f t="shared" si="14"/>
        <v>0</v>
      </c>
      <c r="CT42" s="21"/>
    </row>
    <row r="43" spans="3:98" ht="24.75" hidden="1" customHeight="1" outlineLevel="1">
      <c r="C43" s="437" t="s">
        <v>594</v>
      </c>
      <c r="D43" s="427">
        <v>0</v>
      </c>
      <c r="E43" s="427">
        <v>0</v>
      </c>
      <c r="F43" s="427">
        <v>0</v>
      </c>
      <c r="G43" s="427">
        <v>0</v>
      </c>
      <c r="H43" s="427">
        <v>0</v>
      </c>
      <c r="I43" s="427">
        <v>0</v>
      </c>
      <c r="J43" s="427">
        <v>0</v>
      </c>
      <c r="K43" s="427">
        <v>0</v>
      </c>
      <c r="L43" s="427">
        <v>0</v>
      </c>
      <c r="M43" s="427">
        <v>0</v>
      </c>
      <c r="N43" s="427">
        <v>0</v>
      </c>
      <c r="O43" s="427">
        <v>0</v>
      </c>
      <c r="P43" s="427">
        <v>0</v>
      </c>
      <c r="Q43" s="427">
        <v>0</v>
      </c>
      <c r="R43" s="427">
        <v>0</v>
      </c>
      <c r="S43" s="427">
        <v>0</v>
      </c>
      <c r="T43" s="427">
        <v>0</v>
      </c>
      <c r="U43" s="427">
        <v>0</v>
      </c>
      <c r="V43" s="427">
        <v>0</v>
      </c>
      <c r="W43" s="427">
        <v>0</v>
      </c>
      <c r="X43" s="427">
        <v>0</v>
      </c>
      <c r="Y43" s="427">
        <v>0</v>
      </c>
      <c r="Z43" s="427">
        <v>0</v>
      </c>
      <c r="AA43" s="427">
        <v>0</v>
      </c>
      <c r="AB43" s="427">
        <v>0</v>
      </c>
      <c r="AC43" s="427">
        <v>0</v>
      </c>
      <c r="AD43" s="427">
        <v>0</v>
      </c>
      <c r="AE43" s="427">
        <v>0</v>
      </c>
      <c r="AF43" s="427">
        <v>0</v>
      </c>
      <c r="AG43" s="427">
        <v>0</v>
      </c>
      <c r="AH43" s="427">
        <v>0</v>
      </c>
      <c r="AI43" s="427">
        <v>0</v>
      </c>
      <c r="AJ43" s="427">
        <v>0</v>
      </c>
      <c r="AK43" s="427">
        <v>0</v>
      </c>
      <c r="AL43" s="427">
        <v>0</v>
      </c>
      <c r="AM43" s="427">
        <v>0</v>
      </c>
      <c r="AN43" s="427">
        <v>0</v>
      </c>
      <c r="AO43" s="427">
        <v>0</v>
      </c>
      <c r="AP43" s="427">
        <v>0</v>
      </c>
      <c r="AQ43" s="427">
        <v>0</v>
      </c>
      <c r="AR43" s="427">
        <v>0</v>
      </c>
      <c r="AS43" s="427">
        <v>0</v>
      </c>
      <c r="AT43" s="427">
        <v>0</v>
      </c>
      <c r="AU43" s="427">
        <v>0</v>
      </c>
      <c r="AV43" s="427">
        <v>0</v>
      </c>
      <c r="AW43" s="427">
        <v>0</v>
      </c>
      <c r="AX43" s="427">
        <v>0</v>
      </c>
      <c r="AY43" s="427">
        <v>0</v>
      </c>
      <c r="AZ43" s="427">
        <v>0</v>
      </c>
      <c r="BA43" s="427">
        <v>0</v>
      </c>
      <c r="BB43" s="427">
        <v>0</v>
      </c>
      <c r="BC43" s="427">
        <v>0</v>
      </c>
      <c r="BD43" s="427">
        <v>0</v>
      </c>
      <c r="BE43" s="427">
        <v>0</v>
      </c>
      <c r="BF43" s="427">
        <v>0</v>
      </c>
      <c r="BG43" s="427">
        <v>0</v>
      </c>
      <c r="BH43" s="427">
        <v>0</v>
      </c>
      <c r="BI43" s="427">
        <v>0</v>
      </c>
      <c r="BJ43" s="427">
        <v>0</v>
      </c>
      <c r="BK43" s="427">
        <v>0</v>
      </c>
      <c r="BL43" s="427">
        <v>0</v>
      </c>
      <c r="BM43" s="427">
        <v>0</v>
      </c>
      <c r="BN43" s="427">
        <v>0</v>
      </c>
      <c r="BO43" s="427">
        <v>0</v>
      </c>
      <c r="BP43" s="427">
        <v>0</v>
      </c>
      <c r="BQ43" s="427">
        <v>0</v>
      </c>
      <c r="BR43" s="427">
        <v>0</v>
      </c>
      <c r="BS43" s="427">
        <v>0</v>
      </c>
      <c r="BT43" s="427">
        <v>0</v>
      </c>
      <c r="BU43" s="427">
        <v>0</v>
      </c>
      <c r="BV43" s="427">
        <v>0</v>
      </c>
      <c r="BW43" s="427">
        <v>0</v>
      </c>
      <c r="BX43" s="427">
        <v>0</v>
      </c>
      <c r="BY43" s="427">
        <v>0</v>
      </c>
      <c r="BZ43" s="427">
        <v>0</v>
      </c>
      <c r="CC43" s="21"/>
      <c r="CD43" s="437" t="s">
        <v>594</v>
      </c>
      <c r="CE43" s="433">
        <f t="shared" si="0"/>
        <v>0</v>
      </c>
      <c r="CF43" s="433">
        <f t="shared" si="1"/>
        <v>0</v>
      </c>
      <c r="CG43" s="433">
        <f t="shared" si="2"/>
        <v>0</v>
      </c>
      <c r="CH43" s="433">
        <f t="shared" si="3"/>
        <v>0</v>
      </c>
      <c r="CI43" s="433">
        <f t="shared" si="4"/>
        <v>0</v>
      </c>
      <c r="CJ43" s="433">
        <f t="shared" si="5"/>
        <v>0</v>
      </c>
      <c r="CK43" s="433">
        <f t="shared" si="6"/>
        <v>0</v>
      </c>
      <c r="CL43" s="433">
        <f t="shared" si="7"/>
        <v>0</v>
      </c>
      <c r="CM43" s="433">
        <f t="shared" si="8"/>
        <v>0</v>
      </c>
      <c r="CN43" s="433">
        <f t="shared" si="9"/>
        <v>0</v>
      </c>
      <c r="CO43" s="433">
        <f t="shared" si="10"/>
        <v>0</v>
      </c>
      <c r="CP43" s="433">
        <f t="shared" si="11"/>
        <v>0</v>
      </c>
      <c r="CQ43" s="433">
        <f t="shared" si="12"/>
        <v>0</v>
      </c>
      <c r="CR43" s="433">
        <f t="shared" si="13"/>
        <v>0</v>
      </c>
      <c r="CS43" s="433">
        <f t="shared" si="14"/>
        <v>0</v>
      </c>
      <c r="CT43" s="21"/>
    </row>
    <row r="44" spans="3:98" ht="24.75" hidden="1" customHeight="1" outlineLevel="1">
      <c r="C44" s="437" t="s">
        <v>595</v>
      </c>
      <c r="D44" s="427">
        <v>0</v>
      </c>
      <c r="E44" s="427">
        <v>0</v>
      </c>
      <c r="F44" s="427">
        <v>0</v>
      </c>
      <c r="G44" s="427">
        <v>0</v>
      </c>
      <c r="H44" s="427">
        <v>0</v>
      </c>
      <c r="I44" s="427">
        <v>0</v>
      </c>
      <c r="J44" s="427">
        <v>0</v>
      </c>
      <c r="K44" s="427">
        <v>0</v>
      </c>
      <c r="L44" s="427">
        <v>0</v>
      </c>
      <c r="M44" s="427">
        <v>0</v>
      </c>
      <c r="N44" s="427">
        <v>0</v>
      </c>
      <c r="O44" s="427">
        <v>0</v>
      </c>
      <c r="P44" s="427">
        <v>0</v>
      </c>
      <c r="Q44" s="427">
        <v>0</v>
      </c>
      <c r="R44" s="427">
        <v>0</v>
      </c>
      <c r="S44" s="427">
        <v>0</v>
      </c>
      <c r="T44" s="427">
        <v>0</v>
      </c>
      <c r="U44" s="427">
        <v>0</v>
      </c>
      <c r="V44" s="427">
        <v>0</v>
      </c>
      <c r="W44" s="427">
        <v>0</v>
      </c>
      <c r="X44" s="427">
        <v>0</v>
      </c>
      <c r="Y44" s="427">
        <v>0</v>
      </c>
      <c r="Z44" s="427">
        <v>0</v>
      </c>
      <c r="AA44" s="427">
        <v>0</v>
      </c>
      <c r="AB44" s="427">
        <v>0</v>
      </c>
      <c r="AC44" s="427">
        <v>0</v>
      </c>
      <c r="AD44" s="427">
        <v>0</v>
      </c>
      <c r="AE44" s="427">
        <v>0</v>
      </c>
      <c r="AF44" s="427">
        <v>0</v>
      </c>
      <c r="AG44" s="427">
        <v>0</v>
      </c>
      <c r="AH44" s="427">
        <v>0</v>
      </c>
      <c r="AI44" s="427">
        <v>0</v>
      </c>
      <c r="AJ44" s="427">
        <v>0</v>
      </c>
      <c r="AK44" s="427">
        <v>0</v>
      </c>
      <c r="AL44" s="427">
        <v>0</v>
      </c>
      <c r="AM44" s="427">
        <v>0</v>
      </c>
      <c r="AN44" s="427">
        <v>0</v>
      </c>
      <c r="AO44" s="427">
        <v>0</v>
      </c>
      <c r="AP44" s="427">
        <v>0</v>
      </c>
      <c r="AQ44" s="427">
        <v>0</v>
      </c>
      <c r="AR44" s="427">
        <v>0</v>
      </c>
      <c r="AS44" s="427">
        <v>0</v>
      </c>
      <c r="AT44" s="427">
        <v>0</v>
      </c>
      <c r="AU44" s="427">
        <v>0</v>
      </c>
      <c r="AV44" s="427">
        <v>0</v>
      </c>
      <c r="AW44" s="427">
        <v>0</v>
      </c>
      <c r="AX44" s="427">
        <v>0</v>
      </c>
      <c r="AY44" s="427">
        <v>0</v>
      </c>
      <c r="AZ44" s="427">
        <v>0</v>
      </c>
      <c r="BA44" s="427">
        <v>0</v>
      </c>
      <c r="BB44" s="427">
        <v>0</v>
      </c>
      <c r="BC44" s="427">
        <v>0</v>
      </c>
      <c r="BD44" s="427">
        <v>0</v>
      </c>
      <c r="BE44" s="427">
        <v>0</v>
      </c>
      <c r="BF44" s="427">
        <v>0.245</v>
      </c>
      <c r="BG44" s="427">
        <v>0</v>
      </c>
      <c r="BH44" s="427">
        <v>0.39700000000000002</v>
      </c>
      <c r="BI44" s="427">
        <v>0</v>
      </c>
      <c r="BJ44" s="427">
        <v>-0.247</v>
      </c>
      <c r="BK44" s="427">
        <v>0.15</v>
      </c>
      <c r="BL44" s="427">
        <v>-9.2569999999999997</v>
      </c>
      <c r="BM44" s="427">
        <v>-1.014</v>
      </c>
      <c r="BN44" s="427">
        <v>-3.9380000000000002</v>
      </c>
      <c r="BO44" s="427">
        <v>-5.9290000000000003</v>
      </c>
      <c r="BP44" s="427">
        <v>-20.138000000000002</v>
      </c>
      <c r="BQ44" s="427">
        <v>-0.60699999999999998</v>
      </c>
      <c r="BR44" s="427">
        <v>2.4369999999999998</v>
      </c>
      <c r="BS44" s="427">
        <v>-0.71199999999999997</v>
      </c>
      <c r="BT44" s="427">
        <v>1.9379999999999999</v>
      </c>
      <c r="BU44" s="427">
        <v>3.056</v>
      </c>
      <c r="BV44" s="427">
        <v>-2.5000000000000001E-2</v>
      </c>
      <c r="BW44" s="427">
        <v>4.8000000000000001E-2</v>
      </c>
      <c r="BX44" s="427">
        <v>-49.323999999999998</v>
      </c>
      <c r="BY44" s="427">
        <v>0</v>
      </c>
      <c r="BZ44" s="427">
        <v>0</v>
      </c>
      <c r="CC44" s="21"/>
      <c r="CD44" s="437" t="s">
        <v>595</v>
      </c>
      <c r="CE44" s="433">
        <f t="shared" si="0"/>
        <v>0</v>
      </c>
      <c r="CF44" s="433">
        <f t="shared" si="1"/>
        <v>0</v>
      </c>
      <c r="CG44" s="433">
        <f t="shared" si="2"/>
        <v>0</v>
      </c>
      <c r="CH44" s="433">
        <f t="shared" si="3"/>
        <v>0</v>
      </c>
      <c r="CI44" s="433">
        <f t="shared" si="4"/>
        <v>0</v>
      </c>
      <c r="CJ44" s="433">
        <f t="shared" si="5"/>
        <v>0</v>
      </c>
      <c r="CK44" s="433">
        <f t="shared" si="6"/>
        <v>0</v>
      </c>
      <c r="CL44" s="433">
        <f t="shared" si="7"/>
        <v>0</v>
      </c>
      <c r="CM44" s="433">
        <f t="shared" si="8"/>
        <v>0</v>
      </c>
      <c r="CN44" s="433">
        <f t="shared" si="9"/>
        <v>0</v>
      </c>
      <c r="CO44" s="433">
        <f t="shared" si="10"/>
        <v>0.245</v>
      </c>
      <c r="CP44" s="433">
        <f t="shared" si="11"/>
        <v>0.15</v>
      </c>
      <c r="CQ44" s="433">
        <f t="shared" si="12"/>
        <v>-20.138000000000002</v>
      </c>
      <c r="CR44" s="433">
        <f t="shared" si="13"/>
        <v>3.056</v>
      </c>
      <c r="CS44" s="433">
        <f t="shared" si="14"/>
        <v>0</v>
      </c>
      <c r="CT44" s="21"/>
    </row>
    <row r="45" spans="3:98" ht="24.75" hidden="1" customHeight="1" outlineLevel="1">
      <c r="C45" s="437" t="s">
        <v>596</v>
      </c>
      <c r="D45" s="427">
        <v>0</v>
      </c>
      <c r="E45" s="427">
        <v>0</v>
      </c>
      <c r="F45" s="427">
        <v>0</v>
      </c>
      <c r="G45" s="427">
        <v>0</v>
      </c>
      <c r="H45" s="427">
        <v>0</v>
      </c>
      <c r="I45" s="427">
        <v>0</v>
      </c>
      <c r="J45" s="427">
        <v>0</v>
      </c>
      <c r="K45" s="427">
        <v>0</v>
      </c>
      <c r="L45" s="427">
        <v>0</v>
      </c>
      <c r="M45" s="427">
        <v>0</v>
      </c>
      <c r="N45" s="427">
        <v>0</v>
      </c>
      <c r="O45" s="427">
        <v>0</v>
      </c>
      <c r="P45" s="427">
        <v>0</v>
      </c>
      <c r="Q45" s="427">
        <v>0</v>
      </c>
      <c r="R45" s="427">
        <v>0</v>
      </c>
      <c r="S45" s="427">
        <v>0</v>
      </c>
      <c r="T45" s="427">
        <v>0</v>
      </c>
      <c r="U45" s="427">
        <v>0</v>
      </c>
      <c r="V45" s="427">
        <v>0</v>
      </c>
      <c r="W45" s="427">
        <v>0</v>
      </c>
      <c r="X45" s="427">
        <v>0</v>
      </c>
      <c r="Y45" s="427">
        <v>0</v>
      </c>
      <c r="Z45" s="427">
        <v>0</v>
      </c>
      <c r="AA45" s="427">
        <v>0</v>
      </c>
      <c r="AB45" s="427">
        <v>0</v>
      </c>
      <c r="AC45" s="427">
        <v>0</v>
      </c>
      <c r="AD45" s="427">
        <v>0</v>
      </c>
      <c r="AE45" s="427">
        <v>0</v>
      </c>
      <c r="AF45" s="427">
        <v>0</v>
      </c>
      <c r="AG45" s="427">
        <v>0</v>
      </c>
      <c r="AH45" s="427">
        <v>0</v>
      </c>
      <c r="AI45" s="427">
        <v>0</v>
      </c>
      <c r="AJ45" s="427">
        <v>0</v>
      </c>
      <c r="AK45" s="427">
        <v>0</v>
      </c>
      <c r="AL45" s="427">
        <v>0</v>
      </c>
      <c r="AM45" s="427">
        <v>0</v>
      </c>
      <c r="AN45" s="427">
        <v>0</v>
      </c>
      <c r="AO45" s="427">
        <v>0</v>
      </c>
      <c r="AP45" s="427">
        <v>0</v>
      </c>
      <c r="AQ45" s="427">
        <v>0</v>
      </c>
      <c r="AR45" s="427">
        <v>0</v>
      </c>
      <c r="AS45" s="427">
        <v>0</v>
      </c>
      <c r="AT45" s="427">
        <v>0</v>
      </c>
      <c r="AU45" s="427">
        <v>0</v>
      </c>
      <c r="AV45" s="427">
        <v>0</v>
      </c>
      <c r="AW45" s="427">
        <v>0</v>
      </c>
      <c r="AX45" s="427">
        <v>0</v>
      </c>
      <c r="AY45" s="427">
        <v>0</v>
      </c>
      <c r="AZ45" s="427">
        <v>0</v>
      </c>
      <c r="BA45" s="427">
        <v>0</v>
      </c>
      <c r="BB45" s="427">
        <v>0</v>
      </c>
      <c r="BC45" s="427">
        <v>0</v>
      </c>
      <c r="BD45" s="427">
        <v>0</v>
      </c>
      <c r="BE45" s="427">
        <v>0</v>
      </c>
      <c r="BF45" s="427">
        <v>0</v>
      </c>
      <c r="BG45" s="427">
        <v>0</v>
      </c>
      <c r="BH45" s="427">
        <v>0</v>
      </c>
      <c r="BI45" s="427">
        <v>0</v>
      </c>
      <c r="BJ45" s="427">
        <v>0</v>
      </c>
      <c r="BK45" s="427">
        <v>0</v>
      </c>
      <c r="BL45" s="427">
        <v>0</v>
      </c>
      <c r="BM45" s="427">
        <v>0</v>
      </c>
      <c r="BN45" s="427">
        <v>0</v>
      </c>
      <c r="BO45" s="427">
        <v>0</v>
      </c>
      <c r="BP45" s="427">
        <v>0</v>
      </c>
      <c r="BQ45" s="427">
        <v>0</v>
      </c>
      <c r="BR45" s="427">
        <v>0</v>
      </c>
      <c r="BS45" s="427">
        <v>0</v>
      </c>
      <c r="BT45" s="427">
        <v>0</v>
      </c>
      <c r="BU45" s="427">
        <v>0</v>
      </c>
      <c r="BV45" s="427">
        <v>0</v>
      </c>
      <c r="BW45" s="427">
        <v>0</v>
      </c>
      <c r="BX45" s="427">
        <v>0</v>
      </c>
      <c r="BY45" s="427">
        <v>0</v>
      </c>
      <c r="BZ45" s="427">
        <v>0</v>
      </c>
      <c r="CC45" s="21"/>
      <c r="CD45" s="437" t="s">
        <v>596</v>
      </c>
      <c r="CE45" s="433">
        <f t="shared" si="0"/>
        <v>0</v>
      </c>
      <c r="CF45" s="433">
        <f t="shared" si="1"/>
        <v>0</v>
      </c>
      <c r="CG45" s="433">
        <f t="shared" si="2"/>
        <v>0</v>
      </c>
      <c r="CH45" s="433">
        <f t="shared" si="3"/>
        <v>0</v>
      </c>
      <c r="CI45" s="433">
        <f t="shared" si="4"/>
        <v>0</v>
      </c>
      <c r="CJ45" s="433">
        <f t="shared" si="5"/>
        <v>0</v>
      </c>
      <c r="CK45" s="433">
        <f t="shared" si="6"/>
        <v>0</v>
      </c>
      <c r="CL45" s="433">
        <f t="shared" si="7"/>
        <v>0</v>
      </c>
      <c r="CM45" s="433">
        <f t="shared" si="8"/>
        <v>0</v>
      </c>
      <c r="CN45" s="433">
        <f t="shared" si="9"/>
        <v>0</v>
      </c>
      <c r="CO45" s="433">
        <f t="shared" si="10"/>
        <v>0</v>
      </c>
      <c r="CP45" s="433">
        <f t="shared" si="11"/>
        <v>0</v>
      </c>
      <c r="CQ45" s="433">
        <f t="shared" si="12"/>
        <v>0</v>
      </c>
      <c r="CR45" s="433">
        <f t="shared" si="13"/>
        <v>0</v>
      </c>
      <c r="CS45" s="433">
        <f t="shared" si="14"/>
        <v>0</v>
      </c>
      <c r="CT45" s="21"/>
    </row>
    <row r="46" spans="3:98" ht="24.75" hidden="1" customHeight="1" outlineLevel="1">
      <c r="C46" s="437" t="s">
        <v>597</v>
      </c>
      <c r="D46" s="427">
        <v>0</v>
      </c>
      <c r="E46" s="427">
        <v>0</v>
      </c>
      <c r="F46" s="427">
        <v>0</v>
      </c>
      <c r="G46" s="427">
        <v>0</v>
      </c>
      <c r="H46" s="427">
        <v>0</v>
      </c>
      <c r="I46" s="427">
        <v>0</v>
      </c>
      <c r="J46" s="427">
        <v>0</v>
      </c>
      <c r="K46" s="427">
        <v>0</v>
      </c>
      <c r="L46" s="427">
        <v>0</v>
      </c>
      <c r="M46" s="427">
        <v>0</v>
      </c>
      <c r="N46" s="427">
        <v>0</v>
      </c>
      <c r="O46" s="427">
        <v>0</v>
      </c>
      <c r="P46" s="427">
        <v>0</v>
      </c>
      <c r="Q46" s="427">
        <v>0</v>
      </c>
      <c r="R46" s="427">
        <v>0</v>
      </c>
      <c r="S46" s="427">
        <v>0</v>
      </c>
      <c r="T46" s="427">
        <v>0</v>
      </c>
      <c r="U46" s="427">
        <v>0</v>
      </c>
      <c r="V46" s="427">
        <v>0</v>
      </c>
      <c r="W46" s="427">
        <v>0</v>
      </c>
      <c r="X46" s="427">
        <v>0</v>
      </c>
      <c r="Y46" s="427">
        <v>0</v>
      </c>
      <c r="Z46" s="427">
        <v>0</v>
      </c>
      <c r="AA46" s="427">
        <v>0</v>
      </c>
      <c r="AB46" s="427">
        <v>0</v>
      </c>
      <c r="AC46" s="427">
        <v>0</v>
      </c>
      <c r="AD46" s="427">
        <v>0</v>
      </c>
      <c r="AE46" s="427">
        <v>0</v>
      </c>
      <c r="AF46" s="427">
        <v>0</v>
      </c>
      <c r="AG46" s="427">
        <v>0</v>
      </c>
      <c r="AH46" s="427">
        <v>0</v>
      </c>
      <c r="AI46" s="427">
        <v>0</v>
      </c>
      <c r="AJ46" s="427">
        <v>0</v>
      </c>
      <c r="AK46" s="427">
        <v>0</v>
      </c>
      <c r="AL46" s="427">
        <v>0</v>
      </c>
      <c r="AM46" s="427">
        <v>0</v>
      </c>
      <c r="AN46" s="427">
        <v>0</v>
      </c>
      <c r="AO46" s="427">
        <v>0</v>
      </c>
      <c r="AP46" s="427">
        <v>0</v>
      </c>
      <c r="AQ46" s="427">
        <v>0</v>
      </c>
      <c r="AR46" s="427">
        <v>0</v>
      </c>
      <c r="AS46" s="427">
        <v>0</v>
      </c>
      <c r="AT46" s="427">
        <v>0</v>
      </c>
      <c r="AU46" s="427">
        <v>0</v>
      </c>
      <c r="AV46" s="427">
        <v>0</v>
      </c>
      <c r="AW46" s="427">
        <v>0</v>
      </c>
      <c r="AX46" s="427">
        <v>0</v>
      </c>
      <c r="AY46" s="427">
        <v>0</v>
      </c>
      <c r="AZ46" s="427">
        <v>0</v>
      </c>
      <c r="BA46" s="427">
        <v>0</v>
      </c>
      <c r="BB46" s="427">
        <v>0</v>
      </c>
      <c r="BC46" s="427">
        <v>0</v>
      </c>
      <c r="BD46" s="427">
        <v>0</v>
      </c>
      <c r="BE46" s="427">
        <v>0</v>
      </c>
      <c r="BF46" s="427">
        <v>5.6619999999999999</v>
      </c>
      <c r="BG46" s="427">
        <v>0.30299999999999999</v>
      </c>
      <c r="BH46" s="427">
        <v>-10.945</v>
      </c>
      <c r="BI46" s="427">
        <v>-15.962</v>
      </c>
      <c r="BJ46" s="427">
        <v>8.1760000000000002</v>
      </c>
      <c r="BK46" s="427">
        <v>-18.428000000000001</v>
      </c>
      <c r="BL46" s="427">
        <v>-35.569000000000003</v>
      </c>
      <c r="BM46" s="427">
        <v>-85.1</v>
      </c>
      <c r="BN46" s="427">
        <v>-28.975999999999999</v>
      </c>
      <c r="BO46" s="427">
        <v>-60.645000000000003</v>
      </c>
      <c r="BP46" s="427">
        <v>-210.29</v>
      </c>
      <c r="BQ46" s="427">
        <v>-17.789000000000001</v>
      </c>
      <c r="BR46" s="427">
        <v>-0.38</v>
      </c>
      <c r="BS46" s="427">
        <v>-35.689</v>
      </c>
      <c r="BT46" s="427">
        <v>24.602</v>
      </c>
      <c r="BU46" s="427">
        <v>-29.256</v>
      </c>
      <c r="BV46" s="427">
        <v>-44.545000000000002</v>
      </c>
      <c r="BW46" s="427">
        <v>-21.436</v>
      </c>
      <c r="BX46" s="427">
        <v>-15.622</v>
      </c>
      <c r="BY46" s="427">
        <v>0</v>
      </c>
      <c r="BZ46" s="427">
        <v>0</v>
      </c>
      <c r="CC46" s="21"/>
      <c r="CD46" s="437" t="s">
        <v>597</v>
      </c>
      <c r="CE46" s="433">
        <f t="shared" si="0"/>
        <v>0</v>
      </c>
      <c r="CF46" s="433">
        <f t="shared" si="1"/>
        <v>0</v>
      </c>
      <c r="CG46" s="433">
        <f t="shared" si="2"/>
        <v>0</v>
      </c>
      <c r="CH46" s="433">
        <f t="shared" si="3"/>
        <v>0</v>
      </c>
      <c r="CI46" s="433">
        <f t="shared" si="4"/>
        <v>0</v>
      </c>
      <c r="CJ46" s="433">
        <f t="shared" si="5"/>
        <v>0</v>
      </c>
      <c r="CK46" s="433">
        <f t="shared" si="6"/>
        <v>0</v>
      </c>
      <c r="CL46" s="433">
        <f t="shared" si="7"/>
        <v>0</v>
      </c>
      <c r="CM46" s="433">
        <f t="shared" si="8"/>
        <v>0</v>
      </c>
      <c r="CN46" s="433">
        <f t="shared" si="9"/>
        <v>0</v>
      </c>
      <c r="CO46" s="433">
        <f t="shared" si="10"/>
        <v>5.6619999999999999</v>
      </c>
      <c r="CP46" s="433">
        <f t="shared" si="11"/>
        <v>-18.428000000000001</v>
      </c>
      <c r="CQ46" s="433">
        <f t="shared" si="12"/>
        <v>-210.29</v>
      </c>
      <c r="CR46" s="433">
        <f t="shared" si="13"/>
        <v>-29.256</v>
      </c>
      <c r="CS46" s="433">
        <f t="shared" si="14"/>
        <v>0</v>
      </c>
      <c r="CT46" s="21"/>
    </row>
    <row r="47" spans="3:98" ht="24.75" hidden="1" customHeight="1" outlineLevel="1" collapsed="1">
      <c r="C47" s="437" t="s">
        <v>598</v>
      </c>
      <c r="D47" s="427">
        <v>0</v>
      </c>
      <c r="E47" s="427">
        <v>0</v>
      </c>
      <c r="F47" s="427">
        <v>0</v>
      </c>
      <c r="G47" s="427">
        <v>0</v>
      </c>
      <c r="H47" s="427">
        <v>0</v>
      </c>
      <c r="I47" s="427">
        <v>0</v>
      </c>
      <c r="J47" s="427">
        <v>0</v>
      </c>
      <c r="K47" s="427">
        <v>0</v>
      </c>
      <c r="L47" s="427">
        <v>0</v>
      </c>
      <c r="M47" s="427">
        <v>0</v>
      </c>
      <c r="N47" s="427">
        <v>0</v>
      </c>
      <c r="O47" s="427">
        <v>0</v>
      </c>
      <c r="P47" s="427">
        <v>0</v>
      </c>
      <c r="Q47" s="427">
        <v>0</v>
      </c>
      <c r="R47" s="427">
        <v>0</v>
      </c>
      <c r="S47" s="427">
        <v>0</v>
      </c>
      <c r="T47" s="427">
        <v>0</v>
      </c>
      <c r="U47" s="427">
        <v>0</v>
      </c>
      <c r="V47" s="427">
        <v>0</v>
      </c>
      <c r="W47" s="427">
        <v>0</v>
      </c>
      <c r="X47" s="427">
        <v>0</v>
      </c>
      <c r="Y47" s="427">
        <v>0</v>
      </c>
      <c r="Z47" s="427">
        <v>0</v>
      </c>
      <c r="AA47" s="427">
        <v>0</v>
      </c>
      <c r="AB47" s="427">
        <v>0</v>
      </c>
      <c r="AC47" s="427">
        <v>0</v>
      </c>
      <c r="AD47" s="427">
        <v>0</v>
      </c>
      <c r="AE47" s="427">
        <v>0</v>
      </c>
      <c r="AF47" s="427">
        <v>0</v>
      </c>
      <c r="AG47" s="427">
        <v>0</v>
      </c>
      <c r="AH47" s="427">
        <v>0</v>
      </c>
      <c r="AI47" s="427">
        <v>0</v>
      </c>
      <c r="AJ47" s="427">
        <v>0</v>
      </c>
      <c r="AK47" s="427">
        <v>0</v>
      </c>
      <c r="AL47" s="427">
        <v>0</v>
      </c>
      <c r="AM47" s="427">
        <v>0</v>
      </c>
      <c r="AN47" s="427">
        <v>0</v>
      </c>
      <c r="AO47" s="427">
        <v>0</v>
      </c>
      <c r="AP47" s="427">
        <v>0</v>
      </c>
      <c r="AQ47" s="427">
        <v>0</v>
      </c>
      <c r="AR47" s="427">
        <v>0</v>
      </c>
      <c r="AS47" s="427">
        <v>0</v>
      </c>
      <c r="AT47" s="427">
        <v>0</v>
      </c>
      <c r="AU47" s="427">
        <v>0</v>
      </c>
      <c r="AV47" s="427">
        <v>0</v>
      </c>
      <c r="AW47" s="427">
        <v>0</v>
      </c>
      <c r="AX47" s="427">
        <v>0</v>
      </c>
      <c r="AY47" s="427">
        <v>0</v>
      </c>
      <c r="AZ47" s="427">
        <v>0</v>
      </c>
      <c r="BA47" s="427">
        <v>0</v>
      </c>
      <c r="BB47" s="427">
        <v>0</v>
      </c>
      <c r="BC47" s="427">
        <v>0</v>
      </c>
      <c r="BD47" s="427">
        <v>0</v>
      </c>
      <c r="BE47" s="427">
        <v>0</v>
      </c>
      <c r="BF47" s="427">
        <v>0</v>
      </c>
      <c r="BG47" s="427">
        <v>0</v>
      </c>
      <c r="BH47" s="427">
        <v>0</v>
      </c>
      <c r="BI47" s="427">
        <v>0</v>
      </c>
      <c r="BJ47" s="427">
        <v>0</v>
      </c>
      <c r="BK47" s="427">
        <v>0</v>
      </c>
      <c r="BL47" s="427">
        <v>0</v>
      </c>
      <c r="BM47" s="427">
        <v>0</v>
      </c>
      <c r="BN47" s="427">
        <v>0</v>
      </c>
      <c r="BO47" s="427">
        <v>0</v>
      </c>
      <c r="BP47" s="427">
        <v>0</v>
      </c>
      <c r="BQ47" s="427">
        <v>0</v>
      </c>
      <c r="BR47" s="427">
        <v>0</v>
      </c>
      <c r="BS47" s="427">
        <v>0</v>
      </c>
      <c r="BT47" s="427">
        <v>0</v>
      </c>
      <c r="BU47" s="427">
        <v>0</v>
      </c>
      <c r="BV47" s="427">
        <v>0</v>
      </c>
      <c r="BW47" s="427">
        <v>0</v>
      </c>
      <c r="BX47" s="427">
        <v>0</v>
      </c>
      <c r="BY47" s="427">
        <v>0</v>
      </c>
      <c r="BZ47" s="427">
        <v>0</v>
      </c>
      <c r="CC47" s="21"/>
      <c r="CD47" s="437" t="s">
        <v>598</v>
      </c>
      <c r="CE47" s="433">
        <f t="shared" si="0"/>
        <v>0</v>
      </c>
      <c r="CF47" s="433">
        <f t="shared" si="1"/>
        <v>0</v>
      </c>
      <c r="CG47" s="433">
        <f t="shared" si="2"/>
        <v>0</v>
      </c>
      <c r="CH47" s="433">
        <f t="shared" si="3"/>
        <v>0</v>
      </c>
      <c r="CI47" s="433">
        <f t="shared" si="4"/>
        <v>0</v>
      </c>
      <c r="CJ47" s="433">
        <f t="shared" si="5"/>
        <v>0</v>
      </c>
      <c r="CK47" s="433">
        <f t="shared" si="6"/>
        <v>0</v>
      </c>
      <c r="CL47" s="433">
        <f t="shared" si="7"/>
        <v>0</v>
      </c>
      <c r="CM47" s="433">
        <f t="shared" si="8"/>
        <v>0</v>
      </c>
      <c r="CN47" s="433">
        <f t="shared" si="9"/>
        <v>0</v>
      </c>
      <c r="CO47" s="433">
        <f t="shared" si="10"/>
        <v>0</v>
      </c>
      <c r="CP47" s="433">
        <f t="shared" si="11"/>
        <v>0</v>
      </c>
      <c r="CQ47" s="433">
        <f t="shared" si="12"/>
        <v>0</v>
      </c>
      <c r="CR47" s="433">
        <f t="shared" si="13"/>
        <v>0</v>
      </c>
      <c r="CS47" s="433">
        <f t="shared" si="14"/>
        <v>0</v>
      </c>
      <c r="CT47" s="21"/>
    </row>
    <row r="48" spans="3:98" ht="24.75" hidden="1" customHeight="1" outlineLevel="1">
      <c r="C48" s="437" t="s">
        <v>599</v>
      </c>
      <c r="D48" s="427">
        <v>0</v>
      </c>
      <c r="E48" s="427">
        <v>0</v>
      </c>
      <c r="F48" s="427">
        <v>0</v>
      </c>
      <c r="G48" s="427">
        <v>0</v>
      </c>
      <c r="H48" s="427">
        <v>0</v>
      </c>
      <c r="I48" s="427">
        <v>0</v>
      </c>
      <c r="J48" s="427">
        <v>0</v>
      </c>
      <c r="K48" s="427">
        <v>0</v>
      </c>
      <c r="L48" s="427">
        <v>0</v>
      </c>
      <c r="M48" s="427">
        <v>0</v>
      </c>
      <c r="N48" s="427">
        <v>0</v>
      </c>
      <c r="O48" s="427">
        <v>0</v>
      </c>
      <c r="P48" s="427">
        <v>0</v>
      </c>
      <c r="Q48" s="427">
        <v>0</v>
      </c>
      <c r="R48" s="427">
        <v>0</v>
      </c>
      <c r="S48" s="427">
        <v>0</v>
      </c>
      <c r="T48" s="427">
        <v>0</v>
      </c>
      <c r="U48" s="427">
        <v>0</v>
      </c>
      <c r="V48" s="427">
        <v>0</v>
      </c>
      <c r="W48" s="427">
        <v>0</v>
      </c>
      <c r="X48" s="427">
        <v>0</v>
      </c>
      <c r="Y48" s="427">
        <v>0</v>
      </c>
      <c r="Z48" s="427">
        <v>0</v>
      </c>
      <c r="AA48" s="427">
        <v>0</v>
      </c>
      <c r="AB48" s="427">
        <v>0</v>
      </c>
      <c r="AC48" s="427">
        <v>0</v>
      </c>
      <c r="AD48" s="427">
        <v>0</v>
      </c>
      <c r="AE48" s="427">
        <v>0</v>
      </c>
      <c r="AF48" s="427">
        <v>0</v>
      </c>
      <c r="AG48" s="427">
        <v>0</v>
      </c>
      <c r="AH48" s="427">
        <v>0</v>
      </c>
      <c r="AI48" s="427">
        <v>0</v>
      </c>
      <c r="AJ48" s="427">
        <v>0</v>
      </c>
      <c r="AK48" s="427">
        <v>0</v>
      </c>
      <c r="AL48" s="427">
        <v>0</v>
      </c>
      <c r="AM48" s="427">
        <v>0</v>
      </c>
      <c r="AN48" s="427">
        <v>0</v>
      </c>
      <c r="AO48" s="427">
        <v>0</v>
      </c>
      <c r="AP48" s="427">
        <v>0</v>
      </c>
      <c r="AQ48" s="427">
        <v>0</v>
      </c>
      <c r="AR48" s="427">
        <v>0</v>
      </c>
      <c r="AS48" s="427">
        <v>0</v>
      </c>
      <c r="AT48" s="427">
        <v>0</v>
      </c>
      <c r="AU48" s="427">
        <v>0</v>
      </c>
      <c r="AV48" s="427">
        <v>0</v>
      </c>
      <c r="AW48" s="427">
        <v>0</v>
      </c>
      <c r="AX48" s="427">
        <v>0</v>
      </c>
      <c r="AY48" s="427">
        <v>0</v>
      </c>
      <c r="AZ48" s="427">
        <v>0</v>
      </c>
      <c r="BA48" s="427">
        <v>0</v>
      </c>
      <c r="BB48" s="427">
        <v>0</v>
      </c>
      <c r="BC48" s="427">
        <v>0</v>
      </c>
      <c r="BD48" s="427">
        <v>0</v>
      </c>
      <c r="BE48" s="427">
        <v>0</v>
      </c>
      <c r="BF48" s="427">
        <v>0</v>
      </c>
      <c r="BG48" s="427">
        <v>0</v>
      </c>
      <c r="BH48" s="427">
        <v>0</v>
      </c>
      <c r="BI48" s="427">
        <v>0</v>
      </c>
      <c r="BJ48" s="427">
        <v>0</v>
      </c>
      <c r="BK48" s="427">
        <v>0</v>
      </c>
      <c r="BL48" s="427">
        <v>0</v>
      </c>
      <c r="BM48" s="427">
        <v>0</v>
      </c>
      <c r="BN48" s="427">
        <v>0</v>
      </c>
      <c r="BO48" s="427">
        <v>0</v>
      </c>
      <c r="BP48" s="427">
        <v>0</v>
      </c>
      <c r="BQ48" s="427">
        <v>0</v>
      </c>
      <c r="BR48" s="427">
        <v>0</v>
      </c>
      <c r="BS48" s="427">
        <v>0</v>
      </c>
      <c r="BT48" s="427">
        <v>0</v>
      </c>
      <c r="BU48" s="427">
        <v>0</v>
      </c>
      <c r="BV48" s="427">
        <v>0</v>
      </c>
      <c r="BW48" s="427">
        <v>0</v>
      </c>
      <c r="BX48" s="427">
        <v>0</v>
      </c>
      <c r="BY48" s="427">
        <v>0</v>
      </c>
      <c r="BZ48" s="427">
        <v>0</v>
      </c>
      <c r="CC48" s="21"/>
      <c r="CD48" s="437" t="s">
        <v>599</v>
      </c>
      <c r="CE48" s="433">
        <f t="shared" si="0"/>
        <v>0</v>
      </c>
      <c r="CF48" s="433">
        <f t="shared" si="1"/>
        <v>0</v>
      </c>
      <c r="CG48" s="433">
        <f t="shared" si="2"/>
        <v>0</v>
      </c>
      <c r="CH48" s="433">
        <f t="shared" si="3"/>
        <v>0</v>
      </c>
      <c r="CI48" s="433">
        <f t="shared" si="4"/>
        <v>0</v>
      </c>
      <c r="CJ48" s="433">
        <f t="shared" si="5"/>
        <v>0</v>
      </c>
      <c r="CK48" s="433">
        <f t="shared" si="6"/>
        <v>0</v>
      </c>
      <c r="CL48" s="433">
        <f t="shared" si="7"/>
        <v>0</v>
      </c>
      <c r="CM48" s="433">
        <f t="shared" si="8"/>
        <v>0</v>
      </c>
      <c r="CN48" s="433">
        <f t="shared" si="9"/>
        <v>0</v>
      </c>
      <c r="CO48" s="433">
        <f t="shared" si="10"/>
        <v>0</v>
      </c>
      <c r="CP48" s="433">
        <f t="shared" si="11"/>
        <v>0</v>
      </c>
      <c r="CQ48" s="433">
        <f t="shared" si="12"/>
        <v>0</v>
      </c>
      <c r="CR48" s="433">
        <f t="shared" si="13"/>
        <v>0</v>
      </c>
      <c r="CS48" s="433">
        <f t="shared" si="14"/>
        <v>0</v>
      </c>
      <c r="CT48" s="21"/>
    </row>
    <row r="49" spans="3:98" ht="24.75" hidden="1" customHeight="1" outlineLevel="1">
      <c r="C49" s="437" t="s">
        <v>600</v>
      </c>
      <c r="D49" s="427">
        <v>0</v>
      </c>
      <c r="E49" s="427">
        <v>0</v>
      </c>
      <c r="F49" s="427">
        <v>0</v>
      </c>
      <c r="G49" s="427">
        <v>0</v>
      </c>
      <c r="H49" s="427">
        <v>0</v>
      </c>
      <c r="I49" s="427">
        <v>0</v>
      </c>
      <c r="J49" s="427">
        <v>0</v>
      </c>
      <c r="K49" s="427">
        <v>0</v>
      </c>
      <c r="L49" s="427">
        <v>0</v>
      </c>
      <c r="M49" s="427">
        <v>0</v>
      </c>
      <c r="N49" s="427">
        <v>0</v>
      </c>
      <c r="O49" s="427">
        <v>0</v>
      </c>
      <c r="P49" s="427">
        <v>0</v>
      </c>
      <c r="Q49" s="427">
        <v>0</v>
      </c>
      <c r="R49" s="427">
        <v>0</v>
      </c>
      <c r="S49" s="427">
        <v>0</v>
      </c>
      <c r="T49" s="427">
        <v>0</v>
      </c>
      <c r="U49" s="427">
        <v>0</v>
      </c>
      <c r="V49" s="427">
        <v>0</v>
      </c>
      <c r="W49" s="427">
        <v>0</v>
      </c>
      <c r="X49" s="427">
        <v>0</v>
      </c>
      <c r="Y49" s="427">
        <v>0</v>
      </c>
      <c r="Z49" s="427">
        <v>0</v>
      </c>
      <c r="AA49" s="427">
        <v>0</v>
      </c>
      <c r="AB49" s="427">
        <v>0</v>
      </c>
      <c r="AC49" s="427">
        <v>0</v>
      </c>
      <c r="AD49" s="427">
        <v>0</v>
      </c>
      <c r="AE49" s="427">
        <v>0</v>
      </c>
      <c r="AF49" s="427">
        <v>0</v>
      </c>
      <c r="AG49" s="427">
        <v>0</v>
      </c>
      <c r="AH49" s="427">
        <v>0</v>
      </c>
      <c r="AI49" s="427">
        <v>0</v>
      </c>
      <c r="AJ49" s="427">
        <v>0</v>
      </c>
      <c r="AK49" s="427">
        <v>0</v>
      </c>
      <c r="AL49" s="427">
        <v>0</v>
      </c>
      <c r="AM49" s="427">
        <v>0</v>
      </c>
      <c r="AN49" s="427">
        <v>0</v>
      </c>
      <c r="AO49" s="427">
        <v>0</v>
      </c>
      <c r="AP49" s="427">
        <v>0</v>
      </c>
      <c r="AQ49" s="427">
        <v>0</v>
      </c>
      <c r="AR49" s="427">
        <v>0</v>
      </c>
      <c r="AS49" s="427">
        <v>0</v>
      </c>
      <c r="AT49" s="427">
        <v>0</v>
      </c>
      <c r="AU49" s="427">
        <v>0</v>
      </c>
      <c r="AV49" s="427">
        <v>0</v>
      </c>
      <c r="AW49" s="427">
        <v>0</v>
      </c>
      <c r="AX49" s="427">
        <v>0</v>
      </c>
      <c r="AY49" s="427">
        <v>0</v>
      </c>
      <c r="AZ49" s="427">
        <v>0</v>
      </c>
      <c r="BA49" s="427">
        <v>0</v>
      </c>
      <c r="BB49" s="427">
        <v>0</v>
      </c>
      <c r="BC49" s="427">
        <v>0</v>
      </c>
      <c r="BD49" s="427">
        <v>0</v>
      </c>
      <c r="BE49" s="427">
        <v>0</v>
      </c>
      <c r="BF49" s="427">
        <v>0</v>
      </c>
      <c r="BG49" s="427">
        <v>0</v>
      </c>
      <c r="BH49" s="427">
        <v>0</v>
      </c>
      <c r="BI49" s="427">
        <v>0</v>
      </c>
      <c r="BJ49" s="427">
        <v>0</v>
      </c>
      <c r="BK49" s="427">
        <v>0</v>
      </c>
      <c r="BL49" s="427">
        <v>0</v>
      </c>
      <c r="BM49" s="427">
        <v>0</v>
      </c>
      <c r="BN49" s="427">
        <v>0</v>
      </c>
      <c r="BO49" s="427">
        <v>0</v>
      </c>
      <c r="BP49" s="427">
        <v>0</v>
      </c>
      <c r="BQ49" s="427">
        <v>0</v>
      </c>
      <c r="BR49" s="427">
        <v>0</v>
      </c>
      <c r="BS49" s="427">
        <v>0</v>
      </c>
      <c r="BT49" s="427">
        <v>0</v>
      </c>
      <c r="BU49" s="427">
        <v>0</v>
      </c>
      <c r="BV49" s="427">
        <v>0</v>
      </c>
      <c r="BW49" s="427">
        <v>0</v>
      </c>
      <c r="BX49" s="427">
        <v>0</v>
      </c>
      <c r="BY49" s="427">
        <v>0</v>
      </c>
      <c r="BZ49" s="427">
        <v>0</v>
      </c>
      <c r="CC49" s="21"/>
      <c r="CD49" s="437" t="s">
        <v>600</v>
      </c>
      <c r="CE49" s="433">
        <f t="shared" si="0"/>
        <v>0</v>
      </c>
      <c r="CF49" s="433">
        <f t="shared" si="1"/>
        <v>0</v>
      </c>
      <c r="CG49" s="433">
        <f t="shared" si="2"/>
        <v>0</v>
      </c>
      <c r="CH49" s="433">
        <f t="shared" si="3"/>
        <v>0</v>
      </c>
      <c r="CI49" s="433">
        <f t="shared" si="4"/>
        <v>0</v>
      </c>
      <c r="CJ49" s="433">
        <f t="shared" si="5"/>
        <v>0</v>
      </c>
      <c r="CK49" s="433">
        <f t="shared" si="6"/>
        <v>0</v>
      </c>
      <c r="CL49" s="433">
        <f t="shared" si="7"/>
        <v>0</v>
      </c>
      <c r="CM49" s="433">
        <f t="shared" si="8"/>
        <v>0</v>
      </c>
      <c r="CN49" s="433">
        <f t="shared" si="9"/>
        <v>0</v>
      </c>
      <c r="CO49" s="433">
        <f t="shared" si="10"/>
        <v>0</v>
      </c>
      <c r="CP49" s="433">
        <f t="shared" si="11"/>
        <v>0</v>
      </c>
      <c r="CQ49" s="433">
        <f t="shared" si="12"/>
        <v>0</v>
      </c>
      <c r="CR49" s="433">
        <f t="shared" si="13"/>
        <v>0</v>
      </c>
      <c r="CS49" s="433">
        <f t="shared" si="14"/>
        <v>0</v>
      </c>
      <c r="CT49" s="21"/>
    </row>
    <row r="50" spans="3:98" ht="24.75" hidden="1" customHeight="1" outlineLevel="1">
      <c r="C50" s="437" t="s">
        <v>601</v>
      </c>
      <c r="D50" s="427">
        <v>0</v>
      </c>
      <c r="E50" s="427">
        <v>0</v>
      </c>
      <c r="F50" s="427">
        <v>0</v>
      </c>
      <c r="G50" s="427">
        <v>0</v>
      </c>
      <c r="H50" s="427">
        <v>0</v>
      </c>
      <c r="I50" s="427">
        <v>0</v>
      </c>
      <c r="J50" s="427">
        <v>0</v>
      </c>
      <c r="K50" s="427">
        <v>0</v>
      </c>
      <c r="L50" s="427">
        <v>0</v>
      </c>
      <c r="M50" s="427">
        <v>0</v>
      </c>
      <c r="N50" s="427">
        <v>0</v>
      </c>
      <c r="O50" s="427">
        <v>0</v>
      </c>
      <c r="P50" s="427">
        <v>0</v>
      </c>
      <c r="Q50" s="427">
        <v>0</v>
      </c>
      <c r="R50" s="427">
        <v>0</v>
      </c>
      <c r="S50" s="427">
        <v>0</v>
      </c>
      <c r="T50" s="427">
        <v>0</v>
      </c>
      <c r="U50" s="427">
        <v>0</v>
      </c>
      <c r="V50" s="427">
        <v>0</v>
      </c>
      <c r="W50" s="427">
        <v>0</v>
      </c>
      <c r="X50" s="427">
        <v>0</v>
      </c>
      <c r="Y50" s="427">
        <v>0</v>
      </c>
      <c r="Z50" s="427">
        <v>0</v>
      </c>
      <c r="AA50" s="427">
        <v>0</v>
      </c>
      <c r="AB50" s="427">
        <v>0</v>
      </c>
      <c r="AC50" s="427">
        <v>0</v>
      </c>
      <c r="AD50" s="427">
        <v>0</v>
      </c>
      <c r="AE50" s="427">
        <v>0</v>
      </c>
      <c r="AF50" s="427">
        <v>0</v>
      </c>
      <c r="AG50" s="427">
        <v>0</v>
      </c>
      <c r="AH50" s="427">
        <v>0</v>
      </c>
      <c r="AI50" s="427">
        <v>0</v>
      </c>
      <c r="AJ50" s="427">
        <v>0</v>
      </c>
      <c r="AK50" s="427">
        <v>0</v>
      </c>
      <c r="AL50" s="427">
        <v>0</v>
      </c>
      <c r="AM50" s="427">
        <v>0</v>
      </c>
      <c r="AN50" s="427">
        <v>0</v>
      </c>
      <c r="AO50" s="427">
        <v>0</v>
      </c>
      <c r="AP50" s="427">
        <v>0</v>
      </c>
      <c r="AQ50" s="427">
        <v>0</v>
      </c>
      <c r="AR50" s="427">
        <v>0</v>
      </c>
      <c r="AS50" s="427">
        <v>0</v>
      </c>
      <c r="AT50" s="427">
        <v>0</v>
      </c>
      <c r="AU50" s="427">
        <v>0</v>
      </c>
      <c r="AV50" s="427">
        <v>0</v>
      </c>
      <c r="AW50" s="427">
        <v>0</v>
      </c>
      <c r="AX50" s="427">
        <v>0</v>
      </c>
      <c r="AY50" s="427">
        <v>0</v>
      </c>
      <c r="AZ50" s="427">
        <v>0</v>
      </c>
      <c r="BA50" s="427">
        <v>0</v>
      </c>
      <c r="BB50" s="427">
        <v>0</v>
      </c>
      <c r="BC50" s="427">
        <v>0</v>
      </c>
      <c r="BD50" s="427">
        <v>0</v>
      </c>
      <c r="BE50" s="427">
        <v>0</v>
      </c>
      <c r="BF50" s="427">
        <v>-3.1059999999999999</v>
      </c>
      <c r="BG50" s="427">
        <v>4.4089999999999998</v>
      </c>
      <c r="BH50" s="427">
        <v>2.2599999999999998</v>
      </c>
      <c r="BI50" s="427">
        <v>-0.46200000000000002</v>
      </c>
      <c r="BJ50" s="427">
        <v>-5.15</v>
      </c>
      <c r="BK50" s="427">
        <v>1.0569999999999999</v>
      </c>
      <c r="BL50" s="427">
        <v>-2.8690000000000002</v>
      </c>
      <c r="BM50" s="427">
        <v>5.2610000000000001</v>
      </c>
      <c r="BN50" s="427">
        <v>13.692</v>
      </c>
      <c r="BO50" s="427">
        <v>-31.027999999999999</v>
      </c>
      <c r="BP50" s="427">
        <v>-14.944000000000001</v>
      </c>
      <c r="BQ50" s="427">
        <v>7.3890000000000002</v>
      </c>
      <c r="BR50" s="427">
        <v>107.68300000000001</v>
      </c>
      <c r="BS50" s="427">
        <v>77.180999999999997</v>
      </c>
      <c r="BT50" s="427">
        <v>-163.73699999999999</v>
      </c>
      <c r="BU50" s="427">
        <v>28.515999999999998</v>
      </c>
      <c r="BV50" s="427">
        <v>8.4280000000000008</v>
      </c>
      <c r="BW50" s="427">
        <v>8.0069999999999997</v>
      </c>
      <c r="BX50" s="427">
        <v>0.879</v>
      </c>
      <c r="BY50" s="427">
        <v>0</v>
      </c>
      <c r="BZ50" s="427">
        <v>0</v>
      </c>
      <c r="CC50" s="21"/>
      <c r="CD50" s="437" t="s">
        <v>601</v>
      </c>
      <c r="CE50" s="433">
        <f t="shared" si="0"/>
        <v>0</v>
      </c>
      <c r="CF50" s="433">
        <f t="shared" si="1"/>
        <v>0</v>
      </c>
      <c r="CG50" s="433">
        <f t="shared" si="2"/>
        <v>0</v>
      </c>
      <c r="CH50" s="433">
        <f t="shared" si="3"/>
        <v>0</v>
      </c>
      <c r="CI50" s="433">
        <f t="shared" si="4"/>
        <v>0</v>
      </c>
      <c r="CJ50" s="433">
        <f t="shared" si="5"/>
        <v>0</v>
      </c>
      <c r="CK50" s="433">
        <f t="shared" si="6"/>
        <v>0</v>
      </c>
      <c r="CL50" s="433">
        <f t="shared" si="7"/>
        <v>0</v>
      </c>
      <c r="CM50" s="433">
        <f t="shared" si="8"/>
        <v>0</v>
      </c>
      <c r="CN50" s="433">
        <f t="shared" si="9"/>
        <v>0</v>
      </c>
      <c r="CO50" s="433">
        <f t="shared" si="10"/>
        <v>-3.1059999999999999</v>
      </c>
      <c r="CP50" s="433">
        <f t="shared" si="11"/>
        <v>1.0569999999999999</v>
      </c>
      <c r="CQ50" s="433">
        <f t="shared" si="12"/>
        <v>-14.944000000000001</v>
      </c>
      <c r="CR50" s="433">
        <f t="shared" si="13"/>
        <v>28.515999999999998</v>
      </c>
      <c r="CS50" s="433">
        <f t="shared" si="14"/>
        <v>0</v>
      </c>
      <c r="CT50" s="21"/>
    </row>
    <row r="51" spans="3:98" ht="24.75" hidden="1" customHeight="1" outlineLevel="1">
      <c r="C51" s="437" t="s">
        <v>602</v>
      </c>
      <c r="D51" s="427">
        <v>0</v>
      </c>
      <c r="E51" s="427">
        <v>0</v>
      </c>
      <c r="F51" s="427">
        <v>0</v>
      </c>
      <c r="G51" s="427">
        <v>0</v>
      </c>
      <c r="H51" s="427">
        <v>0</v>
      </c>
      <c r="I51" s="427">
        <v>0</v>
      </c>
      <c r="J51" s="427">
        <v>0</v>
      </c>
      <c r="K51" s="427">
        <v>0</v>
      </c>
      <c r="L51" s="427">
        <v>0</v>
      </c>
      <c r="M51" s="427">
        <v>0</v>
      </c>
      <c r="N51" s="427">
        <v>0</v>
      </c>
      <c r="O51" s="427">
        <v>0</v>
      </c>
      <c r="P51" s="427">
        <v>0</v>
      </c>
      <c r="Q51" s="427">
        <v>0</v>
      </c>
      <c r="R51" s="427">
        <v>0</v>
      </c>
      <c r="S51" s="427">
        <v>0</v>
      </c>
      <c r="T51" s="427">
        <v>0</v>
      </c>
      <c r="U51" s="427">
        <v>0</v>
      </c>
      <c r="V51" s="427">
        <v>0</v>
      </c>
      <c r="W51" s="427">
        <v>0</v>
      </c>
      <c r="X51" s="427">
        <v>0</v>
      </c>
      <c r="Y51" s="427">
        <v>0</v>
      </c>
      <c r="Z51" s="427">
        <v>0</v>
      </c>
      <c r="AA51" s="427">
        <v>0</v>
      </c>
      <c r="AB51" s="427">
        <v>0</v>
      </c>
      <c r="AC51" s="427">
        <v>0</v>
      </c>
      <c r="AD51" s="427">
        <v>0</v>
      </c>
      <c r="AE51" s="427">
        <v>0</v>
      </c>
      <c r="AF51" s="427">
        <v>0</v>
      </c>
      <c r="AG51" s="427">
        <v>0</v>
      </c>
      <c r="AH51" s="427">
        <v>0</v>
      </c>
      <c r="AI51" s="427">
        <v>0</v>
      </c>
      <c r="AJ51" s="427">
        <v>0</v>
      </c>
      <c r="AK51" s="427">
        <v>0</v>
      </c>
      <c r="AL51" s="427">
        <v>0</v>
      </c>
      <c r="AM51" s="427">
        <v>0</v>
      </c>
      <c r="AN51" s="427">
        <v>0</v>
      </c>
      <c r="AO51" s="427">
        <v>0</v>
      </c>
      <c r="AP51" s="427">
        <v>0</v>
      </c>
      <c r="AQ51" s="427">
        <v>0</v>
      </c>
      <c r="AR51" s="427">
        <v>0</v>
      </c>
      <c r="AS51" s="427">
        <v>0</v>
      </c>
      <c r="AT51" s="427">
        <v>0</v>
      </c>
      <c r="AU51" s="427">
        <v>0</v>
      </c>
      <c r="AV51" s="427">
        <v>0</v>
      </c>
      <c r="AW51" s="427">
        <v>0</v>
      </c>
      <c r="AX51" s="427">
        <v>0</v>
      </c>
      <c r="AY51" s="427">
        <v>0</v>
      </c>
      <c r="AZ51" s="427">
        <v>0</v>
      </c>
      <c r="BA51" s="427">
        <v>0</v>
      </c>
      <c r="BB51" s="427">
        <v>0</v>
      </c>
      <c r="BC51" s="427">
        <v>0</v>
      </c>
      <c r="BD51" s="427">
        <v>0</v>
      </c>
      <c r="BE51" s="427">
        <v>0</v>
      </c>
      <c r="BF51" s="427">
        <v>0</v>
      </c>
      <c r="BG51" s="427">
        <v>0</v>
      </c>
      <c r="BH51" s="427">
        <v>0</v>
      </c>
      <c r="BI51" s="427">
        <v>0</v>
      </c>
      <c r="BJ51" s="427">
        <v>0</v>
      </c>
      <c r="BK51" s="427">
        <v>0</v>
      </c>
      <c r="BL51" s="427">
        <v>0</v>
      </c>
      <c r="BM51" s="427">
        <v>0</v>
      </c>
      <c r="BN51" s="427">
        <v>0</v>
      </c>
      <c r="BO51" s="427">
        <v>0</v>
      </c>
      <c r="BP51" s="427">
        <v>0</v>
      </c>
      <c r="BQ51" s="427">
        <v>0</v>
      </c>
      <c r="BR51" s="427">
        <v>0</v>
      </c>
      <c r="BS51" s="427">
        <v>0</v>
      </c>
      <c r="BT51" s="427">
        <v>0</v>
      </c>
      <c r="BU51" s="427">
        <v>0</v>
      </c>
      <c r="BV51" s="427">
        <v>0</v>
      </c>
      <c r="BW51" s="427">
        <v>0</v>
      </c>
      <c r="BX51" s="427">
        <v>0</v>
      </c>
      <c r="BY51" s="427">
        <v>0</v>
      </c>
      <c r="BZ51" s="427">
        <v>0</v>
      </c>
      <c r="CC51" s="21"/>
      <c r="CD51" s="437" t="s">
        <v>602</v>
      </c>
      <c r="CE51" s="433">
        <f t="shared" si="0"/>
        <v>0</v>
      </c>
      <c r="CF51" s="433">
        <f t="shared" si="1"/>
        <v>0</v>
      </c>
      <c r="CG51" s="433">
        <f t="shared" si="2"/>
        <v>0</v>
      </c>
      <c r="CH51" s="433">
        <f t="shared" si="3"/>
        <v>0</v>
      </c>
      <c r="CI51" s="433">
        <f t="shared" si="4"/>
        <v>0</v>
      </c>
      <c r="CJ51" s="433">
        <f t="shared" si="5"/>
        <v>0</v>
      </c>
      <c r="CK51" s="433">
        <f t="shared" si="6"/>
        <v>0</v>
      </c>
      <c r="CL51" s="433">
        <f t="shared" si="7"/>
        <v>0</v>
      </c>
      <c r="CM51" s="433">
        <f t="shared" si="8"/>
        <v>0</v>
      </c>
      <c r="CN51" s="433">
        <f t="shared" si="9"/>
        <v>0</v>
      </c>
      <c r="CO51" s="433">
        <f t="shared" si="10"/>
        <v>0</v>
      </c>
      <c r="CP51" s="433">
        <f t="shared" si="11"/>
        <v>0</v>
      </c>
      <c r="CQ51" s="433">
        <f t="shared" si="12"/>
        <v>0</v>
      </c>
      <c r="CR51" s="433">
        <f t="shared" si="13"/>
        <v>0</v>
      </c>
      <c r="CS51" s="433">
        <f t="shared" si="14"/>
        <v>0</v>
      </c>
      <c r="CT51" s="21"/>
    </row>
    <row r="52" spans="3:98" ht="24.75" customHeight="1" collapsed="1">
      <c r="C52" s="426" t="s">
        <v>593</v>
      </c>
      <c r="D52" s="427">
        <v>0</v>
      </c>
      <c r="E52" s="427">
        <v>0</v>
      </c>
      <c r="F52" s="427">
        <v>0</v>
      </c>
      <c r="G52" s="427">
        <v>0</v>
      </c>
      <c r="H52" s="427">
        <v>0</v>
      </c>
      <c r="I52" s="427">
        <v>0</v>
      </c>
      <c r="J52" s="427">
        <v>0</v>
      </c>
      <c r="K52" s="427">
        <v>0</v>
      </c>
      <c r="L52" s="427">
        <v>0</v>
      </c>
      <c r="M52" s="427">
        <v>0</v>
      </c>
      <c r="N52" s="427">
        <v>0</v>
      </c>
      <c r="O52" s="427">
        <v>0</v>
      </c>
      <c r="P52" s="427">
        <v>0</v>
      </c>
      <c r="Q52" s="427">
        <v>0</v>
      </c>
      <c r="R52" s="427">
        <v>0</v>
      </c>
      <c r="S52" s="427">
        <v>0</v>
      </c>
      <c r="T52" s="427">
        <v>0</v>
      </c>
      <c r="U52" s="427">
        <v>0</v>
      </c>
      <c r="V52" s="427">
        <v>0</v>
      </c>
      <c r="W52" s="427">
        <v>0</v>
      </c>
      <c r="X52" s="427">
        <v>0</v>
      </c>
      <c r="Y52" s="427">
        <v>0</v>
      </c>
      <c r="Z52" s="427">
        <v>0</v>
      </c>
      <c r="AA52" s="427">
        <v>0</v>
      </c>
      <c r="AB52" s="427">
        <v>0</v>
      </c>
      <c r="AC52" s="427">
        <v>0</v>
      </c>
      <c r="AD52" s="427">
        <v>0</v>
      </c>
      <c r="AE52" s="427">
        <v>0</v>
      </c>
      <c r="AF52" s="427">
        <v>0</v>
      </c>
      <c r="AG52" s="427">
        <v>0</v>
      </c>
      <c r="AH52" s="427">
        <v>0</v>
      </c>
      <c r="AI52" s="427">
        <v>0</v>
      </c>
      <c r="AJ52" s="427">
        <v>0</v>
      </c>
      <c r="AK52" s="427">
        <v>0</v>
      </c>
      <c r="AL52" s="427">
        <v>0</v>
      </c>
      <c r="AM52" s="427">
        <v>0</v>
      </c>
      <c r="AN52" s="427">
        <v>0</v>
      </c>
      <c r="AO52" s="427">
        <v>0</v>
      </c>
      <c r="AP52" s="427">
        <v>0</v>
      </c>
      <c r="AQ52" s="427">
        <v>0</v>
      </c>
      <c r="AR52" s="427">
        <v>0</v>
      </c>
      <c r="AS52" s="427">
        <v>0</v>
      </c>
      <c r="AT52" s="427">
        <v>0</v>
      </c>
      <c r="AU52" s="427">
        <v>0</v>
      </c>
      <c r="AV52" s="427">
        <v>0</v>
      </c>
      <c r="AW52" s="427">
        <v>0</v>
      </c>
      <c r="AX52" s="427">
        <v>0</v>
      </c>
      <c r="AY52" s="427">
        <v>0</v>
      </c>
      <c r="AZ52" s="427">
        <v>0</v>
      </c>
      <c r="BA52" s="427">
        <v>0</v>
      </c>
      <c r="BB52" s="427">
        <v>0</v>
      </c>
      <c r="BC52" s="427">
        <v>0</v>
      </c>
      <c r="BD52" s="427">
        <v>0</v>
      </c>
      <c r="BE52" s="427">
        <v>0</v>
      </c>
      <c r="BF52" s="427">
        <v>2.8010000000000002</v>
      </c>
      <c r="BG52" s="427">
        <v>4.7119999999999997</v>
      </c>
      <c r="BH52" s="427">
        <v>-8.2880000000000003</v>
      </c>
      <c r="BI52" s="427">
        <v>-16.423999999999999</v>
      </c>
      <c r="BJ52" s="427">
        <v>2.7789999999999999</v>
      </c>
      <c r="BK52" s="427">
        <v>-17.221</v>
      </c>
      <c r="BL52" s="427">
        <v>-47.695</v>
      </c>
      <c r="BM52" s="427">
        <v>-80.852999999999994</v>
      </c>
      <c r="BN52" s="427">
        <v>-19.222000000000001</v>
      </c>
      <c r="BO52" s="427">
        <v>-97.602000000000004</v>
      </c>
      <c r="BP52" s="427">
        <v>-245.37200000000001</v>
      </c>
      <c r="BQ52" s="427">
        <v>-11.007</v>
      </c>
      <c r="BR52" s="427">
        <v>109.74</v>
      </c>
      <c r="BS52" s="427">
        <v>40.78</v>
      </c>
      <c r="BT52" s="427">
        <v>-137.197</v>
      </c>
      <c r="BU52" s="427">
        <v>2.3159999999999998</v>
      </c>
      <c r="BV52" s="427">
        <v>-36.142000000000003</v>
      </c>
      <c r="BW52" s="427">
        <v>-13.381</v>
      </c>
      <c r="BX52" s="427">
        <v>-64.066999999999993</v>
      </c>
      <c r="BY52" s="427">
        <v>0</v>
      </c>
      <c r="BZ52" s="427">
        <v>0</v>
      </c>
      <c r="CC52" s="21"/>
      <c r="CD52" s="426" t="s">
        <v>593</v>
      </c>
      <c r="CE52" s="433">
        <f t="shared" si="0"/>
        <v>0</v>
      </c>
      <c r="CF52" s="433">
        <f t="shared" si="1"/>
        <v>0</v>
      </c>
      <c r="CG52" s="433">
        <f t="shared" si="2"/>
        <v>0</v>
      </c>
      <c r="CH52" s="433">
        <f t="shared" si="3"/>
        <v>0</v>
      </c>
      <c r="CI52" s="433">
        <f t="shared" si="4"/>
        <v>0</v>
      </c>
      <c r="CJ52" s="433">
        <f t="shared" si="5"/>
        <v>0</v>
      </c>
      <c r="CK52" s="433">
        <f t="shared" si="6"/>
        <v>0</v>
      </c>
      <c r="CL52" s="433">
        <f t="shared" si="7"/>
        <v>0</v>
      </c>
      <c r="CM52" s="433">
        <f t="shared" si="8"/>
        <v>0</v>
      </c>
      <c r="CN52" s="433">
        <f t="shared" si="9"/>
        <v>0</v>
      </c>
      <c r="CO52" s="433">
        <f t="shared" si="10"/>
        <v>2.8010000000000002</v>
      </c>
      <c r="CP52" s="433">
        <f t="shared" si="11"/>
        <v>-17.221</v>
      </c>
      <c r="CQ52" s="433">
        <f t="shared" si="12"/>
        <v>-245.37200000000001</v>
      </c>
      <c r="CR52" s="433">
        <f t="shared" si="13"/>
        <v>2.3159999999999998</v>
      </c>
      <c r="CS52" s="433">
        <f t="shared" si="14"/>
        <v>0</v>
      </c>
      <c r="CT52" s="21"/>
    </row>
    <row r="53" spans="3:98" ht="24.75" hidden="1" customHeight="1" outlineLevel="1">
      <c r="C53" s="437" t="s">
        <v>604</v>
      </c>
      <c r="D53" s="427">
        <v>0</v>
      </c>
      <c r="E53" s="427">
        <v>0</v>
      </c>
      <c r="F53" s="427">
        <v>0</v>
      </c>
      <c r="G53" s="427">
        <v>0</v>
      </c>
      <c r="H53" s="427">
        <v>0</v>
      </c>
      <c r="I53" s="427">
        <v>0</v>
      </c>
      <c r="J53" s="427">
        <v>0</v>
      </c>
      <c r="K53" s="427">
        <v>0</v>
      </c>
      <c r="L53" s="427">
        <v>0</v>
      </c>
      <c r="M53" s="427">
        <v>0</v>
      </c>
      <c r="N53" s="427">
        <v>0</v>
      </c>
      <c r="O53" s="427">
        <v>0</v>
      </c>
      <c r="P53" s="427">
        <v>0</v>
      </c>
      <c r="Q53" s="427">
        <v>0</v>
      </c>
      <c r="R53" s="427">
        <v>0</v>
      </c>
      <c r="S53" s="427">
        <v>0</v>
      </c>
      <c r="T53" s="427">
        <v>0</v>
      </c>
      <c r="U53" s="427">
        <v>0</v>
      </c>
      <c r="V53" s="427">
        <v>0</v>
      </c>
      <c r="W53" s="427">
        <v>0</v>
      </c>
      <c r="X53" s="427">
        <v>0</v>
      </c>
      <c r="Y53" s="427">
        <v>0</v>
      </c>
      <c r="Z53" s="427">
        <v>0</v>
      </c>
      <c r="AA53" s="427">
        <v>0</v>
      </c>
      <c r="AB53" s="427">
        <v>0</v>
      </c>
      <c r="AC53" s="427">
        <v>0</v>
      </c>
      <c r="AD53" s="427">
        <v>0</v>
      </c>
      <c r="AE53" s="427">
        <v>0</v>
      </c>
      <c r="AF53" s="427">
        <v>0</v>
      </c>
      <c r="AG53" s="427">
        <v>0</v>
      </c>
      <c r="AH53" s="427">
        <v>0</v>
      </c>
      <c r="AI53" s="427">
        <v>0</v>
      </c>
      <c r="AJ53" s="427">
        <v>0</v>
      </c>
      <c r="AK53" s="427">
        <v>0</v>
      </c>
      <c r="AL53" s="427">
        <v>0</v>
      </c>
      <c r="AM53" s="427">
        <v>0</v>
      </c>
      <c r="AN53" s="427">
        <v>0</v>
      </c>
      <c r="AO53" s="427">
        <v>0</v>
      </c>
      <c r="AP53" s="427">
        <v>0</v>
      </c>
      <c r="AQ53" s="427">
        <v>0</v>
      </c>
      <c r="AR53" s="427">
        <v>0</v>
      </c>
      <c r="AS53" s="427">
        <v>0</v>
      </c>
      <c r="AT53" s="427">
        <v>0</v>
      </c>
      <c r="AU53" s="427">
        <v>0</v>
      </c>
      <c r="AV53" s="427">
        <v>0</v>
      </c>
      <c r="AW53" s="427">
        <v>0</v>
      </c>
      <c r="AX53" s="427">
        <v>0</v>
      </c>
      <c r="AY53" s="427">
        <v>0</v>
      </c>
      <c r="AZ53" s="427">
        <v>0</v>
      </c>
      <c r="BA53" s="427">
        <v>0</v>
      </c>
      <c r="BB53" s="427">
        <v>0</v>
      </c>
      <c r="BC53" s="427">
        <v>0</v>
      </c>
      <c r="BD53" s="427">
        <v>0</v>
      </c>
      <c r="BE53" s="427">
        <v>0</v>
      </c>
      <c r="BF53" s="427">
        <v>9.0730000000000004</v>
      </c>
      <c r="BG53" s="427">
        <v>0</v>
      </c>
      <c r="BH53" s="427">
        <v>0</v>
      </c>
      <c r="BI53" s="427">
        <v>0</v>
      </c>
      <c r="BJ53" s="427">
        <v>0.35499999999999998</v>
      </c>
      <c r="BK53" s="427">
        <v>0.35499999999999998</v>
      </c>
      <c r="BL53" s="427">
        <v>1.0999999999999999E-2</v>
      </c>
      <c r="BM53" s="427">
        <v>0</v>
      </c>
      <c r="BN53" s="427">
        <v>0.35</v>
      </c>
      <c r="BO53" s="427">
        <v>1.0640000000000001</v>
      </c>
      <c r="BP53" s="427">
        <v>1.425</v>
      </c>
      <c r="BQ53" s="427">
        <v>0</v>
      </c>
      <c r="BR53" s="427">
        <v>0</v>
      </c>
      <c r="BS53" s="427">
        <v>0</v>
      </c>
      <c r="BT53" s="427">
        <v>-5.8000000000000003E-2</v>
      </c>
      <c r="BU53" s="427">
        <v>-5.8000000000000003E-2</v>
      </c>
      <c r="BV53" s="427">
        <v>8.4640000000000004</v>
      </c>
      <c r="BW53" s="427">
        <v>-0.73</v>
      </c>
      <c r="BX53" s="427">
        <v>-0.16700000000000001</v>
      </c>
      <c r="BY53" s="427">
        <v>0</v>
      </c>
      <c r="BZ53" s="427">
        <v>0</v>
      </c>
      <c r="CC53" s="21"/>
      <c r="CD53" s="437" t="s">
        <v>604</v>
      </c>
      <c r="CE53" s="433">
        <f t="shared" si="0"/>
        <v>0</v>
      </c>
      <c r="CF53" s="433">
        <f t="shared" si="1"/>
        <v>0</v>
      </c>
      <c r="CG53" s="433">
        <f t="shared" si="2"/>
        <v>0</v>
      </c>
      <c r="CH53" s="433">
        <f t="shared" si="3"/>
        <v>0</v>
      </c>
      <c r="CI53" s="433">
        <f t="shared" si="4"/>
        <v>0</v>
      </c>
      <c r="CJ53" s="433">
        <f t="shared" si="5"/>
        <v>0</v>
      </c>
      <c r="CK53" s="433">
        <f t="shared" si="6"/>
        <v>0</v>
      </c>
      <c r="CL53" s="433">
        <f t="shared" si="7"/>
        <v>0</v>
      </c>
      <c r="CM53" s="433">
        <f t="shared" si="8"/>
        <v>0</v>
      </c>
      <c r="CN53" s="433">
        <f t="shared" si="9"/>
        <v>0</v>
      </c>
      <c r="CO53" s="433">
        <f t="shared" si="10"/>
        <v>9.0730000000000004</v>
      </c>
      <c r="CP53" s="433">
        <f t="shared" si="11"/>
        <v>0.35499999999999998</v>
      </c>
      <c r="CQ53" s="433">
        <f t="shared" si="12"/>
        <v>1.425</v>
      </c>
      <c r="CR53" s="433">
        <f t="shared" si="13"/>
        <v>-5.8000000000000003E-2</v>
      </c>
      <c r="CS53" s="433">
        <f t="shared" si="14"/>
        <v>0</v>
      </c>
      <c r="CT53" s="21"/>
    </row>
    <row r="54" spans="3:98" ht="24.75" hidden="1" customHeight="1" outlineLevel="2">
      <c r="C54" s="438" t="s">
        <v>605</v>
      </c>
      <c r="D54" s="427">
        <v>0</v>
      </c>
      <c r="E54" s="427">
        <v>0</v>
      </c>
      <c r="F54" s="427">
        <v>0</v>
      </c>
      <c r="G54" s="427">
        <v>0</v>
      </c>
      <c r="H54" s="427">
        <v>0</v>
      </c>
      <c r="I54" s="427">
        <v>0</v>
      </c>
      <c r="J54" s="427">
        <v>0</v>
      </c>
      <c r="K54" s="427">
        <v>0</v>
      </c>
      <c r="L54" s="427">
        <v>0</v>
      </c>
      <c r="M54" s="427">
        <v>0</v>
      </c>
      <c r="N54" s="427">
        <v>0</v>
      </c>
      <c r="O54" s="427">
        <v>0</v>
      </c>
      <c r="P54" s="427">
        <v>0</v>
      </c>
      <c r="Q54" s="427">
        <v>0</v>
      </c>
      <c r="R54" s="427">
        <v>0</v>
      </c>
      <c r="S54" s="427">
        <v>0</v>
      </c>
      <c r="T54" s="427">
        <v>0</v>
      </c>
      <c r="U54" s="427">
        <v>0</v>
      </c>
      <c r="V54" s="427">
        <v>0</v>
      </c>
      <c r="W54" s="427">
        <v>0</v>
      </c>
      <c r="X54" s="427">
        <v>0</v>
      </c>
      <c r="Y54" s="427">
        <v>0</v>
      </c>
      <c r="Z54" s="427">
        <v>0</v>
      </c>
      <c r="AA54" s="427">
        <v>0</v>
      </c>
      <c r="AB54" s="427">
        <v>0</v>
      </c>
      <c r="AC54" s="427">
        <v>0</v>
      </c>
      <c r="AD54" s="427">
        <v>0</v>
      </c>
      <c r="AE54" s="427">
        <v>0</v>
      </c>
      <c r="AF54" s="427">
        <v>0</v>
      </c>
      <c r="AG54" s="427">
        <v>0</v>
      </c>
      <c r="AH54" s="427">
        <v>0</v>
      </c>
      <c r="AI54" s="427">
        <v>0</v>
      </c>
      <c r="AJ54" s="427">
        <v>0</v>
      </c>
      <c r="AK54" s="427">
        <v>0</v>
      </c>
      <c r="AL54" s="427">
        <v>0</v>
      </c>
      <c r="AM54" s="427">
        <v>0</v>
      </c>
      <c r="AN54" s="427">
        <v>0</v>
      </c>
      <c r="AO54" s="427">
        <v>0</v>
      </c>
      <c r="AP54" s="427">
        <v>0</v>
      </c>
      <c r="AQ54" s="427">
        <v>0</v>
      </c>
      <c r="AR54" s="427">
        <v>0</v>
      </c>
      <c r="AS54" s="427">
        <v>0</v>
      </c>
      <c r="AT54" s="427">
        <v>0</v>
      </c>
      <c r="AU54" s="427">
        <v>0</v>
      </c>
      <c r="AV54" s="427">
        <v>0</v>
      </c>
      <c r="AW54" s="427">
        <v>0</v>
      </c>
      <c r="AX54" s="427">
        <v>0</v>
      </c>
      <c r="AY54" s="427">
        <v>0</v>
      </c>
      <c r="AZ54" s="427">
        <v>0</v>
      </c>
      <c r="BA54" s="427">
        <v>0</v>
      </c>
      <c r="BB54" s="427">
        <v>0</v>
      </c>
      <c r="BC54" s="427">
        <v>0</v>
      </c>
      <c r="BD54" s="427">
        <v>0</v>
      </c>
      <c r="BE54" s="427">
        <v>0</v>
      </c>
      <c r="BF54" s="427">
        <v>9.0730000000000004</v>
      </c>
      <c r="BG54" s="427">
        <v>0</v>
      </c>
      <c r="BH54" s="427">
        <v>0</v>
      </c>
      <c r="BI54" s="427">
        <v>0</v>
      </c>
      <c r="BJ54" s="427">
        <v>0.35499999999999998</v>
      </c>
      <c r="BK54" s="427">
        <v>0.35499999999999998</v>
      </c>
      <c r="BL54" s="427">
        <v>1.0999999999999999E-2</v>
      </c>
      <c r="BM54" s="427">
        <v>0</v>
      </c>
      <c r="BN54" s="427">
        <v>0.35</v>
      </c>
      <c r="BO54" s="427">
        <v>1.0640000000000001</v>
      </c>
      <c r="BP54" s="427">
        <v>1.425</v>
      </c>
      <c r="BQ54" s="427">
        <v>0</v>
      </c>
      <c r="BR54" s="427">
        <v>0</v>
      </c>
      <c r="BS54" s="427">
        <v>0</v>
      </c>
      <c r="BT54" s="427">
        <v>-5.8000000000000003E-2</v>
      </c>
      <c r="BU54" s="427">
        <v>-5.8000000000000003E-2</v>
      </c>
      <c r="BV54" s="427">
        <v>8.4640000000000004</v>
      </c>
      <c r="BW54" s="427">
        <v>-0.73</v>
      </c>
      <c r="BX54" s="427">
        <v>-0.16700000000000001</v>
      </c>
      <c r="BY54" s="427">
        <v>0</v>
      </c>
      <c r="BZ54" s="427">
        <v>0</v>
      </c>
      <c r="CC54" s="21"/>
      <c r="CD54" s="438" t="s">
        <v>605</v>
      </c>
      <c r="CE54" s="433">
        <f t="shared" si="0"/>
        <v>0</v>
      </c>
      <c r="CF54" s="433">
        <f t="shared" si="1"/>
        <v>0</v>
      </c>
      <c r="CG54" s="433">
        <f t="shared" si="2"/>
        <v>0</v>
      </c>
      <c r="CH54" s="433">
        <f t="shared" si="3"/>
        <v>0</v>
      </c>
      <c r="CI54" s="433">
        <f t="shared" si="4"/>
        <v>0</v>
      </c>
      <c r="CJ54" s="433">
        <f t="shared" si="5"/>
        <v>0</v>
      </c>
      <c r="CK54" s="433">
        <f t="shared" si="6"/>
        <v>0</v>
      </c>
      <c r="CL54" s="433">
        <f t="shared" si="7"/>
        <v>0</v>
      </c>
      <c r="CM54" s="433">
        <f t="shared" si="8"/>
        <v>0</v>
      </c>
      <c r="CN54" s="433">
        <f t="shared" si="9"/>
        <v>0</v>
      </c>
      <c r="CO54" s="433">
        <f t="shared" si="10"/>
        <v>9.0730000000000004</v>
      </c>
      <c r="CP54" s="433">
        <f t="shared" si="11"/>
        <v>0.35499999999999998</v>
      </c>
      <c r="CQ54" s="433">
        <f t="shared" si="12"/>
        <v>1.425</v>
      </c>
      <c r="CR54" s="433">
        <f t="shared" si="13"/>
        <v>-5.8000000000000003E-2</v>
      </c>
      <c r="CS54" s="433">
        <f t="shared" si="14"/>
        <v>0</v>
      </c>
      <c r="CT54" s="21"/>
    </row>
    <row r="55" spans="3:98" ht="24.75" hidden="1" customHeight="1" outlineLevel="2" collapsed="1">
      <c r="C55" s="438" t="s">
        <v>606</v>
      </c>
      <c r="D55" s="427">
        <v>0</v>
      </c>
      <c r="E55" s="427">
        <v>0</v>
      </c>
      <c r="F55" s="427">
        <v>0</v>
      </c>
      <c r="G55" s="427">
        <v>0</v>
      </c>
      <c r="H55" s="427">
        <v>0</v>
      </c>
      <c r="I55" s="427">
        <v>0</v>
      </c>
      <c r="J55" s="427">
        <v>0</v>
      </c>
      <c r="K55" s="427">
        <v>0</v>
      </c>
      <c r="L55" s="427">
        <v>0</v>
      </c>
      <c r="M55" s="427">
        <v>0</v>
      </c>
      <c r="N55" s="427">
        <v>0</v>
      </c>
      <c r="O55" s="427">
        <v>0</v>
      </c>
      <c r="P55" s="427">
        <v>0</v>
      </c>
      <c r="Q55" s="427">
        <v>0</v>
      </c>
      <c r="R55" s="427">
        <v>0</v>
      </c>
      <c r="S55" s="427">
        <v>0</v>
      </c>
      <c r="T55" s="427">
        <v>0</v>
      </c>
      <c r="U55" s="427">
        <v>0</v>
      </c>
      <c r="V55" s="427">
        <v>0</v>
      </c>
      <c r="W55" s="427">
        <v>0</v>
      </c>
      <c r="X55" s="427">
        <v>0</v>
      </c>
      <c r="Y55" s="427">
        <v>0</v>
      </c>
      <c r="Z55" s="427">
        <v>0</v>
      </c>
      <c r="AA55" s="427">
        <v>0</v>
      </c>
      <c r="AB55" s="427">
        <v>0</v>
      </c>
      <c r="AC55" s="427">
        <v>0</v>
      </c>
      <c r="AD55" s="427">
        <v>0</v>
      </c>
      <c r="AE55" s="427">
        <v>0</v>
      </c>
      <c r="AF55" s="427">
        <v>0</v>
      </c>
      <c r="AG55" s="427">
        <v>0</v>
      </c>
      <c r="AH55" s="427">
        <v>0</v>
      </c>
      <c r="AI55" s="427">
        <v>0</v>
      </c>
      <c r="AJ55" s="427">
        <v>0</v>
      </c>
      <c r="AK55" s="427">
        <v>0</v>
      </c>
      <c r="AL55" s="427">
        <v>0</v>
      </c>
      <c r="AM55" s="427">
        <v>0</v>
      </c>
      <c r="AN55" s="427">
        <v>0</v>
      </c>
      <c r="AO55" s="427">
        <v>0</v>
      </c>
      <c r="AP55" s="427">
        <v>0</v>
      </c>
      <c r="AQ55" s="427">
        <v>0</v>
      </c>
      <c r="AR55" s="427">
        <v>0</v>
      </c>
      <c r="AS55" s="427">
        <v>0</v>
      </c>
      <c r="AT55" s="427">
        <v>0</v>
      </c>
      <c r="AU55" s="427">
        <v>0</v>
      </c>
      <c r="AV55" s="427">
        <v>0</v>
      </c>
      <c r="AW55" s="427">
        <v>0</v>
      </c>
      <c r="AX55" s="427">
        <v>0</v>
      </c>
      <c r="AY55" s="427">
        <v>0</v>
      </c>
      <c r="AZ55" s="427">
        <v>0</v>
      </c>
      <c r="BA55" s="427">
        <v>0</v>
      </c>
      <c r="BB55" s="427">
        <v>0</v>
      </c>
      <c r="BC55" s="427">
        <v>0</v>
      </c>
      <c r="BD55" s="427">
        <v>0</v>
      </c>
      <c r="BE55" s="427">
        <v>0</v>
      </c>
      <c r="BF55" s="427">
        <v>0</v>
      </c>
      <c r="BG55" s="427">
        <v>0</v>
      </c>
      <c r="BH55" s="427">
        <v>0</v>
      </c>
      <c r="BI55" s="427">
        <v>0</v>
      </c>
      <c r="BJ55" s="427">
        <v>0</v>
      </c>
      <c r="BK55" s="427">
        <v>0</v>
      </c>
      <c r="BL55" s="427">
        <v>0</v>
      </c>
      <c r="BM55" s="427">
        <v>0</v>
      </c>
      <c r="BN55" s="427">
        <v>0</v>
      </c>
      <c r="BO55" s="427">
        <v>0</v>
      </c>
      <c r="BP55" s="427">
        <v>0</v>
      </c>
      <c r="BQ55" s="427">
        <v>0</v>
      </c>
      <c r="BR55" s="427">
        <v>0</v>
      </c>
      <c r="BS55" s="427">
        <v>0</v>
      </c>
      <c r="BT55" s="427">
        <v>0</v>
      </c>
      <c r="BU55" s="427">
        <v>0</v>
      </c>
      <c r="BV55" s="427">
        <v>0</v>
      </c>
      <c r="BW55" s="427">
        <v>0</v>
      </c>
      <c r="BX55" s="427">
        <v>0</v>
      </c>
      <c r="BY55" s="427">
        <v>0</v>
      </c>
      <c r="BZ55" s="427">
        <v>0</v>
      </c>
      <c r="CC55" s="21"/>
      <c r="CD55" s="438" t="s">
        <v>606</v>
      </c>
      <c r="CE55" s="433">
        <f t="shared" si="0"/>
        <v>0</v>
      </c>
      <c r="CF55" s="433">
        <f t="shared" si="1"/>
        <v>0</v>
      </c>
      <c r="CG55" s="433">
        <f t="shared" si="2"/>
        <v>0</v>
      </c>
      <c r="CH55" s="433">
        <f t="shared" si="3"/>
        <v>0</v>
      </c>
      <c r="CI55" s="433">
        <f t="shared" si="4"/>
        <v>0</v>
      </c>
      <c r="CJ55" s="433">
        <f t="shared" si="5"/>
        <v>0</v>
      </c>
      <c r="CK55" s="433">
        <f t="shared" si="6"/>
        <v>0</v>
      </c>
      <c r="CL55" s="433">
        <f t="shared" si="7"/>
        <v>0</v>
      </c>
      <c r="CM55" s="433">
        <f t="shared" si="8"/>
        <v>0</v>
      </c>
      <c r="CN55" s="433">
        <f t="shared" si="9"/>
        <v>0</v>
      </c>
      <c r="CO55" s="433">
        <f t="shared" si="10"/>
        <v>0</v>
      </c>
      <c r="CP55" s="433">
        <f t="shared" si="11"/>
        <v>0</v>
      </c>
      <c r="CQ55" s="433">
        <f t="shared" si="12"/>
        <v>0</v>
      </c>
      <c r="CR55" s="433">
        <f t="shared" si="13"/>
        <v>0</v>
      </c>
      <c r="CS55" s="433">
        <f t="shared" si="14"/>
        <v>0</v>
      </c>
      <c r="CT55" s="21"/>
    </row>
    <row r="56" spans="3:98" ht="24.75" hidden="1" customHeight="1" outlineLevel="2">
      <c r="C56" s="438" t="s">
        <v>607</v>
      </c>
      <c r="D56" s="427">
        <v>0</v>
      </c>
      <c r="E56" s="427">
        <v>0</v>
      </c>
      <c r="F56" s="427">
        <v>0</v>
      </c>
      <c r="G56" s="427">
        <v>0</v>
      </c>
      <c r="H56" s="427">
        <v>0</v>
      </c>
      <c r="I56" s="427">
        <v>0</v>
      </c>
      <c r="J56" s="427">
        <v>0</v>
      </c>
      <c r="K56" s="427">
        <v>0</v>
      </c>
      <c r="L56" s="427">
        <v>0</v>
      </c>
      <c r="M56" s="427">
        <v>0</v>
      </c>
      <c r="N56" s="427">
        <v>0</v>
      </c>
      <c r="O56" s="427">
        <v>0</v>
      </c>
      <c r="P56" s="427">
        <v>0</v>
      </c>
      <c r="Q56" s="427">
        <v>0</v>
      </c>
      <c r="R56" s="427">
        <v>0</v>
      </c>
      <c r="S56" s="427">
        <v>0</v>
      </c>
      <c r="T56" s="427">
        <v>0</v>
      </c>
      <c r="U56" s="427">
        <v>0</v>
      </c>
      <c r="V56" s="427">
        <v>0</v>
      </c>
      <c r="W56" s="427">
        <v>0</v>
      </c>
      <c r="X56" s="427">
        <v>0</v>
      </c>
      <c r="Y56" s="427">
        <v>0</v>
      </c>
      <c r="Z56" s="427">
        <v>0</v>
      </c>
      <c r="AA56" s="427">
        <v>0</v>
      </c>
      <c r="AB56" s="427">
        <v>0</v>
      </c>
      <c r="AC56" s="427">
        <v>0</v>
      </c>
      <c r="AD56" s="427">
        <v>0</v>
      </c>
      <c r="AE56" s="427">
        <v>0</v>
      </c>
      <c r="AF56" s="427">
        <v>0</v>
      </c>
      <c r="AG56" s="427">
        <v>0</v>
      </c>
      <c r="AH56" s="427">
        <v>0</v>
      </c>
      <c r="AI56" s="427">
        <v>0</v>
      </c>
      <c r="AJ56" s="427">
        <v>0</v>
      </c>
      <c r="AK56" s="427">
        <v>0</v>
      </c>
      <c r="AL56" s="427">
        <v>0</v>
      </c>
      <c r="AM56" s="427">
        <v>0</v>
      </c>
      <c r="AN56" s="427">
        <v>0</v>
      </c>
      <c r="AO56" s="427">
        <v>0</v>
      </c>
      <c r="AP56" s="427">
        <v>0</v>
      </c>
      <c r="AQ56" s="427">
        <v>0</v>
      </c>
      <c r="AR56" s="427">
        <v>0</v>
      </c>
      <c r="AS56" s="427">
        <v>0</v>
      </c>
      <c r="AT56" s="427">
        <v>0</v>
      </c>
      <c r="AU56" s="427">
        <v>0</v>
      </c>
      <c r="AV56" s="427">
        <v>0</v>
      </c>
      <c r="AW56" s="427">
        <v>0</v>
      </c>
      <c r="AX56" s="427">
        <v>0</v>
      </c>
      <c r="AY56" s="427">
        <v>0</v>
      </c>
      <c r="AZ56" s="427">
        <v>0</v>
      </c>
      <c r="BA56" s="427">
        <v>0</v>
      </c>
      <c r="BB56" s="427">
        <v>0</v>
      </c>
      <c r="BC56" s="427">
        <v>0</v>
      </c>
      <c r="BD56" s="427">
        <v>0</v>
      </c>
      <c r="BE56" s="427">
        <v>0</v>
      </c>
      <c r="BF56" s="427">
        <v>0</v>
      </c>
      <c r="BG56" s="427">
        <v>0</v>
      </c>
      <c r="BH56" s="427">
        <v>0</v>
      </c>
      <c r="BI56" s="427">
        <v>0</v>
      </c>
      <c r="BJ56" s="427">
        <v>0</v>
      </c>
      <c r="BK56" s="427">
        <v>0</v>
      </c>
      <c r="BL56" s="427">
        <v>0</v>
      </c>
      <c r="BM56" s="427">
        <v>0</v>
      </c>
      <c r="BN56" s="427">
        <v>0</v>
      </c>
      <c r="BO56" s="427">
        <v>0</v>
      </c>
      <c r="BP56" s="427">
        <v>0</v>
      </c>
      <c r="BQ56" s="427">
        <v>0</v>
      </c>
      <c r="BR56" s="427">
        <v>0</v>
      </c>
      <c r="BS56" s="427">
        <v>0</v>
      </c>
      <c r="BT56" s="427">
        <v>0</v>
      </c>
      <c r="BU56" s="427">
        <v>0</v>
      </c>
      <c r="BV56" s="427">
        <v>0</v>
      </c>
      <c r="BW56" s="427">
        <v>0</v>
      </c>
      <c r="BX56" s="427">
        <v>0</v>
      </c>
      <c r="BY56" s="427">
        <v>0</v>
      </c>
      <c r="BZ56" s="427">
        <v>0</v>
      </c>
      <c r="CC56" s="21"/>
      <c r="CD56" s="438" t="s">
        <v>607</v>
      </c>
      <c r="CE56" s="433">
        <f t="shared" si="0"/>
        <v>0</v>
      </c>
      <c r="CF56" s="433">
        <f t="shared" si="1"/>
        <v>0</v>
      </c>
      <c r="CG56" s="433">
        <f t="shared" si="2"/>
        <v>0</v>
      </c>
      <c r="CH56" s="433">
        <f t="shared" si="3"/>
        <v>0</v>
      </c>
      <c r="CI56" s="433">
        <f t="shared" si="4"/>
        <v>0</v>
      </c>
      <c r="CJ56" s="433">
        <f t="shared" si="5"/>
        <v>0</v>
      </c>
      <c r="CK56" s="433">
        <f t="shared" si="6"/>
        <v>0</v>
      </c>
      <c r="CL56" s="433">
        <f t="shared" si="7"/>
        <v>0</v>
      </c>
      <c r="CM56" s="433">
        <f t="shared" si="8"/>
        <v>0</v>
      </c>
      <c r="CN56" s="433">
        <f t="shared" si="9"/>
        <v>0</v>
      </c>
      <c r="CO56" s="433">
        <f t="shared" si="10"/>
        <v>0</v>
      </c>
      <c r="CP56" s="433">
        <f t="shared" si="11"/>
        <v>0</v>
      </c>
      <c r="CQ56" s="433">
        <f t="shared" si="12"/>
        <v>0</v>
      </c>
      <c r="CR56" s="433">
        <f t="shared" si="13"/>
        <v>0</v>
      </c>
      <c r="CS56" s="433">
        <f t="shared" si="14"/>
        <v>0</v>
      </c>
      <c r="CT56" s="21"/>
    </row>
    <row r="57" spans="3:98" ht="24.75" hidden="1" customHeight="1" outlineLevel="1">
      <c r="C57" s="437" t="s">
        <v>608</v>
      </c>
      <c r="D57" s="427">
        <v>0</v>
      </c>
      <c r="E57" s="427">
        <v>0</v>
      </c>
      <c r="F57" s="427">
        <v>0</v>
      </c>
      <c r="G57" s="427">
        <v>0</v>
      </c>
      <c r="H57" s="427">
        <v>0</v>
      </c>
      <c r="I57" s="427">
        <v>0</v>
      </c>
      <c r="J57" s="427">
        <v>0</v>
      </c>
      <c r="K57" s="427">
        <v>0</v>
      </c>
      <c r="L57" s="427">
        <v>0</v>
      </c>
      <c r="M57" s="427">
        <v>0</v>
      </c>
      <c r="N57" s="427">
        <v>0</v>
      </c>
      <c r="O57" s="427">
        <v>0</v>
      </c>
      <c r="P57" s="427">
        <v>0</v>
      </c>
      <c r="Q57" s="427">
        <v>0</v>
      </c>
      <c r="R57" s="427">
        <v>0</v>
      </c>
      <c r="S57" s="427">
        <v>0</v>
      </c>
      <c r="T57" s="427">
        <v>0</v>
      </c>
      <c r="U57" s="427">
        <v>0</v>
      </c>
      <c r="V57" s="427">
        <v>0</v>
      </c>
      <c r="W57" s="427">
        <v>0</v>
      </c>
      <c r="X57" s="427">
        <v>0</v>
      </c>
      <c r="Y57" s="427">
        <v>0</v>
      </c>
      <c r="Z57" s="427">
        <v>0</v>
      </c>
      <c r="AA57" s="427">
        <v>0</v>
      </c>
      <c r="AB57" s="427">
        <v>0</v>
      </c>
      <c r="AC57" s="427">
        <v>0</v>
      </c>
      <c r="AD57" s="427">
        <v>0</v>
      </c>
      <c r="AE57" s="427">
        <v>0</v>
      </c>
      <c r="AF57" s="427">
        <v>0</v>
      </c>
      <c r="AG57" s="427">
        <v>0</v>
      </c>
      <c r="AH57" s="427">
        <v>0</v>
      </c>
      <c r="AI57" s="427">
        <v>0</v>
      </c>
      <c r="AJ57" s="427">
        <v>0</v>
      </c>
      <c r="AK57" s="427">
        <v>0</v>
      </c>
      <c r="AL57" s="427">
        <v>0</v>
      </c>
      <c r="AM57" s="427">
        <v>0</v>
      </c>
      <c r="AN57" s="427">
        <v>0</v>
      </c>
      <c r="AO57" s="427">
        <v>0</v>
      </c>
      <c r="AP57" s="427">
        <v>0</v>
      </c>
      <c r="AQ57" s="427">
        <v>0</v>
      </c>
      <c r="AR57" s="427">
        <v>0</v>
      </c>
      <c r="AS57" s="427">
        <v>0</v>
      </c>
      <c r="AT57" s="427">
        <v>0</v>
      </c>
      <c r="AU57" s="427">
        <v>0</v>
      </c>
      <c r="AV57" s="427">
        <v>0</v>
      </c>
      <c r="AW57" s="427">
        <v>0</v>
      </c>
      <c r="AX57" s="427">
        <v>0</v>
      </c>
      <c r="AY57" s="427">
        <v>0</v>
      </c>
      <c r="AZ57" s="427">
        <v>0</v>
      </c>
      <c r="BA57" s="427">
        <v>0</v>
      </c>
      <c r="BB57" s="427">
        <v>0</v>
      </c>
      <c r="BC57" s="427">
        <v>0</v>
      </c>
      <c r="BD57" s="427">
        <v>0</v>
      </c>
      <c r="BE57" s="427">
        <v>0</v>
      </c>
      <c r="BF57" s="427">
        <v>0</v>
      </c>
      <c r="BG57" s="427">
        <v>0</v>
      </c>
      <c r="BH57" s="427">
        <v>0</v>
      </c>
      <c r="BI57" s="427">
        <v>0</v>
      </c>
      <c r="BJ57" s="427">
        <v>0</v>
      </c>
      <c r="BK57" s="427">
        <v>0</v>
      </c>
      <c r="BL57" s="427">
        <v>0</v>
      </c>
      <c r="BM57" s="427">
        <v>0</v>
      </c>
      <c r="BN57" s="427">
        <v>0</v>
      </c>
      <c r="BO57" s="427">
        <v>0</v>
      </c>
      <c r="BP57" s="427">
        <v>0</v>
      </c>
      <c r="BQ57" s="427">
        <v>0</v>
      </c>
      <c r="BR57" s="427">
        <v>0</v>
      </c>
      <c r="BS57" s="427">
        <v>0</v>
      </c>
      <c r="BT57" s="427">
        <v>0</v>
      </c>
      <c r="BU57" s="427">
        <v>0</v>
      </c>
      <c r="BV57" s="427">
        <v>0</v>
      </c>
      <c r="BW57" s="427">
        <v>0</v>
      </c>
      <c r="BX57" s="427">
        <v>0</v>
      </c>
      <c r="BY57" s="427">
        <v>0</v>
      </c>
      <c r="BZ57" s="427">
        <v>0</v>
      </c>
      <c r="CC57" s="21"/>
      <c r="CD57" s="437" t="s">
        <v>608</v>
      </c>
      <c r="CE57" s="433">
        <f t="shared" si="0"/>
        <v>0</v>
      </c>
      <c r="CF57" s="433">
        <f t="shared" si="1"/>
        <v>0</v>
      </c>
      <c r="CG57" s="433">
        <f t="shared" si="2"/>
        <v>0</v>
      </c>
      <c r="CH57" s="433">
        <f t="shared" si="3"/>
        <v>0</v>
      </c>
      <c r="CI57" s="433">
        <f t="shared" si="4"/>
        <v>0</v>
      </c>
      <c r="CJ57" s="433">
        <f t="shared" si="5"/>
        <v>0</v>
      </c>
      <c r="CK57" s="433">
        <f t="shared" si="6"/>
        <v>0</v>
      </c>
      <c r="CL57" s="433">
        <f t="shared" si="7"/>
        <v>0</v>
      </c>
      <c r="CM57" s="433">
        <f t="shared" si="8"/>
        <v>0</v>
      </c>
      <c r="CN57" s="433">
        <f t="shared" si="9"/>
        <v>0</v>
      </c>
      <c r="CO57" s="433">
        <f t="shared" si="10"/>
        <v>0</v>
      </c>
      <c r="CP57" s="433">
        <f t="shared" si="11"/>
        <v>0</v>
      </c>
      <c r="CQ57" s="433">
        <f t="shared" si="12"/>
        <v>0</v>
      </c>
      <c r="CR57" s="433">
        <f t="shared" si="13"/>
        <v>0</v>
      </c>
      <c r="CS57" s="433">
        <f t="shared" si="14"/>
        <v>0</v>
      </c>
      <c r="CT57" s="21"/>
    </row>
    <row r="58" spans="3:98" ht="24.75" hidden="1" customHeight="1" outlineLevel="1">
      <c r="C58" s="437" t="s">
        <v>609</v>
      </c>
      <c r="D58" s="427">
        <v>0</v>
      </c>
      <c r="E58" s="427">
        <v>0</v>
      </c>
      <c r="F58" s="427">
        <v>0</v>
      </c>
      <c r="G58" s="427">
        <v>0</v>
      </c>
      <c r="H58" s="427">
        <v>0</v>
      </c>
      <c r="I58" s="427">
        <v>0</v>
      </c>
      <c r="J58" s="427">
        <v>0</v>
      </c>
      <c r="K58" s="427">
        <v>0</v>
      </c>
      <c r="L58" s="427">
        <v>0</v>
      </c>
      <c r="M58" s="427">
        <v>0</v>
      </c>
      <c r="N58" s="427">
        <v>0</v>
      </c>
      <c r="O58" s="427">
        <v>0</v>
      </c>
      <c r="P58" s="427">
        <v>0</v>
      </c>
      <c r="Q58" s="427">
        <v>0</v>
      </c>
      <c r="R58" s="427">
        <v>0</v>
      </c>
      <c r="S58" s="427">
        <v>0</v>
      </c>
      <c r="T58" s="427">
        <v>0</v>
      </c>
      <c r="U58" s="427">
        <v>0</v>
      </c>
      <c r="V58" s="427">
        <v>0</v>
      </c>
      <c r="W58" s="427">
        <v>0</v>
      </c>
      <c r="X58" s="427">
        <v>0</v>
      </c>
      <c r="Y58" s="427">
        <v>0</v>
      </c>
      <c r="Z58" s="427">
        <v>0</v>
      </c>
      <c r="AA58" s="427">
        <v>0</v>
      </c>
      <c r="AB58" s="427">
        <v>0</v>
      </c>
      <c r="AC58" s="427">
        <v>0</v>
      </c>
      <c r="AD58" s="427">
        <v>0</v>
      </c>
      <c r="AE58" s="427">
        <v>0</v>
      </c>
      <c r="AF58" s="427">
        <v>0</v>
      </c>
      <c r="AG58" s="427">
        <v>0</v>
      </c>
      <c r="AH58" s="427">
        <v>0</v>
      </c>
      <c r="AI58" s="427">
        <v>0</v>
      </c>
      <c r="AJ58" s="427">
        <v>0</v>
      </c>
      <c r="AK58" s="427">
        <v>0</v>
      </c>
      <c r="AL58" s="427">
        <v>0</v>
      </c>
      <c r="AM58" s="427">
        <v>0</v>
      </c>
      <c r="AN58" s="427">
        <v>0</v>
      </c>
      <c r="AO58" s="427">
        <v>0</v>
      </c>
      <c r="AP58" s="427">
        <v>0</v>
      </c>
      <c r="AQ58" s="427">
        <v>0</v>
      </c>
      <c r="AR58" s="427">
        <v>0</v>
      </c>
      <c r="AS58" s="427">
        <v>0</v>
      </c>
      <c r="AT58" s="427">
        <v>0</v>
      </c>
      <c r="AU58" s="427">
        <v>0</v>
      </c>
      <c r="AV58" s="427">
        <v>0</v>
      </c>
      <c r="AW58" s="427">
        <v>0</v>
      </c>
      <c r="AX58" s="427">
        <v>0</v>
      </c>
      <c r="AY58" s="427">
        <v>0</v>
      </c>
      <c r="AZ58" s="427">
        <v>0</v>
      </c>
      <c r="BA58" s="427">
        <v>0</v>
      </c>
      <c r="BB58" s="427">
        <v>0</v>
      </c>
      <c r="BC58" s="427">
        <v>0</v>
      </c>
      <c r="BD58" s="427">
        <v>0</v>
      </c>
      <c r="BE58" s="427">
        <v>0</v>
      </c>
      <c r="BF58" s="427">
        <v>0</v>
      </c>
      <c r="BG58" s="427">
        <v>0</v>
      </c>
      <c r="BH58" s="427">
        <v>0</v>
      </c>
      <c r="BI58" s="427">
        <v>0</v>
      </c>
      <c r="BJ58" s="427">
        <v>0</v>
      </c>
      <c r="BK58" s="427">
        <v>0</v>
      </c>
      <c r="BL58" s="427">
        <v>0</v>
      </c>
      <c r="BM58" s="427">
        <v>0</v>
      </c>
      <c r="BN58" s="427">
        <v>0</v>
      </c>
      <c r="BO58" s="427">
        <v>0</v>
      </c>
      <c r="BP58" s="427">
        <v>0</v>
      </c>
      <c r="BQ58" s="427">
        <v>0</v>
      </c>
      <c r="BR58" s="427">
        <v>0</v>
      </c>
      <c r="BS58" s="427">
        <v>0</v>
      </c>
      <c r="BT58" s="427">
        <v>0</v>
      </c>
      <c r="BU58" s="427">
        <v>0</v>
      </c>
      <c r="BV58" s="427">
        <v>0</v>
      </c>
      <c r="BW58" s="427">
        <v>0</v>
      </c>
      <c r="BX58" s="427">
        <v>0</v>
      </c>
      <c r="BY58" s="427">
        <v>0</v>
      </c>
      <c r="BZ58" s="427">
        <v>0</v>
      </c>
      <c r="CC58" s="21"/>
      <c r="CD58" s="437" t="s">
        <v>609</v>
      </c>
      <c r="CE58" s="433">
        <f t="shared" si="0"/>
        <v>0</v>
      </c>
      <c r="CF58" s="433">
        <f t="shared" si="1"/>
        <v>0</v>
      </c>
      <c r="CG58" s="433">
        <f t="shared" si="2"/>
        <v>0</v>
      </c>
      <c r="CH58" s="433">
        <f t="shared" si="3"/>
        <v>0</v>
      </c>
      <c r="CI58" s="433">
        <f t="shared" si="4"/>
        <v>0</v>
      </c>
      <c r="CJ58" s="433">
        <f t="shared" si="5"/>
        <v>0</v>
      </c>
      <c r="CK58" s="433">
        <f t="shared" si="6"/>
        <v>0</v>
      </c>
      <c r="CL58" s="433">
        <f t="shared" si="7"/>
        <v>0</v>
      </c>
      <c r="CM58" s="433">
        <f t="shared" si="8"/>
        <v>0</v>
      </c>
      <c r="CN58" s="433">
        <f t="shared" si="9"/>
        <v>0</v>
      </c>
      <c r="CO58" s="433">
        <f t="shared" si="10"/>
        <v>0</v>
      </c>
      <c r="CP58" s="433">
        <f t="shared" si="11"/>
        <v>0</v>
      </c>
      <c r="CQ58" s="433">
        <f t="shared" si="12"/>
        <v>0</v>
      </c>
      <c r="CR58" s="433">
        <f t="shared" si="13"/>
        <v>0</v>
      </c>
      <c r="CS58" s="433">
        <f t="shared" si="14"/>
        <v>0</v>
      </c>
      <c r="CT58" s="21"/>
    </row>
    <row r="59" spans="3:98" ht="24.75" hidden="1" customHeight="1" outlineLevel="1">
      <c r="C59" s="437" t="s">
        <v>610</v>
      </c>
      <c r="D59" s="427">
        <v>0</v>
      </c>
      <c r="E59" s="427">
        <v>0</v>
      </c>
      <c r="F59" s="427">
        <v>0</v>
      </c>
      <c r="G59" s="427">
        <v>0</v>
      </c>
      <c r="H59" s="427">
        <v>0</v>
      </c>
      <c r="I59" s="427">
        <v>0</v>
      </c>
      <c r="J59" s="427">
        <v>0</v>
      </c>
      <c r="K59" s="427">
        <v>0</v>
      </c>
      <c r="L59" s="427">
        <v>0</v>
      </c>
      <c r="M59" s="427">
        <v>0</v>
      </c>
      <c r="N59" s="427">
        <v>0</v>
      </c>
      <c r="O59" s="427">
        <v>0</v>
      </c>
      <c r="P59" s="427">
        <v>0</v>
      </c>
      <c r="Q59" s="427">
        <v>0</v>
      </c>
      <c r="R59" s="427">
        <v>0</v>
      </c>
      <c r="S59" s="427">
        <v>0</v>
      </c>
      <c r="T59" s="427">
        <v>0</v>
      </c>
      <c r="U59" s="427">
        <v>0</v>
      </c>
      <c r="V59" s="427">
        <v>0</v>
      </c>
      <c r="W59" s="427">
        <v>0</v>
      </c>
      <c r="X59" s="427">
        <v>0</v>
      </c>
      <c r="Y59" s="427">
        <v>0</v>
      </c>
      <c r="Z59" s="427">
        <v>0</v>
      </c>
      <c r="AA59" s="427">
        <v>0</v>
      </c>
      <c r="AB59" s="427">
        <v>0</v>
      </c>
      <c r="AC59" s="427">
        <v>0</v>
      </c>
      <c r="AD59" s="427">
        <v>0</v>
      </c>
      <c r="AE59" s="427">
        <v>0</v>
      </c>
      <c r="AF59" s="427">
        <v>0</v>
      </c>
      <c r="AG59" s="427">
        <v>0</v>
      </c>
      <c r="AH59" s="427">
        <v>0</v>
      </c>
      <c r="AI59" s="427">
        <v>0</v>
      </c>
      <c r="AJ59" s="427">
        <v>0</v>
      </c>
      <c r="AK59" s="427">
        <v>0</v>
      </c>
      <c r="AL59" s="427">
        <v>0</v>
      </c>
      <c r="AM59" s="427">
        <v>0</v>
      </c>
      <c r="AN59" s="427">
        <v>0</v>
      </c>
      <c r="AO59" s="427">
        <v>0</v>
      </c>
      <c r="AP59" s="427">
        <v>0</v>
      </c>
      <c r="AQ59" s="427">
        <v>0</v>
      </c>
      <c r="AR59" s="427">
        <v>0</v>
      </c>
      <c r="AS59" s="427">
        <v>0</v>
      </c>
      <c r="AT59" s="427">
        <v>0</v>
      </c>
      <c r="AU59" s="427">
        <v>0</v>
      </c>
      <c r="AV59" s="427">
        <v>0</v>
      </c>
      <c r="AW59" s="427">
        <v>0</v>
      </c>
      <c r="AX59" s="427">
        <v>0</v>
      </c>
      <c r="AY59" s="427">
        <v>0</v>
      </c>
      <c r="AZ59" s="427">
        <v>0</v>
      </c>
      <c r="BA59" s="427">
        <v>0</v>
      </c>
      <c r="BB59" s="427">
        <v>0</v>
      </c>
      <c r="BC59" s="427">
        <v>0</v>
      </c>
      <c r="BD59" s="427">
        <v>0</v>
      </c>
      <c r="BE59" s="427">
        <v>0</v>
      </c>
      <c r="BF59" s="427">
        <v>2.2519999999999998</v>
      </c>
      <c r="BG59" s="427">
        <v>0.26800000000000002</v>
      </c>
      <c r="BH59" s="427">
        <v>0</v>
      </c>
      <c r="BI59" s="427">
        <v>8.0839999999999996</v>
      </c>
      <c r="BJ59" s="427">
        <v>3.0000000000000001E-3</v>
      </c>
      <c r="BK59" s="427">
        <v>8.3550000000000004</v>
      </c>
      <c r="BL59" s="427">
        <v>0.84099999999999997</v>
      </c>
      <c r="BM59" s="427">
        <v>174.79499999999999</v>
      </c>
      <c r="BN59" s="427">
        <v>58.387</v>
      </c>
      <c r="BO59" s="427">
        <v>95.629000000000005</v>
      </c>
      <c r="BP59" s="427">
        <v>329.65199999999999</v>
      </c>
      <c r="BQ59" s="427">
        <v>229.12899999999999</v>
      </c>
      <c r="BR59" s="427">
        <v>511.26799999999997</v>
      </c>
      <c r="BS59" s="427">
        <v>28.617000000000001</v>
      </c>
      <c r="BT59" s="427">
        <v>116.206</v>
      </c>
      <c r="BU59" s="427">
        <v>885.22</v>
      </c>
      <c r="BV59" s="427">
        <v>39.47</v>
      </c>
      <c r="BW59" s="427">
        <v>31.202000000000002</v>
      </c>
      <c r="BX59" s="427">
        <v>25.61</v>
      </c>
      <c r="BY59" s="427">
        <v>0</v>
      </c>
      <c r="BZ59" s="427">
        <v>0</v>
      </c>
      <c r="CC59" s="21"/>
      <c r="CD59" s="437" t="s">
        <v>610</v>
      </c>
      <c r="CE59" s="433">
        <f t="shared" si="0"/>
        <v>0</v>
      </c>
      <c r="CF59" s="433">
        <f t="shared" si="1"/>
        <v>0</v>
      </c>
      <c r="CG59" s="433">
        <f t="shared" si="2"/>
        <v>0</v>
      </c>
      <c r="CH59" s="433">
        <f t="shared" si="3"/>
        <v>0</v>
      </c>
      <c r="CI59" s="433">
        <f t="shared" si="4"/>
        <v>0</v>
      </c>
      <c r="CJ59" s="433">
        <f t="shared" si="5"/>
        <v>0</v>
      </c>
      <c r="CK59" s="433">
        <f t="shared" si="6"/>
        <v>0</v>
      </c>
      <c r="CL59" s="433">
        <f t="shared" si="7"/>
        <v>0</v>
      </c>
      <c r="CM59" s="433">
        <f t="shared" si="8"/>
        <v>0</v>
      </c>
      <c r="CN59" s="433">
        <f t="shared" si="9"/>
        <v>0</v>
      </c>
      <c r="CO59" s="433">
        <f t="shared" si="10"/>
        <v>2.2519999999999998</v>
      </c>
      <c r="CP59" s="433">
        <f t="shared" si="11"/>
        <v>8.3550000000000004</v>
      </c>
      <c r="CQ59" s="433">
        <f t="shared" si="12"/>
        <v>329.65199999999999</v>
      </c>
      <c r="CR59" s="433">
        <f t="shared" si="13"/>
        <v>885.22</v>
      </c>
      <c r="CS59" s="433">
        <f t="shared" si="14"/>
        <v>0</v>
      </c>
      <c r="CT59" s="21"/>
    </row>
    <row r="60" spans="3:98" ht="24.75" hidden="1" customHeight="1" outlineLevel="1" collapsed="1">
      <c r="C60" s="437" t="s">
        <v>611</v>
      </c>
      <c r="D60" s="427">
        <v>0</v>
      </c>
      <c r="E60" s="427">
        <v>0</v>
      </c>
      <c r="F60" s="427">
        <v>0</v>
      </c>
      <c r="G60" s="427">
        <v>0</v>
      </c>
      <c r="H60" s="427">
        <v>0</v>
      </c>
      <c r="I60" s="427">
        <v>0</v>
      </c>
      <c r="J60" s="427">
        <v>0</v>
      </c>
      <c r="K60" s="427">
        <v>0</v>
      </c>
      <c r="L60" s="427">
        <v>0</v>
      </c>
      <c r="M60" s="427">
        <v>0</v>
      </c>
      <c r="N60" s="427">
        <v>0</v>
      </c>
      <c r="O60" s="427">
        <v>0</v>
      </c>
      <c r="P60" s="427">
        <v>0</v>
      </c>
      <c r="Q60" s="427">
        <v>0</v>
      </c>
      <c r="R60" s="427">
        <v>0</v>
      </c>
      <c r="S60" s="427">
        <v>0</v>
      </c>
      <c r="T60" s="427">
        <v>0</v>
      </c>
      <c r="U60" s="427">
        <v>0</v>
      </c>
      <c r="V60" s="427">
        <v>0</v>
      </c>
      <c r="W60" s="427">
        <v>0</v>
      </c>
      <c r="X60" s="427">
        <v>0</v>
      </c>
      <c r="Y60" s="427">
        <v>0</v>
      </c>
      <c r="Z60" s="427">
        <v>0</v>
      </c>
      <c r="AA60" s="427">
        <v>0</v>
      </c>
      <c r="AB60" s="427">
        <v>0</v>
      </c>
      <c r="AC60" s="427">
        <v>0</v>
      </c>
      <c r="AD60" s="427">
        <v>0</v>
      </c>
      <c r="AE60" s="427">
        <v>0</v>
      </c>
      <c r="AF60" s="427">
        <v>0</v>
      </c>
      <c r="AG60" s="427">
        <v>0</v>
      </c>
      <c r="AH60" s="427">
        <v>0</v>
      </c>
      <c r="AI60" s="427">
        <v>0</v>
      </c>
      <c r="AJ60" s="427">
        <v>0</v>
      </c>
      <c r="AK60" s="427">
        <v>0</v>
      </c>
      <c r="AL60" s="427">
        <v>0</v>
      </c>
      <c r="AM60" s="427">
        <v>0</v>
      </c>
      <c r="AN60" s="427">
        <v>0</v>
      </c>
      <c r="AO60" s="427">
        <v>0</v>
      </c>
      <c r="AP60" s="427">
        <v>0</v>
      </c>
      <c r="AQ60" s="427">
        <v>0</v>
      </c>
      <c r="AR60" s="427">
        <v>0</v>
      </c>
      <c r="AS60" s="427">
        <v>0</v>
      </c>
      <c r="AT60" s="427">
        <v>0</v>
      </c>
      <c r="AU60" s="427">
        <v>0</v>
      </c>
      <c r="AV60" s="427">
        <v>0</v>
      </c>
      <c r="AW60" s="427">
        <v>0</v>
      </c>
      <c r="AX60" s="427">
        <v>0</v>
      </c>
      <c r="AY60" s="427">
        <v>0</v>
      </c>
      <c r="AZ60" s="427">
        <v>0</v>
      </c>
      <c r="BA60" s="427">
        <v>0</v>
      </c>
      <c r="BB60" s="427">
        <v>0</v>
      </c>
      <c r="BC60" s="427">
        <v>0</v>
      </c>
      <c r="BD60" s="427">
        <v>0</v>
      </c>
      <c r="BE60" s="427">
        <v>0</v>
      </c>
      <c r="BF60" s="427">
        <v>0</v>
      </c>
      <c r="BG60" s="427">
        <v>0</v>
      </c>
      <c r="BH60" s="427">
        <v>0</v>
      </c>
      <c r="BI60" s="427">
        <v>0</v>
      </c>
      <c r="BJ60" s="427">
        <v>0</v>
      </c>
      <c r="BK60" s="427">
        <v>0</v>
      </c>
      <c r="BL60" s="427">
        <v>0</v>
      </c>
      <c r="BM60" s="427">
        <v>0</v>
      </c>
      <c r="BN60" s="427">
        <v>0</v>
      </c>
      <c r="BO60" s="427">
        <v>0</v>
      </c>
      <c r="BP60" s="427">
        <v>0</v>
      </c>
      <c r="BQ60" s="427">
        <v>0</v>
      </c>
      <c r="BR60" s="427">
        <v>0</v>
      </c>
      <c r="BS60" s="427">
        <v>0</v>
      </c>
      <c r="BT60" s="427">
        <v>0</v>
      </c>
      <c r="BU60" s="427">
        <v>0</v>
      </c>
      <c r="BV60" s="427">
        <v>0</v>
      </c>
      <c r="BW60" s="427">
        <v>0</v>
      </c>
      <c r="BX60" s="427">
        <v>-81.590999999999994</v>
      </c>
      <c r="BY60" s="427">
        <v>0</v>
      </c>
      <c r="BZ60" s="427">
        <v>0</v>
      </c>
      <c r="CC60" s="21"/>
      <c r="CD60" s="437" t="s">
        <v>611</v>
      </c>
      <c r="CE60" s="433">
        <f t="shared" si="0"/>
        <v>0</v>
      </c>
      <c r="CF60" s="433">
        <f t="shared" si="1"/>
        <v>0</v>
      </c>
      <c r="CG60" s="433">
        <f t="shared" si="2"/>
        <v>0</v>
      </c>
      <c r="CH60" s="433">
        <f t="shared" si="3"/>
        <v>0</v>
      </c>
      <c r="CI60" s="433">
        <f t="shared" si="4"/>
        <v>0</v>
      </c>
      <c r="CJ60" s="433">
        <f t="shared" si="5"/>
        <v>0</v>
      </c>
      <c r="CK60" s="433">
        <f t="shared" si="6"/>
        <v>0</v>
      </c>
      <c r="CL60" s="433">
        <f t="shared" si="7"/>
        <v>0</v>
      </c>
      <c r="CM60" s="433">
        <f t="shared" si="8"/>
        <v>0</v>
      </c>
      <c r="CN60" s="433">
        <f t="shared" si="9"/>
        <v>0</v>
      </c>
      <c r="CO60" s="433">
        <f t="shared" si="10"/>
        <v>0</v>
      </c>
      <c r="CP60" s="433">
        <f t="shared" si="11"/>
        <v>0</v>
      </c>
      <c r="CQ60" s="433">
        <f t="shared" si="12"/>
        <v>0</v>
      </c>
      <c r="CR60" s="433">
        <f t="shared" si="13"/>
        <v>0</v>
      </c>
      <c r="CS60" s="433">
        <f t="shared" si="14"/>
        <v>0</v>
      </c>
      <c r="CT60" s="21"/>
    </row>
    <row r="61" spans="3:98" ht="24.75" hidden="1" customHeight="1" outlineLevel="1">
      <c r="C61" s="437" t="s">
        <v>612</v>
      </c>
      <c r="D61" s="427">
        <v>0</v>
      </c>
      <c r="E61" s="427">
        <v>0</v>
      </c>
      <c r="F61" s="427">
        <v>0</v>
      </c>
      <c r="G61" s="427">
        <v>0</v>
      </c>
      <c r="H61" s="427">
        <v>0</v>
      </c>
      <c r="I61" s="427">
        <v>0</v>
      </c>
      <c r="J61" s="427">
        <v>0</v>
      </c>
      <c r="K61" s="427">
        <v>0</v>
      </c>
      <c r="L61" s="427">
        <v>0</v>
      </c>
      <c r="M61" s="427">
        <v>0</v>
      </c>
      <c r="N61" s="427">
        <v>0</v>
      </c>
      <c r="O61" s="427">
        <v>0</v>
      </c>
      <c r="P61" s="427">
        <v>0</v>
      </c>
      <c r="Q61" s="427">
        <v>0</v>
      </c>
      <c r="R61" s="427">
        <v>0</v>
      </c>
      <c r="S61" s="427">
        <v>0</v>
      </c>
      <c r="T61" s="427">
        <v>0</v>
      </c>
      <c r="U61" s="427">
        <v>0</v>
      </c>
      <c r="V61" s="427">
        <v>0</v>
      </c>
      <c r="W61" s="427">
        <v>0</v>
      </c>
      <c r="X61" s="427">
        <v>0</v>
      </c>
      <c r="Y61" s="427">
        <v>0</v>
      </c>
      <c r="Z61" s="427">
        <v>0</v>
      </c>
      <c r="AA61" s="427">
        <v>0</v>
      </c>
      <c r="AB61" s="427">
        <v>0</v>
      </c>
      <c r="AC61" s="427">
        <v>0</v>
      </c>
      <c r="AD61" s="427">
        <v>0</v>
      </c>
      <c r="AE61" s="427">
        <v>0</v>
      </c>
      <c r="AF61" s="427">
        <v>0</v>
      </c>
      <c r="AG61" s="427">
        <v>0</v>
      </c>
      <c r="AH61" s="427">
        <v>0</v>
      </c>
      <c r="AI61" s="427">
        <v>0</v>
      </c>
      <c r="AJ61" s="427">
        <v>0</v>
      </c>
      <c r="AK61" s="427">
        <v>0</v>
      </c>
      <c r="AL61" s="427">
        <v>0</v>
      </c>
      <c r="AM61" s="427">
        <v>0</v>
      </c>
      <c r="AN61" s="427">
        <v>0</v>
      </c>
      <c r="AO61" s="427">
        <v>0</v>
      </c>
      <c r="AP61" s="427">
        <v>0</v>
      </c>
      <c r="AQ61" s="427">
        <v>0</v>
      </c>
      <c r="AR61" s="427">
        <v>0</v>
      </c>
      <c r="AS61" s="427">
        <v>0</v>
      </c>
      <c r="AT61" s="427">
        <v>0</v>
      </c>
      <c r="AU61" s="427">
        <v>0</v>
      </c>
      <c r="AV61" s="427">
        <v>0</v>
      </c>
      <c r="AW61" s="427">
        <v>0</v>
      </c>
      <c r="AX61" s="427">
        <v>0</v>
      </c>
      <c r="AY61" s="427">
        <v>0</v>
      </c>
      <c r="AZ61" s="427">
        <v>0</v>
      </c>
      <c r="BA61" s="427">
        <v>0</v>
      </c>
      <c r="BB61" s="427">
        <v>0</v>
      </c>
      <c r="BC61" s="427">
        <v>0</v>
      </c>
      <c r="BD61" s="427">
        <v>0</v>
      </c>
      <c r="BE61" s="427">
        <v>0</v>
      </c>
      <c r="BF61" s="427">
        <v>0</v>
      </c>
      <c r="BG61" s="427">
        <v>0</v>
      </c>
      <c r="BH61" s="427">
        <v>0</v>
      </c>
      <c r="BI61" s="427">
        <v>0</v>
      </c>
      <c r="BJ61" s="427">
        <v>0</v>
      </c>
      <c r="BK61" s="427">
        <v>0</v>
      </c>
      <c r="BL61" s="427">
        <v>0</v>
      </c>
      <c r="BM61" s="427">
        <v>0</v>
      </c>
      <c r="BN61" s="427">
        <v>0</v>
      </c>
      <c r="BO61" s="427">
        <v>0</v>
      </c>
      <c r="BP61" s="427">
        <v>0</v>
      </c>
      <c r="BQ61" s="427">
        <v>0</v>
      </c>
      <c r="BR61" s="427">
        <v>0</v>
      </c>
      <c r="BS61" s="427">
        <v>0</v>
      </c>
      <c r="BT61" s="427">
        <v>0</v>
      </c>
      <c r="BU61" s="427">
        <v>0</v>
      </c>
      <c r="BV61" s="427">
        <v>0</v>
      </c>
      <c r="BW61" s="427">
        <v>0</v>
      </c>
      <c r="BX61" s="427">
        <v>0</v>
      </c>
      <c r="BY61" s="427">
        <v>0</v>
      </c>
      <c r="BZ61" s="427">
        <v>0</v>
      </c>
      <c r="CC61" s="21"/>
      <c r="CD61" s="437" t="s">
        <v>612</v>
      </c>
      <c r="CE61" s="433">
        <f t="shared" si="0"/>
        <v>0</v>
      </c>
      <c r="CF61" s="433">
        <f t="shared" si="1"/>
        <v>0</v>
      </c>
      <c r="CG61" s="433">
        <f t="shared" si="2"/>
        <v>0</v>
      </c>
      <c r="CH61" s="433">
        <f t="shared" si="3"/>
        <v>0</v>
      </c>
      <c r="CI61" s="433">
        <f t="shared" si="4"/>
        <v>0</v>
      </c>
      <c r="CJ61" s="433">
        <f t="shared" si="5"/>
        <v>0</v>
      </c>
      <c r="CK61" s="433">
        <f t="shared" si="6"/>
        <v>0</v>
      </c>
      <c r="CL61" s="433">
        <f t="shared" si="7"/>
        <v>0</v>
      </c>
      <c r="CM61" s="433">
        <f t="shared" si="8"/>
        <v>0</v>
      </c>
      <c r="CN61" s="433">
        <f t="shared" si="9"/>
        <v>0</v>
      </c>
      <c r="CO61" s="433">
        <f t="shared" si="10"/>
        <v>0</v>
      </c>
      <c r="CP61" s="433">
        <f t="shared" si="11"/>
        <v>0</v>
      </c>
      <c r="CQ61" s="433">
        <f t="shared" si="12"/>
        <v>0</v>
      </c>
      <c r="CR61" s="433">
        <f t="shared" si="13"/>
        <v>0</v>
      </c>
      <c r="CS61" s="433">
        <f t="shared" si="14"/>
        <v>0</v>
      </c>
      <c r="CT61" s="21"/>
    </row>
    <row r="62" spans="3:98" ht="24.75" hidden="1" customHeight="1" outlineLevel="1">
      <c r="C62" s="437" t="s">
        <v>613</v>
      </c>
      <c r="D62" s="427">
        <v>0</v>
      </c>
      <c r="E62" s="427">
        <v>0</v>
      </c>
      <c r="F62" s="427">
        <v>0</v>
      </c>
      <c r="G62" s="427">
        <v>0</v>
      </c>
      <c r="H62" s="427">
        <v>0</v>
      </c>
      <c r="I62" s="427">
        <v>0</v>
      </c>
      <c r="J62" s="427">
        <v>0</v>
      </c>
      <c r="K62" s="427">
        <v>0</v>
      </c>
      <c r="L62" s="427">
        <v>0</v>
      </c>
      <c r="M62" s="427">
        <v>0</v>
      </c>
      <c r="N62" s="427">
        <v>0</v>
      </c>
      <c r="O62" s="427">
        <v>0</v>
      </c>
      <c r="P62" s="427">
        <v>0</v>
      </c>
      <c r="Q62" s="427">
        <v>0</v>
      </c>
      <c r="R62" s="427">
        <v>0</v>
      </c>
      <c r="S62" s="427">
        <v>0</v>
      </c>
      <c r="T62" s="427">
        <v>0</v>
      </c>
      <c r="U62" s="427">
        <v>0</v>
      </c>
      <c r="V62" s="427">
        <v>0</v>
      </c>
      <c r="W62" s="427">
        <v>0</v>
      </c>
      <c r="X62" s="427">
        <v>0</v>
      </c>
      <c r="Y62" s="427">
        <v>0</v>
      </c>
      <c r="Z62" s="427">
        <v>0</v>
      </c>
      <c r="AA62" s="427">
        <v>0</v>
      </c>
      <c r="AB62" s="427">
        <v>0</v>
      </c>
      <c r="AC62" s="427">
        <v>0</v>
      </c>
      <c r="AD62" s="427">
        <v>0</v>
      </c>
      <c r="AE62" s="427">
        <v>0</v>
      </c>
      <c r="AF62" s="427">
        <v>0</v>
      </c>
      <c r="AG62" s="427">
        <v>0</v>
      </c>
      <c r="AH62" s="427">
        <v>0</v>
      </c>
      <c r="AI62" s="427">
        <v>0</v>
      </c>
      <c r="AJ62" s="427">
        <v>0</v>
      </c>
      <c r="AK62" s="427">
        <v>0</v>
      </c>
      <c r="AL62" s="427">
        <v>0</v>
      </c>
      <c r="AM62" s="427">
        <v>0</v>
      </c>
      <c r="AN62" s="427">
        <v>0</v>
      </c>
      <c r="AO62" s="427">
        <v>0</v>
      </c>
      <c r="AP62" s="427">
        <v>0</v>
      </c>
      <c r="AQ62" s="427">
        <v>0</v>
      </c>
      <c r="AR62" s="427">
        <v>0</v>
      </c>
      <c r="AS62" s="427">
        <v>0</v>
      </c>
      <c r="AT62" s="427">
        <v>0</v>
      </c>
      <c r="AU62" s="427">
        <v>0</v>
      </c>
      <c r="AV62" s="427">
        <v>0</v>
      </c>
      <c r="AW62" s="427">
        <v>0</v>
      </c>
      <c r="AX62" s="427">
        <v>0</v>
      </c>
      <c r="AY62" s="427">
        <v>0</v>
      </c>
      <c r="AZ62" s="427">
        <v>0</v>
      </c>
      <c r="BA62" s="427">
        <v>0</v>
      </c>
      <c r="BB62" s="427">
        <v>0</v>
      </c>
      <c r="BC62" s="427">
        <v>0</v>
      </c>
      <c r="BD62" s="427">
        <v>0</v>
      </c>
      <c r="BE62" s="427">
        <v>0</v>
      </c>
      <c r="BF62" s="427">
        <v>0</v>
      </c>
      <c r="BG62" s="427">
        <v>-0.40100000000000002</v>
      </c>
      <c r="BH62" s="427">
        <v>3.0950000000000002</v>
      </c>
      <c r="BI62" s="427">
        <v>0.58699999999999997</v>
      </c>
      <c r="BJ62" s="427">
        <v>0</v>
      </c>
      <c r="BK62" s="427">
        <v>3.2810000000000001</v>
      </c>
      <c r="BL62" s="427">
        <v>0</v>
      </c>
      <c r="BM62" s="427">
        <v>0</v>
      </c>
      <c r="BN62" s="427">
        <v>-0.92400000000000004</v>
      </c>
      <c r="BO62" s="427">
        <v>0</v>
      </c>
      <c r="BP62" s="427">
        <v>-0.92400000000000004</v>
      </c>
      <c r="BQ62" s="427">
        <v>0</v>
      </c>
      <c r="BR62" s="427">
        <v>0</v>
      </c>
      <c r="BS62" s="427">
        <v>1.048</v>
      </c>
      <c r="BT62" s="427">
        <v>-1.137</v>
      </c>
      <c r="BU62" s="427">
        <v>-8.3119999999999994</v>
      </c>
      <c r="BV62" s="427">
        <v>0</v>
      </c>
      <c r="BW62" s="427">
        <v>0</v>
      </c>
      <c r="BX62" s="427">
        <v>0.69799999999999995</v>
      </c>
      <c r="BY62" s="427">
        <v>0</v>
      </c>
      <c r="BZ62" s="427">
        <v>0</v>
      </c>
      <c r="CC62" s="21"/>
      <c r="CD62" s="437" t="s">
        <v>613</v>
      </c>
      <c r="CE62" s="433">
        <f t="shared" si="0"/>
        <v>0</v>
      </c>
      <c r="CF62" s="433">
        <f t="shared" si="1"/>
        <v>0</v>
      </c>
      <c r="CG62" s="433">
        <f t="shared" si="2"/>
        <v>0</v>
      </c>
      <c r="CH62" s="433">
        <f t="shared" si="3"/>
        <v>0</v>
      </c>
      <c r="CI62" s="433">
        <f t="shared" si="4"/>
        <v>0</v>
      </c>
      <c r="CJ62" s="433">
        <f t="shared" si="5"/>
        <v>0</v>
      </c>
      <c r="CK62" s="433">
        <f t="shared" si="6"/>
        <v>0</v>
      </c>
      <c r="CL62" s="433">
        <f t="shared" si="7"/>
        <v>0</v>
      </c>
      <c r="CM62" s="433">
        <f t="shared" si="8"/>
        <v>0</v>
      </c>
      <c r="CN62" s="433">
        <f t="shared" si="9"/>
        <v>0</v>
      </c>
      <c r="CO62" s="433">
        <f t="shared" si="10"/>
        <v>0</v>
      </c>
      <c r="CP62" s="433">
        <f t="shared" si="11"/>
        <v>3.2810000000000001</v>
      </c>
      <c r="CQ62" s="433">
        <f t="shared" si="12"/>
        <v>-0.92400000000000004</v>
      </c>
      <c r="CR62" s="433">
        <f t="shared" si="13"/>
        <v>-8.3119999999999994</v>
      </c>
      <c r="CS62" s="433">
        <f t="shared" si="14"/>
        <v>0</v>
      </c>
      <c r="CT62" s="21"/>
    </row>
    <row r="63" spans="3:98" ht="24.75" hidden="1" customHeight="1" outlineLevel="1">
      <c r="C63" s="437" t="s">
        <v>614</v>
      </c>
      <c r="D63" s="427">
        <v>0</v>
      </c>
      <c r="E63" s="427">
        <v>0</v>
      </c>
      <c r="F63" s="427">
        <v>0</v>
      </c>
      <c r="G63" s="427">
        <v>0</v>
      </c>
      <c r="H63" s="427">
        <v>0</v>
      </c>
      <c r="I63" s="427">
        <v>0</v>
      </c>
      <c r="J63" s="427">
        <v>0</v>
      </c>
      <c r="K63" s="427">
        <v>0</v>
      </c>
      <c r="L63" s="427">
        <v>0</v>
      </c>
      <c r="M63" s="427">
        <v>0</v>
      </c>
      <c r="N63" s="427">
        <v>0</v>
      </c>
      <c r="O63" s="427">
        <v>0</v>
      </c>
      <c r="P63" s="427">
        <v>0</v>
      </c>
      <c r="Q63" s="427">
        <v>0</v>
      </c>
      <c r="R63" s="427">
        <v>0</v>
      </c>
      <c r="S63" s="427">
        <v>0</v>
      </c>
      <c r="T63" s="427">
        <v>0</v>
      </c>
      <c r="U63" s="427">
        <v>0</v>
      </c>
      <c r="V63" s="427">
        <v>0</v>
      </c>
      <c r="W63" s="427">
        <v>0</v>
      </c>
      <c r="X63" s="427">
        <v>0</v>
      </c>
      <c r="Y63" s="427">
        <v>0</v>
      </c>
      <c r="Z63" s="427">
        <v>0</v>
      </c>
      <c r="AA63" s="427">
        <v>0</v>
      </c>
      <c r="AB63" s="427">
        <v>0</v>
      </c>
      <c r="AC63" s="427">
        <v>0</v>
      </c>
      <c r="AD63" s="427">
        <v>0</v>
      </c>
      <c r="AE63" s="427">
        <v>0</v>
      </c>
      <c r="AF63" s="427">
        <v>0</v>
      </c>
      <c r="AG63" s="427">
        <v>0</v>
      </c>
      <c r="AH63" s="427">
        <v>0</v>
      </c>
      <c r="AI63" s="427">
        <v>0</v>
      </c>
      <c r="AJ63" s="427">
        <v>0</v>
      </c>
      <c r="AK63" s="427">
        <v>0</v>
      </c>
      <c r="AL63" s="427">
        <v>0</v>
      </c>
      <c r="AM63" s="427">
        <v>0</v>
      </c>
      <c r="AN63" s="427">
        <v>0</v>
      </c>
      <c r="AO63" s="427">
        <v>0</v>
      </c>
      <c r="AP63" s="427">
        <v>0</v>
      </c>
      <c r="AQ63" s="427">
        <v>0</v>
      </c>
      <c r="AR63" s="427">
        <v>0</v>
      </c>
      <c r="AS63" s="427">
        <v>0</v>
      </c>
      <c r="AT63" s="427">
        <v>0</v>
      </c>
      <c r="AU63" s="427">
        <v>0</v>
      </c>
      <c r="AV63" s="427">
        <v>0</v>
      </c>
      <c r="AW63" s="427">
        <v>0</v>
      </c>
      <c r="AX63" s="427">
        <v>0</v>
      </c>
      <c r="AY63" s="427">
        <v>0</v>
      </c>
      <c r="AZ63" s="427">
        <v>0</v>
      </c>
      <c r="BA63" s="427">
        <v>0</v>
      </c>
      <c r="BB63" s="427">
        <v>0</v>
      </c>
      <c r="BC63" s="427">
        <v>0</v>
      </c>
      <c r="BD63" s="427">
        <v>0</v>
      </c>
      <c r="BE63" s="427">
        <v>0</v>
      </c>
      <c r="BF63" s="427">
        <v>0</v>
      </c>
      <c r="BG63" s="427">
        <v>0</v>
      </c>
      <c r="BH63" s="427">
        <v>0</v>
      </c>
      <c r="BI63" s="427">
        <v>0</v>
      </c>
      <c r="BJ63" s="427">
        <v>0</v>
      </c>
      <c r="BK63" s="427">
        <v>0</v>
      </c>
      <c r="BL63" s="427">
        <v>0</v>
      </c>
      <c r="BM63" s="427">
        <v>0</v>
      </c>
      <c r="BN63" s="427">
        <v>0</v>
      </c>
      <c r="BO63" s="427">
        <v>0</v>
      </c>
      <c r="BP63" s="427">
        <v>0</v>
      </c>
      <c r="BQ63" s="427">
        <v>0</v>
      </c>
      <c r="BR63" s="427">
        <v>0</v>
      </c>
      <c r="BS63" s="427">
        <v>0</v>
      </c>
      <c r="BT63" s="427">
        <v>0</v>
      </c>
      <c r="BU63" s="427">
        <v>0</v>
      </c>
      <c r="BV63" s="427">
        <v>0</v>
      </c>
      <c r="BW63" s="427">
        <v>0</v>
      </c>
      <c r="BX63" s="427">
        <v>0</v>
      </c>
      <c r="BY63" s="427">
        <v>0</v>
      </c>
      <c r="BZ63" s="427">
        <v>0</v>
      </c>
      <c r="CC63" s="21"/>
      <c r="CD63" s="437" t="s">
        <v>614</v>
      </c>
      <c r="CE63" s="433">
        <f t="shared" si="0"/>
        <v>0</v>
      </c>
      <c r="CF63" s="433">
        <f t="shared" si="1"/>
        <v>0</v>
      </c>
      <c r="CG63" s="433">
        <f t="shared" si="2"/>
        <v>0</v>
      </c>
      <c r="CH63" s="433">
        <f t="shared" si="3"/>
        <v>0</v>
      </c>
      <c r="CI63" s="433">
        <f t="shared" si="4"/>
        <v>0</v>
      </c>
      <c r="CJ63" s="433">
        <f t="shared" si="5"/>
        <v>0</v>
      </c>
      <c r="CK63" s="433">
        <f t="shared" si="6"/>
        <v>0</v>
      </c>
      <c r="CL63" s="433">
        <f t="shared" si="7"/>
        <v>0</v>
      </c>
      <c r="CM63" s="433">
        <f t="shared" si="8"/>
        <v>0</v>
      </c>
      <c r="CN63" s="433">
        <f t="shared" si="9"/>
        <v>0</v>
      </c>
      <c r="CO63" s="433">
        <f t="shared" si="10"/>
        <v>0</v>
      </c>
      <c r="CP63" s="433">
        <f t="shared" si="11"/>
        <v>0</v>
      </c>
      <c r="CQ63" s="433">
        <f t="shared" si="12"/>
        <v>0</v>
      </c>
      <c r="CR63" s="433">
        <f t="shared" si="13"/>
        <v>0</v>
      </c>
      <c r="CS63" s="433">
        <f t="shared" si="14"/>
        <v>0</v>
      </c>
      <c r="CT63" s="21"/>
    </row>
    <row r="64" spans="3:98" ht="24.75" customHeight="1" collapsed="1">
      <c r="C64" s="426" t="s">
        <v>603</v>
      </c>
      <c r="D64" s="427">
        <v>0</v>
      </c>
      <c r="E64" s="427">
        <v>0</v>
      </c>
      <c r="F64" s="427">
        <v>0</v>
      </c>
      <c r="G64" s="427">
        <v>0</v>
      </c>
      <c r="H64" s="427">
        <v>0</v>
      </c>
      <c r="I64" s="427">
        <v>0</v>
      </c>
      <c r="J64" s="427">
        <v>0</v>
      </c>
      <c r="K64" s="427">
        <v>0</v>
      </c>
      <c r="L64" s="427">
        <v>0</v>
      </c>
      <c r="M64" s="427">
        <v>0</v>
      </c>
      <c r="N64" s="427">
        <v>0</v>
      </c>
      <c r="O64" s="427">
        <v>0</v>
      </c>
      <c r="P64" s="427">
        <v>0</v>
      </c>
      <c r="Q64" s="427">
        <v>0</v>
      </c>
      <c r="R64" s="427">
        <v>0</v>
      </c>
      <c r="S64" s="427">
        <v>0</v>
      </c>
      <c r="T64" s="427">
        <v>0</v>
      </c>
      <c r="U64" s="427">
        <v>0</v>
      </c>
      <c r="V64" s="427">
        <v>0</v>
      </c>
      <c r="W64" s="427">
        <v>0</v>
      </c>
      <c r="X64" s="427">
        <v>0</v>
      </c>
      <c r="Y64" s="427">
        <v>0</v>
      </c>
      <c r="Z64" s="427">
        <v>0</v>
      </c>
      <c r="AA64" s="427">
        <v>0</v>
      </c>
      <c r="AB64" s="427">
        <v>0</v>
      </c>
      <c r="AC64" s="427">
        <v>0</v>
      </c>
      <c r="AD64" s="427">
        <v>0</v>
      </c>
      <c r="AE64" s="427">
        <v>0</v>
      </c>
      <c r="AF64" s="427">
        <v>0</v>
      </c>
      <c r="AG64" s="427">
        <v>0</v>
      </c>
      <c r="AH64" s="427">
        <v>0</v>
      </c>
      <c r="AI64" s="427">
        <v>0</v>
      </c>
      <c r="AJ64" s="427">
        <v>0</v>
      </c>
      <c r="AK64" s="427">
        <v>0</v>
      </c>
      <c r="AL64" s="427">
        <v>0</v>
      </c>
      <c r="AM64" s="427">
        <v>0</v>
      </c>
      <c r="AN64" s="427">
        <v>0</v>
      </c>
      <c r="AO64" s="427">
        <v>0</v>
      </c>
      <c r="AP64" s="427">
        <v>0</v>
      </c>
      <c r="AQ64" s="427">
        <v>0</v>
      </c>
      <c r="AR64" s="427">
        <v>0</v>
      </c>
      <c r="AS64" s="427">
        <v>0</v>
      </c>
      <c r="AT64" s="427">
        <v>0</v>
      </c>
      <c r="AU64" s="427">
        <v>0</v>
      </c>
      <c r="AV64" s="427">
        <v>0</v>
      </c>
      <c r="AW64" s="427">
        <v>0</v>
      </c>
      <c r="AX64" s="427">
        <v>0</v>
      </c>
      <c r="AY64" s="427">
        <v>0</v>
      </c>
      <c r="AZ64" s="427">
        <v>0</v>
      </c>
      <c r="BA64" s="427">
        <v>0</v>
      </c>
      <c r="BB64" s="427">
        <v>0</v>
      </c>
      <c r="BC64" s="427">
        <v>0</v>
      </c>
      <c r="BD64" s="427">
        <v>0</v>
      </c>
      <c r="BE64" s="427">
        <v>0</v>
      </c>
      <c r="BF64" s="427">
        <v>11.324999999999999</v>
      </c>
      <c r="BG64" s="427">
        <v>-0.13300000000000001</v>
      </c>
      <c r="BH64" s="427">
        <v>3.0950000000000002</v>
      </c>
      <c r="BI64" s="427">
        <v>8.6709999999999994</v>
      </c>
      <c r="BJ64" s="427">
        <v>0.35799999999999998</v>
      </c>
      <c r="BK64" s="427">
        <v>11.991</v>
      </c>
      <c r="BL64" s="427">
        <v>0.85199999999999998</v>
      </c>
      <c r="BM64" s="427">
        <v>174.79499999999999</v>
      </c>
      <c r="BN64" s="427">
        <v>57.813000000000002</v>
      </c>
      <c r="BO64" s="427">
        <v>96.692999999999998</v>
      </c>
      <c r="BP64" s="427">
        <v>330.15300000000002</v>
      </c>
      <c r="BQ64" s="427">
        <v>229.12899999999999</v>
      </c>
      <c r="BR64" s="427">
        <v>503.04500000000002</v>
      </c>
      <c r="BS64" s="427">
        <v>29.664999999999999</v>
      </c>
      <c r="BT64" s="427">
        <v>115.011</v>
      </c>
      <c r="BU64" s="427">
        <v>876.85</v>
      </c>
      <c r="BV64" s="427">
        <v>47.933999999999997</v>
      </c>
      <c r="BW64" s="427">
        <v>12.355</v>
      </c>
      <c r="BX64" s="427">
        <v>-55.45</v>
      </c>
      <c r="BY64" s="427">
        <v>0</v>
      </c>
      <c r="BZ64" s="427">
        <v>0</v>
      </c>
      <c r="CC64" s="21"/>
      <c r="CD64" s="426" t="s">
        <v>603</v>
      </c>
      <c r="CE64" s="433">
        <f t="shared" si="0"/>
        <v>0</v>
      </c>
      <c r="CF64" s="433">
        <f t="shared" si="1"/>
        <v>0</v>
      </c>
      <c r="CG64" s="433">
        <f t="shared" si="2"/>
        <v>0</v>
      </c>
      <c r="CH64" s="433">
        <f t="shared" si="3"/>
        <v>0</v>
      </c>
      <c r="CI64" s="433">
        <f t="shared" si="4"/>
        <v>0</v>
      </c>
      <c r="CJ64" s="433">
        <f t="shared" si="5"/>
        <v>0</v>
      </c>
      <c r="CK64" s="433">
        <f t="shared" si="6"/>
        <v>0</v>
      </c>
      <c r="CL64" s="433">
        <f t="shared" si="7"/>
        <v>0</v>
      </c>
      <c r="CM64" s="433">
        <f t="shared" si="8"/>
        <v>0</v>
      </c>
      <c r="CN64" s="433">
        <f t="shared" si="9"/>
        <v>0</v>
      </c>
      <c r="CO64" s="433">
        <f t="shared" si="10"/>
        <v>11.324999999999999</v>
      </c>
      <c r="CP64" s="433">
        <f t="shared" si="11"/>
        <v>11.991</v>
      </c>
      <c r="CQ64" s="433">
        <f t="shared" si="12"/>
        <v>330.15300000000002</v>
      </c>
      <c r="CR64" s="433">
        <f t="shared" si="13"/>
        <v>876.85</v>
      </c>
      <c r="CS64" s="433">
        <f t="shared" si="14"/>
        <v>0</v>
      </c>
      <c r="CT64" s="21"/>
    </row>
    <row r="65" spans="3:98" ht="24.75" customHeight="1">
      <c r="C65" s="426" t="s">
        <v>615</v>
      </c>
      <c r="D65" s="427">
        <v>0</v>
      </c>
      <c r="E65" s="427">
        <v>0</v>
      </c>
      <c r="F65" s="427">
        <v>0</v>
      </c>
      <c r="G65" s="427">
        <v>0</v>
      </c>
      <c r="H65" s="434">
        <v>0</v>
      </c>
      <c r="I65" s="434">
        <v>0</v>
      </c>
      <c r="J65" s="434">
        <v>0</v>
      </c>
      <c r="K65" s="434">
        <v>0</v>
      </c>
      <c r="L65" s="434">
        <v>0</v>
      </c>
      <c r="M65" s="434">
        <v>0</v>
      </c>
      <c r="N65" s="434">
        <v>0</v>
      </c>
      <c r="O65" s="434">
        <v>0</v>
      </c>
      <c r="P65" s="434">
        <v>0</v>
      </c>
      <c r="Q65" s="434">
        <v>0</v>
      </c>
      <c r="R65" s="434">
        <v>0</v>
      </c>
      <c r="S65" s="434">
        <v>0</v>
      </c>
      <c r="T65" s="434">
        <v>0</v>
      </c>
      <c r="U65" s="434">
        <v>0</v>
      </c>
      <c r="V65" s="434">
        <v>0</v>
      </c>
      <c r="W65" s="434">
        <v>0</v>
      </c>
      <c r="X65" s="434">
        <v>0</v>
      </c>
      <c r="Y65" s="434">
        <v>0</v>
      </c>
      <c r="Z65" s="434">
        <v>0</v>
      </c>
      <c r="AA65" s="434">
        <v>0</v>
      </c>
      <c r="AB65" s="434">
        <v>0</v>
      </c>
      <c r="AC65" s="434">
        <v>0</v>
      </c>
      <c r="AD65" s="434">
        <v>0</v>
      </c>
      <c r="AE65" s="434">
        <v>0</v>
      </c>
      <c r="AF65" s="434">
        <v>0</v>
      </c>
      <c r="AG65" s="434">
        <v>0</v>
      </c>
      <c r="AH65" s="434">
        <v>0</v>
      </c>
      <c r="AI65" s="434">
        <v>0</v>
      </c>
      <c r="AJ65" s="434">
        <v>0</v>
      </c>
      <c r="AK65" s="434">
        <v>0</v>
      </c>
      <c r="AL65" s="434">
        <v>0</v>
      </c>
      <c r="AM65" s="434">
        <v>0</v>
      </c>
      <c r="AN65" s="434">
        <v>0</v>
      </c>
      <c r="AO65" s="434">
        <v>0</v>
      </c>
      <c r="AP65" s="434">
        <v>0</v>
      </c>
      <c r="AQ65" s="434">
        <v>0</v>
      </c>
      <c r="AR65" s="434">
        <v>0</v>
      </c>
      <c r="AS65" s="434">
        <v>0</v>
      </c>
      <c r="AT65" s="434">
        <v>0</v>
      </c>
      <c r="AU65" s="434">
        <v>0</v>
      </c>
      <c r="AV65" s="434">
        <v>0</v>
      </c>
      <c r="AW65" s="434">
        <v>0</v>
      </c>
      <c r="AX65" s="434">
        <v>0</v>
      </c>
      <c r="AY65" s="434">
        <v>0</v>
      </c>
      <c r="AZ65" s="434">
        <v>0</v>
      </c>
      <c r="BA65" s="434">
        <v>0</v>
      </c>
      <c r="BB65" s="434">
        <v>0</v>
      </c>
      <c r="BC65" s="434">
        <v>0</v>
      </c>
      <c r="BD65" s="434">
        <v>0</v>
      </c>
      <c r="BE65" s="434">
        <v>0</v>
      </c>
      <c r="BF65" s="434">
        <v>0</v>
      </c>
      <c r="BG65" s="434">
        <v>0</v>
      </c>
      <c r="BH65" s="434">
        <v>0</v>
      </c>
      <c r="BI65" s="434">
        <v>0</v>
      </c>
      <c r="BJ65" s="434">
        <v>0</v>
      </c>
      <c r="BK65" s="434">
        <v>0</v>
      </c>
      <c r="BL65" s="434">
        <v>0</v>
      </c>
      <c r="BM65" s="434">
        <v>0</v>
      </c>
      <c r="BN65" s="434">
        <v>0</v>
      </c>
      <c r="BO65" s="434">
        <v>0</v>
      </c>
      <c r="BP65" s="434">
        <v>0</v>
      </c>
      <c r="BQ65" s="434">
        <v>0</v>
      </c>
      <c r="BR65" s="434">
        <v>0</v>
      </c>
      <c r="BS65" s="434">
        <v>0</v>
      </c>
      <c r="BT65" s="434">
        <v>0</v>
      </c>
      <c r="BU65" s="434">
        <v>0</v>
      </c>
      <c r="BV65" s="434">
        <v>0</v>
      </c>
      <c r="BW65" s="434">
        <v>0</v>
      </c>
      <c r="BX65" s="434">
        <v>0</v>
      </c>
      <c r="BY65" s="434">
        <v>0</v>
      </c>
      <c r="BZ65" s="434">
        <v>0</v>
      </c>
      <c r="CC65" s="21"/>
      <c r="CD65" s="426" t="s">
        <v>615</v>
      </c>
      <c r="CE65" s="433">
        <f t="shared" si="0"/>
        <v>0</v>
      </c>
      <c r="CF65" s="433">
        <f t="shared" si="1"/>
        <v>0</v>
      </c>
      <c r="CG65" s="433">
        <f t="shared" si="2"/>
        <v>0</v>
      </c>
      <c r="CH65" s="433">
        <f t="shared" si="3"/>
        <v>0</v>
      </c>
      <c r="CI65" s="433">
        <f t="shared" si="4"/>
        <v>0</v>
      </c>
      <c r="CJ65" s="433">
        <f t="shared" si="5"/>
        <v>0</v>
      </c>
      <c r="CK65" s="433">
        <f t="shared" si="6"/>
        <v>0</v>
      </c>
      <c r="CL65" s="433">
        <f t="shared" si="7"/>
        <v>0</v>
      </c>
      <c r="CM65" s="433">
        <f t="shared" si="8"/>
        <v>0</v>
      </c>
      <c r="CN65" s="433">
        <f t="shared" si="9"/>
        <v>0</v>
      </c>
      <c r="CO65" s="433">
        <f t="shared" si="10"/>
        <v>0</v>
      </c>
      <c r="CP65" s="433">
        <f t="shared" si="11"/>
        <v>0</v>
      </c>
      <c r="CQ65" s="433">
        <f t="shared" si="12"/>
        <v>0</v>
      </c>
      <c r="CR65" s="433">
        <f t="shared" si="13"/>
        <v>0</v>
      </c>
      <c r="CS65" s="433">
        <f t="shared" si="14"/>
        <v>0</v>
      </c>
      <c r="CT65" s="21"/>
    </row>
    <row r="66" spans="3:98" ht="24.75" customHeight="1">
      <c r="C66" s="426" t="s">
        <v>616</v>
      </c>
      <c r="D66" s="427">
        <v>0</v>
      </c>
      <c r="E66" s="427">
        <v>0</v>
      </c>
      <c r="F66" s="427">
        <v>0</v>
      </c>
      <c r="G66" s="427">
        <v>0</v>
      </c>
      <c r="H66" s="427">
        <v>0</v>
      </c>
      <c r="I66" s="427">
        <v>0</v>
      </c>
      <c r="J66" s="427">
        <v>0</v>
      </c>
      <c r="K66" s="427">
        <v>0</v>
      </c>
      <c r="L66" s="427">
        <v>0</v>
      </c>
      <c r="M66" s="427">
        <v>0</v>
      </c>
      <c r="N66" s="427">
        <v>0</v>
      </c>
      <c r="O66" s="427">
        <v>0</v>
      </c>
      <c r="P66" s="427">
        <v>0</v>
      </c>
      <c r="Q66" s="427">
        <v>0</v>
      </c>
      <c r="R66" s="427">
        <v>0</v>
      </c>
      <c r="S66" s="427">
        <v>0</v>
      </c>
      <c r="T66" s="427">
        <v>0</v>
      </c>
      <c r="U66" s="427">
        <v>0</v>
      </c>
      <c r="V66" s="427">
        <v>0</v>
      </c>
      <c r="W66" s="427">
        <v>0</v>
      </c>
      <c r="X66" s="427">
        <v>0</v>
      </c>
      <c r="Y66" s="427">
        <v>0</v>
      </c>
      <c r="Z66" s="427">
        <v>0</v>
      </c>
      <c r="AA66" s="427">
        <v>0</v>
      </c>
      <c r="AB66" s="427">
        <v>0</v>
      </c>
      <c r="AC66" s="427">
        <v>0</v>
      </c>
      <c r="AD66" s="427">
        <v>0</v>
      </c>
      <c r="AE66" s="427">
        <v>0</v>
      </c>
      <c r="AF66" s="427">
        <v>0</v>
      </c>
      <c r="AG66" s="427">
        <v>0</v>
      </c>
      <c r="AH66" s="427">
        <v>0</v>
      </c>
      <c r="AI66" s="427">
        <v>0</v>
      </c>
      <c r="AJ66" s="427">
        <v>0</v>
      </c>
      <c r="AK66" s="427">
        <v>0</v>
      </c>
      <c r="AL66" s="427">
        <v>0</v>
      </c>
      <c r="AM66" s="427">
        <v>0</v>
      </c>
      <c r="AN66" s="427">
        <v>0</v>
      </c>
      <c r="AO66" s="427">
        <v>0</v>
      </c>
      <c r="AP66" s="427">
        <v>0</v>
      </c>
      <c r="AQ66" s="427">
        <v>0</v>
      </c>
      <c r="AR66" s="427">
        <v>0</v>
      </c>
      <c r="AS66" s="427">
        <v>0</v>
      </c>
      <c r="AT66" s="427">
        <v>0</v>
      </c>
      <c r="AU66" s="427">
        <v>0</v>
      </c>
      <c r="AV66" s="427">
        <v>0</v>
      </c>
      <c r="AW66" s="427">
        <v>0</v>
      </c>
      <c r="AX66" s="427">
        <v>0</v>
      </c>
      <c r="AY66" s="427">
        <v>0</v>
      </c>
      <c r="AZ66" s="427">
        <v>0</v>
      </c>
      <c r="BA66" s="427">
        <v>0</v>
      </c>
      <c r="BB66" s="427">
        <v>0</v>
      </c>
      <c r="BC66" s="427">
        <v>0</v>
      </c>
      <c r="BD66" s="427">
        <v>0</v>
      </c>
      <c r="BE66" s="427">
        <v>0</v>
      </c>
      <c r="BF66" s="427">
        <v>13.537000000000001</v>
      </c>
      <c r="BG66" s="427">
        <v>-2.1120000000000001</v>
      </c>
      <c r="BH66" s="427">
        <v>10.843</v>
      </c>
      <c r="BI66" s="427">
        <v>-16.835999999999999</v>
      </c>
      <c r="BJ66" s="427">
        <v>-20.835999999999999</v>
      </c>
      <c r="BK66" s="427">
        <v>-28.940999999999999</v>
      </c>
      <c r="BL66" s="427">
        <v>-16.07</v>
      </c>
      <c r="BM66" s="427">
        <v>-18.690999999999999</v>
      </c>
      <c r="BN66" s="427">
        <v>-134.185</v>
      </c>
      <c r="BO66" s="427">
        <v>3.351</v>
      </c>
      <c r="BP66" s="427">
        <v>-165.595</v>
      </c>
      <c r="BQ66" s="427">
        <v>-4.0410000000000004</v>
      </c>
      <c r="BR66" s="427">
        <v>-5.9009999999999998</v>
      </c>
      <c r="BS66" s="427">
        <v>-10.776999999999999</v>
      </c>
      <c r="BT66" s="427">
        <v>-35.527999999999999</v>
      </c>
      <c r="BU66" s="427">
        <v>-56.247</v>
      </c>
      <c r="BV66" s="427">
        <v>-30.143999999999998</v>
      </c>
      <c r="BW66" s="427">
        <v>-12.603999999999999</v>
      </c>
      <c r="BX66" s="427">
        <v>-34.136000000000003</v>
      </c>
      <c r="BY66" s="427">
        <v>0</v>
      </c>
      <c r="BZ66" s="427">
        <v>0</v>
      </c>
      <c r="CC66" s="21"/>
      <c r="CD66" s="426" t="s">
        <v>616</v>
      </c>
      <c r="CE66" s="433">
        <f t="shared" si="0"/>
        <v>0</v>
      </c>
      <c r="CF66" s="433">
        <f t="shared" si="1"/>
        <v>0</v>
      </c>
      <c r="CG66" s="433">
        <f t="shared" si="2"/>
        <v>0</v>
      </c>
      <c r="CH66" s="433">
        <f t="shared" si="3"/>
        <v>0</v>
      </c>
      <c r="CI66" s="433">
        <f t="shared" si="4"/>
        <v>0</v>
      </c>
      <c r="CJ66" s="433">
        <f t="shared" si="5"/>
        <v>0</v>
      </c>
      <c r="CK66" s="433">
        <f t="shared" si="6"/>
        <v>0</v>
      </c>
      <c r="CL66" s="433">
        <f t="shared" si="7"/>
        <v>0</v>
      </c>
      <c r="CM66" s="433">
        <f t="shared" si="8"/>
        <v>0</v>
      </c>
      <c r="CN66" s="433">
        <f t="shared" si="9"/>
        <v>0</v>
      </c>
      <c r="CO66" s="433">
        <f t="shared" si="10"/>
        <v>13.537000000000001</v>
      </c>
      <c r="CP66" s="433">
        <f t="shared" si="11"/>
        <v>-28.940999999999999</v>
      </c>
      <c r="CQ66" s="433">
        <f t="shared" si="12"/>
        <v>-165.595</v>
      </c>
      <c r="CR66" s="433">
        <f t="shared" si="13"/>
        <v>-56.247</v>
      </c>
      <c r="CS66" s="433">
        <f t="shared" si="14"/>
        <v>0</v>
      </c>
      <c r="CT66" s="21"/>
    </row>
    <row r="67" spans="3:98" ht="24.75" customHeight="1">
      <c r="C67" s="449" t="s">
        <v>582</v>
      </c>
      <c r="D67" s="422">
        <v>0</v>
      </c>
      <c r="E67" s="422">
        <v>0</v>
      </c>
      <c r="F67" s="422">
        <v>0</v>
      </c>
      <c r="G67" s="422">
        <v>0</v>
      </c>
      <c r="H67" s="422">
        <v>0</v>
      </c>
      <c r="I67" s="422">
        <v>0</v>
      </c>
      <c r="J67" s="422">
        <v>0</v>
      </c>
      <c r="K67" s="422">
        <v>0</v>
      </c>
      <c r="L67" s="422">
        <v>0</v>
      </c>
      <c r="M67" s="422">
        <v>0</v>
      </c>
      <c r="N67" s="422">
        <v>0</v>
      </c>
      <c r="O67" s="422">
        <v>0</v>
      </c>
      <c r="P67" s="422">
        <v>0</v>
      </c>
      <c r="Q67" s="422">
        <v>0</v>
      </c>
      <c r="R67" s="422">
        <v>0</v>
      </c>
      <c r="S67" s="422">
        <v>0</v>
      </c>
      <c r="T67" s="422">
        <v>0</v>
      </c>
      <c r="U67" s="422">
        <v>0</v>
      </c>
      <c r="V67" s="422">
        <v>0</v>
      </c>
      <c r="W67" s="422">
        <v>0</v>
      </c>
      <c r="X67" s="422">
        <v>0</v>
      </c>
      <c r="Y67" s="422">
        <v>0</v>
      </c>
      <c r="Z67" s="422">
        <v>0</v>
      </c>
      <c r="AA67" s="422">
        <v>0</v>
      </c>
      <c r="AB67" s="422">
        <v>0</v>
      </c>
      <c r="AC67" s="422">
        <v>0</v>
      </c>
      <c r="AD67" s="422">
        <v>0</v>
      </c>
      <c r="AE67" s="422">
        <v>0</v>
      </c>
      <c r="AF67" s="422">
        <v>0</v>
      </c>
      <c r="AG67" s="422">
        <v>0</v>
      </c>
      <c r="AH67" s="422">
        <v>0</v>
      </c>
      <c r="AI67" s="422">
        <v>0</v>
      </c>
      <c r="AJ67" s="422">
        <v>0</v>
      </c>
      <c r="AK67" s="422">
        <v>0</v>
      </c>
      <c r="AL67" s="422">
        <v>0</v>
      </c>
      <c r="AM67" s="422">
        <v>0</v>
      </c>
      <c r="AN67" s="422">
        <v>0</v>
      </c>
      <c r="AO67" s="422">
        <v>0</v>
      </c>
      <c r="AP67" s="422">
        <v>0</v>
      </c>
      <c r="AQ67" s="422">
        <v>0</v>
      </c>
      <c r="AR67" s="422">
        <v>0</v>
      </c>
      <c r="AS67" s="422">
        <v>0</v>
      </c>
      <c r="AT67" s="422">
        <v>0</v>
      </c>
      <c r="AU67" s="422">
        <v>0</v>
      </c>
      <c r="AV67" s="422">
        <v>0</v>
      </c>
      <c r="AW67" s="422">
        <v>0</v>
      </c>
      <c r="AX67" s="422">
        <v>0</v>
      </c>
      <c r="AY67" s="422">
        <v>0</v>
      </c>
      <c r="AZ67" s="422">
        <v>0</v>
      </c>
      <c r="BA67" s="422">
        <v>0</v>
      </c>
      <c r="BB67" s="422">
        <v>0</v>
      </c>
      <c r="BC67" s="422">
        <v>0</v>
      </c>
      <c r="BD67" s="422">
        <v>0</v>
      </c>
      <c r="BE67" s="422">
        <v>0</v>
      </c>
      <c r="BF67" s="422">
        <v>50.106000000000002</v>
      </c>
      <c r="BG67" s="422">
        <v>26.024000000000001</v>
      </c>
      <c r="BH67" s="422">
        <v>28.254000000000001</v>
      </c>
      <c r="BI67" s="422">
        <v>-5.3159999999999998</v>
      </c>
      <c r="BJ67" s="422">
        <v>15.885</v>
      </c>
      <c r="BK67" s="422">
        <v>64.846999999999994</v>
      </c>
      <c r="BL67" s="422">
        <v>55.176000000000002</v>
      </c>
      <c r="BM67" s="422">
        <v>191.876</v>
      </c>
      <c r="BN67" s="422">
        <v>-286.32600000000002</v>
      </c>
      <c r="BO67" s="422">
        <v>311.88799999999998</v>
      </c>
      <c r="BP67" s="422">
        <v>272.61399999999998</v>
      </c>
      <c r="BQ67" s="422">
        <v>412.58199999999999</v>
      </c>
      <c r="BR67" s="422">
        <v>883.92899999999997</v>
      </c>
      <c r="BS67" s="422">
        <v>388.13900000000001</v>
      </c>
      <c r="BT67" s="422">
        <v>386.32799999999997</v>
      </c>
      <c r="BU67" s="422">
        <v>2070.9780000000001</v>
      </c>
      <c r="BV67" s="422">
        <v>226.64699999999999</v>
      </c>
      <c r="BW67" s="422">
        <v>237.012</v>
      </c>
      <c r="BX67" s="422">
        <v>128.494</v>
      </c>
      <c r="BY67" s="422">
        <v>0</v>
      </c>
      <c r="BZ67" s="422">
        <v>0</v>
      </c>
      <c r="CC67" s="21"/>
      <c r="CD67" s="449" t="s">
        <v>582</v>
      </c>
      <c r="CE67" s="436">
        <f t="shared" si="0"/>
        <v>0</v>
      </c>
      <c r="CF67" s="436">
        <f t="shared" si="1"/>
        <v>0</v>
      </c>
      <c r="CG67" s="436">
        <f t="shared" si="2"/>
        <v>0</v>
      </c>
      <c r="CH67" s="436">
        <f t="shared" si="3"/>
        <v>0</v>
      </c>
      <c r="CI67" s="436">
        <f t="shared" si="4"/>
        <v>0</v>
      </c>
      <c r="CJ67" s="436">
        <f t="shared" si="5"/>
        <v>0</v>
      </c>
      <c r="CK67" s="436">
        <f t="shared" si="6"/>
        <v>0</v>
      </c>
      <c r="CL67" s="436">
        <f t="shared" si="7"/>
        <v>0</v>
      </c>
      <c r="CM67" s="436">
        <f t="shared" si="8"/>
        <v>0</v>
      </c>
      <c r="CN67" s="436">
        <f t="shared" si="9"/>
        <v>0</v>
      </c>
      <c r="CO67" s="436">
        <f t="shared" si="10"/>
        <v>50.106000000000002</v>
      </c>
      <c r="CP67" s="436">
        <f t="shared" si="11"/>
        <v>64.846999999999994</v>
      </c>
      <c r="CQ67" s="436">
        <f t="shared" si="12"/>
        <v>272.61399999999998</v>
      </c>
      <c r="CR67" s="436">
        <f t="shared" si="13"/>
        <v>2070.9780000000001</v>
      </c>
      <c r="CS67" s="436">
        <f t="shared" si="14"/>
        <v>0</v>
      </c>
      <c r="CT67" s="21"/>
    </row>
    <row r="68" spans="3:98" ht="4.5" customHeight="1">
      <c r="D68" s="427">
        <v>0</v>
      </c>
      <c r="E68" s="427">
        <v>0</v>
      </c>
      <c r="F68" s="427">
        <v>0</v>
      </c>
      <c r="G68" s="427">
        <v>0</v>
      </c>
      <c r="H68" s="434">
        <v>0</v>
      </c>
      <c r="I68" s="427">
        <v>0</v>
      </c>
      <c r="J68" s="427">
        <v>0</v>
      </c>
      <c r="K68" s="427">
        <v>0</v>
      </c>
      <c r="L68" s="427">
        <v>0</v>
      </c>
      <c r="M68" s="434">
        <v>0</v>
      </c>
      <c r="N68" s="434">
        <v>0</v>
      </c>
      <c r="O68" s="434">
        <v>0</v>
      </c>
      <c r="P68" s="434">
        <v>0</v>
      </c>
      <c r="Q68" s="434">
        <v>0</v>
      </c>
      <c r="R68" s="434">
        <v>0</v>
      </c>
      <c r="S68" s="434">
        <v>0</v>
      </c>
      <c r="T68" s="434">
        <v>0</v>
      </c>
      <c r="U68" s="434">
        <v>0</v>
      </c>
      <c r="V68" s="434">
        <v>0</v>
      </c>
      <c r="W68" s="434">
        <v>0</v>
      </c>
      <c r="X68" s="434">
        <v>0</v>
      </c>
      <c r="Y68" s="434">
        <v>0</v>
      </c>
      <c r="Z68" s="434">
        <v>0</v>
      </c>
      <c r="AA68" s="434">
        <v>0</v>
      </c>
      <c r="AB68" s="434">
        <v>0</v>
      </c>
      <c r="AC68" s="434">
        <v>0</v>
      </c>
      <c r="AD68" s="434">
        <v>0</v>
      </c>
      <c r="AE68" s="434">
        <v>0</v>
      </c>
      <c r="AF68" s="434">
        <v>0</v>
      </c>
      <c r="AG68" s="434">
        <v>0</v>
      </c>
      <c r="AH68" s="434">
        <v>0</v>
      </c>
      <c r="AI68" s="434">
        <v>0</v>
      </c>
      <c r="AJ68" s="434">
        <v>0</v>
      </c>
      <c r="AK68" s="434">
        <v>0</v>
      </c>
      <c r="AL68" s="434">
        <v>0</v>
      </c>
      <c r="AM68" s="434">
        <v>0</v>
      </c>
      <c r="AN68" s="434">
        <v>0</v>
      </c>
      <c r="AO68" s="434">
        <v>0</v>
      </c>
      <c r="AP68" s="434">
        <v>0</v>
      </c>
      <c r="AQ68" s="434">
        <v>0</v>
      </c>
      <c r="AR68" s="434">
        <v>0</v>
      </c>
      <c r="AS68" s="434">
        <v>0</v>
      </c>
      <c r="AT68" s="434">
        <v>0</v>
      </c>
      <c r="AU68" s="434">
        <v>0</v>
      </c>
      <c r="AV68" s="434">
        <v>0</v>
      </c>
      <c r="AW68" s="434">
        <v>0</v>
      </c>
      <c r="AX68" s="434">
        <v>0</v>
      </c>
      <c r="AY68" s="434">
        <v>0</v>
      </c>
      <c r="AZ68" s="434">
        <v>0</v>
      </c>
      <c r="BA68" s="434">
        <v>0</v>
      </c>
      <c r="BB68" s="434">
        <v>0</v>
      </c>
      <c r="BC68" s="434">
        <v>0</v>
      </c>
      <c r="BD68" s="434">
        <v>0</v>
      </c>
      <c r="BE68" s="434">
        <v>0</v>
      </c>
      <c r="BF68" s="434">
        <v>0</v>
      </c>
      <c r="BG68" s="434">
        <v>0</v>
      </c>
      <c r="BH68" s="434">
        <v>0</v>
      </c>
      <c r="BI68" s="434">
        <v>0</v>
      </c>
      <c r="BJ68" s="434">
        <v>0</v>
      </c>
      <c r="BK68" s="434">
        <v>0</v>
      </c>
      <c r="BL68" s="434">
        <v>0</v>
      </c>
      <c r="BM68" s="434">
        <v>0</v>
      </c>
      <c r="BN68" s="434">
        <v>0</v>
      </c>
      <c r="BO68" s="434">
        <v>0</v>
      </c>
      <c r="BP68" s="434">
        <v>0</v>
      </c>
      <c r="BQ68" s="434">
        <v>0</v>
      </c>
      <c r="BR68" s="434">
        <v>0</v>
      </c>
      <c r="BS68" s="434">
        <v>0</v>
      </c>
      <c r="BT68" s="434">
        <v>0</v>
      </c>
      <c r="BU68" s="434">
        <v>0</v>
      </c>
      <c r="BV68" s="434">
        <v>0</v>
      </c>
      <c r="BW68" s="434">
        <v>0</v>
      </c>
      <c r="BX68" s="434">
        <v>0</v>
      </c>
      <c r="BY68" s="434">
        <v>0</v>
      </c>
      <c r="BZ68" s="434">
        <v>0</v>
      </c>
      <c r="CC68" s="21"/>
      <c r="CD68" s="58"/>
      <c r="CE68" s="433"/>
      <c r="CF68" s="433"/>
      <c r="CG68" s="433"/>
      <c r="CH68" s="433"/>
      <c r="CI68" s="433"/>
      <c r="CJ68" s="433"/>
      <c r="CK68" s="433"/>
      <c r="CL68" s="433"/>
      <c r="CM68" s="433"/>
      <c r="CN68" s="433"/>
      <c r="CO68" s="433"/>
      <c r="CP68" s="433"/>
      <c r="CQ68" s="433"/>
      <c r="CR68" s="433"/>
      <c r="CS68" s="433"/>
      <c r="CT68" s="21"/>
    </row>
    <row r="69" spans="3:98" ht="24.75" hidden="1" customHeight="1" outlineLevel="1">
      <c r="C69" s="426" t="s">
        <v>618</v>
      </c>
      <c r="D69" s="427">
        <v>0</v>
      </c>
      <c r="E69" s="427">
        <v>0</v>
      </c>
      <c r="F69" s="427">
        <v>0</v>
      </c>
      <c r="G69" s="427">
        <v>0</v>
      </c>
      <c r="H69" s="427">
        <v>0</v>
      </c>
      <c r="I69" s="427">
        <v>0</v>
      </c>
      <c r="J69" s="427">
        <v>0</v>
      </c>
      <c r="K69" s="427">
        <v>0</v>
      </c>
      <c r="L69" s="427">
        <v>0</v>
      </c>
      <c r="M69" s="427">
        <v>0</v>
      </c>
      <c r="N69" s="427">
        <v>0</v>
      </c>
      <c r="O69" s="427">
        <v>0</v>
      </c>
      <c r="P69" s="427">
        <v>0</v>
      </c>
      <c r="Q69" s="427">
        <v>0</v>
      </c>
      <c r="R69" s="427">
        <v>0</v>
      </c>
      <c r="S69" s="427">
        <v>0</v>
      </c>
      <c r="T69" s="427">
        <v>0</v>
      </c>
      <c r="U69" s="427">
        <v>0</v>
      </c>
      <c r="V69" s="427">
        <v>0</v>
      </c>
      <c r="W69" s="427">
        <v>0</v>
      </c>
      <c r="X69" s="427">
        <v>0</v>
      </c>
      <c r="Y69" s="427">
        <v>0</v>
      </c>
      <c r="Z69" s="427">
        <v>0</v>
      </c>
      <c r="AA69" s="427">
        <v>0</v>
      </c>
      <c r="AB69" s="427">
        <v>0</v>
      </c>
      <c r="AC69" s="427">
        <v>0</v>
      </c>
      <c r="AD69" s="427">
        <v>0</v>
      </c>
      <c r="AE69" s="427">
        <v>0</v>
      </c>
      <c r="AF69" s="427">
        <v>0</v>
      </c>
      <c r="AG69" s="427">
        <v>0</v>
      </c>
      <c r="AH69" s="427">
        <v>0</v>
      </c>
      <c r="AI69" s="427">
        <v>0</v>
      </c>
      <c r="AJ69" s="427">
        <v>0</v>
      </c>
      <c r="AK69" s="427">
        <v>0</v>
      </c>
      <c r="AL69" s="427">
        <v>0</v>
      </c>
      <c r="AM69" s="427">
        <v>0</v>
      </c>
      <c r="AN69" s="427">
        <v>0</v>
      </c>
      <c r="AO69" s="427">
        <v>0</v>
      </c>
      <c r="AP69" s="427">
        <v>0</v>
      </c>
      <c r="AQ69" s="427">
        <v>0</v>
      </c>
      <c r="AR69" s="427">
        <v>0</v>
      </c>
      <c r="AS69" s="427">
        <v>0</v>
      </c>
      <c r="AT69" s="427">
        <v>0</v>
      </c>
      <c r="AU69" s="427">
        <v>0</v>
      </c>
      <c r="AV69" s="427">
        <v>0</v>
      </c>
      <c r="AW69" s="427">
        <v>0</v>
      </c>
      <c r="AX69" s="427">
        <v>0</v>
      </c>
      <c r="AY69" s="427">
        <v>0</v>
      </c>
      <c r="AZ69" s="427">
        <v>0</v>
      </c>
      <c r="BA69" s="427">
        <v>0</v>
      </c>
      <c r="BB69" s="427">
        <v>0</v>
      </c>
      <c r="BC69" s="427">
        <v>0</v>
      </c>
      <c r="BD69" s="427">
        <v>0</v>
      </c>
      <c r="BE69" s="427">
        <v>0</v>
      </c>
      <c r="BF69" s="427">
        <v>0</v>
      </c>
      <c r="BG69" s="427">
        <v>0</v>
      </c>
      <c r="BH69" s="427">
        <v>0</v>
      </c>
      <c r="BI69" s="427">
        <v>0</v>
      </c>
      <c r="BJ69" s="427">
        <v>0</v>
      </c>
      <c r="BK69" s="427">
        <v>0</v>
      </c>
      <c r="BL69" s="427">
        <v>0</v>
      </c>
      <c r="BM69" s="427">
        <v>0</v>
      </c>
      <c r="BN69" s="427">
        <v>0</v>
      </c>
      <c r="BO69" s="427">
        <v>0</v>
      </c>
      <c r="BP69" s="427">
        <v>0</v>
      </c>
      <c r="BQ69" s="427">
        <v>0</v>
      </c>
      <c r="BR69" s="427">
        <v>0</v>
      </c>
      <c r="BS69" s="427">
        <v>0</v>
      </c>
      <c r="BT69" s="427">
        <v>0</v>
      </c>
      <c r="BU69" s="427">
        <v>0</v>
      </c>
      <c r="BV69" s="427">
        <v>0</v>
      </c>
      <c r="BW69" s="427">
        <v>0</v>
      </c>
      <c r="BX69" s="427">
        <v>0</v>
      </c>
      <c r="BY69" s="427">
        <v>0</v>
      </c>
      <c r="BZ69" s="427">
        <v>0</v>
      </c>
      <c r="CC69" s="21"/>
      <c r="CD69" s="426" t="s">
        <v>618</v>
      </c>
      <c r="CE69" s="433">
        <f t="shared" si="0"/>
        <v>0</v>
      </c>
      <c r="CF69" s="433">
        <f t="shared" si="1"/>
        <v>0</v>
      </c>
      <c r="CG69" s="433">
        <f t="shared" si="2"/>
        <v>0</v>
      </c>
      <c r="CH69" s="433">
        <f t="shared" si="3"/>
        <v>0</v>
      </c>
      <c r="CI69" s="433">
        <f t="shared" si="4"/>
        <v>0</v>
      </c>
      <c r="CJ69" s="433">
        <f t="shared" si="5"/>
        <v>0</v>
      </c>
      <c r="CK69" s="433">
        <f t="shared" si="6"/>
        <v>0</v>
      </c>
      <c r="CL69" s="433">
        <f t="shared" si="7"/>
        <v>0</v>
      </c>
      <c r="CM69" s="433">
        <f t="shared" si="8"/>
        <v>0</v>
      </c>
      <c r="CN69" s="433">
        <f t="shared" si="9"/>
        <v>0</v>
      </c>
      <c r="CO69" s="433">
        <f t="shared" si="10"/>
        <v>0</v>
      </c>
      <c r="CP69" s="433">
        <f t="shared" si="11"/>
        <v>0</v>
      </c>
      <c r="CQ69" s="433">
        <f t="shared" si="12"/>
        <v>0</v>
      </c>
      <c r="CR69" s="433">
        <f t="shared" si="13"/>
        <v>0</v>
      </c>
      <c r="CS69" s="433">
        <f t="shared" si="14"/>
        <v>0</v>
      </c>
      <c r="CT69" s="21"/>
    </row>
    <row r="70" spans="3:98" ht="24.75" hidden="1" customHeight="1" outlineLevel="2">
      <c r="C70" s="437" t="s">
        <v>620</v>
      </c>
      <c r="D70" s="427">
        <v>0</v>
      </c>
      <c r="E70" s="427">
        <v>0</v>
      </c>
      <c r="F70" s="427">
        <v>0</v>
      </c>
      <c r="G70" s="427">
        <v>0</v>
      </c>
      <c r="H70" s="427">
        <v>0</v>
      </c>
      <c r="I70" s="427">
        <v>0</v>
      </c>
      <c r="J70" s="427">
        <v>0</v>
      </c>
      <c r="K70" s="427">
        <v>0</v>
      </c>
      <c r="L70" s="427">
        <v>0</v>
      </c>
      <c r="M70" s="427">
        <v>0</v>
      </c>
      <c r="N70" s="427">
        <v>0</v>
      </c>
      <c r="O70" s="427">
        <v>0</v>
      </c>
      <c r="P70" s="427">
        <v>0</v>
      </c>
      <c r="Q70" s="427">
        <v>0</v>
      </c>
      <c r="R70" s="427">
        <v>0</v>
      </c>
      <c r="S70" s="427">
        <v>0</v>
      </c>
      <c r="T70" s="427">
        <v>0</v>
      </c>
      <c r="U70" s="427">
        <v>0</v>
      </c>
      <c r="V70" s="427">
        <v>0</v>
      </c>
      <c r="W70" s="427">
        <v>0</v>
      </c>
      <c r="X70" s="427">
        <v>0</v>
      </c>
      <c r="Y70" s="427">
        <v>0</v>
      </c>
      <c r="Z70" s="427">
        <v>0</v>
      </c>
      <c r="AA70" s="427">
        <v>0</v>
      </c>
      <c r="AB70" s="427">
        <v>0</v>
      </c>
      <c r="AC70" s="427">
        <v>0</v>
      </c>
      <c r="AD70" s="427">
        <v>0</v>
      </c>
      <c r="AE70" s="427">
        <v>0</v>
      </c>
      <c r="AF70" s="427">
        <v>0</v>
      </c>
      <c r="AG70" s="427">
        <v>0</v>
      </c>
      <c r="AH70" s="427">
        <v>0</v>
      </c>
      <c r="AI70" s="427">
        <v>0</v>
      </c>
      <c r="AJ70" s="427">
        <v>0</v>
      </c>
      <c r="AK70" s="427">
        <v>0</v>
      </c>
      <c r="AL70" s="427">
        <v>0</v>
      </c>
      <c r="AM70" s="427">
        <v>0</v>
      </c>
      <c r="AN70" s="427">
        <v>0</v>
      </c>
      <c r="AO70" s="427">
        <v>0</v>
      </c>
      <c r="AP70" s="427">
        <v>0</v>
      </c>
      <c r="AQ70" s="427">
        <v>0</v>
      </c>
      <c r="AR70" s="427">
        <v>0</v>
      </c>
      <c r="AS70" s="427">
        <v>0</v>
      </c>
      <c r="AT70" s="427">
        <v>0</v>
      </c>
      <c r="AU70" s="427">
        <v>0</v>
      </c>
      <c r="AV70" s="427">
        <v>0</v>
      </c>
      <c r="AW70" s="427">
        <v>0</v>
      </c>
      <c r="AX70" s="427">
        <v>0</v>
      </c>
      <c r="AY70" s="427">
        <v>0</v>
      </c>
      <c r="AZ70" s="427">
        <v>0</v>
      </c>
      <c r="BA70" s="427">
        <v>0</v>
      </c>
      <c r="BB70" s="427">
        <v>0</v>
      </c>
      <c r="BC70" s="427">
        <v>0</v>
      </c>
      <c r="BD70" s="427">
        <v>0</v>
      </c>
      <c r="BE70" s="427">
        <v>0</v>
      </c>
      <c r="BF70" s="427">
        <v>0</v>
      </c>
      <c r="BG70" s="427">
        <v>0</v>
      </c>
      <c r="BH70" s="427">
        <v>0</v>
      </c>
      <c r="BI70" s="427">
        <v>0</v>
      </c>
      <c r="BJ70" s="427">
        <v>0</v>
      </c>
      <c r="BK70" s="427">
        <v>0</v>
      </c>
      <c r="BL70" s="427">
        <v>0</v>
      </c>
      <c r="BM70" s="427">
        <v>0</v>
      </c>
      <c r="BN70" s="427">
        <v>0</v>
      </c>
      <c r="BO70" s="427">
        <v>0</v>
      </c>
      <c r="BP70" s="427">
        <v>28.510999999999999</v>
      </c>
      <c r="BQ70" s="427">
        <v>0</v>
      </c>
      <c r="BR70" s="427">
        <v>0</v>
      </c>
      <c r="BS70" s="427">
        <v>0</v>
      </c>
      <c r="BT70" s="427">
        <v>0</v>
      </c>
      <c r="BU70" s="427">
        <v>-141.023</v>
      </c>
      <c r="BV70" s="427">
        <v>0</v>
      </c>
      <c r="BW70" s="427">
        <v>0</v>
      </c>
      <c r="BX70" s="427">
        <v>0</v>
      </c>
      <c r="BY70" s="427">
        <v>0</v>
      </c>
      <c r="BZ70" s="427">
        <v>0</v>
      </c>
      <c r="CC70" s="21"/>
      <c r="CD70" s="437" t="s">
        <v>620</v>
      </c>
      <c r="CE70" s="433">
        <f t="shared" si="0"/>
        <v>0</v>
      </c>
      <c r="CF70" s="433">
        <f t="shared" si="1"/>
        <v>0</v>
      </c>
      <c r="CG70" s="433">
        <f t="shared" si="2"/>
        <v>0</v>
      </c>
      <c r="CH70" s="433">
        <f t="shared" si="3"/>
        <v>0</v>
      </c>
      <c r="CI70" s="433">
        <f t="shared" si="4"/>
        <v>0</v>
      </c>
      <c r="CJ70" s="433">
        <f t="shared" si="5"/>
        <v>0</v>
      </c>
      <c r="CK70" s="433">
        <f t="shared" si="6"/>
        <v>0</v>
      </c>
      <c r="CL70" s="433">
        <f t="shared" si="7"/>
        <v>0</v>
      </c>
      <c r="CM70" s="433">
        <f t="shared" si="8"/>
        <v>0</v>
      </c>
      <c r="CN70" s="433">
        <f t="shared" si="9"/>
        <v>0</v>
      </c>
      <c r="CO70" s="433">
        <f t="shared" si="10"/>
        <v>0</v>
      </c>
      <c r="CP70" s="433">
        <f t="shared" si="11"/>
        <v>0</v>
      </c>
      <c r="CQ70" s="433">
        <f t="shared" si="12"/>
        <v>28.510999999999999</v>
      </c>
      <c r="CR70" s="433">
        <f t="shared" si="13"/>
        <v>-141.023</v>
      </c>
      <c r="CS70" s="433">
        <f t="shared" si="14"/>
        <v>0</v>
      </c>
      <c r="CT70" s="21"/>
    </row>
    <row r="71" spans="3:98" ht="24.75" hidden="1" customHeight="1" outlineLevel="2">
      <c r="C71" s="437" t="s">
        <v>621</v>
      </c>
      <c r="D71" s="427">
        <v>0</v>
      </c>
      <c r="E71" s="427">
        <v>0</v>
      </c>
      <c r="F71" s="427">
        <v>0</v>
      </c>
      <c r="G71" s="427">
        <v>0</v>
      </c>
      <c r="H71" s="427">
        <v>0</v>
      </c>
      <c r="I71" s="427">
        <v>0</v>
      </c>
      <c r="J71" s="427">
        <v>0</v>
      </c>
      <c r="K71" s="427">
        <v>0</v>
      </c>
      <c r="L71" s="427">
        <v>0</v>
      </c>
      <c r="M71" s="427">
        <v>0</v>
      </c>
      <c r="N71" s="427">
        <v>0</v>
      </c>
      <c r="O71" s="427">
        <v>0</v>
      </c>
      <c r="P71" s="427">
        <v>0</v>
      </c>
      <c r="Q71" s="427">
        <v>0</v>
      </c>
      <c r="R71" s="427">
        <v>0</v>
      </c>
      <c r="S71" s="427">
        <v>0</v>
      </c>
      <c r="T71" s="427">
        <v>0</v>
      </c>
      <c r="U71" s="427">
        <v>0</v>
      </c>
      <c r="V71" s="427">
        <v>0</v>
      </c>
      <c r="W71" s="427">
        <v>0</v>
      </c>
      <c r="X71" s="427">
        <v>0</v>
      </c>
      <c r="Y71" s="427">
        <v>0</v>
      </c>
      <c r="Z71" s="427">
        <v>0</v>
      </c>
      <c r="AA71" s="427">
        <v>0</v>
      </c>
      <c r="AB71" s="427">
        <v>0</v>
      </c>
      <c r="AC71" s="427">
        <v>0</v>
      </c>
      <c r="AD71" s="427">
        <v>0</v>
      </c>
      <c r="AE71" s="427">
        <v>0</v>
      </c>
      <c r="AF71" s="427">
        <v>0</v>
      </c>
      <c r="AG71" s="427">
        <v>0</v>
      </c>
      <c r="AH71" s="427">
        <v>0</v>
      </c>
      <c r="AI71" s="427">
        <v>0</v>
      </c>
      <c r="AJ71" s="427">
        <v>0</v>
      </c>
      <c r="AK71" s="427">
        <v>0</v>
      </c>
      <c r="AL71" s="427">
        <v>0</v>
      </c>
      <c r="AM71" s="427">
        <v>0</v>
      </c>
      <c r="AN71" s="427">
        <v>0</v>
      </c>
      <c r="AO71" s="427">
        <v>0</v>
      </c>
      <c r="AP71" s="427">
        <v>0</v>
      </c>
      <c r="AQ71" s="427">
        <v>0</v>
      </c>
      <c r="AR71" s="427">
        <v>0</v>
      </c>
      <c r="AS71" s="427">
        <v>0</v>
      </c>
      <c r="AT71" s="427">
        <v>0</v>
      </c>
      <c r="AU71" s="427">
        <v>0</v>
      </c>
      <c r="AV71" s="427">
        <v>0</v>
      </c>
      <c r="AW71" s="427">
        <v>0</v>
      </c>
      <c r="AX71" s="427">
        <v>0</v>
      </c>
      <c r="AY71" s="427">
        <v>0</v>
      </c>
      <c r="AZ71" s="427">
        <v>0</v>
      </c>
      <c r="BA71" s="427">
        <v>0</v>
      </c>
      <c r="BB71" s="427">
        <v>0</v>
      </c>
      <c r="BC71" s="427">
        <v>0</v>
      </c>
      <c r="BD71" s="427">
        <v>0</v>
      </c>
      <c r="BE71" s="427">
        <v>0</v>
      </c>
      <c r="BF71" s="427">
        <v>0</v>
      </c>
      <c r="BG71" s="427">
        <v>0</v>
      </c>
      <c r="BH71" s="427">
        <v>0</v>
      </c>
      <c r="BI71" s="427">
        <v>0</v>
      </c>
      <c r="BJ71" s="427">
        <v>0</v>
      </c>
      <c r="BK71" s="427">
        <v>0</v>
      </c>
      <c r="BL71" s="427">
        <v>0</v>
      </c>
      <c r="BM71" s="427">
        <v>0</v>
      </c>
      <c r="BN71" s="427">
        <v>0</v>
      </c>
      <c r="BO71" s="427">
        <v>0</v>
      </c>
      <c r="BP71" s="427">
        <v>0</v>
      </c>
      <c r="BQ71" s="427">
        <v>0</v>
      </c>
      <c r="BR71" s="427">
        <v>0</v>
      </c>
      <c r="BS71" s="427">
        <v>0</v>
      </c>
      <c r="BT71" s="427">
        <v>0</v>
      </c>
      <c r="BU71" s="427">
        <v>0</v>
      </c>
      <c r="BV71" s="427">
        <v>0</v>
      </c>
      <c r="BW71" s="427">
        <v>0</v>
      </c>
      <c r="BX71" s="427">
        <v>0</v>
      </c>
      <c r="BY71" s="427">
        <v>0</v>
      </c>
      <c r="BZ71" s="427">
        <v>0</v>
      </c>
      <c r="CC71" s="21"/>
      <c r="CD71" s="437" t="s">
        <v>621</v>
      </c>
      <c r="CE71" s="433">
        <f t="shared" si="0"/>
        <v>0</v>
      </c>
      <c r="CF71" s="433">
        <f t="shared" si="1"/>
        <v>0</v>
      </c>
      <c r="CG71" s="433">
        <f t="shared" si="2"/>
        <v>0</v>
      </c>
      <c r="CH71" s="433">
        <f t="shared" si="3"/>
        <v>0</v>
      </c>
      <c r="CI71" s="433">
        <f t="shared" si="4"/>
        <v>0</v>
      </c>
      <c r="CJ71" s="433">
        <f t="shared" si="5"/>
        <v>0</v>
      </c>
      <c r="CK71" s="433">
        <f t="shared" si="6"/>
        <v>0</v>
      </c>
      <c r="CL71" s="433">
        <f t="shared" si="7"/>
        <v>0</v>
      </c>
      <c r="CM71" s="433">
        <f t="shared" si="8"/>
        <v>0</v>
      </c>
      <c r="CN71" s="433">
        <f t="shared" si="9"/>
        <v>0</v>
      </c>
      <c r="CO71" s="433">
        <f t="shared" si="10"/>
        <v>0</v>
      </c>
      <c r="CP71" s="433">
        <f t="shared" si="11"/>
        <v>0</v>
      </c>
      <c r="CQ71" s="433">
        <f t="shared" si="12"/>
        <v>0</v>
      </c>
      <c r="CR71" s="433">
        <f t="shared" si="13"/>
        <v>0</v>
      </c>
      <c r="CS71" s="433">
        <f t="shared" si="14"/>
        <v>0</v>
      </c>
      <c r="CT71" s="21"/>
    </row>
    <row r="72" spans="3:98" ht="24.75" hidden="1" customHeight="1" outlineLevel="2">
      <c r="C72" s="437" t="s">
        <v>622</v>
      </c>
      <c r="D72" s="427">
        <v>0</v>
      </c>
      <c r="E72" s="427">
        <v>0</v>
      </c>
      <c r="F72" s="427">
        <v>0</v>
      </c>
      <c r="G72" s="427">
        <v>0</v>
      </c>
      <c r="H72" s="427">
        <v>0</v>
      </c>
      <c r="I72" s="427">
        <v>0</v>
      </c>
      <c r="J72" s="427">
        <v>0</v>
      </c>
      <c r="K72" s="427">
        <v>0</v>
      </c>
      <c r="L72" s="427">
        <v>0</v>
      </c>
      <c r="M72" s="427">
        <v>0</v>
      </c>
      <c r="N72" s="427">
        <v>0</v>
      </c>
      <c r="O72" s="427">
        <v>0</v>
      </c>
      <c r="P72" s="427">
        <v>0</v>
      </c>
      <c r="Q72" s="427">
        <v>0</v>
      </c>
      <c r="R72" s="427">
        <v>0</v>
      </c>
      <c r="S72" s="427">
        <v>0</v>
      </c>
      <c r="T72" s="427">
        <v>0</v>
      </c>
      <c r="U72" s="427">
        <v>0</v>
      </c>
      <c r="V72" s="427">
        <v>0</v>
      </c>
      <c r="W72" s="427">
        <v>0</v>
      </c>
      <c r="X72" s="427">
        <v>0</v>
      </c>
      <c r="Y72" s="427">
        <v>0</v>
      </c>
      <c r="Z72" s="427">
        <v>0</v>
      </c>
      <c r="AA72" s="427">
        <v>0</v>
      </c>
      <c r="AB72" s="427">
        <v>0</v>
      </c>
      <c r="AC72" s="427">
        <v>0</v>
      </c>
      <c r="AD72" s="427">
        <v>0</v>
      </c>
      <c r="AE72" s="427">
        <v>0</v>
      </c>
      <c r="AF72" s="427">
        <v>0</v>
      </c>
      <c r="AG72" s="427">
        <v>0</v>
      </c>
      <c r="AH72" s="427">
        <v>0</v>
      </c>
      <c r="AI72" s="427">
        <v>0</v>
      </c>
      <c r="AJ72" s="427">
        <v>0</v>
      </c>
      <c r="AK72" s="427">
        <v>0</v>
      </c>
      <c r="AL72" s="427">
        <v>0</v>
      </c>
      <c r="AM72" s="427">
        <v>0</v>
      </c>
      <c r="AN72" s="427">
        <v>0</v>
      </c>
      <c r="AO72" s="427">
        <v>0</v>
      </c>
      <c r="AP72" s="427">
        <v>0</v>
      </c>
      <c r="AQ72" s="427">
        <v>0</v>
      </c>
      <c r="AR72" s="427">
        <v>0</v>
      </c>
      <c r="AS72" s="427">
        <v>0</v>
      </c>
      <c r="AT72" s="427">
        <v>0</v>
      </c>
      <c r="AU72" s="427">
        <v>0</v>
      </c>
      <c r="AV72" s="427">
        <v>0</v>
      </c>
      <c r="AW72" s="427">
        <v>0</v>
      </c>
      <c r="AX72" s="427">
        <v>0</v>
      </c>
      <c r="AY72" s="427">
        <v>0</v>
      </c>
      <c r="AZ72" s="427">
        <v>0</v>
      </c>
      <c r="BA72" s="427">
        <v>0</v>
      </c>
      <c r="BB72" s="427">
        <v>0</v>
      </c>
      <c r="BC72" s="427">
        <v>0</v>
      </c>
      <c r="BD72" s="427">
        <v>0</v>
      </c>
      <c r="BE72" s="427">
        <v>0</v>
      </c>
      <c r="BF72" s="427">
        <v>0</v>
      </c>
      <c r="BG72" s="427">
        <v>0</v>
      </c>
      <c r="BH72" s="427">
        <v>0</v>
      </c>
      <c r="BI72" s="427">
        <v>0</v>
      </c>
      <c r="BJ72" s="427">
        <v>0</v>
      </c>
      <c r="BK72" s="427">
        <v>0</v>
      </c>
      <c r="BL72" s="427">
        <v>0</v>
      </c>
      <c r="BM72" s="427">
        <v>0</v>
      </c>
      <c r="BN72" s="427">
        <v>0</v>
      </c>
      <c r="BO72" s="427">
        <v>0</v>
      </c>
      <c r="BP72" s="427">
        <v>0</v>
      </c>
      <c r="BQ72" s="427">
        <v>0</v>
      </c>
      <c r="BR72" s="427">
        <v>0</v>
      </c>
      <c r="BS72" s="427">
        <v>0</v>
      </c>
      <c r="BT72" s="427">
        <v>0</v>
      </c>
      <c r="BU72" s="427">
        <v>0</v>
      </c>
      <c r="BV72" s="427">
        <v>0</v>
      </c>
      <c r="BW72" s="427">
        <v>0</v>
      </c>
      <c r="BX72" s="427">
        <v>0</v>
      </c>
      <c r="BY72" s="427">
        <v>0</v>
      </c>
      <c r="BZ72" s="427">
        <v>0</v>
      </c>
      <c r="CC72" s="21"/>
      <c r="CD72" s="437" t="s">
        <v>622</v>
      </c>
      <c r="CE72" s="433">
        <f t="shared" ref="CE72:CE135" si="15">H72</f>
        <v>0</v>
      </c>
      <c r="CF72" s="433">
        <f t="shared" ref="CF72:CF135" si="16">M72</f>
        <v>0</v>
      </c>
      <c r="CG72" s="433">
        <f t="shared" ref="CG72:CG135" si="17">R72</f>
        <v>0</v>
      </c>
      <c r="CH72" s="433">
        <f t="shared" ref="CH72:CH135" si="18">W72</f>
        <v>0</v>
      </c>
      <c r="CI72" s="433">
        <f t="shared" ref="CI72:CI135" si="19">AB72</f>
        <v>0</v>
      </c>
      <c r="CJ72" s="433">
        <f t="shared" ref="CJ72:CJ135" si="20">AG72</f>
        <v>0</v>
      </c>
      <c r="CK72" s="433">
        <f t="shared" ref="CK72:CK135" si="21">AL72</f>
        <v>0</v>
      </c>
      <c r="CL72" s="433">
        <f t="shared" ref="CL72:CL135" si="22">AQ72</f>
        <v>0</v>
      </c>
      <c r="CM72" s="433">
        <f t="shared" ref="CM72:CM135" si="23">AV72</f>
        <v>0</v>
      </c>
      <c r="CN72" s="433">
        <f t="shared" ref="CN72:CN135" si="24">BA72</f>
        <v>0</v>
      </c>
      <c r="CO72" s="433">
        <f t="shared" ref="CO72:CO135" si="25">BF72</f>
        <v>0</v>
      </c>
      <c r="CP72" s="433">
        <f t="shared" ref="CP72:CP135" si="26">BK72</f>
        <v>0</v>
      </c>
      <c r="CQ72" s="433">
        <f t="shared" ref="CQ72:CQ135" si="27">BP72</f>
        <v>0</v>
      </c>
      <c r="CR72" s="433">
        <f t="shared" ref="CR72:CR135" si="28">BU72</f>
        <v>0</v>
      </c>
      <c r="CS72" s="433">
        <f t="shared" ref="CS72:CS135" si="29">BZ72</f>
        <v>0</v>
      </c>
      <c r="CT72" s="21"/>
    </row>
    <row r="73" spans="3:98" ht="24.75" hidden="1" customHeight="1" outlineLevel="2">
      <c r="C73" s="437" t="s">
        <v>623</v>
      </c>
      <c r="D73" s="427">
        <v>0</v>
      </c>
      <c r="E73" s="427">
        <v>0</v>
      </c>
      <c r="F73" s="427">
        <v>0</v>
      </c>
      <c r="G73" s="427">
        <v>0</v>
      </c>
      <c r="H73" s="427">
        <v>0</v>
      </c>
      <c r="I73" s="427">
        <v>0</v>
      </c>
      <c r="J73" s="427">
        <v>0</v>
      </c>
      <c r="K73" s="427">
        <v>0</v>
      </c>
      <c r="L73" s="427">
        <v>0</v>
      </c>
      <c r="M73" s="427">
        <v>0</v>
      </c>
      <c r="N73" s="427">
        <v>0</v>
      </c>
      <c r="O73" s="427">
        <v>0</v>
      </c>
      <c r="P73" s="427">
        <v>0</v>
      </c>
      <c r="Q73" s="427">
        <v>0</v>
      </c>
      <c r="R73" s="427">
        <v>0</v>
      </c>
      <c r="S73" s="427">
        <v>0</v>
      </c>
      <c r="T73" s="427">
        <v>0</v>
      </c>
      <c r="U73" s="427">
        <v>0</v>
      </c>
      <c r="V73" s="427">
        <v>0</v>
      </c>
      <c r="W73" s="427">
        <v>0</v>
      </c>
      <c r="X73" s="427">
        <v>0</v>
      </c>
      <c r="Y73" s="427">
        <v>0</v>
      </c>
      <c r="Z73" s="427">
        <v>0</v>
      </c>
      <c r="AA73" s="427">
        <v>0</v>
      </c>
      <c r="AB73" s="427">
        <v>0</v>
      </c>
      <c r="AC73" s="427">
        <v>0</v>
      </c>
      <c r="AD73" s="427">
        <v>0</v>
      </c>
      <c r="AE73" s="427">
        <v>0</v>
      </c>
      <c r="AF73" s="427">
        <v>0</v>
      </c>
      <c r="AG73" s="427">
        <v>0</v>
      </c>
      <c r="AH73" s="427">
        <v>0</v>
      </c>
      <c r="AI73" s="427">
        <v>0</v>
      </c>
      <c r="AJ73" s="427">
        <v>0</v>
      </c>
      <c r="AK73" s="427">
        <v>0</v>
      </c>
      <c r="AL73" s="427">
        <v>0</v>
      </c>
      <c r="AM73" s="427">
        <v>0</v>
      </c>
      <c r="AN73" s="427">
        <v>0</v>
      </c>
      <c r="AO73" s="427">
        <v>0</v>
      </c>
      <c r="AP73" s="427">
        <v>0</v>
      </c>
      <c r="AQ73" s="427">
        <v>0</v>
      </c>
      <c r="AR73" s="427">
        <v>0</v>
      </c>
      <c r="AS73" s="427">
        <v>0</v>
      </c>
      <c r="AT73" s="427">
        <v>0</v>
      </c>
      <c r="AU73" s="427">
        <v>0</v>
      </c>
      <c r="AV73" s="427">
        <v>0</v>
      </c>
      <c r="AW73" s="427">
        <v>0</v>
      </c>
      <c r="AX73" s="427">
        <v>0</v>
      </c>
      <c r="AY73" s="427">
        <v>0</v>
      </c>
      <c r="AZ73" s="427">
        <v>0</v>
      </c>
      <c r="BA73" s="427">
        <v>0</v>
      </c>
      <c r="BB73" s="427">
        <v>0</v>
      </c>
      <c r="BC73" s="427">
        <v>0</v>
      </c>
      <c r="BD73" s="427">
        <v>0</v>
      </c>
      <c r="BE73" s="427">
        <v>0</v>
      </c>
      <c r="BF73" s="427">
        <v>0</v>
      </c>
      <c r="BG73" s="427">
        <v>0</v>
      </c>
      <c r="BH73" s="427">
        <v>0</v>
      </c>
      <c r="BI73" s="427">
        <v>0</v>
      </c>
      <c r="BJ73" s="427">
        <v>0</v>
      </c>
      <c r="BK73" s="427">
        <v>0</v>
      </c>
      <c r="BL73" s="427">
        <v>0</v>
      </c>
      <c r="BM73" s="427">
        <v>0</v>
      </c>
      <c r="BN73" s="427">
        <v>0</v>
      </c>
      <c r="BO73" s="427">
        <v>0</v>
      </c>
      <c r="BP73" s="427">
        <v>0</v>
      </c>
      <c r="BQ73" s="427">
        <v>0</v>
      </c>
      <c r="BR73" s="427">
        <v>0</v>
      </c>
      <c r="BS73" s="427">
        <v>0</v>
      </c>
      <c r="BT73" s="427">
        <v>0</v>
      </c>
      <c r="BU73" s="427">
        <v>0</v>
      </c>
      <c r="BV73" s="427">
        <v>0</v>
      </c>
      <c r="BW73" s="427">
        <v>0</v>
      </c>
      <c r="BX73" s="427">
        <v>0</v>
      </c>
      <c r="BY73" s="427">
        <v>0</v>
      </c>
      <c r="BZ73" s="427">
        <v>0</v>
      </c>
      <c r="CC73" s="21"/>
      <c r="CD73" s="437" t="s">
        <v>623</v>
      </c>
      <c r="CE73" s="433">
        <f t="shared" si="15"/>
        <v>0</v>
      </c>
      <c r="CF73" s="433">
        <f t="shared" si="16"/>
        <v>0</v>
      </c>
      <c r="CG73" s="433">
        <f t="shared" si="17"/>
        <v>0</v>
      </c>
      <c r="CH73" s="433">
        <f t="shared" si="18"/>
        <v>0</v>
      </c>
      <c r="CI73" s="433">
        <f t="shared" si="19"/>
        <v>0</v>
      </c>
      <c r="CJ73" s="433">
        <f t="shared" si="20"/>
        <v>0</v>
      </c>
      <c r="CK73" s="433">
        <f t="shared" si="21"/>
        <v>0</v>
      </c>
      <c r="CL73" s="433">
        <f t="shared" si="22"/>
        <v>0</v>
      </c>
      <c r="CM73" s="433">
        <f t="shared" si="23"/>
        <v>0</v>
      </c>
      <c r="CN73" s="433">
        <f t="shared" si="24"/>
        <v>0</v>
      </c>
      <c r="CO73" s="433">
        <f t="shared" si="25"/>
        <v>0</v>
      </c>
      <c r="CP73" s="433">
        <f t="shared" si="26"/>
        <v>0</v>
      </c>
      <c r="CQ73" s="433">
        <f t="shared" si="27"/>
        <v>0</v>
      </c>
      <c r="CR73" s="433">
        <f t="shared" si="28"/>
        <v>0</v>
      </c>
      <c r="CS73" s="433">
        <f t="shared" si="29"/>
        <v>0</v>
      </c>
      <c r="CT73" s="21"/>
    </row>
    <row r="74" spans="3:98" ht="24.75" hidden="1" customHeight="1" outlineLevel="2">
      <c r="C74" s="437" t="s">
        <v>624</v>
      </c>
      <c r="D74" s="427">
        <v>0</v>
      </c>
      <c r="E74" s="427">
        <v>0</v>
      </c>
      <c r="F74" s="427">
        <v>0</v>
      </c>
      <c r="G74" s="427">
        <v>0</v>
      </c>
      <c r="H74" s="427">
        <v>0</v>
      </c>
      <c r="I74" s="427">
        <v>0</v>
      </c>
      <c r="J74" s="427">
        <v>0</v>
      </c>
      <c r="K74" s="427">
        <v>0</v>
      </c>
      <c r="L74" s="427">
        <v>0</v>
      </c>
      <c r="M74" s="427">
        <v>0</v>
      </c>
      <c r="N74" s="427">
        <v>0</v>
      </c>
      <c r="O74" s="427">
        <v>0</v>
      </c>
      <c r="P74" s="427">
        <v>0</v>
      </c>
      <c r="Q74" s="427">
        <v>0</v>
      </c>
      <c r="R74" s="427">
        <v>0</v>
      </c>
      <c r="S74" s="427">
        <v>0</v>
      </c>
      <c r="T74" s="427">
        <v>0</v>
      </c>
      <c r="U74" s="427">
        <v>0</v>
      </c>
      <c r="V74" s="427">
        <v>0</v>
      </c>
      <c r="W74" s="427">
        <v>0</v>
      </c>
      <c r="X74" s="427">
        <v>0</v>
      </c>
      <c r="Y74" s="427">
        <v>0</v>
      </c>
      <c r="Z74" s="427">
        <v>0</v>
      </c>
      <c r="AA74" s="427">
        <v>0</v>
      </c>
      <c r="AB74" s="427">
        <v>0</v>
      </c>
      <c r="AC74" s="427">
        <v>0</v>
      </c>
      <c r="AD74" s="427">
        <v>0</v>
      </c>
      <c r="AE74" s="427">
        <v>0</v>
      </c>
      <c r="AF74" s="427">
        <v>0</v>
      </c>
      <c r="AG74" s="427">
        <v>0</v>
      </c>
      <c r="AH74" s="427">
        <v>0</v>
      </c>
      <c r="AI74" s="427">
        <v>0</v>
      </c>
      <c r="AJ74" s="427">
        <v>0</v>
      </c>
      <c r="AK74" s="427">
        <v>0</v>
      </c>
      <c r="AL74" s="427">
        <v>0</v>
      </c>
      <c r="AM74" s="427">
        <v>0</v>
      </c>
      <c r="AN74" s="427">
        <v>0</v>
      </c>
      <c r="AO74" s="427">
        <v>0</v>
      </c>
      <c r="AP74" s="427">
        <v>0</v>
      </c>
      <c r="AQ74" s="427">
        <v>0</v>
      </c>
      <c r="AR74" s="427">
        <v>0</v>
      </c>
      <c r="AS74" s="427">
        <v>0</v>
      </c>
      <c r="AT74" s="427">
        <v>0</v>
      </c>
      <c r="AU74" s="427">
        <v>0</v>
      </c>
      <c r="AV74" s="427">
        <v>0</v>
      </c>
      <c r="AW74" s="427">
        <v>0</v>
      </c>
      <c r="AX74" s="427">
        <v>0</v>
      </c>
      <c r="AY74" s="427">
        <v>0</v>
      </c>
      <c r="AZ74" s="427">
        <v>0</v>
      </c>
      <c r="BA74" s="427">
        <v>0</v>
      </c>
      <c r="BB74" s="427">
        <v>0</v>
      </c>
      <c r="BC74" s="427">
        <v>0</v>
      </c>
      <c r="BD74" s="427">
        <v>0</v>
      </c>
      <c r="BE74" s="427">
        <v>0</v>
      </c>
      <c r="BF74" s="427">
        <v>0</v>
      </c>
      <c r="BG74" s="427">
        <v>0</v>
      </c>
      <c r="BH74" s="427">
        <v>0</v>
      </c>
      <c r="BI74" s="427">
        <v>0</v>
      </c>
      <c r="BJ74" s="427">
        <v>0</v>
      </c>
      <c r="BK74" s="427">
        <v>0</v>
      </c>
      <c r="BL74" s="427">
        <v>0</v>
      </c>
      <c r="BM74" s="427">
        <v>0</v>
      </c>
      <c r="BN74" s="427">
        <v>0</v>
      </c>
      <c r="BO74" s="427">
        <v>0</v>
      </c>
      <c r="BP74" s="427">
        <v>0</v>
      </c>
      <c r="BQ74" s="427">
        <v>0</v>
      </c>
      <c r="BR74" s="427">
        <v>0</v>
      </c>
      <c r="BS74" s="427">
        <v>0</v>
      </c>
      <c r="BT74" s="427">
        <v>0</v>
      </c>
      <c r="BU74" s="427">
        <v>0</v>
      </c>
      <c r="BV74" s="427">
        <v>0</v>
      </c>
      <c r="BW74" s="427">
        <v>0</v>
      </c>
      <c r="BX74" s="427">
        <v>0</v>
      </c>
      <c r="BY74" s="427">
        <v>0</v>
      </c>
      <c r="BZ74" s="427">
        <v>0</v>
      </c>
      <c r="CC74" s="21"/>
      <c r="CD74" s="437" t="s">
        <v>624</v>
      </c>
      <c r="CE74" s="433">
        <f t="shared" si="15"/>
        <v>0</v>
      </c>
      <c r="CF74" s="433">
        <f t="shared" si="16"/>
        <v>0</v>
      </c>
      <c r="CG74" s="433">
        <f t="shared" si="17"/>
        <v>0</v>
      </c>
      <c r="CH74" s="433">
        <f t="shared" si="18"/>
        <v>0</v>
      </c>
      <c r="CI74" s="433">
        <f t="shared" si="19"/>
        <v>0</v>
      </c>
      <c r="CJ74" s="433">
        <f t="shared" si="20"/>
        <v>0</v>
      </c>
      <c r="CK74" s="433">
        <f t="shared" si="21"/>
        <v>0</v>
      </c>
      <c r="CL74" s="433">
        <f t="shared" si="22"/>
        <v>0</v>
      </c>
      <c r="CM74" s="433">
        <f t="shared" si="23"/>
        <v>0</v>
      </c>
      <c r="CN74" s="433">
        <f t="shared" si="24"/>
        <v>0</v>
      </c>
      <c r="CO74" s="433">
        <f t="shared" si="25"/>
        <v>0</v>
      </c>
      <c r="CP74" s="433">
        <f t="shared" si="26"/>
        <v>0</v>
      </c>
      <c r="CQ74" s="433">
        <f t="shared" si="27"/>
        <v>0</v>
      </c>
      <c r="CR74" s="433">
        <f t="shared" si="28"/>
        <v>0</v>
      </c>
      <c r="CS74" s="433">
        <f t="shared" si="29"/>
        <v>0</v>
      </c>
      <c r="CT74" s="21"/>
    </row>
    <row r="75" spans="3:98" ht="24.75" hidden="1" customHeight="1" outlineLevel="2">
      <c r="C75" s="437" t="s">
        <v>625</v>
      </c>
      <c r="D75" s="427">
        <v>0</v>
      </c>
      <c r="E75" s="427">
        <v>0</v>
      </c>
      <c r="F75" s="427">
        <v>0</v>
      </c>
      <c r="G75" s="427">
        <v>0</v>
      </c>
      <c r="H75" s="427">
        <v>0</v>
      </c>
      <c r="I75" s="427">
        <v>0</v>
      </c>
      <c r="J75" s="427">
        <v>0</v>
      </c>
      <c r="K75" s="427">
        <v>0</v>
      </c>
      <c r="L75" s="427">
        <v>0</v>
      </c>
      <c r="M75" s="427">
        <v>0</v>
      </c>
      <c r="N75" s="427">
        <v>0</v>
      </c>
      <c r="O75" s="427">
        <v>0</v>
      </c>
      <c r="P75" s="427">
        <v>0</v>
      </c>
      <c r="Q75" s="427">
        <v>0</v>
      </c>
      <c r="R75" s="427">
        <v>0</v>
      </c>
      <c r="S75" s="427">
        <v>0</v>
      </c>
      <c r="T75" s="427">
        <v>0</v>
      </c>
      <c r="U75" s="427">
        <v>0</v>
      </c>
      <c r="V75" s="427">
        <v>0</v>
      </c>
      <c r="W75" s="427">
        <v>0</v>
      </c>
      <c r="X75" s="427">
        <v>0</v>
      </c>
      <c r="Y75" s="427">
        <v>0</v>
      </c>
      <c r="Z75" s="427">
        <v>0</v>
      </c>
      <c r="AA75" s="427">
        <v>0</v>
      </c>
      <c r="AB75" s="427">
        <v>0</v>
      </c>
      <c r="AC75" s="427">
        <v>0</v>
      </c>
      <c r="AD75" s="427">
        <v>0</v>
      </c>
      <c r="AE75" s="427">
        <v>0</v>
      </c>
      <c r="AF75" s="427">
        <v>0</v>
      </c>
      <c r="AG75" s="427">
        <v>0</v>
      </c>
      <c r="AH75" s="427">
        <v>0</v>
      </c>
      <c r="AI75" s="427">
        <v>0</v>
      </c>
      <c r="AJ75" s="427">
        <v>0</v>
      </c>
      <c r="AK75" s="427">
        <v>0</v>
      </c>
      <c r="AL75" s="427">
        <v>0</v>
      </c>
      <c r="AM75" s="427">
        <v>0</v>
      </c>
      <c r="AN75" s="427">
        <v>0</v>
      </c>
      <c r="AO75" s="427">
        <v>0</v>
      </c>
      <c r="AP75" s="427">
        <v>0</v>
      </c>
      <c r="AQ75" s="427">
        <v>0</v>
      </c>
      <c r="AR75" s="427">
        <v>0</v>
      </c>
      <c r="AS75" s="427">
        <v>0</v>
      </c>
      <c r="AT75" s="427">
        <v>0</v>
      </c>
      <c r="AU75" s="427">
        <v>0</v>
      </c>
      <c r="AV75" s="427">
        <v>0</v>
      </c>
      <c r="AW75" s="427">
        <v>0</v>
      </c>
      <c r="AX75" s="427">
        <v>0</v>
      </c>
      <c r="AY75" s="427">
        <v>0</v>
      </c>
      <c r="AZ75" s="427">
        <v>0</v>
      </c>
      <c r="BA75" s="427">
        <v>0</v>
      </c>
      <c r="BB75" s="427">
        <v>0</v>
      </c>
      <c r="BC75" s="427">
        <v>0</v>
      </c>
      <c r="BD75" s="427">
        <v>0</v>
      </c>
      <c r="BE75" s="427">
        <v>0</v>
      </c>
      <c r="BF75" s="427">
        <v>0</v>
      </c>
      <c r="BG75" s="427">
        <v>0</v>
      </c>
      <c r="BH75" s="427">
        <v>0</v>
      </c>
      <c r="BI75" s="427">
        <v>0</v>
      </c>
      <c r="BJ75" s="427">
        <v>0</v>
      </c>
      <c r="BK75" s="427">
        <v>0</v>
      </c>
      <c r="BL75" s="427">
        <v>0</v>
      </c>
      <c r="BM75" s="427">
        <v>0</v>
      </c>
      <c r="BN75" s="427">
        <v>0</v>
      </c>
      <c r="BO75" s="427">
        <v>0</v>
      </c>
      <c r="BP75" s="427">
        <v>-62.145000000000003</v>
      </c>
      <c r="BQ75" s="427">
        <v>0</v>
      </c>
      <c r="BR75" s="427">
        <v>0</v>
      </c>
      <c r="BS75" s="427">
        <v>0</v>
      </c>
      <c r="BT75" s="427">
        <v>0</v>
      </c>
      <c r="BU75" s="427">
        <v>1.9059999999999999</v>
      </c>
      <c r="BV75" s="427">
        <v>0</v>
      </c>
      <c r="BW75" s="427">
        <v>0</v>
      </c>
      <c r="BX75" s="427">
        <v>0</v>
      </c>
      <c r="BY75" s="427">
        <v>0</v>
      </c>
      <c r="BZ75" s="427">
        <v>0</v>
      </c>
      <c r="CC75" s="21"/>
      <c r="CD75" s="437" t="s">
        <v>625</v>
      </c>
      <c r="CE75" s="433">
        <f t="shared" si="15"/>
        <v>0</v>
      </c>
      <c r="CF75" s="433">
        <f t="shared" si="16"/>
        <v>0</v>
      </c>
      <c r="CG75" s="433">
        <f t="shared" si="17"/>
        <v>0</v>
      </c>
      <c r="CH75" s="433">
        <f t="shared" si="18"/>
        <v>0</v>
      </c>
      <c r="CI75" s="433">
        <f t="shared" si="19"/>
        <v>0</v>
      </c>
      <c r="CJ75" s="433">
        <f t="shared" si="20"/>
        <v>0</v>
      </c>
      <c r="CK75" s="433">
        <f t="shared" si="21"/>
        <v>0</v>
      </c>
      <c r="CL75" s="433">
        <f t="shared" si="22"/>
        <v>0</v>
      </c>
      <c r="CM75" s="433">
        <f t="shared" si="23"/>
        <v>0</v>
      </c>
      <c r="CN75" s="433">
        <f t="shared" si="24"/>
        <v>0</v>
      </c>
      <c r="CO75" s="433">
        <f t="shared" si="25"/>
        <v>0</v>
      </c>
      <c r="CP75" s="433">
        <f t="shared" si="26"/>
        <v>0</v>
      </c>
      <c r="CQ75" s="433">
        <f t="shared" si="27"/>
        <v>-62.145000000000003</v>
      </c>
      <c r="CR75" s="433">
        <f t="shared" si="28"/>
        <v>1.9059999999999999</v>
      </c>
      <c r="CS75" s="433">
        <f t="shared" si="29"/>
        <v>0</v>
      </c>
      <c r="CT75" s="21"/>
    </row>
    <row r="76" spans="3:98" ht="24.75" hidden="1" customHeight="1" outlineLevel="2">
      <c r="C76" s="437" t="s">
        <v>626</v>
      </c>
      <c r="D76" s="427">
        <v>0</v>
      </c>
      <c r="E76" s="427">
        <v>0</v>
      </c>
      <c r="F76" s="427">
        <v>0</v>
      </c>
      <c r="G76" s="427">
        <v>0</v>
      </c>
      <c r="H76" s="427">
        <v>0</v>
      </c>
      <c r="I76" s="427">
        <v>0</v>
      </c>
      <c r="J76" s="427">
        <v>0</v>
      </c>
      <c r="K76" s="427">
        <v>0</v>
      </c>
      <c r="L76" s="427">
        <v>0</v>
      </c>
      <c r="M76" s="427">
        <v>0</v>
      </c>
      <c r="N76" s="427">
        <v>0</v>
      </c>
      <c r="O76" s="427">
        <v>0</v>
      </c>
      <c r="P76" s="427">
        <v>0</v>
      </c>
      <c r="Q76" s="427">
        <v>0</v>
      </c>
      <c r="R76" s="427">
        <v>0</v>
      </c>
      <c r="S76" s="427">
        <v>0</v>
      </c>
      <c r="T76" s="427">
        <v>0</v>
      </c>
      <c r="U76" s="427">
        <v>0</v>
      </c>
      <c r="V76" s="427">
        <v>0</v>
      </c>
      <c r="W76" s="427">
        <v>0</v>
      </c>
      <c r="X76" s="427">
        <v>0</v>
      </c>
      <c r="Y76" s="427">
        <v>0</v>
      </c>
      <c r="Z76" s="427">
        <v>0</v>
      </c>
      <c r="AA76" s="427">
        <v>0</v>
      </c>
      <c r="AB76" s="427">
        <v>0</v>
      </c>
      <c r="AC76" s="427">
        <v>0</v>
      </c>
      <c r="AD76" s="427">
        <v>0</v>
      </c>
      <c r="AE76" s="427">
        <v>0</v>
      </c>
      <c r="AF76" s="427">
        <v>0</v>
      </c>
      <c r="AG76" s="427">
        <v>0</v>
      </c>
      <c r="AH76" s="427">
        <v>0</v>
      </c>
      <c r="AI76" s="427">
        <v>0</v>
      </c>
      <c r="AJ76" s="427">
        <v>0</v>
      </c>
      <c r="AK76" s="427">
        <v>0</v>
      </c>
      <c r="AL76" s="427">
        <v>0</v>
      </c>
      <c r="AM76" s="427">
        <v>0</v>
      </c>
      <c r="AN76" s="427">
        <v>0</v>
      </c>
      <c r="AO76" s="427">
        <v>0</v>
      </c>
      <c r="AP76" s="427">
        <v>0</v>
      </c>
      <c r="AQ76" s="427">
        <v>0</v>
      </c>
      <c r="AR76" s="427">
        <v>0</v>
      </c>
      <c r="AS76" s="427">
        <v>0</v>
      </c>
      <c r="AT76" s="427">
        <v>0</v>
      </c>
      <c r="AU76" s="427">
        <v>0</v>
      </c>
      <c r="AV76" s="427">
        <v>0</v>
      </c>
      <c r="AW76" s="427">
        <v>0</v>
      </c>
      <c r="AX76" s="427">
        <v>0</v>
      </c>
      <c r="AY76" s="427">
        <v>0</v>
      </c>
      <c r="AZ76" s="427">
        <v>0</v>
      </c>
      <c r="BA76" s="427">
        <v>0</v>
      </c>
      <c r="BB76" s="427">
        <v>0</v>
      </c>
      <c r="BC76" s="427">
        <v>0</v>
      </c>
      <c r="BD76" s="427">
        <v>0</v>
      </c>
      <c r="BE76" s="427">
        <v>0</v>
      </c>
      <c r="BF76" s="427">
        <v>0</v>
      </c>
      <c r="BG76" s="427">
        <v>0</v>
      </c>
      <c r="BH76" s="427">
        <v>0</v>
      </c>
      <c r="BI76" s="427">
        <v>0</v>
      </c>
      <c r="BJ76" s="427">
        <v>0</v>
      </c>
      <c r="BK76" s="427">
        <v>0</v>
      </c>
      <c r="BL76" s="427">
        <v>0</v>
      </c>
      <c r="BM76" s="427">
        <v>0</v>
      </c>
      <c r="BN76" s="427">
        <v>0</v>
      </c>
      <c r="BO76" s="427">
        <v>0</v>
      </c>
      <c r="BP76" s="427">
        <v>0</v>
      </c>
      <c r="BQ76" s="427">
        <v>0</v>
      </c>
      <c r="BR76" s="427">
        <v>0</v>
      </c>
      <c r="BS76" s="427">
        <v>0</v>
      </c>
      <c r="BT76" s="427">
        <v>0</v>
      </c>
      <c r="BU76" s="427">
        <v>0</v>
      </c>
      <c r="BV76" s="427">
        <v>0</v>
      </c>
      <c r="BW76" s="427">
        <v>0</v>
      </c>
      <c r="BX76" s="427">
        <v>0</v>
      </c>
      <c r="BY76" s="427">
        <v>0</v>
      </c>
      <c r="BZ76" s="427">
        <v>0</v>
      </c>
      <c r="CC76" s="21"/>
      <c r="CD76" s="437" t="s">
        <v>626</v>
      </c>
      <c r="CE76" s="433">
        <f t="shared" si="15"/>
        <v>0</v>
      </c>
      <c r="CF76" s="433">
        <f t="shared" si="16"/>
        <v>0</v>
      </c>
      <c r="CG76" s="433">
        <f t="shared" si="17"/>
        <v>0</v>
      </c>
      <c r="CH76" s="433">
        <f t="shared" si="18"/>
        <v>0</v>
      </c>
      <c r="CI76" s="433">
        <f t="shared" si="19"/>
        <v>0</v>
      </c>
      <c r="CJ76" s="433">
        <f t="shared" si="20"/>
        <v>0</v>
      </c>
      <c r="CK76" s="433">
        <f t="shared" si="21"/>
        <v>0</v>
      </c>
      <c r="CL76" s="433">
        <f t="shared" si="22"/>
        <v>0</v>
      </c>
      <c r="CM76" s="433">
        <f t="shared" si="23"/>
        <v>0</v>
      </c>
      <c r="CN76" s="433">
        <f t="shared" si="24"/>
        <v>0</v>
      </c>
      <c r="CO76" s="433">
        <f t="shared" si="25"/>
        <v>0</v>
      </c>
      <c r="CP76" s="433">
        <f t="shared" si="26"/>
        <v>0</v>
      </c>
      <c r="CQ76" s="433">
        <f t="shared" si="27"/>
        <v>0</v>
      </c>
      <c r="CR76" s="433">
        <f t="shared" si="28"/>
        <v>0</v>
      </c>
      <c r="CS76" s="433">
        <f t="shared" si="29"/>
        <v>0</v>
      </c>
      <c r="CT76" s="21"/>
    </row>
    <row r="77" spans="3:98" ht="24.75" hidden="1" customHeight="1" outlineLevel="2">
      <c r="C77" s="437" t="s">
        <v>627</v>
      </c>
      <c r="D77" s="427">
        <v>0</v>
      </c>
      <c r="E77" s="427">
        <v>0</v>
      </c>
      <c r="F77" s="427">
        <v>0</v>
      </c>
      <c r="G77" s="427">
        <v>0</v>
      </c>
      <c r="H77" s="427">
        <v>0</v>
      </c>
      <c r="I77" s="427">
        <v>0</v>
      </c>
      <c r="J77" s="427">
        <v>0</v>
      </c>
      <c r="K77" s="427">
        <v>0</v>
      </c>
      <c r="L77" s="427">
        <v>0</v>
      </c>
      <c r="M77" s="427">
        <v>0</v>
      </c>
      <c r="N77" s="427">
        <v>0</v>
      </c>
      <c r="O77" s="427">
        <v>0</v>
      </c>
      <c r="P77" s="427">
        <v>0</v>
      </c>
      <c r="Q77" s="427">
        <v>0</v>
      </c>
      <c r="R77" s="427">
        <v>0</v>
      </c>
      <c r="S77" s="427">
        <v>0</v>
      </c>
      <c r="T77" s="427">
        <v>0</v>
      </c>
      <c r="U77" s="427">
        <v>0</v>
      </c>
      <c r="V77" s="427">
        <v>0</v>
      </c>
      <c r="W77" s="427">
        <v>0</v>
      </c>
      <c r="X77" s="427">
        <v>0</v>
      </c>
      <c r="Y77" s="427">
        <v>0</v>
      </c>
      <c r="Z77" s="427">
        <v>0</v>
      </c>
      <c r="AA77" s="427">
        <v>0</v>
      </c>
      <c r="AB77" s="427">
        <v>0</v>
      </c>
      <c r="AC77" s="427">
        <v>0</v>
      </c>
      <c r="AD77" s="427">
        <v>0</v>
      </c>
      <c r="AE77" s="427">
        <v>0</v>
      </c>
      <c r="AF77" s="427">
        <v>0</v>
      </c>
      <c r="AG77" s="427">
        <v>0</v>
      </c>
      <c r="AH77" s="427">
        <v>0</v>
      </c>
      <c r="AI77" s="427">
        <v>0</v>
      </c>
      <c r="AJ77" s="427">
        <v>0</v>
      </c>
      <c r="AK77" s="427">
        <v>0</v>
      </c>
      <c r="AL77" s="427">
        <v>0</v>
      </c>
      <c r="AM77" s="427">
        <v>0</v>
      </c>
      <c r="AN77" s="427">
        <v>0</v>
      </c>
      <c r="AO77" s="427">
        <v>0</v>
      </c>
      <c r="AP77" s="427">
        <v>0</v>
      </c>
      <c r="AQ77" s="427">
        <v>0</v>
      </c>
      <c r="AR77" s="427">
        <v>0</v>
      </c>
      <c r="AS77" s="427">
        <v>0</v>
      </c>
      <c r="AT77" s="427">
        <v>0</v>
      </c>
      <c r="AU77" s="427">
        <v>0</v>
      </c>
      <c r="AV77" s="427">
        <v>0</v>
      </c>
      <c r="AW77" s="427">
        <v>0</v>
      </c>
      <c r="AX77" s="427">
        <v>0</v>
      </c>
      <c r="AY77" s="427">
        <v>0</v>
      </c>
      <c r="AZ77" s="427">
        <v>0</v>
      </c>
      <c r="BA77" s="427">
        <v>0</v>
      </c>
      <c r="BB77" s="427">
        <v>0</v>
      </c>
      <c r="BC77" s="427">
        <v>0</v>
      </c>
      <c r="BD77" s="427">
        <v>0</v>
      </c>
      <c r="BE77" s="427">
        <v>0</v>
      </c>
      <c r="BF77" s="427">
        <v>0</v>
      </c>
      <c r="BG77" s="427">
        <v>0</v>
      </c>
      <c r="BH77" s="427">
        <v>0</v>
      </c>
      <c r="BI77" s="427">
        <v>0</v>
      </c>
      <c r="BJ77" s="427">
        <v>0</v>
      </c>
      <c r="BK77" s="427">
        <v>0</v>
      </c>
      <c r="BL77" s="427">
        <v>0</v>
      </c>
      <c r="BM77" s="427">
        <v>0</v>
      </c>
      <c r="BN77" s="427">
        <v>0</v>
      </c>
      <c r="BO77" s="427">
        <v>0</v>
      </c>
      <c r="BP77" s="427">
        <v>0</v>
      </c>
      <c r="BQ77" s="427">
        <v>0</v>
      </c>
      <c r="BR77" s="427">
        <v>0</v>
      </c>
      <c r="BS77" s="427">
        <v>0</v>
      </c>
      <c r="BT77" s="427">
        <v>0</v>
      </c>
      <c r="BU77" s="427">
        <v>0</v>
      </c>
      <c r="BV77" s="427">
        <v>0</v>
      </c>
      <c r="BW77" s="427">
        <v>0</v>
      </c>
      <c r="BX77" s="427">
        <v>0</v>
      </c>
      <c r="BY77" s="427">
        <v>0</v>
      </c>
      <c r="BZ77" s="427">
        <v>0</v>
      </c>
      <c r="CC77" s="21"/>
      <c r="CD77" s="437" t="s">
        <v>627</v>
      </c>
      <c r="CE77" s="433">
        <f t="shared" si="15"/>
        <v>0</v>
      </c>
      <c r="CF77" s="433">
        <f t="shared" si="16"/>
        <v>0</v>
      </c>
      <c r="CG77" s="433">
        <f t="shared" si="17"/>
        <v>0</v>
      </c>
      <c r="CH77" s="433">
        <f t="shared" si="18"/>
        <v>0</v>
      </c>
      <c r="CI77" s="433">
        <f t="shared" si="19"/>
        <v>0</v>
      </c>
      <c r="CJ77" s="433">
        <f t="shared" si="20"/>
        <v>0</v>
      </c>
      <c r="CK77" s="433">
        <f t="shared" si="21"/>
        <v>0</v>
      </c>
      <c r="CL77" s="433">
        <f t="shared" si="22"/>
        <v>0</v>
      </c>
      <c r="CM77" s="433">
        <f t="shared" si="23"/>
        <v>0</v>
      </c>
      <c r="CN77" s="433">
        <f t="shared" si="24"/>
        <v>0</v>
      </c>
      <c r="CO77" s="433">
        <f t="shared" si="25"/>
        <v>0</v>
      </c>
      <c r="CP77" s="433">
        <f t="shared" si="26"/>
        <v>0</v>
      </c>
      <c r="CQ77" s="433">
        <f t="shared" si="27"/>
        <v>0</v>
      </c>
      <c r="CR77" s="433">
        <f t="shared" si="28"/>
        <v>0</v>
      </c>
      <c r="CS77" s="433">
        <f t="shared" si="29"/>
        <v>0</v>
      </c>
      <c r="CT77" s="21"/>
    </row>
    <row r="78" spans="3:98" ht="24.75" hidden="1" customHeight="1" outlineLevel="2" collapsed="1">
      <c r="C78" s="437" t="s">
        <v>628</v>
      </c>
      <c r="D78" s="427">
        <v>0</v>
      </c>
      <c r="E78" s="427">
        <v>0</v>
      </c>
      <c r="F78" s="427">
        <v>0</v>
      </c>
      <c r="G78" s="427">
        <v>0</v>
      </c>
      <c r="H78" s="427">
        <v>0</v>
      </c>
      <c r="I78" s="427">
        <v>0</v>
      </c>
      <c r="J78" s="427">
        <v>0</v>
      </c>
      <c r="K78" s="427">
        <v>0</v>
      </c>
      <c r="L78" s="427">
        <v>0</v>
      </c>
      <c r="M78" s="427">
        <v>0</v>
      </c>
      <c r="N78" s="427">
        <v>0</v>
      </c>
      <c r="O78" s="427">
        <v>0</v>
      </c>
      <c r="P78" s="427">
        <v>0</v>
      </c>
      <c r="Q78" s="427">
        <v>0</v>
      </c>
      <c r="R78" s="427">
        <v>0</v>
      </c>
      <c r="S78" s="427">
        <v>0</v>
      </c>
      <c r="T78" s="427">
        <v>0</v>
      </c>
      <c r="U78" s="427">
        <v>0</v>
      </c>
      <c r="V78" s="427">
        <v>0</v>
      </c>
      <c r="W78" s="427">
        <v>0</v>
      </c>
      <c r="X78" s="427">
        <v>0</v>
      </c>
      <c r="Y78" s="427">
        <v>0</v>
      </c>
      <c r="Z78" s="427">
        <v>0</v>
      </c>
      <c r="AA78" s="427">
        <v>0</v>
      </c>
      <c r="AB78" s="427">
        <v>0</v>
      </c>
      <c r="AC78" s="427">
        <v>0</v>
      </c>
      <c r="AD78" s="427">
        <v>0</v>
      </c>
      <c r="AE78" s="427">
        <v>0</v>
      </c>
      <c r="AF78" s="427">
        <v>0</v>
      </c>
      <c r="AG78" s="427">
        <v>0</v>
      </c>
      <c r="AH78" s="427">
        <v>0</v>
      </c>
      <c r="AI78" s="427">
        <v>0</v>
      </c>
      <c r="AJ78" s="427">
        <v>0</v>
      </c>
      <c r="AK78" s="427">
        <v>0</v>
      </c>
      <c r="AL78" s="427">
        <v>0</v>
      </c>
      <c r="AM78" s="427">
        <v>0</v>
      </c>
      <c r="AN78" s="427">
        <v>0</v>
      </c>
      <c r="AO78" s="427">
        <v>0</v>
      </c>
      <c r="AP78" s="427">
        <v>0</v>
      </c>
      <c r="AQ78" s="427">
        <v>0</v>
      </c>
      <c r="AR78" s="427">
        <v>0</v>
      </c>
      <c r="AS78" s="427">
        <v>0</v>
      </c>
      <c r="AT78" s="427">
        <v>0</v>
      </c>
      <c r="AU78" s="427">
        <v>0</v>
      </c>
      <c r="AV78" s="427">
        <v>0</v>
      </c>
      <c r="AW78" s="427">
        <v>0</v>
      </c>
      <c r="AX78" s="427">
        <v>0</v>
      </c>
      <c r="AY78" s="427">
        <v>0</v>
      </c>
      <c r="AZ78" s="427">
        <v>0</v>
      </c>
      <c r="BA78" s="427">
        <v>0</v>
      </c>
      <c r="BB78" s="427">
        <v>0</v>
      </c>
      <c r="BC78" s="427">
        <v>0</v>
      </c>
      <c r="BD78" s="427">
        <v>0</v>
      </c>
      <c r="BE78" s="427">
        <v>0</v>
      </c>
      <c r="BF78" s="427">
        <v>0</v>
      </c>
      <c r="BG78" s="427">
        <v>0</v>
      </c>
      <c r="BH78" s="427">
        <v>0</v>
      </c>
      <c r="BI78" s="427">
        <v>0</v>
      </c>
      <c r="BJ78" s="427">
        <v>0</v>
      </c>
      <c r="BK78" s="427">
        <v>0</v>
      </c>
      <c r="BL78" s="427">
        <v>0</v>
      </c>
      <c r="BM78" s="427">
        <v>0</v>
      </c>
      <c r="BN78" s="427">
        <v>0</v>
      </c>
      <c r="BO78" s="427">
        <v>0</v>
      </c>
      <c r="BP78" s="427">
        <v>0</v>
      </c>
      <c r="BQ78" s="427">
        <v>0</v>
      </c>
      <c r="BR78" s="427">
        <v>0</v>
      </c>
      <c r="BS78" s="427">
        <v>0</v>
      </c>
      <c r="BT78" s="427">
        <v>0</v>
      </c>
      <c r="BU78" s="427">
        <v>0</v>
      </c>
      <c r="BV78" s="427">
        <v>0</v>
      </c>
      <c r="BW78" s="427">
        <v>0</v>
      </c>
      <c r="BX78" s="427">
        <v>0</v>
      </c>
      <c r="BY78" s="427">
        <v>0</v>
      </c>
      <c r="BZ78" s="427">
        <v>0</v>
      </c>
      <c r="CC78" s="21"/>
      <c r="CD78" s="437" t="s">
        <v>628</v>
      </c>
      <c r="CE78" s="433">
        <f t="shared" si="15"/>
        <v>0</v>
      </c>
      <c r="CF78" s="433">
        <f t="shared" si="16"/>
        <v>0</v>
      </c>
      <c r="CG78" s="433">
        <f t="shared" si="17"/>
        <v>0</v>
      </c>
      <c r="CH78" s="433">
        <f t="shared" si="18"/>
        <v>0</v>
      </c>
      <c r="CI78" s="433">
        <f t="shared" si="19"/>
        <v>0</v>
      </c>
      <c r="CJ78" s="433">
        <f t="shared" si="20"/>
        <v>0</v>
      </c>
      <c r="CK78" s="433">
        <f t="shared" si="21"/>
        <v>0</v>
      </c>
      <c r="CL78" s="433">
        <f t="shared" si="22"/>
        <v>0</v>
      </c>
      <c r="CM78" s="433">
        <f t="shared" si="23"/>
        <v>0</v>
      </c>
      <c r="CN78" s="433">
        <f t="shared" si="24"/>
        <v>0</v>
      </c>
      <c r="CO78" s="433">
        <f t="shared" si="25"/>
        <v>0</v>
      </c>
      <c r="CP78" s="433">
        <f t="shared" si="26"/>
        <v>0</v>
      </c>
      <c r="CQ78" s="433">
        <f t="shared" si="27"/>
        <v>0</v>
      </c>
      <c r="CR78" s="433">
        <f t="shared" si="28"/>
        <v>0</v>
      </c>
      <c r="CS78" s="433">
        <f t="shared" si="29"/>
        <v>0</v>
      </c>
      <c r="CT78" s="21"/>
    </row>
    <row r="79" spans="3:98" ht="24.75" hidden="1" customHeight="1" outlineLevel="1">
      <c r="C79" s="426" t="s">
        <v>619</v>
      </c>
      <c r="D79" s="427">
        <v>0</v>
      </c>
      <c r="E79" s="427">
        <v>0</v>
      </c>
      <c r="F79" s="427">
        <v>0</v>
      </c>
      <c r="G79" s="427">
        <v>0</v>
      </c>
      <c r="H79" s="427">
        <v>0</v>
      </c>
      <c r="I79" s="427">
        <v>0</v>
      </c>
      <c r="J79" s="427">
        <v>0</v>
      </c>
      <c r="K79" s="427">
        <v>0</v>
      </c>
      <c r="L79" s="427">
        <v>0</v>
      </c>
      <c r="M79" s="427">
        <v>0</v>
      </c>
      <c r="N79" s="427">
        <v>0</v>
      </c>
      <c r="O79" s="427">
        <v>0</v>
      </c>
      <c r="P79" s="427">
        <v>0</v>
      </c>
      <c r="Q79" s="427">
        <v>0</v>
      </c>
      <c r="R79" s="427">
        <v>0</v>
      </c>
      <c r="S79" s="427">
        <v>0</v>
      </c>
      <c r="T79" s="427">
        <v>0</v>
      </c>
      <c r="U79" s="427">
        <v>0</v>
      </c>
      <c r="V79" s="427">
        <v>0</v>
      </c>
      <c r="W79" s="427">
        <v>0</v>
      </c>
      <c r="X79" s="427">
        <v>0</v>
      </c>
      <c r="Y79" s="427">
        <v>0</v>
      </c>
      <c r="Z79" s="427">
        <v>0</v>
      </c>
      <c r="AA79" s="427">
        <v>0</v>
      </c>
      <c r="AB79" s="427">
        <v>0</v>
      </c>
      <c r="AC79" s="427">
        <v>0</v>
      </c>
      <c r="AD79" s="427">
        <v>0</v>
      </c>
      <c r="AE79" s="427">
        <v>0</v>
      </c>
      <c r="AF79" s="427">
        <v>0</v>
      </c>
      <c r="AG79" s="427">
        <v>0</v>
      </c>
      <c r="AH79" s="427">
        <v>0</v>
      </c>
      <c r="AI79" s="427">
        <v>0</v>
      </c>
      <c r="AJ79" s="427">
        <v>0</v>
      </c>
      <c r="AK79" s="427">
        <v>0</v>
      </c>
      <c r="AL79" s="427">
        <v>0</v>
      </c>
      <c r="AM79" s="427">
        <v>0</v>
      </c>
      <c r="AN79" s="427">
        <v>0</v>
      </c>
      <c r="AO79" s="427">
        <v>0</v>
      </c>
      <c r="AP79" s="427">
        <v>0</v>
      </c>
      <c r="AQ79" s="427">
        <v>0</v>
      </c>
      <c r="AR79" s="427">
        <v>0</v>
      </c>
      <c r="AS79" s="427">
        <v>0</v>
      </c>
      <c r="AT79" s="427">
        <v>0</v>
      </c>
      <c r="AU79" s="427">
        <v>0</v>
      </c>
      <c r="AV79" s="427">
        <v>0</v>
      </c>
      <c r="AW79" s="427">
        <v>0</v>
      </c>
      <c r="AX79" s="427">
        <v>0</v>
      </c>
      <c r="AY79" s="427">
        <v>0</v>
      </c>
      <c r="AZ79" s="427">
        <v>0</v>
      </c>
      <c r="BA79" s="427">
        <v>0</v>
      </c>
      <c r="BB79" s="427">
        <v>0</v>
      </c>
      <c r="BC79" s="427">
        <v>0</v>
      </c>
      <c r="BD79" s="427">
        <v>0</v>
      </c>
      <c r="BE79" s="427">
        <v>0</v>
      </c>
      <c r="BF79" s="427">
        <v>30.702999999999999</v>
      </c>
      <c r="BG79" s="427">
        <v>-12.782999999999999</v>
      </c>
      <c r="BH79" s="427">
        <v>-10.785</v>
      </c>
      <c r="BI79" s="427">
        <v>14.709</v>
      </c>
      <c r="BJ79" s="427">
        <v>-148.297</v>
      </c>
      <c r="BK79" s="427">
        <v>-157.15600000000001</v>
      </c>
      <c r="BL79" s="427">
        <v>-11.976000000000001</v>
      </c>
      <c r="BM79" s="427">
        <v>95.73</v>
      </c>
      <c r="BN79" s="427">
        <v>-46.51</v>
      </c>
      <c r="BO79" s="427">
        <v>-70.878</v>
      </c>
      <c r="BP79" s="427">
        <v>-33.634</v>
      </c>
      <c r="BQ79" s="427">
        <v>8.36</v>
      </c>
      <c r="BR79" s="427">
        <v>-1.0009999999999999</v>
      </c>
      <c r="BS79" s="427">
        <v>-28.879000000000001</v>
      </c>
      <c r="BT79" s="427">
        <v>-117.59699999999999</v>
      </c>
      <c r="BU79" s="427">
        <v>-139.11699999999999</v>
      </c>
      <c r="BV79" s="427">
        <v>-67.126000000000005</v>
      </c>
      <c r="BW79" s="427">
        <v>30.547000000000001</v>
      </c>
      <c r="BX79" s="427">
        <v>117.896</v>
      </c>
      <c r="BY79" s="427">
        <v>0</v>
      </c>
      <c r="BZ79" s="427">
        <v>0</v>
      </c>
      <c r="CC79" s="21"/>
      <c r="CD79" s="426" t="s">
        <v>619</v>
      </c>
      <c r="CE79" s="433">
        <f t="shared" si="15"/>
        <v>0</v>
      </c>
      <c r="CF79" s="433">
        <f t="shared" si="16"/>
        <v>0</v>
      </c>
      <c r="CG79" s="433">
        <f t="shared" si="17"/>
        <v>0</v>
      </c>
      <c r="CH79" s="433">
        <f t="shared" si="18"/>
        <v>0</v>
      </c>
      <c r="CI79" s="433">
        <f t="shared" si="19"/>
        <v>0</v>
      </c>
      <c r="CJ79" s="433">
        <f t="shared" si="20"/>
        <v>0</v>
      </c>
      <c r="CK79" s="433">
        <f t="shared" si="21"/>
        <v>0</v>
      </c>
      <c r="CL79" s="433">
        <f t="shared" si="22"/>
        <v>0</v>
      </c>
      <c r="CM79" s="433">
        <f t="shared" si="23"/>
        <v>0</v>
      </c>
      <c r="CN79" s="433">
        <f t="shared" si="24"/>
        <v>0</v>
      </c>
      <c r="CO79" s="433">
        <f t="shared" si="25"/>
        <v>30.702999999999999</v>
      </c>
      <c r="CP79" s="433">
        <f t="shared" si="26"/>
        <v>-157.15600000000001</v>
      </c>
      <c r="CQ79" s="433">
        <f t="shared" si="27"/>
        <v>-33.634</v>
      </c>
      <c r="CR79" s="433">
        <f t="shared" si="28"/>
        <v>-139.11699999999999</v>
      </c>
      <c r="CS79" s="433">
        <f t="shared" si="29"/>
        <v>0</v>
      </c>
      <c r="CT79" s="21"/>
    </row>
    <row r="80" spans="3:98" ht="24.75" hidden="1" customHeight="1" outlineLevel="1">
      <c r="C80" s="426" t="s">
        <v>629</v>
      </c>
      <c r="D80" s="427">
        <v>0</v>
      </c>
      <c r="E80" s="427">
        <v>0</v>
      </c>
      <c r="F80" s="427">
        <v>0</v>
      </c>
      <c r="G80" s="427">
        <v>0</v>
      </c>
      <c r="H80" s="427">
        <v>0</v>
      </c>
      <c r="I80" s="427">
        <v>0</v>
      </c>
      <c r="J80" s="427">
        <v>0</v>
      </c>
      <c r="K80" s="427">
        <v>0</v>
      </c>
      <c r="L80" s="427">
        <v>0</v>
      </c>
      <c r="M80" s="427">
        <v>0</v>
      </c>
      <c r="N80" s="427">
        <v>0</v>
      </c>
      <c r="O80" s="427">
        <v>0</v>
      </c>
      <c r="P80" s="427">
        <v>0</v>
      </c>
      <c r="Q80" s="427">
        <v>0</v>
      </c>
      <c r="R80" s="427">
        <v>0</v>
      </c>
      <c r="S80" s="427">
        <v>0</v>
      </c>
      <c r="T80" s="427">
        <v>0</v>
      </c>
      <c r="U80" s="427">
        <v>0</v>
      </c>
      <c r="V80" s="427">
        <v>0</v>
      </c>
      <c r="W80" s="427">
        <v>0</v>
      </c>
      <c r="X80" s="427">
        <v>0</v>
      </c>
      <c r="Y80" s="427">
        <v>0</v>
      </c>
      <c r="Z80" s="427">
        <v>0</v>
      </c>
      <c r="AA80" s="427">
        <v>0</v>
      </c>
      <c r="AB80" s="427">
        <v>0</v>
      </c>
      <c r="AC80" s="427">
        <v>0</v>
      </c>
      <c r="AD80" s="427">
        <v>0</v>
      </c>
      <c r="AE80" s="427">
        <v>0</v>
      </c>
      <c r="AF80" s="427">
        <v>0</v>
      </c>
      <c r="AG80" s="427">
        <v>0</v>
      </c>
      <c r="AH80" s="427">
        <v>0</v>
      </c>
      <c r="AI80" s="427">
        <v>0</v>
      </c>
      <c r="AJ80" s="427">
        <v>0</v>
      </c>
      <c r="AK80" s="427">
        <v>0</v>
      </c>
      <c r="AL80" s="427">
        <v>0</v>
      </c>
      <c r="AM80" s="427">
        <v>0</v>
      </c>
      <c r="AN80" s="427">
        <v>0</v>
      </c>
      <c r="AO80" s="427">
        <v>0</v>
      </c>
      <c r="AP80" s="427">
        <v>0</v>
      </c>
      <c r="AQ80" s="427">
        <v>0</v>
      </c>
      <c r="AR80" s="427">
        <v>0</v>
      </c>
      <c r="AS80" s="427">
        <v>0</v>
      </c>
      <c r="AT80" s="427">
        <v>0</v>
      </c>
      <c r="AU80" s="427">
        <v>0</v>
      </c>
      <c r="AV80" s="427">
        <v>0</v>
      </c>
      <c r="AW80" s="427">
        <v>0</v>
      </c>
      <c r="AX80" s="427">
        <v>0</v>
      </c>
      <c r="AY80" s="427">
        <v>0</v>
      </c>
      <c r="AZ80" s="427">
        <v>0</v>
      </c>
      <c r="BA80" s="427">
        <v>0</v>
      </c>
      <c r="BB80" s="427">
        <v>0</v>
      </c>
      <c r="BC80" s="427">
        <v>0</v>
      </c>
      <c r="BD80" s="427">
        <v>0</v>
      </c>
      <c r="BE80" s="427">
        <v>0</v>
      </c>
      <c r="BF80" s="427">
        <v>0</v>
      </c>
      <c r="BG80" s="427">
        <v>0</v>
      </c>
      <c r="BH80" s="427">
        <v>0</v>
      </c>
      <c r="BI80" s="427">
        <v>0</v>
      </c>
      <c r="BJ80" s="427">
        <v>0</v>
      </c>
      <c r="BK80" s="427">
        <v>0</v>
      </c>
      <c r="BL80" s="427">
        <v>0</v>
      </c>
      <c r="BM80" s="427">
        <v>0</v>
      </c>
      <c r="BN80" s="427">
        <v>0</v>
      </c>
      <c r="BO80" s="427">
        <v>0</v>
      </c>
      <c r="BP80" s="427">
        <v>-36.527000000000001</v>
      </c>
      <c r="BQ80" s="427">
        <v>36.784999999999997</v>
      </c>
      <c r="BR80" s="427">
        <v>-0.45200000000000001</v>
      </c>
      <c r="BS80" s="427">
        <v>17.398</v>
      </c>
      <c r="BT80" s="427">
        <v>-24.779</v>
      </c>
      <c r="BU80" s="427">
        <v>28.952000000000002</v>
      </c>
      <c r="BV80" s="427">
        <v>-15.262</v>
      </c>
      <c r="BW80" s="427">
        <v>-73.418000000000006</v>
      </c>
      <c r="BX80" s="427">
        <v>60.625</v>
      </c>
      <c r="BY80" s="427">
        <v>0</v>
      </c>
      <c r="BZ80" s="427">
        <v>0</v>
      </c>
      <c r="CC80" s="21"/>
      <c r="CD80" s="426" t="s">
        <v>629</v>
      </c>
      <c r="CE80" s="433">
        <f t="shared" si="15"/>
        <v>0</v>
      </c>
      <c r="CF80" s="433">
        <f t="shared" si="16"/>
        <v>0</v>
      </c>
      <c r="CG80" s="433">
        <f t="shared" si="17"/>
        <v>0</v>
      </c>
      <c r="CH80" s="433">
        <f t="shared" si="18"/>
        <v>0</v>
      </c>
      <c r="CI80" s="433">
        <f t="shared" si="19"/>
        <v>0</v>
      </c>
      <c r="CJ80" s="433">
        <f t="shared" si="20"/>
        <v>0</v>
      </c>
      <c r="CK80" s="433">
        <f t="shared" si="21"/>
        <v>0</v>
      </c>
      <c r="CL80" s="433">
        <f t="shared" si="22"/>
        <v>0</v>
      </c>
      <c r="CM80" s="433">
        <f t="shared" si="23"/>
        <v>0</v>
      </c>
      <c r="CN80" s="433">
        <f t="shared" si="24"/>
        <v>0</v>
      </c>
      <c r="CO80" s="433">
        <f t="shared" si="25"/>
        <v>0</v>
      </c>
      <c r="CP80" s="433">
        <f t="shared" si="26"/>
        <v>0</v>
      </c>
      <c r="CQ80" s="433">
        <f t="shared" si="27"/>
        <v>-36.527000000000001</v>
      </c>
      <c r="CR80" s="433">
        <f t="shared" si="28"/>
        <v>28.952000000000002</v>
      </c>
      <c r="CS80" s="433">
        <f t="shared" si="29"/>
        <v>0</v>
      </c>
      <c r="CT80" s="21"/>
    </row>
    <row r="81" spans="3:98" ht="24.75" hidden="1" customHeight="1" outlineLevel="1">
      <c r="C81" s="426" t="s">
        <v>630</v>
      </c>
      <c r="D81" s="427">
        <v>0</v>
      </c>
      <c r="E81" s="427">
        <v>0</v>
      </c>
      <c r="F81" s="427">
        <v>0</v>
      </c>
      <c r="G81" s="427">
        <v>0</v>
      </c>
      <c r="H81" s="427">
        <v>0</v>
      </c>
      <c r="I81" s="427">
        <v>0</v>
      </c>
      <c r="J81" s="427">
        <v>0</v>
      </c>
      <c r="K81" s="427">
        <v>0</v>
      </c>
      <c r="L81" s="427">
        <v>0</v>
      </c>
      <c r="M81" s="427">
        <v>0</v>
      </c>
      <c r="N81" s="427">
        <v>0</v>
      </c>
      <c r="O81" s="427">
        <v>0</v>
      </c>
      <c r="P81" s="427">
        <v>0</v>
      </c>
      <c r="Q81" s="427">
        <v>0</v>
      </c>
      <c r="R81" s="427">
        <v>0</v>
      </c>
      <c r="S81" s="427">
        <v>0</v>
      </c>
      <c r="T81" s="427">
        <v>0</v>
      </c>
      <c r="U81" s="427">
        <v>0</v>
      </c>
      <c r="V81" s="427">
        <v>0</v>
      </c>
      <c r="W81" s="427">
        <v>0</v>
      </c>
      <c r="X81" s="427">
        <v>0</v>
      </c>
      <c r="Y81" s="427">
        <v>0</v>
      </c>
      <c r="Z81" s="427">
        <v>0</v>
      </c>
      <c r="AA81" s="427">
        <v>0</v>
      </c>
      <c r="AB81" s="427">
        <v>0</v>
      </c>
      <c r="AC81" s="427">
        <v>0</v>
      </c>
      <c r="AD81" s="427">
        <v>0</v>
      </c>
      <c r="AE81" s="427">
        <v>0</v>
      </c>
      <c r="AF81" s="427">
        <v>0</v>
      </c>
      <c r="AG81" s="427">
        <v>0</v>
      </c>
      <c r="AH81" s="427">
        <v>0</v>
      </c>
      <c r="AI81" s="427">
        <v>0</v>
      </c>
      <c r="AJ81" s="427">
        <v>0</v>
      </c>
      <c r="AK81" s="427">
        <v>0</v>
      </c>
      <c r="AL81" s="427">
        <v>0</v>
      </c>
      <c r="AM81" s="427">
        <v>0</v>
      </c>
      <c r="AN81" s="427">
        <v>0</v>
      </c>
      <c r="AO81" s="427">
        <v>0</v>
      </c>
      <c r="AP81" s="427">
        <v>0</v>
      </c>
      <c r="AQ81" s="427">
        <v>0</v>
      </c>
      <c r="AR81" s="427">
        <v>0</v>
      </c>
      <c r="AS81" s="427">
        <v>0</v>
      </c>
      <c r="AT81" s="427">
        <v>0</v>
      </c>
      <c r="AU81" s="427">
        <v>0</v>
      </c>
      <c r="AV81" s="427">
        <v>0</v>
      </c>
      <c r="AW81" s="427">
        <v>0</v>
      </c>
      <c r="AX81" s="427">
        <v>0</v>
      </c>
      <c r="AY81" s="427">
        <v>0</v>
      </c>
      <c r="AZ81" s="427">
        <v>0</v>
      </c>
      <c r="BA81" s="427">
        <v>0</v>
      </c>
      <c r="BB81" s="427">
        <v>0</v>
      </c>
      <c r="BC81" s="427">
        <v>0</v>
      </c>
      <c r="BD81" s="427">
        <v>0</v>
      </c>
      <c r="BE81" s="427">
        <v>0</v>
      </c>
      <c r="BF81" s="427">
        <v>0</v>
      </c>
      <c r="BG81" s="427">
        <v>0</v>
      </c>
      <c r="BH81" s="427">
        <v>0</v>
      </c>
      <c r="BI81" s="427">
        <v>0</v>
      </c>
      <c r="BJ81" s="427">
        <v>0</v>
      </c>
      <c r="BK81" s="427">
        <v>0</v>
      </c>
      <c r="BL81" s="427">
        <v>0</v>
      </c>
      <c r="BM81" s="427">
        <v>0</v>
      </c>
      <c r="BN81" s="427">
        <v>0</v>
      </c>
      <c r="BO81" s="427">
        <v>0</v>
      </c>
      <c r="BP81" s="427">
        <v>0</v>
      </c>
      <c r="BQ81" s="427">
        <v>0</v>
      </c>
      <c r="BR81" s="427">
        <v>0</v>
      </c>
      <c r="BS81" s="427">
        <v>0</v>
      </c>
      <c r="BT81" s="427">
        <v>0</v>
      </c>
      <c r="BU81" s="427">
        <v>0</v>
      </c>
      <c r="BV81" s="427">
        <v>0</v>
      </c>
      <c r="BW81" s="427">
        <v>0</v>
      </c>
      <c r="BX81" s="427">
        <v>0</v>
      </c>
      <c r="BY81" s="427">
        <v>0</v>
      </c>
      <c r="BZ81" s="427">
        <v>0</v>
      </c>
      <c r="CC81" s="21"/>
      <c r="CD81" s="426" t="s">
        <v>630</v>
      </c>
      <c r="CE81" s="433">
        <f t="shared" si="15"/>
        <v>0</v>
      </c>
      <c r="CF81" s="433">
        <f t="shared" si="16"/>
        <v>0</v>
      </c>
      <c r="CG81" s="433">
        <f t="shared" si="17"/>
        <v>0</v>
      </c>
      <c r="CH81" s="433">
        <f t="shared" si="18"/>
        <v>0</v>
      </c>
      <c r="CI81" s="433">
        <f t="shared" si="19"/>
        <v>0</v>
      </c>
      <c r="CJ81" s="433">
        <f t="shared" si="20"/>
        <v>0</v>
      </c>
      <c r="CK81" s="433">
        <f t="shared" si="21"/>
        <v>0</v>
      </c>
      <c r="CL81" s="433">
        <f t="shared" si="22"/>
        <v>0</v>
      </c>
      <c r="CM81" s="433">
        <f t="shared" si="23"/>
        <v>0</v>
      </c>
      <c r="CN81" s="433">
        <f t="shared" si="24"/>
        <v>0</v>
      </c>
      <c r="CO81" s="433">
        <f t="shared" si="25"/>
        <v>0</v>
      </c>
      <c r="CP81" s="433">
        <f t="shared" si="26"/>
        <v>0</v>
      </c>
      <c r="CQ81" s="433">
        <f t="shared" si="27"/>
        <v>0</v>
      </c>
      <c r="CR81" s="433">
        <f t="shared" si="28"/>
        <v>0</v>
      </c>
      <c r="CS81" s="433">
        <f t="shared" si="29"/>
        <v>0</v>
      </c>
      <c r="CT81" s="21"/>
    </row>
    <row r="82" spans="3:98" ht="24.75" hidden="1" customHeight="1" outlineLevel="1">
      <c r="C82" s="426" t="s">
        <v>631</v>
      </c>
      <c r="D82" s="427">
        <v>0</v>
      </c>
      <c r="E82" s="427">
        <v>0</v>
      </c>
      <c r="F82" s="427">
        <v>0</v>
      </c>
      <c r="G82" s="427">
        <v>0</v>
      </c>
      <c r="H82" s="427">
        <v>0</v>
      </c>
      <c r="I82" s="427">
        <v>0</v>
      </c>
      <c r="J82" s="427">
        <v>0</v>
      </c>
      <c r="K82" s="427">
        <v>0</v>
      </c>
      <c r="L82" s="427">
        <v>0</v>
      </c>
      <c r="M82" s="427">
        <v>0</v>
      </c>
      <c r="N82" s="427">
        <v>0</v>
      </c>
      <c r="O82" s="427">
        <v>0</v>
      </c>
      <c r="P82" s="427">
        <v>0</v>
      </c>
      <c r="Q82" s="427">
        <v>0</v>
      </c>
      <c r="R82" s="427">
        <v>0</v>
      </c>
      <c r="S82" s="427">
        <v>0</v>
      </c>
      <c r="T82" s="427">
        <v>0</v>
      </c>
      <c r="U82" s="427">
        <v>0</v>
      </c>
      <c r="V82" s="427">
        <v>0</v>
      </c>
      <c r="W82" s="427">
        <v>0</v>
      </c>
      <c r="X82" s="427">
        <v>0</v>
      </c>
      <c r="Y82" s="427">
        <v>0</v>
      </c>
      <c r="Z82" s="427">
        <v>0</v>
      </c>
      <c r="AA82" s="427">
        <v>0</v>
      </c>
      <c r="AB82" s="427">
        <v>0</v>
      </c>
      <c r="AC82" s="427">
        <v>0</v>
      </c>
      <c r="AD82" s="427">
        <v>0</v>
      </c>
      <c r="AE82" s="427">
        <v>0</v>
      </c>
      <c r="AF82" s="427">
        <v>0</v>
      </c>
      <c r="AG82" s="427">
        <v>0</v>
      </c>
      <c r="AH82" s="427">
        <v>0</v>
      </c>
      <c r="AI82" s="427">
        <v>0</v>
      </c>
      <c r="AJ82" s="427">
        <v>0</v>
      </c>
      <c r="AK82" s="427">
        <v>0</v>
      </c>
      <c r="AL82" s="427">
        <v>0</v>
      </c>
      <c r="AM82" s="427">
        <v>0</v>
      </c>
      <c r="AN82" s="427">
        <v>0</v>
      </c>
      <c r="AO82" s="427">
        <v>0</v>
      </c>
      <c r="AP82" s="427">
        <v>0</v>
      </c>
      <c r="AQ82" s="427">
        <v>0</v>
      </c>
      <c r="AR82" s="427">
        <v>0</v>
      </c>
      <c r="AS82" s="427">
        <v>0</v>
      </c>
      <c r="AT82" s="427">
        <v>0</v>
      </c>
      <c r="AU82" s="427">
        <v>0</v>
      </c>
      <c r="AV82" s="427">
        <v>0</v>
      </c>
      <c r="AW82" s="427">
        <v>0</v>
      </c>
      <c r="AX82" s="427">
        <v>0</v>
      </c>
      <c r="AY82" s="427">
        <v>0</v>
      </c>
      <c r="AZ82" s="427">
        <v>0</v>
      </c>
      <c r="BA82" s="427">
        <v>0</v>
      </c>
      <c r="BB82" s="427">
        <v>0</v>
      </c>
      <c r="BC82" s="427">
        <v>0</v>
      </c>
      <c r="BD82" s="427">
        <v>0</v>
      </c>
      <c r="BE82" s="427">
        <v>0</v>
      </c>
      <c r="BF82" s="427">
        <v>-3.2909999999999999</v>
      </c>
      <c r="BG82" s="427">
        <v>49.652999999999999</v>
      </c>
      <c r="BH82" s="427">
        <v>3.1269999999999998</v>
      </c>
      <c r="BI82" s="427">
        <v>-44.274000000000001</v>
      </c>
      <c r="BJ82" s="427">
        <v>-19.247</v>
      </c>
      <c r="BK82" s="427">
        <v>-10.741</v>
      </c>
      <c r="BL82" s="427">
        <v>-98.650999999999996</v>
      </c>
      <c r="BM82" s="427">
        <v>-146.27699999999999</v>
      </c>
      <c r="BN82" s="427">
        <v>161.887</v>
      </c>
      <c r="BO82" s="427">
        <v>-14.49</v>
      </c>
      <c r="BP82" s="427">
        <v>-97.531000000000006</v>
      </c>
      <c r="BQ82" s="427">
        <v>-147.048</v>
      </c>
      <c r="BR82" s="427">
        <v>-141.59899999999999</v>
      </c>
      <c r="BS82" s="427">
        <v>-114.39</v>
      </c>
      <c r="BT82" s="427">
        <v>-425.86399999999998</v>
      </c>
      <c r="BU82" s="427">
        <v>-828.90099999999995</v>
      </c>
      <c r="BV82" s="427">
        <v>482.411</v>
      </c>
      <c r="BW82" s="427">
        <v>57.344000000000001</v>
      </c>
      <c r="BX82" s="427">
        <v>-53.783000000000001</v>
      </c>
      <c r="BY82" s="427">
        <v>0</v>
      </c>
      <c r="BZ82" s="427">
        <v>0</v>
      </c>
      <c r="CC82" s="21"/>
      <c r="CD82" s="426" t="s">
        <v>631</v>
      </c>
      <c r="CE82" s="433">
        <f t="shared" si="15"/>
        <v>0</v>
      </c>
      <c r="CF82" s="433">
        <f t="shared" si="16"/>
        <v>0</v>
      </c>
      <c r="CG82" s="433">
        <f t="shared" si="17"/>
        <v>0</v>
      </c>
      <c r="CH82" s="433">
        <f t="shared" si="18"/>
        <v>0</v>
      </c>
      <c r="CI82" s="433">
        <f t="shared" si="19"/>
        <v>0</v>
      </c>
      <c r="CJ82" s="433">
        <f t="shared" si="20"/>
        <v>0</v>
      </c>
      <c r="CK82" s="433">
        <f t="shared" si="21"/>
        <v>0</v>
      </c>
      <c r="CL82" s="433">
        <f t="shared" si="22"/>
        <v>0</v>
      </c>
      <c r="CM82" s="433">
        <f t="shared" si="23"/>
        <v>0</v>
      </c>
      <c r="CN82" s="433">
        <f t="shared" si="24"/>
        <v>0</v>
      </c>
      <c r="CO82" s="433">
        <f t="shared" si="25"/>
        <v>-3.2909999999999999</v>
      </c>
      <c r="CP82" s="433">
        <f t="shared" si="26"/>
        <v>-10.741</v>
      </c>
      <c r="CQ82" s="433">
        <f t="shared" si="27"/>
        <v>-97.531000000000006</v>
      </c>
      <c r="CR82" s="433">
        <f t="shared" si="28"/>
        <v>-828.90099999999995</v>
      </c>
      <c r="CS82" s="433">
        <f t="shared" si="29"/>
        <v>0</v>
      </c>
      <c r="CT82" s="21"/>
    </row>
    <row r="83" spans="3:98" ht="24.75" hidden="1" customHeight="1" outlineLevel="3">
      <c r="C83" s="438" t="s">
        <v>634</v>
      </c>
      <c r="D83" s="427">
        <v>0</v>
      </c>
      <c r="E83" s="427">
        <v>0</v>
      </c>
      <c r="F83" s="427">
        <v>0</v>
      </c>
      <c r="G83" s="427">
        <v>0</v>
      </c>
      <c r="H83" s="427">
        <v>0</v>
      </c>
      <c r="I83" s="427">
        <v>0</v>
      </c>
      <c r="J83" s="427">
        <v>0</v>
      </c>
      <c r="K83" s="427">
        <v>0</v>
      </c>
      <c r="L83" s="427">
        <v>0</v>
      </c>
      <c r="M83" s="427">
        <v>0</v>
      </c>
      <c r="N83" s="427">
        <v>0</v>
      </c>
      <c r="O83" s="427">
        <v>0</v>
      </c>
      <c r="P83" s="427">
        <v>0</v>
      </c>
      <c r="Q83" s="427">
        <v>0</v>
      </c>
      <c r="R83" s="427">
        <v>0</v>
      </c>
      <c r="S83" s="427">
        <v>0</v>
      </c>
      <c r="T83" s="427">
        <v>0</v>
      </c>
      <c r="U83" s="427">
        <v>0</v>
      </c>
      <c r="V83" s="427">
        <v>0</v>
      </c>
      <c r="W83" s="427">
        <v>0</v>
      </c>
      <c r="X83" s="427">
        <v>0</v>
      </c>
      <c r="Y83" s="427">
        <v>0</v>
      </c>
      <c r="Z83" s="427">
        <v>0</v>
      </c>
      <c r="AA83" s="427">
        <v>0</v>
      </c>
      <c r="AB83" s="427">
        <v>0</v>
      </c>
      <c r="AC83" s="427">
        <v>0</v>
      </c>
      <c r="AD83" s="427">
        <v>0</v>
      </c>
      <c r="AE83" s="427">
        <v>0</v>
      </c>
      <c r="AF83" s="427">
        <v>0</v>
      </c>
      <c r="AG83" s="427">
        <v>0</v>
      </c>
      <c r="AH83" s="427">
        <v>0</v>
      </c>
      <c r="AI83" s="427">
        <v>0</v>
      </c>
      <c r="AJ83" s="427">
        <v>0</v>
      </c>
      <c r="AK83" s="427">
        <v>0</v>
      </c>
      <c r="AL83" s="427">
        <v>0</v>
      </c>
      <c r="AM83" s="427">
        <v>0</v>
      </c>
      <c r="AN83" s="427">
        <v>0</v>
      </c>
      <c r="AO83" s="427">
        <v>0</v>
      </c>
      <c r="AP83" s="427">
        <v>0</v>
      </c>
      <c r="AQ83" s="427">
        <v>0</v>
      </c>
      <c r="AR83" s="427">
        <v>0</v>
      </c>
      <c r="AS83" s="427">
        <v>0</v>
      </c>
      <c r="AT83" s="427">
        <v>0</v>
      </c>
      <c r="AU83" s="427">
        <v>0</v>
      </c>
      <c r="AV83" s="427">
        <v>0</v>
      </c>
      <c r="AW83" s="427">
        <v>0</v>
      </c>
      <c r="AX83" s="427">
        <v>0</v>
      </c>
      <c r="AY83" s="427">
        <v>0</v>
      </c>
      <c r="AZ83" s="427">
        <v>0</v>
      </c>
      <c r="BA83" s="427">
        <v>0</v>
      </c>
      <c r="BB83" s="427">
        <v>0</v>
      </c>
      <c r="BC83" s="427">
        <v>0</v>
      </c>
      <c r="BD83" s="427">
        <v>0</v>
      </c>
      <c r="BE83" s="427">
        <v>0</v>
      </c>
      <c r="BF83" s="427">
        <v>-2.387</v>
      </c>
      <c r="BG83" s="427">
        <v>0</v>
      </c>
      <c r="BH83" s="427">
        <v>0</v>
      </c>
      <c r="BI83" s="427">
        <v>0</v>
      </c>
      <c r="BJ83" s="427">
        <v>0</v>
      </c>
      <c r="BK83" s="427">
        <v>6.09</v>
      </c>
      <c r="BL83" s="427">
        <v>0.61399999999999999</v>
      </c>
      <c r="BM83" s="427">
        <v>23.338000000000001</v>
      </c>
      <c r="BN83" s="427">
        <v>-6.5590000000000002</v>
      </c>
      <c r="BO83" s="427">
        <v>9.9369999999999994</v>
      </c>
      <c r="BP83" s="427">
        <v>27.33</v>
      </c>
      <c r="BQ83" s="427">
        <v>-28.398</v>
      </c>
      <c r="BR83" s="427">
        <v>29.056999999999999</v>
      </c>
      <c r="BS83" s="427">
        <v>24.007999999999999</v>
      </c>
      <c r="BT83" s="427">
        <v>-6.0549999999999997</v>
      </c>
      <c r="BU83" s="427">
        <v>18.611999999999998</v>
      </c>
      <c r="BV83" s="427">
        <v>-32.904000000000003</v>
      </c>
      <c r="BW83" s="427">
        <v>4.4089999999999998</v>
      </c>
      <c r="BX83" s="427">
        <v>9.75</v>
      </c>
      <c r="BY83" s="427">
        <v>0</v>
      </c>
      <c r="BZ83" s="427">
        <v>0</v>
      </c>
      <c r="CC83" s="21"/>
      <c r="CD83" s="438" t="s">
        <v>634</v>
      </c>
      <c r="CE83" s="433">
        <f t="shared" si="15"/>
        <v>0</v>
      </c>
      <c r="CF83" s="433">
        <f t="shared" si="16"/>
        <v>0</v>
      </c>
      <c r="CG83" s="433">
        <f t="shared" si="17"/>
        <v>0</v>
      </c>
      <c r="CH83" s="433">
        <f t="shared" si="18"/>
        <v>0</v>
      </c>
      <c r="CI83" s="433">
        <f t="shared" si="19"/>
        <v>0</v>
      </c>
      <c r="CJ83" s="433">
        <f t="shared" si="20"/>
        <v>0</v>
      </c>
      <c r="CK83" s="433">
        <f t="shared" si="21"/>
        <v>0</v>
      </c>
      <c r="CL83" s="433">
        <f t="shared" si="22"/>
        <v>0</v>
      </c>
      <c r="CM83" s="433">
        <f t="shared" si="23"/>
        <v>0</v>
      </c>
      <c r="CN83" s="433">
        <f t="shared" si="24"/>
        <v>0</v>
      </c>
      <c r="CO83" s="433">
        <f t="shared" si="25"/>
        <v>-2.387</v>
      </c>
      <c r="CP83" s="433">
        <f t="shared" si="26"/>
        <v>6.09</v>
      </c>
      <c r="CQ83" s="433">
        <f t="shared" si="27"/>
        <v>27.33</v>
      </c>
      <c r="CR83" s="433">
        <f t="shared" si="28"/>
        <v>18.611999999999998</v>
      </c>
      <c r="CS83" s="433">
        <f t="shared" si="29"/>
        <v>0</v>
      </c>
      <c r="CT83" s="21"/>
    </row>
    <row r="84" spans="3:98" ht="24.75" hidden="1" customHeight="1" outlineLevel="3">
      <c r="C84" s="438" t="s">
        <v>635</v>
      </c>
      <c r="D84" s="427">
        <v>0</v>
      </c>
      <c r="E84" s="427">
        <v>0</v>
      </c>
      <c r="F84" s="427">
        <v>0</v>
      </c>
      <c r="G84" s="427">
        <v>0</v>
      </c>
      <c r="H84" s="427">
        <v>0</v>
      </c>
      <c r="I84" s="427">
        <v>0</v>
      </c>
      <c r="J84" s="427">
        <v>0</v>
      </c>
      <c r="K84" s="427">
        <v>0</v>
      </c>
      <c r="L84" s="427">
        <v>0</v>
      </c>
      <c r="M84" s="427">
        <v>0</v>
      </c>
      <c r="N84" s="427">
        <v>0</v>
      </c>
      <c r="O84" s="427">
        <v>0</v>
      </c>
      <c r="P84" s="427">
        <v>0</v>
      </c>
      <c r="Q84" s="427">
        <v>0</v>
      </c>
      <c r="R84" s="427">
        <v>0</v>
      </c>
      <c r="S84" s="427">
        <v>0</v>
      </c>
      <c r="T84" s="427">
        <v>0</v>
      </c>
      <c r="U84" s="427">
        <v>0</v>
      </c>
      <c r="V84" s="427">
        <v>0</v>
      </c>
      <c r="W84" s="427">
        <v>0</v>
      </c>
      <c r="X84" s="427">
        <v>0</v>
      </c>
      <c r="Y84" s="427">
        <v>0</v>
      </c>
      <c r="Z84" s="427">
        <v>0</v>
      </c>
      <c r="AA84" s="427">
        <v>0</v>
      </c>
      <c r="AB84" s="427">
        <v>0</v>
      </c>
      <c r="AC84" s="427">
        <v>0</v>
      </c>
      <c r="AD84" s="427">
        <v>0</v>
      </c>
      <c r="AE84" s="427">
        <v>0</v>
      </c>
      <c r="AF84" s="427">
        <v>0</v>
      </c>
      <c r="AG84" s="427">
        <v>0</v>
      </c>
      <c r="AH84" s="427">
        <v>0</v>
      </c>
      <c r="AI84" s="427">
        <v>0</v>
      </c>
      <c r="AJ84" s="427">
        <v>0</v>
      </c>
      <c r="AK84" s="427">
        <v>0</v>
      </c>
      <c r="AL84" s="427">
        <v>0</v>
      </c>
      <c r="AM84" s="427">
        <v>0</v>
      </c>
      <c r="AN84" s="427">
        <v>0</v>
      </c>
      <c r="AO84" s="427">
        <v>0</v>
      </c>
      <c r="AP84" s="427">
        <v>0</v>
      </c>
      <c r="AQ84" s="427">
        <v>0</v>
      </c>
      <c r="AR84" s="427">
        <v>0</v>
      </c>
      <c r="AS84" s="427">
        <v>0</v>
      </c>
      <c r="AT84" s="427">
        <v>0</v>
      </c>
      <c r="AU84" s="427">
        <v>0</v>
      </c>
      <c r="AV84" s="427">
        <v>0</v>
      </c>
      <c r="AW84" s="427">
        <v>0</v>
      </c>
      <c r="AX84" s="427">
        <v>0</v>
      </c>
      <c r="AY84" s="427">
        <v>0</v>
      </c>
      <c r="AZ84" s="427">
        <v>0</v>
      </c>
      <c r="BA84" s="427">
        <v>0</v>
      </c>
      <c r="BB84" s="427">
        <v>0</v>
      </c>
      <c r="BC84" s="427">
        <v>0</v>
      </c>
      <c r="BD84" s="427">
        <v>0</v>
      </c>
      <c r="BE84" s="427">
        <v>0</v>
      </c>
      <c r="BF84" s="427">
        <v>0</v>
      </c>
      <c r="BG84" s="427">
        <v>0</v>
      </c>
      <c r="BH84" s="427">
        <v>0</v>
      </c>
      <c r="BI84" s="427">
        <v>0</v>
      </c>
      <c r="BJ84" s="427">
        <v>0</v>
      </c>
      <c r="BK84" s="427">
        <v>0</v>
      </c>
      <c r="BL84" s="427">
        <v>0</v>
      </c>
      <c r="BM84" s="427">
        <v>0</v>
      </c>
      <c r="BN84" s="427">
        <v>0</v>
      </c>
      <c r="BO84" s="427">
        <v>0</v>
      </c>
      <c r="BP84" s="427">
        <v>0</v>
      </c>
      <c r="BQ84" s="427">
        <v>0</v>
      </c>
      <c r="BR84" s="427">
        <v>0</v>
      </c>
      <c r="BS84" s="427">
        <v>0</v>
      </c>
      <c r="BT84" s="427">
        <v>0</v>
      </c>
      <c r="BU84" s="427">
        <v>0</v>
      </c>
      <c r="BV84" s="427">
        <v>0</v>
      </c>
      <c r="BW84" s="427">
        <v>0</v>
      </c>
      <c r="BX84" s="427">
        <v>0</v>
      </c>
      <c r="BY84" s="427">
        <v>0</v>
      </c>
      <c r="BZ84" s="427">
        <v>0</v>
      </c>
      <c r="CC84" s="21"/>
      <c r="CD84" s="438" t="s">
        <v>635</v>
      </c>
      <c r="CE84" s="433">
        <f t="shared" si="15"/>
        <v>0</v>
      </c>
      <c r="CF84" s="433">
        <f t="shared" si="16"/>
        <v>0</v>
      </c>
      <c r="CG84" s="433">
        <f t="shared" si="17"/>
        <v>0</v>
      </c>
      <c r="CH84" s="433">
        <f t="shared" si="18"/>
        <v>0</v>
      </c>
      <c r="CI84" s="433">
        <f t="shared" si="19"/>
        <v>0</v>
      </c>
      <c r="CJ84" s="433">
        <f t="shared" si="20"/>
        <v>0</v>
      </c>
      <c r="CK84" s="433">
        <f t="shared" si="21"/>
        <v>0</v>
      </c>
      <c r="CL84" s="433">
        <f t="shared" si="22"/>
        <v>0</v>
      </c>
      <c r="CM84" s="433">
        <f t="shared" si="23"/>
        <v>0</v>
      </c>
      <c r="CN84" s="433">
        <f t="shared" si="24"/>
        <v>0</v>
      </c>
      <c r="CO84" s="433">
        <f t="shared" si="25"/>
        <v>0</v>
      </c>
      <c r="CP84" s="433">
        <f t="shared" si="26"/>
        <v>0</v>
      </c>
      <c r="CQ84" s="433">
        <f t="shared" si="27"/>
        <v>0</v>
      </c>
      <c r="CR84" s="433">
        <f t="shared" si="28"/>
        <v>0</v>
      </c>
      <c r="CS84" s="433">
        <f t="shared" si="29"/>
        <v>0</v>
      </c>
      <c r="CT84" s="21"/>
    </row>
    <row r="85" spans="3:98" ht="24.75" hidden="1" customHeight="1" outlineLevel="3">
      <c r="C85" s="438" t="s">
        <v>636</v>
      </c>
      <c r="D85" s="427">
        <v>0</v>
      </c>
      <c r="E85" s="427">
        <v>0</v>
      </c>
      <c r="F85" s="427">
        <v>0</v>
      </c>
      <c r="G85" s="427">
        <v>0</v>
      </c>
      <c r="H85" s="427">
        <v>0</v>
      </c>
      <c r="I85" s="427">
        <v>0</v>
      </c>
      <c r="J85" s="427">
        <v>0</v>
      </c>
      <c r="K85" s="427">
        <v>0</v>
      </c>
      <c r="L85" s="427">
        <v>0</v>
      </c>
      <c r="M85" s="427">
        <v>0</v>
      </c>
      <c r="N85" s="427">
        <v>0</v>
      </c>
      <c r="O85" s="427">
        <v>0</v>
      </c>
      <c r="P85" s="427">
        <v>0</v>
      </c>
      <c r="Q85" s="427">
        <v>0</v>
      </c>
      <c r="R85" s="427">
        <v>0</v>
      </c>
      <c r="S85" s="427">
        <v>0</v>
      </c>
      <c r="T85" s="427">
        <v>0</v>
      </c>
      <c r="U85" s="427">
        <v>0</v>
      </c>
      <c r="V85" s="427">
        <v>0</v>
      </c>
      <c r="W85" s="427">
        <v>0</v>
      </c>
      <c r="X85" s="427">
        <v>0</v>
      </c>
      <c r="Y85" s="427">
        <v>0</v>
      </c>
      <c r="Z85" s="427">
        <v>0</v>
      </c>
      <c r="AA85" s="427">
        <v>0</v>
      </c>
      <c r="AB85" s="427">
        <v>0</v>
      </c>
      <c r="AC85" s="427">
        <v>0</v>
      </c>
      <c r="AD85" s="427">
        <v>0</v>
      </c>
      <c r="AE85" s="427">
        <v>0</v>
      </c>
      <c r="AF85" s="427">
        <v>0</v>
      </c>
      <c r="AG85" s="427">
        <v>0</v>
      </c>
      <c r="AH85" s="427">
        <v>0</v>
      </c>
      <c r="AI85" s="427">
        <v>0</v>
      </c>
      <c r="AJ85" s="427">
        <v>0</v>
      </c>
      <c r="AK85" s="427">
        <v>0</v>
      </c>
      <c r="AL85" s="427">
        <v>0</v>
      </c>
      <c r="AM85" s="427">
        <v>0</v>
      </c>
      <c r="AN85" s="427">
        <v>0</v>
      </c>
      <c r="AO85" s="427">
        <v>0</v>
      </c>
      <c r="AP85" s="427">
        <v>0</v>
      </c>
      <c r="AQ85" s="427">
        <v>0</v>
      </c>
      <c r="AR85" s="427">
        <v>0</v>
      </c>
      <c r="AS85" s="427">
        <v>0</v>
      </c>
      <c r="AT85" s="427">
        <v>0</v>
      </c>
      <c r="AU85" s="427">
        <v>0</v>
      </c>
      <c r="AV85" s="427">
        <v>0</v>
      </c>
      <c r="AW85" s="427">
        <v>0</v>
      </c>
      <c r="AX85" s="427">
        <v>0</v>
      </c>
      <c r="AY85" s="427">
        <v>0</v>
      </c>
      <c r="AZ85" s="427">
        <v>0</v>
      </c>
      <c r="BA85" s="427">
        <v>0</v>
      </c>
      <c r="BB85" s="427">
        <v>0</v>
      </c>
      <c r="BC85" s="427">
        <v>0</v>
      </c>
      <c r="BD85" s="427">
        <v>0</v>
      </c>
      <c r="BE85" s="427">
        <v>0</v>
      </c>
      <c r="BF85" s="427">
        <v>0</v>
      </c>
      <c r="BG85" s="427">
        <v>0</v>
      </c>
      <c r="BH85" s="427">
        <v>0</v>
      </c>
      <c r="BI85" s="427">
        <v>0</v>
      </c>
      <c r="BJ85" s="427">
        <v>0</v>
      </c>
      <c r="BK85" s="427">
        <v>0</v>
      </c>
      <c r="BL85" s="427">
        <v>0</v>
      </c>
      <c r="BM85" s="427">
        <v>0</v>
      </c>
      <c r="BN85" s="427">
        <v>0</v>
      </c>
      <c r="BO85" s="427">
        <v>0</v>
      </c>
      <c r="BP85" s="427">
        <v>0</v>
      </c>
      <c r="BQ85" s="427">
        <v>0</v>
      </c>
      <c r="BR85" s="427">
        <v>0</v>
      </c>
      <c r="BS85" s="427">
        <v>0</v>
      </c>
      <c r="BT85" s="427">
        <v>0</v>
      </c>
      <c r="BU85" s="427">
        <v>0</v>
      </c>
      <c r="BV85" s="427">
        <v>0</v>
      </c>
      <c r="BW85" s="427">
        <v>0</v>
      </c>
      <c r="BX85" s="427">
        <v>0</v>
      </c>
      <c r="BY85" s="427">
        <v>0</v>
      </c>
      <c r="BZ85" s="427">
        <v>0</v>
      </c>
      <c r="CC85" s="21"/>
      <c r="CD85" s="438" t="s">
        <v>636</v>
      </c>
      <c r="CE85" s="433">
        <f t="shared" si="15"/>
        <v>0</v>
      </c>
      <c r="CF85" s="433">
        <f t="shared" si="16"/>
        <v>0</v>
      </c>
      <c r="CG85" s="433">
        <f t="shared" si="17"/>
        <v>0</v>
      </c>
      <c r="CH85" s="433">
        <f t="shared" si="18"/>
        <v>0</v>
      </c>
      <c r="CI85" s="433">
        <f t="shared" si="19"/>
        <v>0</v>
      </c>
      <c r="CJ85" s="433">
        <f t="shared" si="20"/>
        <v>0</v>
      </c>
      <c r="CK85" s="433">
        <f t="shared" si="21"/>
        <v>0</v>
      </c>
      <c r="CL85" s="433">
        <f t="shared" si="22"/>
        <v>0</v>
      </c>
      <c r="CM85" s="433">
        <f t="shared" si="23"/>
        <v>0</v>
      </c>
      <c r="CN85" s="433">
        <f t="shared" si="24"/>
        <v>0</v>
      </c>
      <c r="CO85" s="433">
        <f t="shared" si="25"/>
        <v>0</v>
      </c>
      <c r="CP85" s="433">
        <f t="shared" si="26"/>
        <v>0</v>
      </c>
      <c r="CQ85" s="433">
        <f t="shared" si="27"/>
        <v>0</v>
      </c>
      <c r="CR85" s="433">
        <f t="shared" si="28"/>
        <v>0</v>
      </c>
      <c r="CS85" s="433">
        <f t="shared" si="29"/>
        <v>0</v>
      </c>
      <c r="CT85" s="21"/>
    </row>
    <row r="86" spans="3:98" ht="24.75" hidden="1" customHeight="1" outlineLevel="3">
      <c r="C86" s="438" t="s">
        <v>637</v>
      </c>
      <c r="D86" s="427">
        <v>0</v>
      </c>
      <c r="E86" s="427">
        <v>0</v>
      </c>
      <c r="F86" s="427">
        <v>0</v>
      </c>
      <c r="G86" s="427">
        <v>0</v>
      </c>
      <c r="H86" s="427">
        <v>0</v>
      </c>
      <c r="I86" s="427">
        <v>0</v>
      </c>
      <c r="J86" s="427">
        <v>0</v>
      </c>
      <c r="K86" s="427">
        <v>0</v>
      </c>
      <c r="L86" s="427">
        <v>0</v>
      </c>
      <c r="M86" s="427">
        <v>0</v>
      </c>
      <c r="N86" s="427">
        <v>0</v>
      </c>
      <c r="O86" s="427">
        <v>0</v>
      </c>
      <c r="P86" s="427">
        <v>0</v>
      </c>
      <c r="Q86" s="427">
        <v>0</v>
      </c>
      <c r="R86" s="427">
        <v>0</v>
      </c>
      <c r="S86" s="427">
        <v>0</v>
      </c>
      <c r="T86" s="427">
        <v>0</v>
      </c>
      <c r="U86" s="427">
        <v>0</v>
      </c>
      <c r="V86" s="427">
        <v>0</v>
      </c>
      <c r="W86" s="427">
        <v>0</v>
      </c>
      <c r="X86" s="427">
        <v>0</v>
      </c>
      <c r="Y86" s="427">
        <v>0</v>
      </c>
      <c r="Z86" s="427">
        <v>0</v>
      </c>
      <c r="AA86" s="427">
        <v>0</v>
      </c>
      <c r="AB86" s="427">
        <v>0</v>
      </c>
      <c r="AC86" s="427">
        <v>0</v>
      </c>
      <c r="AD86" s="427">
        <v>0</v>
      </c>
      <c r="AE86" s="427">
        <v>0</v>
      </c>
      <c r="AF86" s="427">
        <v>0</v>
      </c>
      <c r="AG86" s="427">
        <v>0</v>
      </c>
      <c r="AH86" s="427">
        <v>0</v>
      </c>
      <c r="AI86" s="427">
        <v>0</v>
      </c>
      <c r="AJ86" s="427">
        <v>0</v>
      </c>
      <c r="AK86" s="427">
        <v>0</v>
      </c>
      <c r="AL86" s="427">
        <v>0</v>
      </c>
      <c r="AM86" s="427">
        <v>0</v>
      </c>
      <c r="AN86" s="427">
        <v>0</v>
      </c>
      <c r="AO86" s="427">
        <v>0</v>
      </c>
      <c r="AP86" s="427">
        <v>0</v>
      </c>
      <c r="AQ86" s="427">
        <v>0</v>
      </c>
      <c r="AR86" s="427">
        <v>0</v>
      </c>
      <c r="AS86" s="427">
        <v>0</v>
      </c>
      <c r="AT86" s="427">
        <v>0</v>
      </c>
      <c r="AU86" s="427">
        <v>0</v>
      </c>
      <c r="AV86" s="427">
        <v>0</v>
      </c>
      <c r="AW86" s="427">
        <v>0</v>
      </c>
      <c r="AX86" s="427">
        <v>0</v>
      </c>
      <c r="AY86" s="427">
        <v>0</v>
      </c>
      <c r="AZ86" s="427">
        <v>0</v>
      </c>
      <c r="BA86" s="427">
        <v>0</v>
      </c>
      <c r="BB86" s="427">
        <v>0</v>
      </c>
      <c r="BC86" s="427">
        <v>0</v>
      </c>
      <c r="BD86" s="427">
        <v>0</v>
      </c>
      <c r="BE86" s="427">
        <v>0</v>
      </c>
      <c r="BF86" s="427">
        <v>0</v>
      </c>
      <c r="BG86" s="427">
        <v>0</v>
      </c>
      <c r="BH86" s="427">
        <v>0</v>
      </c>
      <c r="BI86" s="427">
        <v>0</v>
      </c>
      <c r="BJ86" s="427">
        <v>0</v>
      </c>
      <c r="BK86" s="427">
        <v>0</v>
      </c>
      <c r="BL86" s="427">
        <v>0</v>
      </c>
      <c r="BM86" s="427">
        <v>0</v>
      </c>
      <c r="BN86" s="427">
        <v>0</v>
      </c>
      <c r="BO86" s="427">
        <v>0</v>
      </c>
      <c r="BP86" s="427">
        <v>0</v>
      </c>
      <c r="BQ86" s="427">
        <v>0</v>
      </c>
      <c r="BR86" s="427">
        <v>0</v>
      </c>
      <c r="BS86" s="427">
        <v>0</v>
      </c>
      <c r="BT86" s="427">
        <v>0</v>
      </c>
      <c r="BU86" s="427">
        <v>0</v>
      </c>
      <c r="BV86" s="427">
        <v>0</v>
      </c>
      <c r="BW86" s="427">
        <v>0</v>
      </c>
      <c r="BX86" s="427">
        <v>0</v>
      </c>
      <c r="BY86" s="427">
        <v>0</v>
      </c>
      <c r="BZ86" s="427">
        <v>0</v>
      </c>
      <c r="CC86" s="21"/>
      <c r="CD86" s="438" t="s">
        <v>637</v>
      </c>
      <c r="CE86" s="433">
        <f t="shared" si="15"/>
        <v>0</v>
      </c>
      <c r="CF86" s="433">
        <f t="shared" si="16"/>
        <v>0</v>
      </c>
      <c r="CG86" s="433">
        <f t="shared" si="17"/>
        <v>0</v>
      </c>
      <c r="CH86" s="433">
        <f t="shared" si="18"/>
        <v>0</v>
      </c>
      <c r="CI86" s="433">
        <f t="shared" si="19"/>
        <v>0</v>
      </c>
      <c r="CJ86" s="433">
        <f t="shared" si="20"/>
        <v>0</v>
      </c>
      <c r="CK86" s="433">
        <f t="shared" si="21"/>
        <v>0</v>
      </c>
      <c r="CL86" s="433">
        <f t="shared" si="22"/>
        <v>0</v>
      </c>
      <c r="CM86" s="433">
        <f t="shared" si="23"/>
        <v>0</v>
      </c>
      <c r="CN86" s="433">
        <f t="shared" si="24"/>
        <v>0</v>
      </c>
      <c r="CO86" s="433">
        <f t="shared" si="25"/>
        <v>0</v>
      </c>
      <c r="CP86" s="433">
        <f t="shared" si="26"/>
        <v>0</v>
      </c>
      <c r="CQ86" s="433">
        <f t="shared" si="27"/>
        <v>0</v>
      </c>
      <c r="CR86" s="433">
        <f t="shared" si="28"/>
        <v>0</v>
      </c>
      <c r="CS86" s="433">
        <f t="shared" si="29"/>
        <v>0</v>
      </c>
      <c r="CT86" s="21"/>
    </row>
    <row r="87" spans="3:98" ht="24.75" hidden="1" customHeight="1" outlineLevel="3">
      <c r="C87" s="438" t="s">
        <v>638</v>
      </c>
      <c r="D87" s="427">
        <v>0</v>
      </c>
      <c r="E87" s="427">
        <v>0</v>
      </c>
      <c r="F87" s="427">
        <v>0</v>
      </c>
      <c r="G87" s="427">
        <v>0</v>
      </c>
      <c r="H87" s="427">
        <v>0</v>
      </c>
      <c r="I87" s="427">
        <v>0</v>
      </c>
      <c r="J87" s="427">
        <v>0</v>
      </c>
      <c r="K87" s="427">
        <v>0</v>
      </c>
      <c r="L87" s="427">
        <v>0</v>
      </c>
      <c r="M87" s="427">
        <v>0</v>
      </c>
      <c r="N87" s="427">
        <v>0</v>
      </c>
      <c r="O87" s="427">
        <v>0</v>
      </c>
      <c r="P87" s="427">
        <v>0</v>
      </c>
      <c r="Q87" s="427">
        <v>0</v>
      </c>
      <c r="R87" s="427">
        <v>0</v>
      </c>
      <c r="S87" s="427">
        <v>0</v>
      </c>
      <c r="T87" s="427">
        <v>0</v>
      </c>
      <c r="U87" s="427">
        <v>0</v>
      </c>
      <c r="V87" s="427">
        <v>0</v>
      </c>
      <c r="W87" s="427">
        <v>0</v>
      </c>
      <c r="X87" s="427">
        <v>0</v>
      </c>
      <c r="Y87" s="427">
        <v>0</v>
      </c>
      <c r="Z87" s="427">
        <v>0</v>
      </c>
      <c r="AA87" s="427">
        <v>0</v>
      </c>
      <c r="AB87" s="427">
        <v>0</v>
      </c>
      <c r="AC87" s="427">
        <v>0</v>
      </c>
      <c r="AD87" s="427">
        <v>0</v>
      </c>
      <c r="AE87" s="427">
        <v>0</v>
      </c>
      <c r="AF87" s="427">
        <v>0</v>
      </c>
      <c r="AG87" s="427">
        <v>0</v>
      </c>
      <c r="AH87" s="427">
        <v>0</v>
      </c>
      <c r="AI87" s="427">
        <v>0</v>
      </c>
      <c r="AJ87" s="427">
        <v>0</v>
      </c>
      <c r="AK87" s="427">
        <v>0</v>
      </c>
      <c r="AL87" s="427">
        <v>0</v>
      </c>
      <c r="AM87" s="427">
        <v>0</v>
      </c>
      <c r="AN87" s="427">
        <v>0</v>
      </c>
      <c r="AO87" s="427">
        <v>0</v>
      </c>
      <c r="AP87" s="427">
        <v>0</v>
      </c>
      <c r="AQ87" s="427">
        <v>0</v>
      </c>
      <c r="AR87" s="427">
        <v>0</v>
      </c>
      <c r="AS87" s="427">
        <v>0</v>
      </c>
      <c r="AT87" s="427">
        <v>0</v>
      </c>
      <c r="AU87" s="427">
        <v>0</v>
      </c>
      <c r="AV87" s="427">
        <v>0</v>
      </c>
      <c r="AW87" s="427">
        <v>0</v>
      </c>
      <c r="AX87" s="427">
        <v>0</v>
      </c>
      <c r="AY87" s="427">
        <v>0</v>
      </c>
      <c r="AZ87" s="427">
        <v>0</v>
      </c>
      <c r="BA87" s="427">
        <v>0</v>
      </c>
      <c r="BB87" s="427">
        <v>0</v>
      </c>
      <c r="BC87" s="427">
        <v>0</v>
      </c>
      <c r="BD87" s="427">
        <v>0</v>
      </c>
      <c r="BE87" s="427">
        <v>0</v>
      </c>
      <c r="BF87" s="427">
        <v>0</v>
      </c>
      <c r="BG87" s="427">
        <v>0</v>
      </c>
      <c r="BH87" s="427">
        <v>0</v>
      </c>
      <c r="BI87" s="427">
        <v>0</v>
      </c>
      <c r="BJ87" s="427">
        <v>0</v>
      </c>
      <c r="BK87" s="427">
        <v>0</v>
      </c>
      <c r="BL87" s="427">
        <v>0</v>
      </c>
      <c r="BM87" s="427">
        <v>0</v>
      </c>
      <c r="BN87" s="427">
        <v>0</v>
      </c>
      <c r="BO87" s="427">
        <v>0</v>
      </c>
      <c r="BP87" s="427">
        <v>0</v>
      </c>
      <c r="BQ87" s="427">
        <v>0</v>
      </c>
      <c r="BR87" s="427">
        <v>0</v>
      </c>
      <c r="BS87" s="427">
        <v>0</v>
      </c>
      <c r="BT87" s="427">
        <v>0</v>
      </c>
      <c r="BU87" s="427">
        <v>0</v>
      </c>
      <c r="BV87" s="427">
        <v>0</v>
      </c>
      <c r="BW87" s="427">
        <v>0</v>
      </c>
      <c r="BX87" s="427">
        <v>0</v>
      </c>
      <c r="BY87" s="427">
        <v>0</v>
      </c>
      <c r="BZ87" s="427">
        <v>0</v>
      </c>
      <c r="CC87" s="21"/>
      <c r="CD87" s="438" t="s">
        <v>638</v>
      </c>
      <c r="CE87" s="433">
        <f t="shared" si="15"/>
        <v>0</v>
      </c>
      <c r="CF87" s="433">
        <f t="shared" si="16"/>
        <v>0</v>
      </c>
      <c r="CG87" s="433">
        <f t="shared" si="17"/>
        <v>0</v>
      </c>
      <c r="CH87" s="433">
        <f t="shared" si="18"/>
        <v>0</v>
      </c>
      <c r="CI87" s="433">
        <f t="shared" si="19"/>
        <v>0</v>
      </c>
      <c r="CJ87" s="433">
        <f t="shared" si="20"/>
        <v>0</v>
      </c>
      <c r="CK87" s="433">
        <f t="shared" si="21"/>
        <v>0</v>
      </c>
      <c r="CL87" s="433">
        <f t="shared" si="22"/>
        <v>0</v>
      </c>
      <c r="CM87" s="433">
        <f t="shared" si="23"/>
        <v>0</v>
      </c>
      <c r="CN87" s="433">
        <f t="shared" si="24"/>
        <v>0</v>
      </c>
      <c r="CO87" s="433">
        <f t="shared" si="25"/>
        <v>0</v>
      </c>
      <c r="CP87" s="433">
        <f t="shared" si="26"/>
        <v>0</v>
      </c>
      <c r="CQ87" s="433">
        <f t="shared" si="27"/>
        <v>0</v>
      </c>
      <c r="CR87" s="433">
        <f t="shared" si="28"/>
        <v>0</v>
      </c>
      <c r="CS87" s="433">
        <f t="shared" si="29"/>
        <v>0</v>
      </c>
      <c r="CT87" s="21"/>
    </row>
    <row r="88" spans="3:98" ht="24.75" hidden="1" customHeight="1" outlineLevel="3">
      <c r="C88" s="438" t="s">
        <v>639</v>
      </c>
      <c r="D88" s="427">
        <v>0</v>
      </c>
      <c r="E88" s="427">
        <v>0</v>
      </c>
      <c r="F88" s="427">
        <v>0</v>
      </c>
      <c r="G88" s="427">
        <v>0</v>
      </c>
      <c r="H88" s="427">
        <v>0</v>
      </c>
      <c r="I88" s="427">
        <v>0</v>
      </c>
      <c r="J88" s="427">
        <v>0</v>
      </c>
      <c r="K88" s="427">
        <v>0</v>
      </c>
      <c r="L88" s="427">
        <v>0</v>
      </c>
      <c r="M88" s="427">
        <v>0</v>
      </c>
      <c r="N88" s="427">
        <v>0</v>
      </c>
      <c r="O88" s="427">
        <v>0</v>
      </c>
      <c r="P88" s="427">
        <v>0</v>
      </c>
      <c r="Q88" s="427">
        <v>0</v>
      </c>
      <c r="R88" s="427">
        <v>0</v>
      </c>
      <c r="S88" s="427">
        <v>0</v>
      </c>
      <c r="T88" s="427">
        <v>0</v>
      </c>
      <c r="U88" s="427">
        <v>0</v>
      </c>
      <c r="V88" s="427">
        <v>0</v>
      </c>
      <c r="W88" s="427">
        <v>0</v>
      </c>
      <c r="X88" s="427">
        <v>0</v>
      </c>
      <c r="Y88" s="427">
        <v>0</v>
      </c>
      <c r="Z88" s="427">
        <v>0</v>
      </c>
      <c r="AA88" s="427">
        <v>0</v>
      </c>
      <c r="AB88" s="427">
        <v>0</v>
      </c>
      <c r="AC88" s="427">
        <v>0</v>
      </c>
      <c r="AD88" s="427">
        <v>0</v>
      </c>
      <c r="AE88" s="427">
        <v>0</v>
      </c>
      <c r="AF88" s="427">
        <v>0</v>
      </c>
      <c r="AG88" s="427">
        <v>0</v>
      </c>
      <c r="AH88" s="427">
        <v>0</v>
      </c>
      <c r="AI88" s="427">
        <v>0</v>
      </c>
      <c r="AJ88" s="427">
        <v>0</v>
      </c>
      <c r="AK88" s="427">
        <v>0</v>
      </c>
      <c r="AL88" s="427">
        <v>0</v>
      </c>
      <c r="AM88" s="427">
        <v>0</v>
      </c>
      <c r="AN88" s="427">
        <v>0</v>
      </c>
      <c r="AO88" s="427">
        <v>0</v>
      </c>
      <c r="AP88" s="427">
        <v>0</v>
      </c>
      <c r="AQ88" s="427">
        <v>0</v>
      </c>
      <c r="AR88" s="427">
        <v>0</v>
      </c>
      <c r="AS88" s="427">
        <v>0</v>
      </c>
      <c r="AT88" s="427">
        <v>0</v>
      </c>
      <c r="AU88" s="427">
        <v>0</v>
      </c>
      <c r="AV88" s="427">
        <v>0</v>
      </c>
      <c r="AW88" s="427">
        <v>0</v>
      </c>
      <c r="AX88" s="427">
        <v>0</v>
      </c>
      <c r="AY88" s="427">
        <v>0</v>
      </c>
      <c r="AZ88" s="427">
        <v>0</v>
      </c>
      <c r="BA88" s="427">
        <v>0</v>
      </c>
      <c r="BB88" s="427">
        <v>0</v>
      </c>
      <c r="BC88" s="427">
        <v>0</v>
      </c>
      <c r="BD88" s="427">
        <v>0</v>
      </c>
      <c r="BE88" s="427">
        <v>0</v>
      </c>
      <c r="BF88" s="427">
        <v>0</v>
      </c>
      <c r="BG88" s="427">
        <v>0</v>
      </c>
      <c r="BH88" s="427">
        <v>0</v>
      </c>
      <c r="BI88" s="427">
        <v>0</v>
      </c>
      <c r="BJ88" s="427">
        <v>0</v>
      </c>
      <c r="BK88" s="427">
        <v>0</v>
      </c>
      <c r="BL88" s="427">
        <v>0</v>
      </c>
      <c r="BM88" s="427">
        <v>0</v>
      </c>
      <c r="BN88" s="427">
        <v>0</v>
      </c>
      <c r="BO88" s="427">
        <v>0</v>
      </c>
      <c r="BP88" s="427">
        <v>0</v>
      </c>
      <c r="BQ88" s="427">
        <v>0</v>
      </c>
      <c r="BR88" s="427">
        <v>0</v>
      </c>
      <c r="BS88" s="427">
        <v>0</v>
      </c>
      <c r="BT88" s="427">
        <v>0</v>
      </c>
      <c r="BU88" s="427">
        <v>0</v>
      </c>
      <c r="BV88" s="427">
        <v>0</v>
      </c>
      <c r="BW88" s="427">
        <v>0</v>
      </c>
      <c r="BX88" s="427">
        <v>0</v>
      </c>
      <c r="BY88" s="427">
        <v>0</v>
      </c>
      <c r="BZ88" s="427">
        <v>0</v>
      </c>
      <c r="CC88" s="21"/>
      <c r="CD88" s="438" t="s">
        <v>639</v>
      </c>
      <c r="CE88" s="433">
        <f t="shared" si="15"/>
        <v>0</v>
      </c>
      <c r="CF88" s="433">
        <f t="shared" si="16"/>
        <v>0</v>
      </c>
      <c r="CG88" s="433">
        <f t="shared" si="17"/>
        <v>0</v>
      </c>
      <c r="CH88" s="433">
        <f t="shared" si="18"/>
        <v>0</v>
      </c>
      <c r="CI88" s="433">
        <f t="shared" si="19"/>
        <v>0</v>
      </c>
      <c r="CJ88" s="433">
        <f t="shared" si="20"/>
        <v>0</v>
      </c>
      <c r="CK88" s="433">
        <f t="shared" si="21"/>
        <v>0</v>
      </c>
      <c r="CL88" s="433">
        <f t="shared" si="22"/>
        <v>0</v>
      </c>
      <c r="CM88" s="433">
        <f t="shared" si="23"/>
        <v>0</v>
      </c>
      <c r="CN88" s="433">
        <f t="shared" si="24"/>
        <v>0</v>
      </c>
      <c r="CO88" s="433">
        <f t="shared" si="25"/>
        <v>0</v>
      </c>
      <c r="CP88" s="433">
        <f t="shared" si="26"/>
        <v>0</v>
      </c>
      <c r="CQ88" s="433">
        <f t="shared" si="27"/>
        <v>0</v>
      </c>
      <c r="CR88" s="433">
        <f t="shared" si="28"/>
        <v>0</v>
      </c>
      <c r="CS88" s="433">
        <f t="shared" si="29"/>
        <v>0</v>
      </c>
      <c r="CT88" s="21"/>
    </row>
    <row r="89" spans="3:98" ht="24.75" hidden="1" customHeight="1" outlineLevel="2">
      <c r="C89" s="437" t="s">
        <v>633</v>
      </c>
      <c r="D89" s="427">
        <v>0</v>
      </c>
      <c r="E89" s="427">
        <v>0</v>
      </c>
      <c r="F89" s="427">
        <v>0</v>
      </c>
      <c r="G89" s="427">
        <v>0</v>
      </c>
      <c r="H89" s="427">
        <v>0</v>
      </c>
      <c r="I89" s="427">
        <v>0</v>
      </c>
      <c r="J89" s="427">
        <v>0</v>
      </c>
      <c r="K89" s="427">
        <v>0</v>
      </c>
      <c r="L89" s="427">
        <v>0</v>
      </c>
      <c r="M89" s="427">
        <v>0</v>
      </c>
      <c r="N89" s="427">
        <v>0</v>
      </c>
      <c r="O89" s="427">
        <v>0</v>
      </c>
      <c r="P89" s="427">
        <v>0</v>
      </c>
      <c r="Q89" s="427">
        <v>0</v>
      </c>
      <c r="R89" s="427">
        <v>0</v>
      </c>
      <c r="S89" s="427">
        <v>0</v>
      </c>
      <c r="T89" s="427">
        <v>0</v>
      </c>
      <c r="U89" s="427">
        <v>0</v>
      </c>
      <c r="V89" s="427">
        <v>0</v>
      </c>
      <c r="W89" s="427">
        <v>0</v>
      </c>
      <c r="X89" s="427">
        <v>0</v>
      </c>
      <c r="Y89" s="427">
        <v>0</v>
      </c>
      <c r="Z89" s="427">
        <v>0</v>
      </c>
      <c r="AA89" s="427">
        <v>0</v>
      </c>
      <c r="AB89" s="427">
        <v>0</v>
      </c>
      <c r="AC89" s="427">
        <v>0</v>
      </c>
      <c r="AD89" s="427">
        <v>0</v>
      </c>
      <c r="AE89" s="427">
        <v>0</v>
      </c>
      <c r="AF89" s="427">
        <v>0</v>
      </c>
      <c r="AG89" s="427">
        <v>0</v>
      </c>
      <c r="AH89" s="427">
        <v>0</v>
      </c>
      <c r="AI89" s="427">
        <v>0</v>
      </c>
      <c r="AJ89" s="427">
        <v>0</v>
      </c>
      <c r="AK89" s="427">
        <v>0</v>
      </c>
      <c r="AL89" s="427">
        <v>0</v>
      </c>
      <c r="AM89" s="427">
        <v>0</v>
      </c>
      <c r="AN89" s="427">
        <v>0</v>
      </c>
      <c r="AO89" s="427">
        <v>0</v>
      </c>
      <c r="AP89" s="427">
        <v>0</v>
      </c>
      <c r="AQ89" s="427">
        <v>0</v>
      </c>
      <c r="AR89" s="427">
        <v>0</v>
      </c>
      <c r="AS89" s="427">
        <v>0</v>
      </c>
      <c r="AT89" s="427">
        <v>0</v>
      </c>
      <c r="AU89" s="427">
        <v>0</v>
      </c>
      <c r="AV89" s="427">
        <v>0</v>
      </c>
      <c r="AW89" s="427">
        <v>0</v>
      </c>
      <c r="AX89" s="427">
        <v>0</v>
      </c>
      <c r="AY89" s="427">
        <v>0</v>
      </c>
      <c r="AZ89" s="427">
        <v>0</v>
      </c>
      <c r="BA89" s="427">
        <v>0</v>
      </c>
      <c r="BB89" s="427">
        <v>0</v>
      </c>
      <c r="BC89" s="427">
        <v>0</v>
      </c>
      <c r="BD89" s="427">
        <v>0</v>
      </c>
      <c r="BE89" s="427">
        <v>0</v>
      </c>
      <c r="BF89" s="427">
        <v>-2.387</v>
      </c>
      <c r="BG89" s="427">
        <v>0</v>
      </c>
      <c r="BH89" s="427">
        <v>0</v>
      </c>
      <c r="BI89" s="427">
        <v>0</v>
      </c>
      <c r="BJ89" s="427">
        <v>0</v>
      </c>
      <c r="BK89" s="427">
        <v>6.09</v>
      </c>
      <c r="BL89" s="427">
        <v>0.61399999999999999</v>
      </c>
      <c r="BM89" s="427">
        <v>23.338000000000001</v>
      </c>
      <c r="BN89" s="427">
        <v>-6.5590000000000002</v>
      </c>
      <c r="BO89" s="427">
        <v>9.9369999999999994</v>
      </c>
      <c r="BP89" s="427">
        <v>27.33</v>
      </c>
      <c r="BQ89" s="427">
        <v>-28.398</v>
      </c>
      <c r="BR89" s="427">
        <v>29.056999999999999</v>
      </c>
      <c r="BS89" s="427">
        <v>24.007999999999999</v>
      </c>
      <c r="BT89" s="427">
        <v>-6.0549999999999997</v>
      </c>
      <c r="BU89" s="427">
        <v>18.611999999999998</v>
      </c>
      <c r="BV89" s="427">
        <v>-32.904000000000003</v>
      </c>
      <c r="BW89" s="427">
        <v>4.4089999999999998</v>
      </c>
      <c r="BX89" s="427">
        <v>9.75</v>
      </c>
      <c r="BY89" s="427">
        <v>0</v>
      </c>
      <c r="BZ89" s="427">
        <v>0</v>
      </c>
      <c r="CC89" s="21"/>
      <c r="CD89" s="437" t="s">
        <v>633</v>
      </c>
      <c r="CE89" s="433">
        <f t="shared" si="15"/>
        <v>0</v>
      </c>
      <c r="CF89" s="433">
        <f t="shared" si="16"/>
        <v>0</v>
      </c>
      <c r="CG89" s="433">
        <f t="shared" si="17"/>
        <v>0</v>
      </c>
      <c r="CH89" s="433">
        <f t="shared" si="18"/>
        <v>0</v>
      </c>
      <c r="CI89" s="433">
        <f t="shared" si="19"/>
        <v>0</v>
      </c>
      <c r="CJ89" s="433">
        <f t="shared" si="20"/>
        <v>0</v>
      </c>
      <c r="CK89" s="433">
        <f t="shared" si="21"/>
        <v>0</v>
      </c>
      <c r="CL89" s="433">
        <f t="shared" si="22"/>
        <v>0</v>
      </c>
      <c r="CM89" s="433">
        <f t="shared" si="23"/>
        <v>0</v>
      </c>
      <c r="CN89" s="433">
        <f t="shared" si="24"/>
        <v>0</v>
      </c>
      <c r="CO89" s="433">
        <f t="shared" si="25"/>
        <v>-2.387</v>
      </c>
      <c r="CP89" s="433">
        <f t="shared" si="26"/>
        <v>6.09</v>
      </c>
      <c r="CQ89" s="433">
        <f t="shared" si="27"/>
        <v>27.33</v>
      </c>
      <c r="CR89" s="433">
        <f t="shared" si="28"/>
        <v>18.611999999999998</v>
      </c>
      <c r="CS89" s="433">
        <f t="shared" si="29"/>
        <v>0</v>
      </c>
      <c r="CT89" s="21"/>
    </row>
    <row r="90" spans="3:98" ht="24.75" hidden="1" customHeight="1" outlineLevel="2">
      <c r="C90" s="437" t="s">
        <v>640</v>
      </c>
      <c r="D90" s="427">
        <v>0</v>
      </c>
      <c r="E90" s="427">
        <v>0</v>
      </c>
      <c r="F90" s="427">
        <v>0</v>
      </c>
      <c r="G90" s="427">
        <v>0</v>
      </c>
      <c r="H90" s="427">
        <v>0</v>
      </c>
      <c r="I90" s="427">
        <v>0</v>
      </c>
      <c r="J90" s="427">
        <v>0</v>
      </c>
      <c r="K90" s="427">
        <v>0</v>
      </c>
      <c r="L90" s="427">
        <v>0</v>
      </c>
      <c r="M90" s="427">
        <v>0</v>
      </c>
      <c r="N90" s="427">
        <v>0</v>
      </c>
      <c r="O90" s="427">
        <v>0</v>
      </c>
      <c r="P90" s="427">
        <v>0</v>
      </c>
      <c r="Q90" s="427">
        <v>0</v>
      </c>
      <c r="R90" s="427">
        <v>0</v>
      </c>
      <c r="S90" s="427">
        <v>0</v>
      </c>
      <c r="T90" s="427">
        <v>0</v>
      </c>
      <c r="U90" s="427">
        <v>0</v>
      </c>
      <c r="V90" s="427">
        <v>0</v>
      </c>
      <c r="W90" s="427">
        <v>0</v>
      </c>
      <c r="X90" s="427">
        <v>0</v>
      </c>
      <c r="Y90" s="427">
        <v>0</v>
      </c>
      <c r="Z90" s="427">
        <v>0</v>
      </c>
      <c r="AA90" s="427">
        <v>0</v>
      </c>
      <c r="AB90" s="427">
        <v>0</v>
      </c>
      <c r="AC90" s="427">
        <v>0</v>
      </c>
      <c r="AD90" s="427">
        <v>0</v>
      </c>
      <c r="AE90" s="427">
        <v>0</v>
      </c>
      <c r="AF90" s="427">
        <v>0</v>
      </c>
      <c r="AG90" s="427">
        <v>0</v>
      </c>
      <c r="AH90" s="427">
        <v>0</v>
      </c>
      <c r="AI90" s="427">
        <v>0</v>
      </c>
      <c r="AJ90" s="427">
        <v>0</v>
      </c>
      <c r="AK90" s="427">
        <v>0</v>
      </c>
      <c r="AL90" s="427">
        <v>0</v>
      </c>
      <c r="AM90" s="427">
        <v>0</v>
      </c>
      <c r="AN90" s="427">
        <v>0</v>
      </c>
      <c r="AO90" s="427">
        <v>0</v>
      </c>
      <c r="AP90" s="427">
        <v>0</v>
      </c>
      <c r="AQ90" s="427">
        <v>0</v>
      </c>
      <c r="AR90" s="427">
        <v>0</v>
      </c>
      <c r="AS90" s="427">
        <v>0</v>
      </c>
      <c r="AT90" s="427">
        <v>0</v>
      </c>
      <c r="AU90" s="427">
        <v>0</v>
      </c>
      <c r="AV90" s="427">
        <v>0</v>
      </c>
      <c r="AW90" s="427">
        <v>0</v>
      </c>
      <c r="AX90" s="427">
        <v>0</v>
      </c>
      <c r="AY90" s="427">
        <v>0</v>
      </c>
      <c r="AZ90" s="427">
        <v>0</v>
      </c>
      <c r="BA90" s="427">
        <v>0</v>
      </c>
      <c r="BB90" s="427">
        <v>0</v>
      </c>
      <c r="BC90" s="427">
        <v>0</v>
      </c>
      <c r="BD90" s="427">
        <v>0</v>
      </c>
      <c r="BE90" s="427">
        <v>0</v>
      </c>
      <c r="BF90" s="427">
        <v>0</v>
      </c>
      <c r="BG90" s="427">
        <v>0</v>
      </c>
      <c r="BH90" s="427">
        <v>0</v>
      </c>
      <c r="BI90" s="427">
        <v>0</v>
      </c>
      <c r="BJ90" s="427">
        <v>0</v>
      </c>
      <c r="BK90" s="427">
        <v>0</v>
      </c>
      <c r="BL90" s="427">
        <v>0</v>
      </c>
      <c r="BM90" s="427">
        <v>0</v>
      </c>
      <c r="BN90" s="427">
        <v>0</v>
      </c>
      <c r="BO90" s="427">
        <v>0</v>
      </c>
      <c r="BP90" s="427">
        <v>0</v>
      </c>
      <c r="BQ90" s="427">
        <v>0</v>
      </c>
      <c r="BR90" s="427">
        <v>0</v>
      </c>
      <c r="BS90" s="427">
        <v>0</v>
      </c>
      <c r="BT90" s="427">
        <v>0</v>
      </c>
      <c r="BU90" s="427">
        <v>0</v>
      </c>
      <c r="BV90" s="427">
        <v>0</v>
      </c>
      <c r="BW90" s="427">
        <v>0</v>
      </c>
      <c r="BX90" s="427">
        <v>0</v>
      </c>
      <c r="BY90" s="427">
        <v>0</v>
      </c>
      <c r="BZ90" s="427">
        <v>0</v>
      </c>
      <c r="CC90" s="21"/>
      <c r="CD90" s="437" t="s">
        <v>640</v>
      </c>
      <c r="CE90" s="433">
        <f t="shared" si="15"/>
        <v>0</v>
      </c>
      <c r="CF90" s="433">
        <f t="shared" si="16"/>
        <v>0</v>
      </c>
      <c r="CG90" s="433">
        <f t="shared" si="17"/>
        <v>0</v>
      </c>
      <c r="CH90" s="433">
        <f t="shared" si="18"/>
        <v>0</v>
      </c>
      <c r="CI90" s="433">
        <f t="shared" si="19"/>
        <v>0</v>
      </c>
      <c r="CJ90" s="433">
        <f t="shared" si="20"/>
        <v>0</v>
      </c>
      <c r="CK90" s="433">
        <f t="shared" si="21"/>
        <v>0</v>
      </c>
      <c r="CL90" s="433">
        <f t="shared" si="22"/>
        <v>0</v>
      </c>
      <c r="CM90" s="433">
        <f t="shared" si="23"/>
        <v>0</v>
      </c>
      <c r="CN90" s="433">
        <f t="shared" si="24"/>
        <v>0</v>
      </c>
      <c r="CO90" s="433">
        <f t="shared" si="25"/>
        <v>0</v>
      </c>
      <c r="CP90" s="433">
        <f t="shared" si="26"/>
        <v>0</v>
      </c>
      <c r="CQ90" s="433">
        <f t="shared" si="27"/>
        <v>0</v>
      </c>
      <c r="CR90" s="433">
        <f t="shared" si="28"/>
        <v>0</v>
      </c>
      <c r="CS90" s="433">
        <f t="shared" si="29"/>
        <v>0</v>
      </c>
      <c r="CT90" s="21"/>
    </row>
    <row r="91" spans="3:98" ht="24.75" hidden="1" customHeight="1" outlineLevel="1">
      <c r="C91" s="426" t="s">
        <v>632</v>
      </c>
      <c r="D91" s="427">
        <v>0</v>
      </c>
      <c r="E91" s="427">
        <v>0</v>
      </c>
      <c r="F91" s="427">
        <v>0</v>
      </c>
      <c r="G91" s="427">
        <v>0</v>
      </c>
      <c r="H91" s="427">
        <v>0</v>
      </c>
      <c r="I91" s="427">
        <v>0</v>
      </c>
      <c r="J91" s="427">
        <v>0</v>
      </c>
      <c r="K91" s="427">
        <v>0</v>
      </c>
      <c r="L91" s="427">
        <v>0</v>
      </c>
      <c r="M91" s="427">
        <v>0</v>
      </c>
      <c r="N91" s="427">
        <v>0</v>
      </c>
      <c r="O91" s="427">
        <v>0</v>
      </c>
      <c r="P91" s="427">
        <v>0</v>
      </c>
      <c r="Q91" s="427">
        <v>0</v>
      </c>
      <c r="R91" s="427">
        <v>0</v>
      </c>
      <c r="S91" s="427">
        <v>0</v>
      </c>
      <c r="T91" s="427">
        <v>0</v>
      </c>
      <c r="U91" s="427">
        <v>0</v>
      </c>
      <c r="V91" s="427">
        <v>0</v>
      </c>
      <c r="W91" s="427">
        <v>0</v>
      </c>
      <c r="X91" s="427">
        <v>0</v>
      </c>
      <c r="Y91" s="427">
        <v>0</v>
      </c>
      <c r="Z91" s="427">
        <v>0</v>
      </c>
      <c r="AA91" s="427">
        <v>0</v>
      </c>
      <c r="AB91" s="427">
        <v>0</v>
      </c>
      <c r="AC91" s="427">
        <v>0</v>
      </c>
      <c r="AD91" s="427">
        <v>0</v>
      </c>
      <c r="AE91" s="427">
        <v>0</v>
      </c>
      <c r="AF91" s="427">
        <v>0</v>
      </c>
      <c r="AG91" s="427">
        <v>0</v>
      </c>
      <c r="AH91" s="427">
        <v>0</v>
      </c>
      <c r="AI91" s="427">
        <v>0</v>
      </c>
      <c r="AJ91" s="427">
        <v>0</v>
      </c>
      <c r="AK91" s="427">
        <v>0</v>
      </c>
      <c r="AL91" s="427">
        <v>0</v>
      </c>
      <c r="AM91" s="427">
        <v>0</v>
      </c>
      <c r="AN91" s="427">
        <v>0</v>
      </c>
      <c r="AO91" s="427">
        <v>0</v>
      </c>
      <c r="AP91" s="427">
        <v>0</v>
      </c>
      <c r="AQ91" s="427">
        <v>0</v>
      </c>
      <c r="AR91" s="427">
        <v>0</v>
      </c>
      <c r="AS91" s="427">
        <v>0</v>
      </c>
      <c r="AT91" s="427">
        <v>0</v>
      </c>
      <c r="AU91" s="427">
        <v>0</v>
      </c>
      <c r="AV91" s="427">
        <v>0</v>
      </c>
      <c r="AW91" s="427">
        <v>0</v>
      </c>
      <c r="AX91" s="427">
        <v>0</v>
      </c>
      <c r="AY91" s="427">
        <v>0</v>
      </c>
      <c r="AZ91" s="427">
        <v>0</v>
      </c>
      <c r="BA91" s="427">
        <v>0</v>
      </c>
      <c r="BB91" s="427">
        <v>0</v>
      </c>
      <c r="BC91" s="427">
        <v>0</v>
      </c>
      <c r="BD91" s="427">
        <v>0</v>
      </c>
      <c r="BE91" s="427">
        <v>0</v>
      </c>
      <c r="BF91" s="427">
        <v>-2.387</v>
      </c>
      <c r="BG91" s="427">
        <v>6.952</v>
      </c>
      <c r="BH91" s="427">
        <v>-6.9450000000000003</v>
      </c>
      <c r="BI91" s="427">
        <v>12.185</v>
      </c>
      <c r="BJ91" s="427">
        <v>-6.1020000000000003</v>
      </c>
      <c r="BK91" s="427">
        <v>6.09</v>
      </c>
      <c r="BL91" s="427">
        <v>0.61399999999999999</v>
      </c>
      <c r="BM91" s="427">
        <v>23.338000000000001</v>
      </c>
      <c r="BN91" s="427">
        <v>-6.5590000000000002</v>
      </c>
      <c r="BO91" s="427">
        <v>9.9369999999999994</v>
      </c>
      <c r="BP91" s="427">
        <v>27.33</v>
      </c>
      <c r="BQ91" s="427">
        <v>-28.398</v>
      </c>
      <c r="BR91" s="427">
        <v>29.056999999999999</v>
      </c>
      <c r="BS91" s="427">
        <v>24.007999999999999</v>
      </c>
      <c r="BT91" s="427">
        <v>-6.0549999999999997</v>
      </c>
      <c r="BU91" s="427">
        <v>18.611999999999998</v>
      </c>
      <c r="BV91" s="427">
        <v>-32.904000000000003</v>
      </c>
      <c r="BW91" s="427">
        <v>4.4089999999999998</v>
      </c>
      <c r="BX91" s="427">
        <v>9.75</v>
      </c>
      <c r="BY91" s="427">
        <v>0</v>
      </c>
      <c r="BZ91" s="427">
        <v>0</v>
      </c>
      <c r="CC91" s="21"/>
      <c r="CD91" s="426" t="s">
        <v>632</v>
      </c>
      <c r="CE91" s="433">
        <f t="shared" si="15"/>
        <v>0</v>
      </c>
      <c r="CF91" s="433">
        <f t="shared" si="16"/>
        <v>0</v>
      </c>
      <c r="CG91" s="433">
        <f t="shared" si="17"/>
        <v>0</v>
      </c>
      <c r="CH91" s="433">
        <f t="shared" si="18"/>
        <v>0</v>
      </c>
      <c r="CI91" s="433">
        <f t="shared" si="19"/>
        <v>0</v>
      </c>
      <c r="CJ91" s="433">
        <f t="shared" si="20"/>
        <v>0</v>
      </c>
      <c r="CK91" s="433">
        <f t="shared" si="21"/>
        <v>0</v>
      </c>
      <c r="CL91" s="433">
        <f t="shared" si="22"/>
        <v>0</v>
      </c>
      <c r="CM91" s="433">
        <f t="shared" si="23"/>
        <v>0</v>
      </c>
      <c r="CN91" s="433">
        <f t="shared" si="24"/>
        <v>0</v>
      </c>
      <c r="CO91" s="433">
        <f t="shared" si="25"/>
        <v>-2.387</v>
      </c>
      <c r="CP91" s="433">
        <f t="shared" si="26"/>
        <v>6.09</v>
      </c>
      <c r="CQ91" s="433">
        <f t="shared" si="27"/>
        <v>27.33</v>
      </c>
      <c r="CR91" s="433">
        <f t="shared" si="28"/>
        <v>18.611999999999998</v>
      </c>
      <c r="CS91" s="433">
        <f t="shared" si="29"/>
        <v>0</v>
      </c>
      <c r="CT91" s="21"/>
    </row>
    <row r="92" spans="3:98" ht="24.75" hidden="1" customHeight="1" outlineLevel="1">
      <c r="C92" s="426" t="s">
        <v>641</v>
      </c>
      <c r="D92" s="427">
        <v>0</v>
      </c>
      <c r="E92" s="427">
        <v>0</v>
      </c>
      <c r="F92" s="427">
        <v>0</v>
      </c>
      <c r="G92" s="427">
        <v>0</v>
      </c>
      <c r="H92" s="427">
        <v>0</v>
      </c>
      <c r="I92" s="427">
        <v>0</v>
      </c>
      <c r="J92" s="427">
        <v>0</v>
      </c>
      <c r="K92" s="427">
        <v>0</v>
      </c>
      <c r="L92" s="427">
        <v>0</v>
      </c>
      <c r="M92" s="427">
        <v>0</v>
      </c>
      <c r="N92" s="427">
        <v>0</v>
      </c>
      <c r="O92" s="427">
        <v>0</v>
      </c>
      <c r="P92" s="427">
        <v>0</v>
      </c>
      <c r="Q92" s="427">
        <v>0</v>
      </c>
      <c r="R92" s="427">
        <v>0</v>
      </c>
      <c r="S92" s="427">
        <v>0</v>
      </c>
      <c r="T92" s="427">
        <v>0</v>
      </c>
      <c r="U92" s="427">
        <v>0</v>
      </c>
      <c r="V92" s="427">
        <v>0</v>
      </c>
      <c r="W92" s="427">
        <v>0</v>
      </c>
      <c r="X92" s="427">
        <v>0</v>
      </c>
      <c r="Y92" s="427">
        <v>0</v>
      </c>
      <c r="Z92" s="427">
        <v>0</v>
      </c>
      <c r="AA92" s="427">
        <v>0</v>
      </c>
      <c r="AB92" s="427">
        <v>0</v>
      </c>
      <c r="AC92" s="427">
        <v>0</v>
      </c>
      <c r="AD92" s="427">
        <v>0</v>
      </c>
      <c r="AE92" s="427">
        <v>0</v>
      </c>
      <c r="AF92" s="427">
        <v>0</v>
      </c>
      <c r="AG92" s="427">
        <v>0</v>
      </c>
      <c r="AH92" s="427">
        <v>0</v>
      </c>
      <c r="AI92" s="427">
        <v>0</v>
      </c>
      <c r="AJ92" s="427">
        <v>0</v>
      </c>
      <c r="AK92" s="427">
        <v>0</v>
      </c>
      <c r="AL92" s="427">
        <v>0</v>
      </c>
      <c r="AM92" s="427">
        <v>0</v>
      </c>
      <c r="AN92" s="427">
        <v>0</v>
      </c>
      <c r="AO92" s="427">
        <v>0</v>
      </c>
      <c r="AP92" s="427">
        <v>0</v>
      </c>
      <c r="AQ92" s="427">
        <v>0</v>
      </c>
      <c r="AR92" s="427">
        <v>0</v>
      </c>
      <c r="AS92" s="427">
        <v>0</v>
      </c>
      <c r="AT92" s="427">
        <v>0</v>
      </c>
      <c r="AU92" s="427">
        <v>0</v>
      </c>
      <c r="AV92" s="427">
        <v>0</v>
      </c>
      <c r="AW92" s="427">
        <v>0</v>
      </c>
      <c r="AX92" s="427">
        <v>0</v>
      </c>
      <c r="AY92" s="427">
        <v>0</v>
      </c>
      <c r="AZ92" s="427">
        <v>0</v>
      </c>
      <c r="BA92" s="427">
        <v>0</v>
      </c>
      <c r="BB92" s="427">
        <v>0</v>
      </c>
      <c r="BC92" s="427">
        <v>0</v>
      </c>
      <c r="BD92" s="427">
        <v>0</v>
      </c>
      <c r="BE92" s="427">
        <v>0</v>
      </c>
      <c r="BF92" s="427">
        <v>0</v>
      </c>
      <c r="BG92" s="427">
        <v>0</v>
      </c>
      <c r="BH92" s="427">
        <v>0</v>
      </c>
      <c r="BI92" s="427">
        <v>0</v>
      </c>
      <c r="BJ92" s="427">
        <v>0</v>
      </c>
      <c r="BK92" s="427">
        <v>0</v>
      </c>
      <c r="BL92" s="427">
        <v>0</v>
      </c>
      <c r="BM92" s="427">
        <v>0</v>
      </c>
      <c r="BN92" s="427">
        <v>0</v>
      </c>
      <c r="BO92" s="427">
        <v>0</v>
      </c>
      <c r="BP92" s="427">
        <v>0</v>
      </c>
      <c r="BQ92" s="427">
        <v>0</v>
      </c>
      <c r="BR92" s="427">
        <v>0</v>
      </c>
      <c r="BS92" s="427">
        <v>0</v>
      </c>
      <c r="BT92" s="427">
        <v>0</v>
      </c>
      <c r="BU92" s="427">
        <v>0</v>
      </c>
      <c r="BV92" s="427">
        <v>0</v>
      </c>
      <c r="BW92" s="427">
        <v>0</v>
      </c>
      <c r="BX92" s="427">
        <v>0</v>
      </c>
      <c r="BY92" s="427">
        <v>0</v>
      </c>
      <c r="BZ92" s="427">
        <v>0</v>
      </c>
      <c r="CC92" s="21"/>
      <c r="CD92" s="426" t="s">
        <v>641</v>
      </c>
      <c r="CE92" s="433">
        <f t="shared" si="15"/>
        <v>0</v>
      </c>
      <c r="CF92" s="433">
        <f t="shared" si="16"/>
        <v>0</v>
      </c>
      <c r="CG92" s="433">
        <f t="shared" si="17"/>
        <v>0</v>
      </c>
      <c r="CH92" s="433">
        <f t="shared" si="18"/>
        <v>0</v>
      </c>
      <c r="CI92" s="433">
        <f t="shared" si="19"/>
        <v>0</v>
      </c>
      <c r="CJ92" s="433">
        <f t="shared" si="20"/>
        <v>0</v>
      </c>
      <c r="CK92" s="433">
        <f t="shared" si="21"/>
        <v>0</v>
      </c>
      <c r="CL92" s="433">
        <f t="shared" si="22"/>
        <v>0</v>
      </c>
      <c r="CM92" s="433">
        <f t="shared" si="23"/>
        <v>0</v>
      </c>
      <c r="CN92" s="433">
        <f t="shared" si="24"/>
        <v>0</v>
      </c>
      <c r="CO92" s="433">
        <f t="shared" si="25"/>
        <v>0</v>
      </c>
      <c r="CP92" s="433">
        <f t="shared" si="26"/>
        <v>0</v>
      </c>
      <c r="CQ92" s="433">
        <f t="shared" si="27"/>
        <v>0</v>
      </c>
      <c r="CR92" s="433">
        <f t="shared" si="28"/>
        <v>0</v>
      </c>
      <c r="CS92" s="433">
        <f t="shared" si="29"/>
        <v>0</v>
      </c>
      <c r="CT92" s="21"/>
    </row>
    <row r="93" spans="3:98" ht="24.75" hidden="1" customHeight="1" outlineLevel="1">
      <c r="C93" s="426" t="s">
        <v>642</v>
      </c>
      <c r="D93" s="427">
        <v>0</v>
      </c>
      <c r="E93" s="427">
        <v>0</v>
      </c>
      <c r="F93" s="427">
        <v>0</v>
      </c>
      <c r="G93" s="427">
        <v>0</v>
      </c>
      <c r="H93" s="427">
        <v>0</v>
      </c>
      <c r="I93" s="427">
        <v>0</v>
      </c>
      <c r="J93" s="427">
        <v>0</v>
      </c>
      <c r="K93" s="427">
        <v>0</v>
      </c>
      <c r="L93" s="427">
        <v>0</v>
      </c>
      <c r="M93" s="427">
        <v>0</v>
      </c>
      <c r="N93" s="427">
        <v>0</v>
      </c>
      <c r="O93" s="427">
        <v>0</v>
      </c>
      <c r="P93" s="427">
        <v>0</v>
      </c>
      <c r="Q93" s="427">
        <v>0</v>
      </c>
      <c r="R93" s="427">
        <v>0</v>
      </c>
      <c r="S93" s="427">
        <v>0</v>
      </c>
      <c r="T93" s="427">
        <v>0</v>
      </c>
      <c r="U93" s="427">
        <v>0</v>
      </c>
      <c r="V93" s="427">
        <v>0</v>
      </c>
      <c r="W93" s="427">
        <v>0</v>
      </c>
      <c r="X93" s="427">
        <v>0</v>
      </c>
      <c r="Y93" s="427">
        <v>0</v>
      </c>
      <c r="Z93" s="427">
        <v>0</v>
      </c>
      <c r="AA93" s="427">
        <v>0</v>
      </c>
      <c r="AB93" s="427">
        <v>0</v>
      </c>
      <c r="AC93" s="427">
        <v>0</v>
      </c>
      <c r="AD93" s="427">
        <v>0</v>
      </c>
      <c r="AE93" s="427">
        <v>0</v>
      </c>
      <c r="AF93" s="427">
        <v>0</v>
      </c>
      <c r="AG93" s="427">
        <v>0</v>
      </c>
      <c r="AH93" s="427">
        <v>0</v>
      </c>
      <c r="AI93" s="427">
        <v>0</v>
      </c>
      <c r="AJ93" s="427">
        <v>0</v>
      </c>
      <c r="AK93" s="427">
        <v>0</v>
      </c>
      <c r="AL93" s="427">
        <v>0</v>
      </c>
      <c r="AM93" s="427">
        <v>0</v>
      </c>
      <c r="AN93" s="427">
        <v>0</v>
      </c>
      <c r="AO93" s="427">
        <v>0</v>
      </c>
      <c r="AP93" s="427">
        <v>0</v>
      </c>
      <c r="AQ93" s="427">
        <v>0</v>
      </c>
      <c r="AR93" s="427">
        <v>0</v>
      </c>
      <c r="AS93" s="427">
        <v>0</v>
      </c>
      <c r="AT93" s="427">
        <v>0</v>
      </c>
      <c r="AU93" s="427">
        <v>0</v>
      </c>
      <c r="AV93" s="427">
        <v>0</v>
      </c>
      <c r="AW93" s="427">
        <v>0</v>
      </c>
      <c r="AX93" s="427">
        <v>0</v>
      </c>
      <c r="AY93" s="427">
        <v>0</v>
      </c>
      <c r="AZ93" s="427">
        <v>0</v>
      </c>
      <c r="BA93" s="427">
        <v>0</v>
      </c>
      <c r="BB93" s="427">
        <v>0</v>
      </c>
      <c r="BC93" s="427">
        <v>0</v>
      </c>
      <c r="BD93" s="427">
        <v>0</v>
      </c>
      <c r="BE93" s="427">
        <v>0</v>
      </c>
      <c r="BF93" s="427">
        <v>-130.12200000000001</v>
      </c>
      <c r="BG93" s="427">
        <v>386.66800000000001</v>
      </c>
      <c r="BH93" s="427">
        <v>126.63</v>
      </c>
      <c r="BI93" s="427">
        <v>103.21899999999999</v>
      </c>
      <c r="BJ93" s="427">
        <v>2094.0050000000001</v>
      </c>
      <c r="BK93" s="427">
        <v>2710.5219999999999</v>
      </c>
      <c r="BL93" s="427">
        <v>2355.1379999999999</v>
      </c>
      <c r="BM93" s="427">
        <v>2746.1550000000002</v>
      </c>
      <c r="BN93" s="427">
        <v>-162.96700000000001</v>
      </c>
      <c r="BO93" s="427">
        <v>0</v>
      </c>
      <c r="BP93" s="427">
        <v>0</v>
      </c>
      <c r="BQ93" s="427">
        <v>0</v>
      </c>
      <c r="BR93" s="427">
        <v>0</v>
      </c>
      <c r="BS93" s="427">
        <v>0</v>
      </c>
      <c r="BT93" s="427">
        <v>0</v>
      </c>
      <c r="BU93" s="427">
        <v>0</v>
      </c>
      <c r="BV93" s="427">
        <v>0</v>
      </c>
      <c r="BW93" s="427">
        <v>0</v>
      </c>
      <c r="BX93" s="427">
        <v>0</v>
      </c>
      <c r="BY93" s="427">
        <v>0</v>
      </c>
      <c r="BZ93" s="427">
        <v>0</v>
      </c>
      <c r="CC93" s="21"/>
      <c r="CD93" s="426" t="s">
        <v>642</v>
      </c>
      <c r="CE93" s="433">
        <f t="shared" si="15"/>
        <v>0</v>
      </c>
      <c r="CF93" s="433">
        <f t="shared" si="16"/>
        <v>0</v>
      </c>
      <c r="CG93" s="433">
        <f t="shared" si="17"/>
        <v>0</v>
      </c>
      <c r="CH93" s="433">
        <f t="shared" si="18"/>
        <v>0</v>
      </c>
      <c r="CI93" s="433">
        <f t="shared" si="19"/>
        <v>0</v>
      </c>
      <c r="CJ93" s="433">
        <f t="shared" si="20"/>
        <v>0</v>
      </c>
      <c r="CK93" s="433">
        <f t="shared" si="21"/>
        <v>0</v>
      </c>
      <c r="CL93" s="433">
        <f t="shared" si="22"/>
        <v>0</v>
      </c>
      <c r="CM93" s="433">
        <f t="shared" si="23"/>
        <v>0</v>
      </c>
      <c r="CN93" s="433">
        <f t="shared" si="24"/>
        <v>0</v>
      </c>
      <c r="CO93" s="433">
        <f t="shared" si="25"/>
        <v>-130.12200000000001</v>
      </c>
      <c r="CP93" s="433">
        <f t="shared" si="26"/>
        <v>2710.5219999999999</v>
      </c>
      <c r="CQ93" s="433">
        <f t="shared" si="27"/>
        <v>0</v>
      </c>
      <c r="CR93" s="433">
        <f t="shared" si="28"/>
        <v>0</v>
      </c>
      <c r="CS93" s="433">
        <f t="shared" si="29"/>
        <v>0</v>
      </c>
      <c r="CT93" s="21"/>
    </row>
    <row r="94" spans="3:98" ht="24.75" hidden="1" customHeight="1" outlineLevel="1">
      <c r="C94" s="426" t="s">
        <v>643</v>
      </c>
      <c r="D94" s="427">
        <v>0</v>
      </c>
      <c r="E94" s="427">
        <v>0</v>
      </c>
      <c r="F94" s="427">
        <v>0</v>
      </c>
      <c r="G94" s="427">
        <v>0</v>
      </c>
      <c r="H94" s="427">
        <v>0</v>
      </c>
      <c r="I94" s="427">
        <v>0</v>
      </c>
      <c r="J94" s="427">
        <v>0</v>
      </c>
      <c r="K94" s="427">
        <v>0</v>
      </c>
      <c r="L94" s="427">
        <v>0</v>
      </c>
      <c r="M94" s="427">
        <v>0</v>
      </c>
      <c r="N94" s="427">
        <v>0</v>
      </c>
      <c r="O94" s="427">
        <v>0</v>
      </c>
      <c r="P94" s="427">
        <v>0</v>
      </c>
      <c r="Q94" s="427">
        <v>0</v>
      </c>
      <c r="R94" s="427">
        <v>0</v>
      </c>
      <c r="S94" s="427">
        <v>0</v>
      </c>
      <c r="T94" s="427">
        <v>0</v>
      </c>
      <c r="U94" s="427">
        <v>0</v>
      </c>
      <c r="V94" s="427">
        <v>0</v>
      </c>
      <c r="W94" s="427">
        <v>0</v>
      </c>
      <c r="X94" s="427">
        <v>0</v>
      </c>
      <c r="Y94" s="427">
        <v>0</v>
      </c>
      <c r="Z94" s="427">
        <v>0</v>
      </c>
      <c r="AA94" s="427">
        <v>0</v>
      </c>
      <c r="AB94" s="427">
        <v>0</v>
      </c>
      <c r="AC94" s="427">
        <v>0</v>
      </c>
      <c r="AD94" s="427">
        <v>0</v>
      </c>
      <c r="AE94" s="427">
        <v>0</v>
      </c>
      <c r="AF94" s="427">
        <v>0</v>
      </c>
      <c r="AG94" s="427">
        <v>0</v>
      </c>
      <c r="AH94" s="427">
        <v>0</v>
      </c>
      <c r="AI94" s="427">
        <v>0</v>
      </c>
      <c r="AJ94" s="427">
        <v>0</v>
      </c>
      <c r="AK94" s="427">
        <v>0</v>
      </c>
      <c r="AL94" s="427">
        <v>0</v>
      </c>
      <c r="AM94" s="427">
        <v>0</v>
      </c>
      <c r="AN94" s="427">
        <v>0</v>
      </c>
      <c r="AO94" s="427">
        <v>0</v>
      </c>
      <c r="AP94" s="427">
        <v>0</v>
      </c>
      <c r="AQ94" s="427">
        <v>0</v>
      </c>
      <c r="AR94" s="427">
        <v>0</v>
      </c>
      <c r="AS94" s="427">
        <v>0</v>
      </c>
      <c r="AT94" s="427">
        <v>0</v>
      </c>
      <c r="AU94" s="427">
        <v>0</v>
      </c>
      <c r="AV94" s="427">
        <v>0</v>
      </c>
      <c r="AW94" s="427">
        <v>0</v>
      </c>
      <c r="AX94" s="427">
        <v>0</v>
      </c>
      <c r="AY94" s="427">
        <v>0</v>
      </c>
      <c r="AZ94" s="427">
        <v>0</v>
      </c>
      <c r="BA94" s="427">
        <v>0</v>
      </c>
      <c r="BB94" s="427">
        <v>0</v>
      </c>
      <c r="BC94" s="427">
        <v>0</v>
      </c>
      <c r="BD94" s="427">
        <v>0</v>
      </c>
      <c r="BE94" s="427">
        <v>0</v>
      </c>
      <c r="BF94" s="427">
        <v>6.6959999999999997</v>
      </c>
      <c r="BG94" s="427">
        <v>-5.4619999999999997</v>
      </c>
      <c r="BH94" s="427">
        <v>-17.928000000000001</v>
      </c>
      <c r="BI94" s="427">
        <v>2.5619999999999998</v>
      </c>
      <c r="BJ94" s="427">
        <v>2.2280000000000002</v>
      </c>
      <c r="BK94" s="427">
        <v>-18.600000000000001</v>
      </c>
      <c r="BL94" s="427">
        <v>101.515</v>
      </c>
      <c r="BM94" s="427">
        <v>141.501</v>
      </c>
      <c r="BN94" s="427">
        <v>-65.108999999999995</v>
      </c>
      <c r="BO94" s="427">
        <v>103.893</v>
      </c>
      <c r="BP94" s="427">
        <v>281.8</v>
      </c>
      <c r="BQ94" s="427">
        <v>52.16</v>
      </c>
      <c r="BR94" s="427">
        <v>-27.608000000000001</v>
      </c>
      <c r="BS94" s="427">
        <v>-139.863</v>
      </c>
      <c r="BT94" s="427">
        <v>4.3170000000000002</v>
      </c>
      <c r="BU94" s="427">
        <v>-110.994</v>
      </c>
      <c r="BV94" s="427">
        <v>-44.183999999999997</v>
      </c>
      <c r="BW94" s="427">
        <v>-7.9610000000000003</v>
      </c>
      <c r="BX94" s="427">
        <v>46.363</v>
      </c>
      <c r="BY94" s="427">
        <v>0</v>
      </c>
      <c r="BZ94" s="427">
        <v>0</v>
      </c>
      <c r="CC94" s="21"/>
      <c r="CD94" s="426" t="s">
        <v>643</v>
      </c>
      <c r="CE94" s="433">
        <f t="shared" si="15"/>
        <v>0</v>
      </c>
      <c r="CF94" s="433">
        <f t="shared" si="16"/>
        <v>0</v>
      </c>
      <c r="CG94" s="433">
        <f t="shared" si="17"/>
        <v>0</v>
      </c>
      <c r="CH94" s="433">
        <f t="shared" si="18"/>
        <v>0</v>
      </c>
      <c r="CI94" s="433">
        <f t="shared" si="19"/>
        <v>0</v>
      </c>
      <c r="CJ94" s="433">
        <f t="shared" si="20"/>
        <v>0</v>
      </c>
      <c r="CK94" s="433">
        <f t="shared" si="21"/>
        <v>0</v>
      </c>
      <c r="CL94" s="433">
        <f t="shared" si="22"/>
        <v>0</v>
      </c>
      <c r="CM94" s="433">
        <f t="shared" si="23"/>
        <v>0</v>
      </c>
      <c r="CN94" s="433">
        <f t="shared" si="24"/>
        <v>0</v>
      </c>
      <c r="CO94" s="433">
        <f t="shared" si="25"/>
        <v>6.6959999999999997</v>
      </c>
      <c r="CP94" s="433">
        <f t="shared" si="26"/>
        <v>-18.600000000000001</v>
      </c>
      <c r="CQ94" s="433">
        <f t="shared" si="27"/>
        <v>281.8</v>
      </c>
      <c r="CR94" s="433">
        <f t="shared" si="28"/>
        <v>-110.994</v>
      </c>
      <c r="CS94" s="433">
        <f t="shared" si="29"/>
        <v>0</v>
      </c>
      <c r="CT94" s="21"/>
    </row>
    <row r="95" spans="3:98" ht="24.75" hidden="1" customHeight="1" outlineLevel="1">
      <c r="C95" s="426" t="s">
        <v>644</v>
      </c>
      <c r="D95" s="427">
        <v>0</v>
      </c>
      <c r="E95" s="427">
        <v>0</v>
      </c>
      <c r="F95" s="427">
        <v>0</v>
      </c>
      <c r="G95" s="427">
        <v>0</v>
      </c>
      <c r="H95" s="427">
        <v>0</v>
      </c>
      <c r="I95" s="427">
        <v>0</v>
      </c>
      <c r="J95" s="427">
        <v>0</v>
      </c>
      <c r="K95" s="427">
        <v>0</v>
      </c>
      <c r="L95" s="427">
        <v>0</v>
      </c>
      <c r="M95" s="427">
        <v>0</v>
      </c>
      <c r="N95" s="427">
        <v>0</v>
      </c>
      <c r="O95" s="427">
        <v>0</v>
      </c>
      <c r="P95" s="427">
        <v>0</v>
      </c>
      <c r="Q95" s="427">
        <v>0</v>
      </c>
      <c r="R95" s="427">
        <v>0</v>
      </c>
      <c r="S95" s="427">
        <v>0</v>
      </c>
      <c r="T95" s="427">
        <v>0</v>
      </c>
      <c r="U95" s="427">
        <v>0</v>
      </c>
      <c r="V95" s="427">
        <v>0</v>
      </c>
      <c r="W95" s="427">
        <v>0</v>
      </c>
      <c r="X95" s="427">
        <v>0</v>
      </c>
      <c r="Y95" s="427">
        <v>0</v>
      </c>
      <c r="Z95" s="427">
        <v>0</v>
      </c>
      <c r="AA95" s="427">
        <v>0</v>
      </c>
      <c r="AB95" s="427">
        <v>0</v>
      </c>
      <c r="AC95" s="427">
        <v>0</v>
      </c>
      <c r="AD95" s="427">
        <v>0</v>
      </c>
      <c r="AE95" s="427">
        <v>0</v>
      </c>
      <c r="AF95" s="427">
        <v>0</v>
      </c>
      <c r="AG95" s="427">
        <v>0</v>
      </c>
      <c r="AH95" s="427">
        <v>0</v>
      </c>
      <c r="AI95" s="427">
        <v>0</v>
      </c>
      <c r="AJ95" s="427">
        <v>0</v>
      </c>
      <c r="AK95" s="427">
        <v>0</v>
      </c>
      <c r="AL95" s="427">
        <v>0</v>
      </c>
      <c r="AM95" s="427">
        <v>0</v>
      </c>
      <c r="AN95" s="427">
        <v>0</v>
      </c>
      <c r="AO95" s="427">
        <v>0</v>
      </c>
      <c r="AP95" s="427">
        <v>0</v>
      </c>
      <c r="AQ95" s="427">
        <v>0</v>
      </c>
      <c r="AR95" s="427">
        <v>0</v>
      </c>
      <c r="AS95" s="427">
        <v>0</v>
      </c>
      <c r="AT95" s="427">
        <v>0</v>
      </c>
      <c r="AU95" s="427">
        <v>0</v>
      </c>
      <c r="AV95" s="427">
        <v>0</v>
      </c>
      <c r="AW95" s="427">
        <v>0</v>
      </c>
      <c r="AX95" s="427">
        <v>0</v>
      </c>
      <c r="AY95" s="427">
        <v>0</v>
      </c>
      <c r="AZ95" s="427">
        <v>0</v>
      </c>
      <c r="BA95" s="427">
        <v>0</v>
      </c>
      <c r="BB95" s="427">
        <v>0</v>
      </c>
      <c r="BC95" s="427">
        <v>0</v>
      </c>
      <c r="BD95" s="427">
        <v>0</v>
      </c>
      <c r="BE95" s="427">
        <v>0</v>
      </c>
      <c r="BF95" s="427">
        <v>-1.9119999999999999</v>
      </c>
      <c r="BG95" s="427">
        <v>-12.726000000000001</v>
      </c>
      <c r="BH95" s="427">
        <v>0</v>
      </c>
      <c r="BI95" s="427">
        <v>0</v>
      </c>
      <c r="BJ95" s="427">
        <v>42.985999999999997</v>
      </c>
      <c r="BK95" s="427">
        <v>86.790999999999997</v>
      </c>
      <c r="BL95" s="427">
        <v>238.48599999999999</v>
      </c>
      <c r="BM95" s="427">
        <v>-675.77300000000002</v>
      </c>
      <c r="BN95" s="427">
        <v>341.53100000000001</v>
      </c>
      <c r="BO95" s="427">
        <v>0</v>
      </c>
      <c r="BP95" s="427">
        <v>0</v>
      </c>
      <c r="BQ95" s="427">
        <v>3.8620000000000001</v>
      </c>
      <c r="BR95" s="427">
        <v>0.19600000000000001</v>
      </c>
      <c r="BS95" s="427">
        <v>0.72699999999999998</v>
      </c>
      <c r="BT95" s="427">
        <v>0</v>
      </c>
      <c r="BU95" s="427">
        <v>0</v>
      </c>
      <c r="BV95" s="427">
        <v>-7.6079999999999997</v>
      </c>
      <c r="BW95" s="427">
        <v>0.59599999999999997</v>
      </c>
      <c r="BX95" s="427">
        <v>6.8550000000000004</v>
      </c>
      <c r="BY95" s="427">
        <v>0</v>
      </c>
      <c r="BZ95" s="427">
        <v>0</v>
      </c>
      <c r="CC95" s="21"/>
      <c r="CD95" s="426" t="s">
        <v>644</v>
      </c>
      <c r="CE95" s="433">
        <f t="shared" si="15"/>
        <v>0</v>
      </c>
      <c r="CF95" s="433">
        <f t="shared" si="16"/>
        <v>0</v>
      </c>
      <c r="CG95" s="433">
        <f t="shared" si="17"/>
        <v>0</v>
      </c>
      <c r="CH95" s="433">
        <f t="shared" si="18"/>
        <v>0</v>
      </c>
      <c r="CI95" s="433">
        <f t="shared" si="19"/>
        <v>0</v>
      </c>
      <c r="CJ95" s="433">
        <f t="shared" si="20"/>
        <v>0</v>
      </c>
      <c r="CK95" s="433">
        <f t="shared" si="21"/>
        <v>0</v>
      </c>
      <c r="CL95" s="433">
        <f t="shared" si="22"/>
        <v>0</v>
      </c>
      <c r="CM95" s="433">
        <f t="shared" si="23"/>
        <v>0</v>
      </c>
      <c r="CN95" s="433">
        <f t="shared" si="24"/>
        <v>0</v>
      </c>
      <c r="CO95" s="433">
        <f t="shared" si="25"/>
        <v>-1.9119999999999999</v>
      </c>
      <c r="CP95" s="433">
        <f t="shared" si="26"/>
        <v>86.790999999999997</v>
      </c>
      <c r="CQ95" s="433">
        <f t="shared" si="27"/>
        <v>0</v>
      </c>
      <c r="CR95" s="433">
        <f t="shared" si="28"/>
        <v>0</v>
      </c>
      <c r="CS95" s="433">
        <f t="shared" si="29"/>
        <v>0</v>
      </c>
      <c r="CT95" s="21"/>
    </row>
    <row r="96" spans="3:98" ht="24.75" customHeight="1" collapsed="1">
      <c r="C96" s="449" t="s">
        <v>617</v>
      </c>
      <c r="D96" s="422">
        <v>0</v>
      </c>
      <c r="E96" s="422">
        <v>0</v>
      </c>
      <c r="F96" s="422">
        <v>0</v>
      </c>
      <c r="G96" s="422">
        <v>0</v>
      </c>
      <c r="H96" s="422">
        <v>0</v>
      </c>
      <c r="I96" s="422">
        <v>0</v>
      </c>
      <c r="J96" s="422">
        <v>0</v>
      </c>
      <c r="K96" s="422">
        <v>0</v>
      </c>
      <c r="L96" s="422">
        <v>0</v>
      </c>
      <c r="M96" s="422">
        <v>0</v>
      </c>
      <c r="N96" s="422">
        <v>0</v>
      </c>
      <c r="O96" s="422">
        <v>0</v>
      </c>
      <c r="P96" s="422">
        <v>0</v>
      </c>
      <c r="Q96" s="422">
        <v>0</v>
      </c>
      <c r="R96" s="422">
        <v>0</v>
      </c>
      <c r="S96" s="422">
        <v>0</v>
      </c>
      <c r="T96" s="422">
        <v>0</v>
      </c>
      <c r="U96" s="422">
        <v>0</v>
      </c>
      <c r="V96" s="422">
        <v>0</v>
      </c>
      <c r="W96" s="422">
        <v>0</v>
      </c>
      <c r="X96" s="422">
        <v>0</v>
      </c>
      <c r="Y96" s="422">
        <v>0</v>
      </c>
      <c r="Z96" s="422">
        <v>0</v>
      </c>
      <c r="AA96" s="422">
        <v>0</v>
      </c>
      <c r="AB96" s="422">
        <v>0</v>
      </c>
      <c r="AC96" s="422">
        <v>0</v>
      </c>
      <c r="AD96" s="422">
        <v>0</v>
      </c>
      <c r="AE96" s="422">
        <v>0</v>
      </c>
      <c r="AF96" s="422">
        <v>0</v>
      </c>
      <c r="AG96" s="422">
        <v>0</v>
      </c>
      <c r="AH96" s="422">
        <v>0</v>
      </c>
      <c r="AI96" s="422">
        <v>0</v>
      </c>
      <c r="AJ96" s="422">
        <v>0</v>
      </c>
      <c r="AK96" s="422">
        <v>0</v>
      </c>
      <c r="AL96" s="422">
        <v>0</v>
      </c>
      <c r="AM96" s="422">
        <v>0</v>
      </c>
      <c r="AN96" s="422">
        <v>0</v>
      </c>
      <c r="AO96" s="422">
        <v>0</v>
      </c>
      <c r="AP96" s="422">
        <v>0</v>
      </c>
      <c r="AQ96" s="422">
        <v>0</v>
      </c>
      <c r="AR96" s="422">
        <v>0</v>
      </c>
      <c r="AS96" s="422">
        <v>0</v>
      </c>
      <c r="AT96" s="422">
        <v>0</v>
      </c>
      <c r="AU96" s="422">
        <v>0</v>
      </c>
      <c r="AV96" s="422">
        <v>0</v>
      </c>
      <c r="AW96" s="422">
        <v>0</v>
      </c>
      <c r="AX96" s="422">
        <v>0</v>
      </c>
      <c r="AY96" s="422">
        <v>0</v>
      </c>
      <c r="AZ96" s="422">
        <v>0</v>
      </c>
      <c r="BA96" s="422">
        <v>0</v>
      </c>
      <c r="BB96" s="422">
        <v>0</v>
      </c>
      <c r="BC96" s="422">
        <v>0</v>
      </c>
      <c r="BD96" s="422">
        <v>0</v>
      </c>
      <c r="BE96" s="422">
        <v>0</v>
      </c>
      <c r="BF96" s="422">
        <v>-100.313</v>
      </c>
      <c r="BG96" s="422">
        <v>412.30200000000002</v>
      </c>
      <c r="BH96" s="422">
        <v>106.825</v>
      </c>
      <c r="BI96" s="422">
        <v>132.20599999999999</v>
      </c>
      <c r="BJ96" s="422">
        <v>1965.5730000000001</v>
      </c>
      <c r="BK96" s="422">
        <v>2616.9059999999999</v>
      </c>
      <c r="BL96" s="422">
        <v>2585.1260000000002</v>
      </c>
      <c r="BM96" s="422">
        <v>2184.674</v>
      </c>
      <c r="BN96" s="422">
        <v>222.273</v>
      </c>
      <c r="BO96" s="422">
        <v>-4850.6350000000002</v>
      </c>
      <c r="BP96" s="422">
        <v>141.43799999999999</v>
      </c>
      <c r="BQ96" s="422">
        <v>-74.278999999999996</v>
      </c>
      <c r="BR96" s="422">
        <v>-141.40700000000001</v>
      </c>
      <c r="BS96" s="422">
        <v>-240.999</v>
      </c>
      <c r="BT96" s="422">
        <v>-574.76300000000003</v>
      </c>
      <c r="BU96" s="422">
        <v>-1031.4480000000001</v>
      </c>
      <c r="BV96" s="422">
        <v>315.327</v>
      </c>
      <c r="BW96" s="422">
        <v>11.516999999999999</v>
      </c>
      <c r="BX96" s="422">
        <v>187.70599999999999</v>
      </c>
      <c r="BY96" s="422">
        <v>0</v>
      </c>
      <c r="BZ96" s="422">
        <v>0</v>
      </c>
      <c r="CC96" s="21"/>
      <c r="CD96" s="449" t="s">
        <v>617</v>
      </c>
      <c r="CE96" s="436">
        <f t="shared" si="15"/>
        <v>0</v>
      </c>
      <c r="CF96" s="436">
        <f t="shared" si="16"/>
        <v>0</v>
      </c>
      <c r="CG96" s="436">
        <f t="shared" si="17"/>
        <v>0</v>
      </c>
      <c r="CH96" s="436">
        <f t="shared" si="18"/>
        <v>0</v>
      </c>
      <c r="CI96" s="436">
        <f t="shared" si="19"/>
        <v>0</v>
      </c>
      <c r="CJ96" s="436">
        <f t="shared" si="20"/>
        <v>0</v>
      </c>
      <c r="CK96" s="436">
        <f t="shared" si="21"/>
        <v>0</v>
      </c>
      <c r="CL96" s="436">
        <f t="shared" si="22"/>
        <v>0</v>
      </c>
      <c r="CM96" s="436">
        <f t="shared" si="23"/>
        <v>0</v>
      </c>
      <c r="CN96" s="436">
        <f t="shared" si="24"/>
        <v>0</v>
      </c>
      <c r="CO96" s="436">
        <f t="shared" si="25"/>
        <v>-100.313</v>
      </c>
      <c r="CP96" s="436">
        <f t="shared" si="26"/>
        <v>2616.9059999999999</v>
      </c>
      <c r="CQ96" s="436">
        <f t="shared" si="27"/>
        <v>141.43799999999999</v>
      </c>
      <c r="CR96" s="436">
        <f t="shared" si="28"/>
        <v>-1031.4480000000001</v>
      </c>
      <c r="CS96" s="436">
        <f t="shared" si="29"/>
        <v>0</v>
      </c>
      <c r="CT96" s="21"/>
    </row>
    <row r="97" spans="3:98" ht="4.5" customHeight="1" collapsed="1">
      <c r="D97" s="427">
        <v>0</v>
      </c>
      <c r="E97" s="427">
        <v>0</v>
      </c>
      <c r="F97" s="427">
        <v>0</v>
      </c>
      <c r="G97" s="427">
        <v>0</v>
      </c>
      <c r="H97" s="427">
        <v>0</v>
      </c>
      <c r="I97" s="427">
        <v>0</v>
      </c>
      <c r="J97" s="427">
        <v>0</v>
      </c>
      <c r="K97" s="427">
        <v>0</v>
      </c>
      <c r="L97" s="427">
        <v>0</v>
      </c>
      <c r="M97" s="427">
        <v>0</v>
      </c>
      <c r="N97" s="427">
        <v>0</v>
      </c>
      <c r="O97" s="427">
        <v>0</v>
      </c>
      <c r="P97" s="427">
        <v>0</v>
      </c>
      <c r="Q97" s="427">
        <v>0</v>
      </c>
      <c r="R97" s="427">
        <v>0</v>
      </c>
      <c r="S97" s="427">
        <v>0</v>
      </c>
      <c r="T97" s="427">
        <v>0</v>
      </c>
      <c r="U97" s="427">
        <v>0</v>
      </c>
      <c r="V97" s="427">
        <v>0</v>
      </c>
      <c r="W97" s="427">
        <v>0</v>
      </c>
      <c r="X97" s="427">
        <v>0</v>
      </c>
      <c r="Y97" s="427">
        <v>0</v>
      </c>
      <c r="Z97" s="427">
        <v>0</v>
      </c>
      <c r="AA97" s="427">
        <v>0</v>
      </c>
      <c r="AB97" s="427">
        <v>0</v>
      </c>
      <c r="AC97" s="427">
        <v>0</v>
      </c>
      <c r="AD97" s="427">
        <v>0</v>
      </c>
      <c r="AE97" s="427">
        <v>0</v>
      </c>
      <c r="AF97" s="427">
        <v>0</v>
      </c>
      <c r="AG97" s="427">
        <v>0</v>
      </c>
      <c r="AH97" s="427">
        <v>0</v>
      </c>
      <c r="AI97" s="427">
        <v>0</v>
      </c>
      <c r="AJ97" s="427">
        <v>0</v>
      </c>
      <c r="AK97" s="427">
        <v>0</v>
      </c>
      <c r="AL97" s="427">
        <v>0</v>
      </c>
      <c r="AM97" s="427">
        <v>0</v>
      </c>
      <c r="AN97" s="427">
        <v>0</v>
      </c>
      <c r="AO97" s="427">
        <v>0</v>
      </c>
      <c r="AP97" s="427">
        <v>0</v>
      </c>
      <c r="AQ97" s="427">
        <v>0</v>
      </c>
      <c r="AR97" s="427">
        <v>0</v>
      </c>
      <c r="AS97" s="427">
        <v>0</v>
      </c>
      <c r="AT97" s="427">
        <v>0</v>
      </c>
      <c r="AU97" s="427">
        <v>0</v>
      </c>
      <c r="AV97" s="427">
        <v>0</v>
      </c>
      <c r="AW97" s="427">
        <v>0</v>
      </c>
      <c r="AX97" s="427">
        <v>0</v>
      </c>
      <c r="AY97" s="427">
        <v>0</v>
      </c>
      <c r="AZ97" s="427">
        <v>0</v>
      </c>
      <c r="BA97" s="427">
        <v>0</v>
      </c>
      <c r="BB97" s="427">
        <v>0</v>
      </c>
      <c r="BC97" s="427">
        <v>0</v>
      </c>
      <c r="BD97" s="427">
        <v>0</v>
      </c>
      <c r="BE97" s="427">
        <v>0</v>
      </c>
      <c r="BF97" s="427">
        <v>0</v>
      </c>
      <c r="BG97" s="427">
        <v>0</v>
      </c>
      <c r="BH97" s="427">
        <v>0</v>
      </c>
      <c r="BI97" s="427">
        <v>0</v>
      </c>
      <c r="BJ97" s="427">
        <v>0</v>
      </c>
      <c r="BK97" s="427">
        <v>0</v>
      </c>
      <c r="BL97" s="427">
        <v>0</v>
      </c>
      <c r="BM97" s="427">
        <v>0</v>
      </c>
      <c r="BN97" s="427">
        <v>0</v>
      </c>
      <c r="BO97" s="427">
        <v>0</v>
      </c>
      <c r="BP97" s="427">
        <v>0</v>
      </c>
      <c r="BQ97" s="427">
        <v>0</v>
      </c>
      <c r="BR97" s="427">
        <v>0</v>
      </c>
      <c r="BS97" s="427">
        <v>0</v>
      </c>
      <c r="BT97" s="427">
        <v>0</v>
      </c>
      <c r="BU97" s="427">
        <v>0</v>
      </c>
      <c r="BV97" s="427">
        <v>0</v>
      </c>
      <c r="BW97" s="427">
        <v>0</v>
      </c>
      <c r="BX97" s="427">
        <v>0</v>
      </c>
      <c r="BY97" s="427">
        <v>0</v>
      </c>
      <c r="BZ97" s="427">
        <v>0</v>
      </c>
      <c r="CC97" s="21"/>
      <c r="CD97" s="58"/>
      <c r="CE97" s="433"/>
      <c r="CF97" s="433"/>
      <c r="CG97" s="433"/>
      <c r="CH97" s="433"/>
      <c r="CI97" s="433"/>
      <c r="CJ97" s="433"/>
      <c r="CK97" s="433"/>
      <c r="CL97" s="433"/>
      <c r="CM97" s="433"/>
      <c r="CN97" s="433"/>
      <c r="CO97" s="433"/>
      <c r="CP97" s="433"/>
      <c r="CQ97" s="433"/>
      <c r="CR97" s="433"/>
      <c r="CS97" s="433"/>
      <c r="CT97" s="21"/>
    </row>
    <row r="98" spans="3:98" ht="24.75" hidden="1" customHeight="1" outlineLevel="1">
      <c r="C98" s="424" t="s">
        <v>646</v>
      </c>
      <c r="D98" s="427">
        <v>0</v>
      </c>
      <c r="E98" s="427">
        <v>0</v>
      </c>
      <c r="F98" s="427">
        <v>0</v>
      </c>
      <c r="G98" s="427">
        <v>0</v>
      </c>
      <c r="H98" s="427">
        <v>0</v>
      </c>
      <c r="I98" s="427">
        <v>0</v>
      </c>
      <c r="J98" s="427">
        <v>0</v>
      </c>
      <c r="K98" s="427">
        <v>0</v>
      </c>
      <c r="L98" s="427">
        <v>0</v>
      </c>
      <c r="M98" s="427">
        <v>0</v>
      </c>
      <c r="N98" s="427">
        <v>0</v>
      </c>
      <c r="O98" s="427">
        <v>0</v>
      </c>
      <c r="P98" s="427">
        <v>0</v>
      </c>
      <c r="Q98" s="427">
        <v>0</v>
      </c>
      <c r="R98" s="427">
        <v>0</v>
      </c>
      <c r="S98" s="427">
        <v>0</v>
      </c>
      <c r="T98" s="427">
        <v>0</v>
      </c>
      <c r="U98" s="427">
        <v>0</v>
      </c>
      <c r="V98" s="427">
        <v>0</v>
      </c>
      <c r="W98" s="427">
        <v>0</v>
      </c>
      <c r="X98" s="427">
        <v>0</v>
      </c>
      <c r="Y98" s="427">
        <v>0</v>
      </c>
      <c r="Z98" s="427">
        <v>0</v>
      </c>
      <c r="AA98" s="427">
        <v>0</v>
      </c>
      <c r="AB98" s="427">
        <v>0</v>
      </c>
      <c r="AC98" s="427">
        <v>0</v>
      </c>
      <c r="AD98" s="427">
        <v>0</v>
      </c>
      <c r="AE98" s="427">
        <v>0</v>
      </c>
      <c r="AF98" s="427">
        <v>0</v>
      </c>
      <c r="AG98" s="427">
        <v>0</v>
      </c>
      <c r="AH98" s="427">
        <v>0</v>
      </c>
      <c r="AI98" s="427">
        <v>0</v>
      </c>
      <c r="AJ98" s="427">
        <v>0</v>
      </c>
      <c r="AK98" s="427">
        <v>0</v>
      </c>
      <c r="AL98" s="427">
        <v>0</v>
      </c>
      <c r="AM98" s="427">
        <v>0</v>
      </c>
      <c r="AN98" s="427">
        <v>0</v>
      </c>
      <c r="AO98" s="427">
        <v>0</v>
      </c>
      <c r="AP98" s="427">
        <v>0</v>
      </c>
      <c r="AQ98" s="427">
        <v>0</v>
      </c>
      <c r="AR98" s="427">
        <v>0</v>
      </c>
      <c r="AS98" s="427">
        <v>0</v>
      </c>
      <c r="AT98" s="427">
        <v>0</v>
      </c>
      <c r="AU98" s="427">
        <v>0</v>
      </c>
      <c r="AV98" s="427">
        <v>0</v>
      </c>
      <c r="AW98" s="427">
        <v>0</v>
      </c>
      <c r="AX98" s="427">
        <v>0</v>
      </c>
      <c r="AY98" s="427">
        <v>0</v>
      </c>
      <c r="AZ98" s="427">
        <v>0</v>
      </c>
      <c r="BA98" s="427">
        <v>0</v>
      </c>
      <c r="BB98" s="427">
        <v>0</v>
      </c>
      <c r="BC98" s="427">
        <v>0</v>
      </c>
      <c r="BD98" s="427">
        <v>0</v>
      </c>
      <c r="BE98" s="427">
        <v>0</v>
      </c>
      <c r="BF98" s="427">
        <v>0</v>
      </c>
      <c r="BG98" s="427">
        <v>0</v>
      </c>
      <c r="BH98" s="427">
        <v>0</v>
      </c>
      <c r="BI98" s="427">
        <v>0</v>
      </c>
      <c r="BJ98" s="427">
        <v>0</v>
      </c>
      <c r="BK98" s="427">
        <v>0</v>
      </c>
      <c r="BL98" s="427">
        <v>0</v>
      </c>
      <c r="BM98" s="427">
        <v>0</v>
      </c>
      <c r="BN98" s="427">
        <v>0</v>
      </c>
      <c r="BO98" s="427">
        <v>0</v>
      </c>
      <c r="BP98" s="427">
        <v>0</v>
      </c>
      <c r="BQ98" s="427">
        <v>0</v>
      </c>
      <c r="BR98" s="427">
        <v>0</v>
      </c>
      <c r="BS98" s="427">
        <v>0</v>
      </c>
      <c r="BT98" s="427">
        <v>0</v>
      </c>
      <c r="BU98" s="427">
        <v>0</v>
      </c>
      <c r="BV98" s="427">
        <v>0</v>
      </c>
      <c r="BW98" s="427">
        <v>0</v>
      </c>
      <c r="BX98" s="427">
        <v>0</v>
      </c>
      <c r="BY98" s="427">
        <v>0</v>
      </c>
      <c r="BZ98" s="427">
        <v>0</v>
      </c>
      <c r="CC98" s="21"/>
      <c r="CD98" s="424" t="s">
        <v>646</v>
      </c>
      <c r="CE98" s="433">
        <f t="shared" si="15"/>
        <v>0</v>
      </c>
      <c r="CF98" s="433">
        <f t="shared" si="16"/>
        <v>0</v>
      </c>
      <c r="CG98" s="433">
        <f t="shared" si="17"/>
        <v>0</v>
      </c>
      <c r="CH98" s="433">
        <f t="shared" si="18"/>
        <v>0</v>
      </c>
      <c r="CI98" s="433">
        <f t="shared" si="19"/>
        <v>0</v>
      </c>
      <c r="CJ98" s="433">
        <f t="shared" si="20"/>
        <v>0</v>
      </c>
      <c r="CK98" s="433">
        <f t="shared" si="21"/>
        <v>0</v>
      </c>
      <c r="CL98" s="433">
        <f t="shared" si="22"/>
        <v>0</v>
      </c>
      <c r="CM98" s="433">
        <f t="shared" si="23"/>
        <v>0</v>
      </c>
      <c r="CN98" s="433">
        <f t="shared" si="24"/>
        <v>0</v>
      </c>
      <c r="CO98" s="433">
        <f t="shared" si="25"/>
        <v>0</v>
      </c>
      <c r="CP98" s="433">
        <f t="shared" si="26"/>
        <v>0</v>
      </c>
      <c r="CQ98" s="433">
        <f t="shared" si="27"/>
        <v>0</v>
      </c>
      <c r="CR98" s="433">
        <f t="shared" si="28"/>
        <v>0</v>
      </c>
      <c r="CS98" s="433">
        <f t="shared" si="29"/>
        <v>0</v>
      </c>
      <c r="CT98" s="21"/>
    </row>
    <row r="99" spans="3:98" ht="24.75" hidden="1" customHeight="1" outlineLevel="1">
      <c r="C99" s="424" t="s">
        <v>647</v>
      </c>
      <c r="D99" s="427">
        <v>0</v>
      </c>
      <c r="E99" s="427">
        <v>0</v>
      </c>
      <c r="F99" s="427">
        <v>0</v>
      </c>
      <c r="G99" s="427">
        <v>0</v>
      </c>
      <c r="H99" s="427">
        <v>0</v>
      </c>
      <c r="I99" s="427">
        <v>0</v>
      </c>
      <c r="J99" s="427">
        <v>0</v>
      </c>
      <c r="K99" s="427">
        <v>0</v>
      </c>
      <c r="L99" s="427">
        <v>0</v>
      </c>
      <c r="M99" s="427">
        <v>0</v>
      </c>
      <c r="N99" s="427">
        <v>0</v>
      </c>
      <c r="O99" s="427">
        <v>0</v>
      </c>
      <c r="P99" s="427">
        <v>0</v>
      </c>
      <c r="Q99" s="427">
        <v>0</v>
      </c>
      <c r="R99" s="427">
        <v>0</v>
      </c>
      <c r="S99" s="427">
        <v>0</v>
      </c>
      <c r="T99" s="427">
        <v>0</v>
      </c>
      <c r="U99" s="427">
        <v>0</v>
      </c>
      <c r="V99" s="427">
        <v>0</v>
      </c>
      <c r="W99" s="427">
        <v>0</v>
      </c>
      <c r="X99" s="427">
        <v>0</v>
      </c>
      <c r="Y99" s="427">
        <v>0</v>
      </c>
      <c r="Z99" s="427">
        <v>0</v>
      </c>
      <c r="AA99" s="427">
        <v>0</v>
      </c>
      <c r="AB99" s="427">
        <v>0</v>
      </c>
      <c r="AC99" s="427">
        <v>0</v>
      </c>
      <c r="AD99" s="427">
        <v>0</v>
      </c>
      <c r="AE99" s="427">
        <v>0</v>
      </c>
      <c r="AF99" s="427">
        <v>0</v>
      </c>
      <c r="AG99" s="427">
        <v>0</v>
      </c>
      <c r="AH99" s="427">
        <v>0</v>
      </c>
      <c r="AI99" s="427">
        <v>0</v>
      </c>
      <c r="AJ99" s="427">
        <v>0</v>
      </c>
      <c r="AK99" s="427">
        <v>0</v>
      </c>
      <c r="AL99" s="427">
        <v>0</v>
      </c>
      <c r="AM99" s="427">
        <v>0</v>
      </c>
      <c r="AN99" s="427">
        <v>0</v>
      </c>
      <c r="AO99" s="427">
        <v>0</v>
      </c>
      <c r="AP99" s="427">
        <v>0</v>
      </c>
      <c r="AQ99" s="427">
        <v>0</v>
      </c>
      <c r="AR99" s="427">
        <v>0</v>
      </c>
      <c r="AS99" s="427">
        <v>0</v>
      </c>
      <c r="AT99" s="427">
        <v>0</v>
      </c>
      <c r="AU99" s="427">
        <v>0</v>
      </c>
      <c r="AV99" s="427">
        <v>0</v>
      </c>
      <c r="AW99" s="427">
        <v>0</v>
      </c>
      <c r="AX99" s="427">
        <v>0</v>
      </c>
      <c r="AY99" s="427">
        <v>0</v>
      </c>
      <c r="AZ99" s="427">
        <v>0</v>
      </c>
      <c r="BA99" s="427">
        <v>0</v>
      </c>
      <c r="BB99" s="427">
        <v>0</v>
      </c>
      <c r="BC99" s="427">
        <v>0</v>
      </c>
      <c r="BD99" s="427">
        <v>0</v>
      </c>
      <c r="BE99" s="427">
        <v>0</v>
      </c>
      <c r="BF99" s="427">
        <v>0</v>
      </c>
      <c r="BG99" s="427">
        <v>0</v>
      </c>
      <c r="BH99" s="427">
        <v>0</v>
      </c>
      <c r="BI99" s="427">
        <v>0</v>
      </c>
      <c r="BJ99" s="427">
        <v>0</v>
      </c>
      <c r="BK99" s="427">
        <v>0</v>
      </c>
      <c r="BL99" s="427">
        <v>0</v>
      </c>
      <c r="BM99" s="427">
        <v>0</v>
      </c>
      <c r="BN99" s="427">
        <v>0</v>
      </c>
      <c r="BO99" s="427">
        <v>0</v>
      </c>
      <c r="BP99" s="427">
        <v>0</v>
      </c>
      <c r="BQ99" s="427">
        <v>0</v>
      </c>
      <c r="BR99" s="427">
        <v>0</v>
      </c>
      <c r="BS99" s="427">
        <v>0</v>
      </c>
      <c r="BT99" s="427">
        <v>0</v>
      </c>
      <c r="BU99" s="427">
        <v>0</v>
      </c>
      <c r="BV99" s="427">
        <v>0</v>
      </c>
      <c r="BW99" s="427">
        <v>0</v>
      </c>
      <c r="BX99" s="427">
        <v>0</v>
      </c>
      <c r="BY99" s="427">
        <v>0</v>
      </c>
      <c r="BZ99" s="427">
        <v>0</v>
      </c>
      <c r="CC99" s="21"/>
      <c r="CD99" s="424" t="s">
        <v>647</v>
      </c>
      <c r="CE99" s="433">
        <f t="shared" si="15"/>
        <v>0</v>
      </c>
      <c r="CF99" s="433">
        <f t="shared" si="16"/>
        <v>0</v>
      </c>
      <c r="CG99" s="433">
        <f t="shared" si="17"/>
        <v>0</v>
      </c>
      <c r="CH99" s="433">
        <f t="shared" si="18"/>
        <v>0</v>
      </c>
      <c r="CI99" s="433">
        <f t="shared" si="19"/>
        <v>0</v>
      </c>
      <c r="CJ99" s="433">
        <f t="shared" si="20"/>
        <v>0</v>
      </c>
      <c r="CK99" s="433">
        <f t="shared" si="21"/>
        <v>0</v>
      </c>
      <c r="CL99" s="433">
        <f t="shared" si="22"/>
        <v>0</v>
      </c>
      <c r="CM99" s="433">
        <f t="shared" si="23"/>
        <v>0</v>
      </c>
      <c r="CN99" s="433">
        <f t="shared" si="24"/>
        <v>0</v>
      </c>
      <c r="CO99" s="433">
        <f t="shared" si="25"/>
        <v>0</v>
      </c>
      <c r="CP99" s="433">
        <f t="shared" si="26"/>
        <v>0</v>
      </c>
      <c r="CQ99" s="433">
        <f t="shared" si="27"/>
        <v>0</v>
      </c>
      <c r="CR99" s="433">
        <f t="shared" si="28"/>
        <v>0</v>
      </c>
      <c r="CS99" s="433">
        <f t="shared" si="29"/>
        <v>0</v>
      </c>
      <c r="CT99" s="21"/>
    </row>
    <row r="100" spans="3:98" ht="24.75" customHeight="1" collapsed="1">
      <c r="C100" s="415" t="s">
        <v>645</v>
      </c>
      <c r="D100" s="427">
        <v>0</v>
      </c>
      <c r="E100" s="427">
        <v>0</v>
      </c>
      <c r="F100" s="427">
        <v>0</v>
      </c>
      <c r="G100" s="427">
        <v>0</v>
      </c>
      <c r="H100" s="427">
        <v>0</v>
      </c>
      <c r="I100" s="427">
        <v>0</v>
      </c>
      <c r="J100" s="427">
        <v>0</v>
      </c>
      <c r="K100" s="427">
        <v>0</v>
      </c>
      <c r="L100" s="427">
        <v>0</v>
      </c>
      <c r="M100" s="427">
        <v>0</v>
      </c>
      <c r="N100" s="427">
        <v>0</v>
      </c>
      <c r="O100" s="427">
        <v>0</v>
      </c>
      <c r="P100" s="427">
        <v>0</v>
      </c>
      <c r="Q100" s="427">
        <v>0</v>
      </c>
      <c r="R100" s="427">
        <v>0</v>
      </c>
      <c r="S100" s="427">
        <v>0</v>
      </c>
      <c r="T100" s="427">
        <v>0</v>
      </c>
      <c r="U100" s="427">
        <v>0</v>
      </c>
      <c r="V100" s="427">
        <v>0</v>
      </c>
      <c r="W100" s="427">
        <v>0</v>
      </c>
      <c r="X100" s="427">
        <v>0</v>
      </c>
      <c r="Y100" s="427">
        <v>0</v>
      </c>
      <c r="Z100" s="427">
        <v>0</v>
      </c>
      <c r="AA100" s="427">
        <v>0</v>
      </c>
      <c r="AB100" s="427">
        <v>0</v>
      </c>
      <c r="AC100" s="427">
        <v>0</v>
      </c>
      <c r="AD100" s="427">
        <v>0</v>
      </c>
      <c r="AE100" s="427">
        <v>0</v>
      </c>
      <c r="AF100" s="427">
        <v>0</v>
      </c>
      <c r="AG100" s="427">
        <v>0</v>
      </c>
      <c r="AH100" s="427">
        <v>0</v>
      </c>
      <c r="AI100" s="427">
        <v>0</v>
      </c>
      <c r="AJ100" s="427">
        <v>0</v>
      </c>
      <c r="AK100" s="427">
        <v>0</v>
      </c>
      <c r="AL100" s="427">
        <v>0</v>
      </c>
      <c r="AM100" s="427">
        <v>0</v>
      </c>
      <c r="AN100" s="427">
        <v>0</v>
      </c>
      <c r="AO100" s="427">
        <v>0</v>
      </c>
      <c r="AP100" s="427">
        <v>0</v>
      </c>
      <c r="AQ100" s="427">
        <v>0</v>
      </c>
      <c r="AR100" s="427">
        <v>0</v>
      </c>
      <c r="AS100" s="427">
        <v>0</v>
      </c>
      <c r="AT100" s="427">
        <v>0</v>
      </c>
      <c r="AU100" s="427">
        <v>0</v>
      </c>
      <c r="AV100" s="427">
        <v>0</v>
      </c>
      <c r="AW100" s="427">
        <v>0</v>
      </c>
      <c r="AX100" s="427">
        <v>0</v>
      </c>
      <c r="AY100" s="427">
        <v>0</v>
      </c>
      <c r="AZ100" s="427">
        <v>0</v>
      </c>
      <c r="BA100" s="427">
        <v>0</v>
      </c>
      <c r="BB100" s="427">
        <v>0</v>
      </c>
      <c r="BC100" s="427">
        <v>0</v>
      </c>
      <c r="BD100" s="427">
        <v>0</v>
      </c>
      <c r="BE100" s="427">
        <v>0</v>
      </c>
      <c r="BF100" s="427">
        <v>0</v>
      </c>
      <c r="BG100" s="427">
        <v>0</v>
      </c>
      <c r="BH100" s="427">
        <v>0</v>
      </c>
      <c r="BI100" s="427">
        <v>0</v>
      </c>
      <c r="BJ100" s="427">
        <v>0</v>
      </c>
      <c r="BK100" s="427">
        <v>0</v>
      </c>
      <c r="BL100" s="427">
        <v>0</v>
      </c>
      <c r="BM100" s="427">
        <v>0</v>
      </c>
      <c r="BN100" s="427">
        <v>0</v>
      </c>
      <c r="BO100" s="427">
        <v>0</v>
      </c>
      <c r="BP100" s="427">
        <v>0</v>
      </c>
      <c r="BQ100" s="427">
        <v>0</v>
      </c>
      <c r="BR100" s="427">
        <v>0</v>
      </c>
      <c r="BS100" s="427">
        <v>0</v>
      </c>
      <c r="BT100" s="427">
        <v>0</v>
      </c>
      <c r="BU100" s="427">
        <v>0</v>
      </c>
      <c r="BV100" s="427">
        <v>0</v>
      </c>
      <c r="BW100" s="427">
        <v>0</v>
      </c>
      <c r="BX100" s="427">
        <v>0</v>
      </c>
      <c r="BY100" s="427">
        <v>0</v>
      </c>
      <c r="BZ100" s="427">
        <v>0</v>
      </c>
      <c r="CC100" s="21"/>
      <c r="CD100" s="415" t="s">
        <v>645</v>
      </c>
      <c r="CE100" s="433">
        <f t="shared" si="15"/>
        <v>0</v>
      </c>
      <c r="CF100" s="433">
        <f t="shared" si="16"/>
        <v>0</v>
      </c>
      <c r="CG100" s="433">
        <f t="shared" si="17"/>
        <v>0</v>
      </c>
      <c r="CH100" s="433">
        <f t="shared" si="18"/>
        <v>0</v>
      </c>
      <c r="CI100" s="433">
        <f t="shared" si="19"/>
        <v>0</v>
      </c>
      <c r="CJ100" s="433">
        <f t="shared" si="20"/>
        <v>0</v>
      </c>
      <c r="CK100" s="433">
        <f t="shared" si="21"/>
        <v>0</v>
      </c>
      <c r="CL100" s="433">
        <f t="shared" si="22"/>
        <v>0</v>
      </c>
      <c r="CM100" s="433">
        <f t="shared" si="23"/>
        <v>0</v>
      </c>
      <c r="CN100" s="433">
        <f t="shared" si="24"/>
        <v>0</v>
      </c>
      <c r="CO100" s="433">
        <f t="shared" si="25"/>
        <v>0</v>
      </c>
      <c r="CP100" s="433">
        <f t="shared" si="26"/>
        <v>0</v>
      </c>
      <c r="CQ100" s="433">
        <f t="shared" si="27"/>
        <v>0</v>
      </c>
      <c r="CR100" s="433">
        <f t="shared" si="28"/>
        <v>0</v>
      </c>
      <c r="CS100" s="433">
        <f t="shared" si="29"/>
        <v>0</v>
      </c>
      <c r="CT100" s="21"/>
    </row>
    <row r="101" spans="3:98" ht="24.75" customHeight="1">
      <c r="C101" s="415" t="s">
        <v>648</v>
      </c>
      <c r="D101" s="427">
        <v>0</v>
      </c>
      <c r="E101" s="427">
        <v>0</v>
      </c>
      <c r="F101" s="427">
        <v>0</v>
      </c>
      <c r="G101" s="427">
        <v>0</v>
      </c>
      <c r="H101" s="427">
        <v>0</v>
      </c>
      <c r="I101" s="427">
        <v>0</v>
      </c>
      <c r="J101" s="427">
        <v>0</v>
      </c>
      <c r="K101" s="427">
        <v>0</v>
      </c>
      <c r="L101" s="427">
        <v>0</v>
      </c>
      <c r="M101" s="427">
        <v>0</v>
      </c>
      <c r="N101" s="427">
        <v>0</v>
      </c>
      <c r="O101" s="427">
        <v>0</v>
      </c>
      <c r="P101" s="427">
        <v>0</v>
      </c>
      <c r="Q101" s="427">
        <v>0</v>
      </c>
      <c r="R101" s="427">
        <v>0</v>
      </c>
      <c r="S101" s="427">
        <v>0</v>
      </c>
      <c r="T101" s="427">
        <v>0</v>
      </c>
      <c r="U101" s="427">
        <v>0</v>
      </c>
      <c r="V101" s="427">
        <v>0</v>
      </c>
      <c r="W101" s="427">
        <v>0</v>
      </c>
      <c r="X101" s="427">
        <v>0</v>
      </c>
      <c r="Y101" s="427">
        <v>0</v>
      </c>
      <c r="Z101" s="427">
        <v>0</v>
      </c>
      <c r="AA101" s="427">
        <v>0</v>
      </c>
      <c r="AB101" s="427">
        <v>0</v>
      </c>
      <c r="AC101" s="427">
        <v>0</v>
      </c>
      <c r="AD101" s="427">
        <v>0</v>
      </c>
      <c r="AE101" s="427">
        <v>0</v>
      </c>
      <c r="AF101" s="427">
        <v>0</v>
      </c>
      <c r="AG101" s="427">
        <v>0</v>
      </c>
      <c r="AH101" s="427">
        <v>0</v>
      </c>
      <c r="AI101" s="427">
        <v>0</v>
      </c>
      <c r="AJ101" s="427">
        <v>0</v>
      </c>
      <c r="AK101" s="427">
        <v>0</v>
      </c>
      <c r="AL101" s="427">
        <v>0</v>
      </c>
      <c r="AM101" s="427">
        <v>0</v>
      </c>
      <c r="AN101" s="427">
        <v>0</v>
      </c>
      <c r="AO101" s="427">
        <v>0</v>
      </c>
      <c r="AP101" s="427">
        <v>0</v>
      </c>
      <c r="AQ101" s="427">
        <v>0</v>
      </c>
      <c r="AR101" s="427">
        <v>0</v>
      </c>
      <c r="AS101" s="427">
        <v>0</v>
      </c>
      <c r="AT101" s="427">
        <v>0</v>
      </c>
      <c r="AU101" s="427">
        <v>0</v>
      </c>
      <c r="AV101" s="427">
        <v>0</v>
      </c>
      <c r="AW101" s="427">
        <v>0</v>
      </c>
      <c r="AX101" s="427">
        <v>0</v>
      </c>
      <c r="AY101" s="427">
        <v>0</v>
      </c>
      <c r="AZ101" s="427">
        <v>0</v>
      </c>
      <c r="BA101" s="427">
        <v>0</v>
      </c>
      <c r="BB101" s="427">
        <v>0</v>
      </c>
      <c r="BC101" s="427">
        <v>0</v>
      </c>
      <c r="BD101" s="427">
        <v>0</v>
      </c>
      <c r="BE101" s="427">
        <v>0</v>
      </c>
      <c r="BF101" s="427">
        <v>0</v>
      </c>
      <c r="BG101" s="427">
        <v>0</v>
      </c>
      <c r="BH101" s="427">
        <v>0</v>
      </c>
      <c r="BI101" s="427">
        <v>0</v>
      </c>
      <c r="BJ101" s="427">
        <v>0</v>
      </c>
      <c r="BK101" s="427">
        <v>0</v>
      </c>
      <c r="BL101" s="427">
        <v>0</v>
      </c>
      <c r="BM101" s="427">
        <v>0</v>
      </c>
      <c r="BN101" s="427">
        <v>0</v>
      </c>
      <c r="BO101" s="427">
        <v>0</v>
      </c>
      <c r="BP101" s="427">
        <v>0</v>
      </c>
      <c r="BQ101" s="427">
        <v>0</v>
      </c>
      <c r="BR101" s="427">
        <v>0</v>
      </c>
      <c r="BS101" s="427">
        <v>0</v>
      </c>
      <c r="BT101" s="427">
        <v>0</v>
      </c>
      <c r="BU101" s="427">
        <v>0</v>
      </c>
      <c r="BV101" s="427">
        <v>0</v>
      </c>
      <c r="BW101" s="427">
        <v>0</v>
      </c>
      <c r="BX101" s="427">
        <v>0</v>
      </c>
      <c r="BY101" s="427">
        <v>0</v>
      </c>
      <c r="BZ101" s="427">
        <v>0</v>
      </c>
      <c r="CC101" s="21"/>
      <c r="CD101" s="415" t="s">
        <v>648</v>
      </c>
      <c r="CE101" s="433">
        <f t="shared" si="15"/>
        <v>0</v>
      </c>
      <c r="CF101" s="433">
        <f t="shared" si="16"/>
        <v>0</v>
      </c>
      <c r="CG101" s="433">
        <f t="shared" si="17"/>
        <v>0</v>
      </c>
      <c r="CH101" s="433">
        <f t="shared" si="18"/>
        <v>0</v>
      </c>
      <c r="CI101" s="433">
        <f t="shared" si="19"/>
        <v>0</v>
      </c>
      <c r="CJ101" s="433">
        <f t="shared" si="20"/>
        <v>0</v>
      </c>
      <c r="CK101" s="433">
        <f t="shared" si="21"/>
        <v>0</v>
      </c>
      <c r="CL101" s="433">
        <f t="shared" si="22"/>
        <v>0</v>
      </c>
      <c r="CM101" s="433">
        <f t="shared" si="23"/>
        <v>0</v>
      </c>
      <c r="CN101" s="433">
        <f t="shared" si="24"/>
        <v>0</v>
      </c>
      <c r="CO101" s="433">
        <f t="shared" si="25"/>
        <v>0</v>
      </c>
      <c r="CP101" s="433">
        <f t="shared" si="26"/>
        <v>0</v>
      </c>
      <c r="CQ101" s="433">
        <f t="shared" si="27"/>
        <v>0</v>
      </c>
      <c r="CR101" s="433">
        <f t="shared" si="28"/>
        <v>0</v>
      </c>
      <c r="CS101" s="433">
        <f t="shared" si="29"/>
        <v>0</v>
      </c>
      <c r="CT101" s="21"/>
    </row>
    <row r="102" spans="3:98" ht="24.75" customHeight="1">
      <c r="C102" s="415" t="s">
        <v>649</v>
      </c>
      <c r="D102" s="427">
        <v>0</v>
      </c>
      <c r="E102" s="427">
        <v>0</v>
      </c>
      <c r="F102" s="427">
        <v>0</v>
      </c>
      <c r="G102" s="427">
        <v>0</v>
      </c>
      <c r="H102" s="427">
        <v>0</v>
      </c>
      <c r="I102" s="427">
        <v>0</v>
      </c>
      <c r="J102" s="427">
        <v>0</v>
      </c>
      <c r="K102" s="427">
        <v>0</v>
      </c>
      <c r="L102" s="427">
        <v>0</v>
      </c>
      <c r="M102" s="427">
        <v>0</v>
      </c>
      <c r="N102" s="427">
        <v>0</v>
      </c>
      <c r="O102" s="427">
        <v>0</v>
      </c>
      <c r="P102" s="427">
        <v>0</v>
      </c>
      <c r="Q102" s="427">
        <v>0</v>
      </c>
      <c r="R102" s="427">
        <v>0</v>
      </c>
      <c r="S102" s="427">
        <v>0</v>
      </c>
      <c r="T102" s="427">
        <v>0</v>
      </c>
      <c r="U102" s="427">
        <v>0</v>
      </c>
      <c r="V102" s="427">
        <v>0</v>
      </c>
      <c r="W102" s="427">
        <v>0</v>
      </c>
      <c r="X102" s="427">
        <v>0</v>
      </c>
      <c r="Y102" s="427">
        <v>0</v>
      </c>
      <c r="Z102" s="427">
        <v>0</v>
      </c>
      <c r="AA102" s="427">
        <v>0</v>
      </c>
      <c r="AB102" s="427">
        <v>0</v>
      </c>
      <c r="AC102" s="427">
        <v>0</v>
      </c>
      <c r="AD102" s="427">
        <v>0</v>
      </c>
      <c r="AE102" s="427">
        <v>0</v>
      </c>
      <c r="AF102" s="427">
        <v>0</v>
      </c>
      <c r="AG102" s="427">
        <v>0</v>
      </c>
      <c r="AH102" s="427">
        <v>0</v>
      </c>
      <c r="AI102" s="427">
        <v>0</v>
      </c>
      <c r="AJ102" s="427">
        <v>0</v>
      </c>
      <c r="AK102" s="427">
        <v>0</v>
      </c>
      <c r="AL102" s="427">
        <v>0</v>
      </c>
      <c r="AM102" s="427">
        <v>0</v>
      </c>
      <c r="AN102" s="427">
        <v>0</v>
      </c>
      <c r="AO102" s="427">
        <v>0</v>
      </c>
      <c r="AP102" s="427">
        <v>0</v>
      </c>
      <c r="AQ102" s="427">
        <v>0</v>
      </c>
      <c r="AR102" s="427">
        <v>0</v>
      </c>
      <c r="AS102" s="427">
        <v>0</v>
      </c>
      <c r="AT102" s="427">
        <v>0</v>
      </c>
      <c r="AU102" s="427">
        <v>0</v>
      </c>
      <c r="AV102" s="427">
        <v>0</v>
      </c>
      <c r="AW102" s="427">
        <v>0</v>
      </c>
      <c r="AX102" s="427">
        <v>0</v>
      </c>
      <c r="AY102" s="427">
        <v>0</v>
      </c>
      <c r="AZ102" s="427">
        <v>0</v>
      </c>
      <c r="BA102" s="427">
        <v>0</v>
      </c>
      <c r="BB102" s="427">
        <v>0</v>
      </c>
      <c r="BC102" s="427">
        <v>0</v>
      </c>
      <c r="BD102" s="427">
        <v>0</v>
      </c>
      <c r="BE102" s="427">
        <v>0</v>
      </c>
      <c r="BF102" s="427">
        <v>0</v>
      </c>
      <c r="BG102" s="427">
        <v>0</v>
      </c>
      <c r="BH102" s="427">
        <v>0</v>
      </c>
      <c r="BI102" s="427">
        <v>0</v>
      </c>
      <c r="BJ102" s="427">
        <v>0</v>
      </c>
      <c r="BK102" s="427">
        <v>0</v>
      </c>
      <c r="BL102" s="427">
        <v>0</v>
      </c>
      <c r="BM102" s="427">
        <v>0</v>
      </c>
      <c r="BN102" s="427">
        <v>0</v>
      </c>
      <c r="BO102" s="427">
        <v>0</v>
      </c>
      <c r="BP102" s="427">
        <v>0</v>
      </c>
      <c r="BQ102" s="427">
        <v>0</v>
      </c>
      <c r="BR102" s="427">
        <v>0</v>
      </c>
      <c r="BS102" s="427">
        <v>0</v>
      </c>
      <c r="BT102" s="427">
        <v>0</v>
      </c>
      <c r="BU102" s="427">
        <v>0</v>
      </c>
      <c r="BV102" s="427">
        <v>0</v>
      </c>
      <c r="BW102" s="427">
        <v>0</v>
      </c>
      <c r="BX102" s="427">
        <v>0</v>
      </c>
      <c r="BY102" s="427">
        <v>0</v>
      </c>
      <c r="BZ102" s="427">
        <v>0</v>
      </c>
      <c r="CC102" s="21"/>
      <c r="CD102" s="415" t="s">
        <v>649</v>
      </c>
      <c r="CE102" s="433">
        <f t="shared" si="15"/>
        <v>0</v>
      </c>
      <c r="CF102" s="433">
        <f t="shared" si="16"/>
        <v>0</v>
      </c>
      <c r="CG102" s="433">
        <f t="shared" si="17"/>
        <v>0</v>
      </c>
      <c r="CH102" s="433">
        <f t="shared" si="18"/>
        <v>0</v>
      </c>
      <c r="CI102" s="433">
        <f t="shared" si="19"/>
        <v>0</v>
      </c>
      <c r="CJ102" s="433">
        <f t="shared" si="20"/>
        <v>0</v>
      </c>
      <c r="CK102" s="433">
        <f t="shared" si="21"/>
        <v>0</v>
      </c>
      <c r="CL102" s="433">
        <f t="shared" si="22"/>
        <v>0</v>
      </c>
      <c r="CM102" s="433">
        <f t="shared" si="23"/>
        <v>0</v>
      </c>
      <c r="CN102" s="433">
        <f t="shared" si="24"/>
        <v>0</v>
      </c>
      <c r="CO102" s="433">
        <f t="shared" si="25"/>
        <v>0</v>
      </c>
      <c r="CP102" s="433">
        <f t="shared" si="26"/>
        <v>0</v>
      </c>
      <c r="CQ102" s="433">
        <f t="shared" si="27"/>
        <v>0</v>
      </c>
      <c r="CR102" s="433">
        <f t="shared" si="28"/>
        <v>0</v>
      </c>
      <c r="CS102" s="433">
        <f t="shared" si="29"/>
        <v>0</v>
      </c>
      <c r="CT102" s="21"/>
    </row>
    <row r="103" spans="3:98" ht="24.75" customHeight="1">
      <c r="C103" s="415" t="s">
        <v>650</v>
      </c>
      <c r="D103" s="427">
        <v>0</v>
      </c>
      <c r="E103" s="427">
        <v>0</v>
      </c>
      <c r="F103" s="427">
        <v>0</v>
      </c>
      <c r="G103" s="427">
        <v>0</v>
      </c>
      <c r="H103" s="427">
        <v>0</v>
      </c>
      <c r="I103" s="427">
        <v>0</v>
      </c>
      <c r="J103" s="427">
        <v>0</v>
      </c>
      <c r="K103" s="427">
        <v>0</v>
      </c>
      <c r="L103" s="427">
        <v>0</v>
      </c>
      <c r="M103" s="427">
        <v>0</v>
      </c>
      <c r="N103" s="427">
        <v>0</v>
      </c>
      <c r="O103" s="427">
        <v>0</v>
      </c>
      <c r="P103" s="427">
        <v>0</v>
      </c>
      <c r="Q103" s="427">
        <v>0</v>
      </c>
      <c r="R103" s="427">
        <v>0</v>
      </c>
      <c r="S103" s="427">
        <v>0</v>
      </c>
      <c r="T103" s="427">
        <v>0</v>
      </c>
      <c r="U103" s="427">
        <v>0</v>
      </c>
      <c r="V103" s="427">
        <v>0</v>
      </c>
      <c r="W103" s="427">
        <v>0</v>
      </c>
      <c r="X103" s="427">
        <v>0</v>
      </c>
      <c r="Y103" s="427">
        <v>0</v>
      </c>
      <c r="Z103" s="427">
        <v>0</v>
      </c>
      <c r="AA103" s="427">
        <v>0</v>
      </c>
      <c r="AB103" s="427">
        <v>0</v>
      </c>
      <c r="AC103" s="427">
        <v>0</v>
      </c>
      <c r="AD103" s="427">
        <v>0</v>
      </c>
      <c r="AE103" s="427">
        <v>0</v>
      </c>
      <c r="AF103" s="427">
        <v>0</v>
      </c>
      <c r="AG103" s="427">
        <v>0</v>
      </c>
      <c r="AH103" s="427">
        <v>0</v>
      </c>
      <c r="AI103" s="427">
        <v>0</v>
      </c>
      <c r="AJ103" s="427">
        <v>0</v>
      </c>
      <c r="AK103" s="427">
        <v>0</v>
      </c>
      <c r="AL103" s="427">
        <v>0</v>
      </c>
      <c r="AM103" s="427">
        <v>0</v>
      </c>
      <c r="AN103" s="427">
        <v>0</v>
      </c>
      <c r="AO103" s="427">
        <v>0</v>
      </c>
      <c r="AP103" s="427">
        <v>0</v>
      </c>
      <c r="AQ103" s="427">
        <v>0</v>
      </c>
      <c r="AR103" s="427">
        <v>0</v>
      </c>
      <c r="AS103" s="427">
        <v>0</v>
      </c>
      <c r="AT103" s="427">
        <v>0</v>
      </c>
      <c r="AU103" s="427">
        <v>0</v>
      </c>
      <c r="AV103" s="427">
        <v>0</v>
      </c>
      <c r="AW103" s="427">
        <v>0</v>
      </c>
      <c r="AX103" s="427">
        <v>0</v>
      </c>
      <c r="AY103" s="427">
        <v>0</v>
      </c>
      <c r="AZ103" s="427">
        <v>0</v>
      </c>
      <c r="BA103" s="427">
        <v>0</v>
      </c>
      <c r="BB103" s="427">
        <v>0</v>
      </c>
      <c r="BC103" s="427">
        <v>0</v>
      </c>
      <c r="BD103" s="427">
        <v>0</v>
      </c>
      <c r="BE103" s="427">
        <v>0</v>
      </c>
      <c r="BF103" s="427">
        <v>0</v>
      </c>
      <c r="BG103" s="427">
        <v>0</v>
      </c>
      <c r="BH103" s="427">
        <v>0</v>
      </c>
      <c r="BI103" s="427">
        <v>0</v>
      </c>
      <c r="BJ103" s="427">
        <v>0</v>
      </c>
      <c r="BK103" s="427">
        <v>0</v>
      </c>
      <c r="BL103" s="427">
        <v>0</v>
      </c>
      <c r="BM103" s="427">
        <v>0</v>
      </c>
      <c r="BN103" s="427">
        <v>0</v>
      </c>
      <c r="BO103" s="427">
        <v>0</v>
      </c>
      <c r="BP103" s="427">
        <v>0</v>
      </c>
      <c r="BQ103" s="427">
        <v>0</v>
      </c>
      <c r="BR103" s="427">
        <v>0</v>
      </c>
      <c r="BS103" s="427">
        <v>0</v>
      </c>
      <c r="BT103" s="427">
        <v>0</v>
      </c>
      <c r="BU103" s="427">
        <v>0</v>
      </c>
      <c r="BV103" s="427">
        <v>0</v>
      </c>
      <c r="BW103" s="427">
        <v>0</v>
      </c>
      <c r="BX103" s="427">
        <v>0</v>
      </c>
      <c r="BY103" s="427">
        <v>0</v>
      </c>
      <c r="BZ103" s="427">
        <v>0</v>
      </c>
      <c r="CC103" s="21"/>
      <c r="CD103" s="415" t="s">
        <v>650</v>
      </c>
      <c r="CE103" s="433">
        <f t="shared" si="15"/>
        <v>0</v>
      </c>
      <c r="CF103" s="433">
        <f t="shared" si="16"/>
        <v>0</v>
      </c>
      <c r="CG103" s="433">
        <f t="shared" si="17"/>
        <v>0</v>
      </c>
      <c r="CH103" s="433">
        <f t="shared" si="18"/>
        <v>0</v>
      </c>
      <c r="CI103" s="433">
        <f t="shared" si="19"/>
        <v>0</v>
      </c>
      <c r="CJ103" s="433">
        <f t="shared" si="20"/>
        <v>0</v>
      </c>
      <c r="CK103" s="433">
        <f t="shared" si="21"/>
        <v>0</v>
      </c>
      <c r="CL103" s="433">
        <f t="shared" si="22"/>
        <v>0</v>
      </c>
      <c r="CM103" s="433">
        <f t="shared" si="23"/>
        <v>0</v>
      </c>
      <c r="CN103" s="433">
        <f t="shared" si="24"/>
        <v>0</v>
      </c>
      <c r="CO103" s="433">
        <f t="shared" si="25"/>
        <v>0</v>
      </c>
      <c r="CP103" s="433">
        <f t="shared" si="26"/>
        <v>0</v>
      </c>
      <c r="CQ103" s="433">
        <f t="shared" si="27"/>
        <v>0</v>
      </c>
      <c r="CR103" s="433">
        <f t="shared" si="28"/>
        <v>0</v>
      </c>
      <c r="CS103" s="433">
        <f t="shared" si="29"/>
        <v>0</v>
      </c>
      <c r="CT103" s="21"/>
    </row>
    <row r="104" spans="3:98" ht="24.75" customHeight="1">
      <c r="C104" s="415" t="s">
        <v>651</v>
      </c>
      <c r="D104" s="427">
        <v>0</v>
      </c>
      <c r="E104" s="427">
        <v>0</v>
      </c>
      <c r="F104" s="427">
        <v>0</v>
      </c>
      <c r="G104" s="427">
        <v>0</v>
      </c>
      <c r="H104" s="427">
        <v>0</v>
      </c>
      <c r="I104" s="427">
        <v>0</v>
      </c>
      <c r="J104" s="427">
        <v>0</v>
      </c>
      <c r="K104" s="427">
        <v>0</v>
      </c>
      <c r="L104" s="427">
        <v>0</v>
      </c>
      <c r="M104" s="427">
        <v>0</v>
      </c>
      <c r="N104" s="427">
        <v>0</v>
      </c>
      <c r="O104" s="427">
        <v>0</v>
      </c>
      <c r="P104" s="427">
        <v>0</v>
      </c>
      <c r="Q104" s="427">
        <v>0</v>
      </c>
      <c r="R104" s="427">
        <v>0</v>
      </c>
      <c r="S104" s="427">
        <v>0</v>
      </c>
      <c r="T104" s="427">
        <v>0</v>
      </c>
      <c r="U104" s="427">
        <v>0</v>
      </c>
      <c r="V104" s="427">
        <v>0</v>
      </c>
      <c r="W104" s="427">
        <v>0</v>
      </c>
      <c r="X104" s="427">
        <v>0</v>
      </c>
      <c r="Y104" s="427">
        <v>0</v>
      </c>
      <c r="Z104" s="427">
        <v>0</v>
      </c>
      <c r="AA104" s="427">
        <v>0</v>
      </c>
      <c r="AB104" s="427">
        <v>0</v>
      </c>
      <c r="AC104" s="427">
        <v>0</v>
      </c>
      <c r="AD104" s="427">
        <v>0</v>
      </c>
      <c r="AE104" s="427">
        <v>0</v>
      </c>
      <c r="AF104" s="427">
        <v>0</v>
      </c>
      <c r="AG104" s="427">
        <v>0</v>
      </c>
      <c r="AH104" s="427">
        <v>0</v>
      </c>
      <c r="AI104" s="427">
        <v>0</v>
      </c>
      <c r="AJ104" s="427">
        <v>0</v>
      </c>
      <c r="AK104" s="427">
        <v>0</v>
      </c>
      <c r="AL104" s="427">
        <v>0</v>
      </c>
      <c r="AM104" s="427">
        <v>0</v>
      </c>
      <c r="AN104" s="427">
        <v>0</v>
      </c>
      <c r="AO104" s="427">
        <v>0</v>
      </c>
      <c r="AP104" s="427">
        <v>0</v>
      </c>
      <c r="AQ104" s="427">
        <v>0</v>
      </c>
      <c r="AR104" s="427">
        <v>0</v>
      </c>
      <c r="AS104" s="427">
        <v>0</v>
      </c>
      <c r="AT104" s="427">
        <v>0</v>
      </c>
      <c r="AU104" s="427">
        <v>0</v>
      </c>
      <c r="AV104" s="427">
        <v>0</v>
      </c>
      <c r="AW104" s="427">
        <v>0</v>
      </c>
      <c r="AX104" s="427">
        <v>0</v>
      </c>
      <c r="AY104" s="427">
        <v>0</v>
      </c>
      <c r="AZ104" s="427">
        <v>0</v>
      </c>
      <c r="BA104" s="427">
        <v>0</v>
      </c>
      <c r="BB104" s="427">
        <v>0</v>
      </c>
      <c r="BC104" s="427">
        <v>0</v>
      </c>
      <c r="BD104" s="427">
        <v>0</v>
      </c>
      <c r="BE104" s="427">
        <v>0</v>
      </c>
      <c r="BF104" s="427">
        <v>0</v>
      </c>
      <c r="BG104" s="427">
        <v>0</v>
      </c>
      <c r="BH104" s="427">
        <v>0</v>
      </c>
      <c r="BI104" s="427">
        <v>0</v>
      </c>
      <c r="BJ104" s="427">
        <v>0</v>
      </c>
      <c r="BK104" s="427">
        <v>0</v>
      </c>
      <c r="BL104" s="427">
        <v>0</v>
      </c>
      <c r="BM104" s="427">
        <v>0</v>
      </c>
      <c r="BN104" s="427">
        <v>0</v>
      </c>
      <c r="BO104" s="427">
        <v>0</v>
      </c>
      <c r="BP104" s="427">
        <v>0</v>
      </c>
      <c r="BQ104" s="427">
        <v>0</v>
      </c>
      <c r="BR104" s="427">
        <v>0</v>
      </c>
      <c r="BS104" s="427">
        <v>0</v>
      </c>
      <c r="BT104" s="427">
        <v>0</v>
      </c>
      <c r="BU104" s="427">
        <v>0</v>
      </c>
      <c r="BV104" s="427">
        <v>0</v>
      </c>
      <c r="BW104" s="427">
        <v>0</v>
      </c>
      <c r="BX104" s="427">
        <v>0</v>
      </c>
      <c r="BY104" s="427">
        <v>0</v>
      </c>
      <c r="BZ104" s="427">
        <v>0</v>
      </c>
      <c r="CC104" s="21"/>
      <c r="CD104" s="415" t="s">
        <v>651</v>
      </c>
      <c r="CE104" s="433">
        <f t="shared" si="15"/>
        <v>0</v>
      </c>
      <c r="CF104" s="433">
        <f t="shared" si="16"/>
        <v>0</v>
      </c>
      <c r="CG104" s="433">
        <f t="shared" si="17"/>
        <v>0</v>
      </c>
      <c r="CH104" s="433">
        <f t="shared" si="18"/>
        <v>0</v>
      </c>
      <c r="CI104" s="433">
        <f t="shared" si="19"/>
        <v>0</v>
      </c>
      <c r="CJ104" s="433">
        <f t="shared" si="20"/>
        <v>0</v>
      </c>
      <c r="CK104" s="433">
        <f t="shared" si="21"/>
        <v>0</v>
      </c>
      <c r="CL104" s="433">
        <f t="shared" si="22"/>
        <v>0</v>
      </c>
      <c r="CM104" s="433">
        <f t="shared" si="23"/>
        <v>0</v>
      </c>
      <c r="CN104" s="433">
        <f t="shared" si="24"/>
        <v>0</v>
      </c>
      <c r="CO104" s="433">
        <f t="shared" si="25"/>
        <v>0</v>
      </c>
      <c r="CP104" s="433">
        <f t="shared" si="26"/>
        <v>0</v>
      </c>
      <c r="CQ104" s="433">
        <f t="shared" si="27"/>
        <v>0</v>
      </c>
      <c r="CR104" s="433">
        <f t="shared" si="28"/>
        <v>0</v>
      </c>
      <c r="CS104" s="433">
        <f t="shared" si="29"/>
        <v>0</v>
      </c>
      <c r="CT104" s="21"/>
    </row>
    <row r="105" spans="3:98" ht="24.75" customHeight="1">
      <c r="C105" s="415" t="s">
        <v>94</v>
      </c>
      <c r="D105" s="427">
        <v>0</v>
      </c>
      <c r="E105" s="427">
        <v>0</v>
      </c>
      <c r="F105" s="427">
        <v>0</v>
      </c>
      <c r="G105" s="427">
        <v>0</v>
      </c>
      <c r="H105" s="427">
        <v>0</v>
      </c>
      <c r="I105" s="427">
        <v>0</v>
      </c>
      <c r="J105" s="427">
        <v>0</v>
      </c>
      <c r="K105" s="427">
        <v>0</v>
      </c>
      <c r="L105" s="427">
        <v>0</v>
      </c>
      <c r="M105" s="427">
        <v>0</v>
      </c>
      <c r="N105" s="427">
        <v>0</v>
      </c>
      <c r="O105" s="427">
        <v>0</v>
      </c>
      <c r="P105" s="427">
        <v>0</v>
      </c>
      <c r="Q105" s="427">
        <v>0</v>
      </c>
      <c r="R105" s="427">
        <v>0</v>
      </c>
      <c r="S105" s="427">
        <v>0</v>
      </c>
      <c r="T105" s="427">
        <v>0</v>
      </c>
      <c r="U105" s="427">
        <v>0</v>
      </c>
      <c r="V105" s="427">
        <v>0</v>
      </c>
      <c r="W105" s="427">
        <v>0</v>
      </c>
      <c r="X105" s="427">
        <v>0</v>
      </c>
      <c r="Y105" s="427">
        <v>0</v>
      </c>
      <c r="Z105" s="427">
        <v>0</v>
      </c>
      <c r="AA105" s="427">
        <v>0</v>
      </c>
      <c r="AB105" s="427">
        <v>0</v>
      </c>
      <c r="AC105" s="427">
        <v>0</v>
      </c>
      <c r="AD105" s="427">
        <v>0</v>
      </c>
      <c r="AE105" s="427">
        <v>0</v>
      </c>
      <c r="AF105" s="427">
        <v>0</v>
      </c>
      <c r="AG105" s="427">
        <v>0</v>
      </c>
      <c r="AH105" s="427">
        <v>0</v>
      </c>
      <c r="AI105" s="427">
        <v>0</v>
      </c>
      <c r="AJ105" s="427">
        <v>0</v>
      </c>
      <c r="AK105" s="427">
        <v>0</v>
      </c>
      <c r="AL105" s="427">
        <v>0</v>
      </c>
      <c r="AM105" s="427">
        <v>0</v>
      </c>
      <c r="AN105" s="427">
        <v>0</v>
      </c>
      <c r="AO105" s="427">
        <v>0</v>
      </c>
      <c r="AP105" s="427">
        <v>0</v>
      </c>
      <c r="AQ105" s="427">
        <v>0</v>
      </c>
      <c r="AR105" s="427">
        <v>0</v>
      </c>
      <c r="AS105" s="427">
        <v>0</v>
      </c>
      <c r="AT105" s="427">
        <v>0</v>
      </c>
      <c r="AU105" s="427">
        <v>0</v>
      </c>
      <c r="AV105" s="427">
        <v>0</v>
      </c>
      <c r="AW105" s="427">
        <v>0</v>
      </c>
      <c r="AX105" s="427">
        <v>0</v>
      </c>
      <c r="AY105" s="427">
        <v>0</v>
      </c>
      <c r="AZ105" s="427">
        <v>0</v>
      </c>
      <c r="BA105" s="427">
        <v>0</v>
      </c>
      <c r="BB105" s="427">
        <v>0</v>
      </c>
      <c r="BC105" s="427">
        <v>0</v>
      </c>
      <c r="BD105" s="427">
        <v>0</v>
      </c>
      <c r="BE105" s="427">
        <v>0</v>
      </c>
      <c r="BF105" s="427">
        <v>0</v>
      </c>
      <c r="BG105" s="427">
        <v>0</v>
      </c>
      <c r="BH105" s="427">
        <v>0</v>
      </c>
      <c r="BI105" s="427">
        <v>0</v>
      </c>
      <c r="BJ105" s="427">
        <v>0</v>
      </c>
      <c r="BK105" s="427">
        <v>0</v>
      </c>
      <c r="BL105" s="427">
        <v>0</v>
      </c>
      <c r="BM105" s="427">
        <v>0</v>
      </c>
      <c r="BN105" s="427">
        <v>0</v>
      </c>
      <c r="BO105" s="427">
        <v>0</v>
      </c>
      <c r="BP105" s="427">
        <v>0</v>
      </c>
      <c r="BQ105" s="427">
        <v>0</v>
      </c>
      <c r="BR105" s="427">
        <v>0</v>
      </c>
      <c r="BS105" s="427">
        <v>0</v>
      </c>
      <c r="BT105" s="427">
        <v>0</v>
      </c>
      <c r="BU105" s="427">
        <v>0</v>
      </c>
      <c r="BV105" s="427">
        <v>0</v>
      </c>
      <c r="BW105" s="427">
        <v>0</v>
      </c>
      <c r="BX105" s="427">
        <v>0</v>
      </c>
      <c r="BY105" s="427">
        <v>0</v>
      </c>
      <c r="BZ105" s="427">
        <v>0</v>
      </c>
      <c r="CC105" s="21"/>
      <c r="CD105" s="415" t="s">
        <v>94</v>
      </c>
      <c r="CE105" s="433">
        <f t="shared" si="15"/>
        <v>0</v>
      </c>
      <c r="CF105" s="433">
        <f t="shared" si="16"/>
        <v>0</v>
      </c>
      <c r="CG105" s="433">
        <f t="shared" si="17"/>
        <v>0</v>
      </c>
      <c r="CH105" s="433">
        <f t="shared" si="18"/>
        <v>0</v>
      </c>
      <c r="CI105" s="433">
        <f t="shared" si="19"/>
        <v>0</v>
      </c>
      <c r="CJ105" s="433">
        <f t="shared" si="20"/>
        <v>0</v>
      </c>
      <c r="CK105" s="433">
        <f t="shared" si="21"/>
        <v>0</v>
      </c>
      <c r="CL105" s="433">
        <f t="shared" si="22"/>
        <v>0</v>
      </c>
      <c r="CM105" s="433">
        <f t="shared" si="23"/>
        <v>0</v>
      </c>
      <c r="CN105" s="433">
        <f t="shared" si="24"/>
        <v>0</v>
      </c>
      <c r="CO105" s="433">
        <f t="shared" si="25"/>
        <v>0</v>
      </c>
      <c r="CP105" s="433">
        <f t="shared" si="26"/>
        <v>0</v>
      </c>
      <c r="CQ105" s="433">
        <f t="shared" si="27"/>
        <v>0</v>
      </c>
      <c r="CR105" s="433">
        <f t="shared" si="28"/>
        <v>0</v>
      </c>
      <c r="CS105" s="433">
        <f t="shared" si="29"/>
        <v>0</v>
      </c>
      <c r="CT105" s="21"/>
    </row>
    <row r="106" spans="3:98" ht="4.5" customHeight="1">
      <c r="D106" s="427">
        <v>0</v>
      </c>
      <c r="E106" s="427">
        <v>0</v>
      </c>
      <c r="F106" s="427">
        <v>0</v>
      </c>
      <c r="G106" s="427">
        <v>0</v>
      </c>
      <c r="H106" s="427">
        <v>0</v>
      </c>
      <c r="I106" s="427">
        <v>0</v>
      </c>
      <c r="J106" s="427">
        <v>0</v>
      </c>
      <c r="K106" s="427">
        <v>0</v>
      </c>
      <c r="L106" s="427">
        <v>0</v>
      </c>
      <c r="M106" s="427">
        <v>0</v>
      </c>
      <c r="N106" s="427">
        <v>0</v>
      </c>
      <c r="O106" s="427">
        <v>0</v>
      </c>
      <c r="P106" s="427">
        <v>0</v>
      </c>
      <c r="Q106" s="427">
        <v>0</v>
      </c>
      <c r="R106" s="427">
        <v>0</v>
      </c>
      <c r="S106" s="427">
        <v>0</v>
      </c>
      <c r="T106" s="427">
        <v>0</v>
      </c>
      <c r="U106" s="427">
        <v>0</v>
      </c>
      <c r="V106" s="427">
        <v>0</v>
      </c>
      <c r="W106" s="427">
        <v>0</v>
      </c>
      <c r="X106" s="427">
        <v>0</v>
      </c>
      <c r="Y106" s="427">
        <v>0</v>
      </c>
      <c r="Z106" s="427">
        <v>0</v>
      </c>
      <c r="AA106" s="427">
        <v>0</v>
      </c>
      <c r="AB106" s="427">
        <v>0</v>
      </c>
      <c r="AC106" s="427">
        <v>0</v>
      </c>
      <c r="AD106" s="427">
        <v>0</v>
      </c>
      <c r="AE106" s="427">
        <v>0</v>
      </c>
      <c r="AF106" s="427">
        <v>0</v>
      </c>
      <c r="AG106" s="427">
        <v>0</v>
      </c>
      <c r="AH106" s="427">
        <v>0</v>
      </c>
      <c r="AI106" s="427">
        <v>0</v>
      </c>
      <c r="AJ106" s="427">
        <v>0</v>
      </c>
      <c r="AK106" s="427">
        <v>0</v>
      </c>
      <c r="AL106" s="427">
        <v>0</v>
      </c>
      <c r="AM106" s="427">
        <v>0</v>
      </c>
      <c r="AN106" s="427">
        <v>0</v>
      </c>
      <c r="AO106" s="427">
        <v>0</v>
      </c>
      <c r="AP106" s="427">
        <v>0</v>
      </c>
      <c r="AQ106" s="427">
        <v>0</v>
      </c>
      <c r="AR106" s="427">
        <v>0</v>
      </c>
      <c r="AS106" s="427">
        <v>0</v>
      </c>
      <c r="AT106" s="427">
        <v>0</v>
      </c>
      <c r="AU106" s="427">
        <v>0</v>
      </c>
      <c r="AV106" s="427">
        <v>0</v>
      </c>
      <c r="AW106" s="427">
        <v>0</v>
      </c>
      <c r="AX106" s="427">
        <v>0</v>
      </c>
      <c r="AY106" s="427">
        <v>0</v>
      </c>
      <c r="AZ106" s="427">
        <v>0</v>
      </c>
      <c r="BA106" s="427">
        <v>0</v>
      </c>
      <c r="BB106" s="427">
        <v>0</v>
      </c>
      <c r="BC106" s="427">
        <v>0</v>
      </c>
      <c r="BD106" s="427">
        <v>0</v>
      </c>
      <c r="BE106" s="427">
        <v>0</v>
      </c>
      <c r="BF106" s="427">
        <v>0</v>
      </c>
      <c r="BG106" s="427">
        <v>0</v>
      </c>
      <c r="BH106" s="427">
        <v>0</v>
      </c>
      <c r="BI106" s="427">
        <v>0</v>
      </c>
      <c r="BJ106" s="427">
        <v>0</v>
      </c>
      <c r="BK106" s="427">
        <v>0</v>
      </c>
      <c r="BL106" s="427">
        <v>0</v>
      </c>
      <c r="BM106" s="427">
        <v>0</v>
      </c>
      <c r="BN106" s="427">
        <v>0</v>
      </c>
      <c r="BO106" s="427">
        <v>0</v>
      </c>
      <c r="BP106" s="427">
        <v>0</v>
      </c>
      <c r="BQ106" s="427">
        <v>0</v>
      </c>
      <c r="BR106" s="427">
        <v>0</v>
      </c>
      <c r="BS106" s="427">
        <v>0</v>
      </c>
      <c r="BT106" s="427">
        <v>0</v>
      </c>
      <c r="BU106" s="427">
        <v>0</v>
      </c>
      <c r="BV106" s="427">
        <v>0</v>
      </c>
      <c r="BW106" s="427">
        <v>0</v>
      </c>
      <c r="BX106" s="427">
        <v>0</v>
      </c>
      <c r="BY106" s="427">
        <v>0</v>
      </c>
      <c r="BZ106" s="427">
        <v>0</v>
      </c>
      <c r="CC106" s="21"/>
      <c r="CD106" s="58"/>
      <c r="CE106" s="433">
        <f t="shared" si="15"/>
        <v>0</v>
      </c>
      <c r="CF106" s="433">
        <f t="shared" si="16"/>
        <v>0</v>
      </c>
      <c r="CG106" s="433">
        <f t="shared" si="17"/>
        <v>0</v>
      </c>
      <c r="CH106" s="433">
        <f t="shared" si="18"/>
        <v>0</v>
      </c>
      <c r="CI106" s="433">
        <f t="shared" si="19"/>
        <v>0</v>
      </c>
      <c r="CJ106" s="433">
        <f t="shared" si="20"/>
        <v>0</v>
      </c>
      <c r="CK106" s="433">
        <f t="shared" si="21"/>
        <v>0</v>
      </c>
      <c r="CL106" s="433">
        <f t="shared" si="22"/>
        <v>0</v>
      </c>
      <c r="CM106" s="433">
        <f t="shared" si="23"/>
        <v>0</v>
      </c>
      <c r="CN106" s="433">
        <f t="shared" si="24"/>
        <v>0</v>
      </c>
      <c r="CO106" s="433">
        <f t="shared" si="25"/>
        <v>0</v>
      </c>
      <c r="CP106" s="433">
        <f t="shared" si="26"/>
        <v>0</v>
      </c>
      <c r="CQ106" s="433">
        <f t="shared" si="27"/>
        <v>0</v>
      </c>
      <c r="CR106" s="433">
        <f t="shared" si="28"/>
        <v>0</v>
      </c>
      <c r="CS106" s="433">
        <f t="shared" si="29"/>
        <v>0</v>
      </c>
      <c r="CT106" s="21"/>
    </row>
    <row r="107" spans="3:98" ht="24.75" customHeight="1">
      <c r="C107" s="435" t="s">
        <v>580</v>
      </c>
      <c r="D107" s="422">
        <v>0</v>
      </c>
      <c r="E107" s="422">
        <v>0</v>
      </c>
      <c r="F107" s="422">
        <v>0</v>
      </c>
      <c r="G107" s="422">
        <v>0</v>
      </c>
      <c r="H107" s="422">
        <v>0</v>
      </c>
      <c r="I107" s="422">
        <v>0</v>
      </c>
      <c r="J107" s="422">
        <v>0</v>
      </c>
      <c r="K107" s="422">
        <v>0</v>
      </c>
      <c r="L107" s="422">
        <v>0</v>
      </c>
      <c r="M107" s="422">
        <v>0</v>
      </c>
      <c r="N107" s="422">
        <v>0</v>
      </c>
      <c r="O107" s="422">
        <v>0</v>
      </c>
      <c r="P107" s="422">
        <v>0</v>
      </c>
      <c r="Q107" s="422">
        <v>0</v>
      </c>
      <c r="R107" s="422">
        <v>0</v>
      </c>
      <c r="S107" s="422">
        <v>0</v>
      </c>
      <c r="T107" s="422">
        <v>0</v>
      </c>
      <c r="U107" s="422">
        <v>0</v>
      </c>
      <c r="V107" s="422">
        <v>0</v>
      </c>
      <c r="W107" s="422">
        <v>0</v>
      </c>
      <c r="X107" s="422">
        <v>0</v>
      </c>
      <c r="Y107" s="422">
        <v>0</v>
      </c>
      <c r="Z107" s="422">
        <v>0</v>
      </c>
      <c r="AA107" s="422">
        <v>0</v>
      </c>
      <c r="AB107" s="422">
        <v>0</v>
      </c>
      <c r="AC107" s="422">
        <v>0</v>
      </c>
      <c r="AD107" s="422">
        <v>0</v>
      </c>
      <c r="AE107" s="422">
        <v>0</v>
      </c>
      <c r="AF107" s="422">
        <v>0</v>
      </c>
      <c r="AG107" s="422">
        <v>0</v>
      </c>
      <c r="AH107" s="422">
        <v>0</v>
      </c>
      <c r="AI107" s="422">
        <v>0</v>
      </c>
      <c r="AJ107" s="422">
        <v>0</v>
      </c>
      <c r="AK107" s="422">
        <v>0</v>
      </c>
      <c r="AL107" s="422">
        <v>0</v>
      </c>
      <c r="AM107" s="422">
        <v>0</v>
      </c>
      <c r="AN107" s="422">
        <v>0</v>
      </c>
      <c r="AO107" s="422">
        <v>0</v>
      </c>
      <c r="AP107" s="422">
        <v>0</v>
      </c>
      <c r="AQ107" s="422">
        <v>0</v>
      </c>
      <c r="AR107" s="422">
        <v>0</v>
      </c>
      <c r="AS107" s="422">
        <v>0</v>
      </c>
      <c r="AT107" s="422">
        <v>0</v>
      </c>
      <c r="AU107" s="422">
        <v>0</v>
      </c>
      <c r="AV107" s="422">
        <v>0</v>
      </c>
      <c r="AW107" s="422">
        <v>0</v>
      </c>
      <c r="AX107" s="422">
        <v>0</v>
      </c>
      <c r="AY107" s="422">
        <v>0</v>
      </c>
      <c r="AZ107" s="422">
        <v>0</v>
      </c>
      <c r="BA107" s="422">
        <v>0</v>
      </c>
      <c r="BB107" s="422">
        <v>0</v>
      </c>
      <c r="BC107" s="422">
        <v>0</v>
      </c>
      <c r="BD107" s="422">
        <v>0</v>
      </c>
      <c r="BE107" s="422">
        <v>0</v>
      </c>
      <c r="BF107" s="422">
        <v>-80.593999999999994</v>
      </c>
      <c r="BG107" s="422">
        <v>470.29899999999998</v>
      </c>
      <c r="BH107" s="422">
        <v>167.339</v>
      </c>
      <c r="BI107" s="422">
        <v>208.18899999999999</v>
      </c>
      <c r="BJ107" s="422">
        <v>2158.2429999999999</v>
      </c>
      <c r="BK107" s="422">
        <v>3004.07</v>
      </c>
      <c r="BL107" s="422">
        <v>3411.7649999999999</v>
      </c>
      <c r="BM107" s="422">
        <v>3982.8989999999999</v>
      </c>
      <c r="BN107" s="422">
        <v>342.04700000000003</v>
      </c>
      <c r="BO107" s="422">
        <v>-3698.5390000000002</v>
      </c>
      <c r="BP107" s="422">
        <v>4038.172</v>
      </c>
      <c r="BQ107" s="422">
        <v>-91.355999999999995</v>
      </c>
      <c r="BR107" s="422">
        <v>-351.13200000000001</v>
      </c>
      <c r="BS107" s="422">
        <v>-397.495</v>
      </c>
      <c r="BT107" s="422">
        <v>-745.43600000000004</v>
      </c>
      <c r="BU107" s="422">
        <v>-1585.4190000000001</v>
      </c>
      <c r="BV107" s="422">
        <v>463.07799999999997</v>
      </c>
      <c r="BW107" s="422">
        <v>151.124</v>
      </c>
      <c r="BX107" s="422">
        <v>313.935</v>
      </c>
      <c r="BY107" s="422">
        <v>0</v>
      </c>
      <c r="BZ107" s="422">
        <v>0</v>
      </c>
      <c r="CC107" s="21"/>
      <c r="CD107" s="435" t="s">
        <v>580</v>
      </c>
      <c r="CE107" s="436">
        <f t="shared" si="15"/>
        <v>0</v>
      </c>
      <c r="CF107" s="436">
        <f t="shared" si="16"/>
        <v>0</v>
      </c>
      <c r="CG107" s="436">
        <f t="shared" si="17"/>
        <v>0</v>
      </c>
      <c r="CH107" s="436">
        <f t="shared" si="18"/>
        <v>0</v>
      </c>
      <c r="CI107" s="436">
        <f t="shared" si="19"/>
        <v>0</v>
      </c>
      <c r="CJ107" s="436">
        <f t="shared" si="20"/>
        <v>0</v>
      </c>
      <c r="CK107" s="436">
        <f t="shared" si="21"/>
        <v>0</v>
      </c>
      <c r="CL107" s="436">
        <f t="shared" si="22"/>
        <v>0</v>
      </c>
      <c r="CM107" s="436">
        <f t="shared" si="23"/>
        <v>0</v>
      </c>
      <c r="CN107" s="436">
        <f t="shared" si="24"/>
        <v>0</v>
      </c>
      <c r="CO107" s="436">
        <f t="shared" si="25"/>
        <v>-80.593999999999994</v>
      </c>
      <c r="CP107" s="436">
        <f t="shared" si="26"/>
        <v>3004.07</v>
      </c>
      <c r="CQ107" s="436">
        <f t="shared" si="27"/>
        <v>4038.172</v>
      </c>
      <c r="CR107" s="436">
        <f t="shared" si="28"/>
        <v>-1585.4190000000001</v>
      </c>
      <c r="CS107" s="436">
        <f t="shared" si="29"/>
        <v>0</v>
      </c>
      <c r="CT107" s="21"/>
    </row>
    <row r="108" spans="3:98" ht="4.5" customHeight="1">
      <c r="D108" s="427">
        <v>0</v>
      </c>
      <c r="E108" s="427">
        <v>0</v>
      </c>
      <c r="F108" s="427">
        <v>0</v>
      </c>
      <c r="G108" s="427">
        <v>0</v>
      </c>
      <c r="H108" s="427">
        <v>0</v>
      </c>
      <c r="I108" s="427">
        <v>0</v>
      </c>
      <c r="J108" s="427">
        <v>0</v>
      </c>
      <c r="K108" s="427">
        <v>0</v>
      </c>
      <c r="L108" s="427">
        <v>0</v>
      </c>
      <c r="M108" s="427">
        <v>0</v>
      </c>
      <c r="N108" s="427">
        <v>0</v>
      </c>
      <c r="O108" s="427">
        <v>0</v>
      </c>
      <c r="P108" s="427">
        <v>0</v>
      </c>
      <c r="Q108" s="427">
        <v>0</v>
      </c>
      <c r="R108" s="427">
        <v>0</v>
      </c>
      <c r="S108" s="427">
        <v>0</v>
      </c>
      <c r="T108" s="427">
        <v>0</v>
      </c>
      <c r="U108" s="427">
        <v>0</v>
      </c>
      <c r="V108" s="427">
        <v>0</v>
      </c>
      <c r="W108" s="427">
        <v>0</v>
      </c>
      <c r="X108" s="427">
        <v>0</v>
      </c>
      <c r="Y108" s="427">
        <v>0</v>
      </c>
      <c r="Z108" s="427">
        <v>0</v>
      </c>
      <c r="AA108" s="427">
        <v>0</v>
      </c>
      <c r="AB108" s="427">
        <v>0</v>
      </c>
      <c r="AC108" s="427">
        <v>0</v>
      </c>
      <c r="AD108" s="427">
        <v>0</v>
      </c>
      <c r="AE108" s="427">
        <v>0</v>
      </c>
      <c r="AF108" s="427">
        <v>0</v>
      </c>
      <c r="AG108" s="427">
        <v>0</v>
      </c>
      <c r="AH108" s="427">
        <v>0</v>
      </c>
      <c r="AI108" s="427">
        <v>0</v>
      </c>
      <c r="AJ108" s="427">
        <v>0</v>
      </c>
      <c r="AK108" s="427">
        <v>0</v>
      </c>
      <c r="AL108" s="427">
        <v>0</v>
      </c>
      <c r="AM108" s="427">
        <v>0</v>
      </c>
      <c r="AN108" s="427">
        <v>0</v>
      </c>
      <c r="AO108" s="427">
        <v>0</v>
      </c>
      <c r="AP108" s="427">
        <v>0</v>
      </c>
      <c r="AQ108" s="427">
        <v>0</v>
      </c>
      <c r="AR108" s="427">
        <v>0</v>
      </c>
      <c r="AS108" s="427">
        <v>0</v>
      </c>
      <c r="AT108" s="427">
        <v>0</v>
      </c>
      <c r="AU108" s="427">
        <v>0</v>
      </c>
      <c r="AV108" s="427">
        <v>0</v>
      </c>
      <c r="AW108" s="427">
        <v>0</v>
      </c>
      <c r="AX108" s="427">
        <v>0</v>
      </c>
      <c r="AY108" s="427">
        <v>0</v>
      </c>
      <c r="AZ108" s="427">
        <v>0</v>
      </c>
      <c r="BA108" s="427">
        <v>0</v>
      </c>
      <c r="BB108" s="427">
        <v>0</v>
      </c>
      <c r="BC108" s="427">
        <v>0</v>
      </c>
      <c r="BD108" s="427">
        <v>0</v>
      </c>
      <c r="BE108" s="427">
        <v>0</v>
      </c>
      <c r="BF108" s="427">
        <v>0</v>
      </c>
      <c r="BG108" s="427">
        <v>0</v>
      </c>
      <c r="BH108" s="427">
        <v>0</v>
      </c>
      <c r="BI108" s="427">
        <v>0</v>
      </c>
      <c r="BJ108" s="427">
        <v>0</v>
      </c>
      <c r="BK108" s="427">
        <v>0</v>
      </c>
      <c r="BL108" s="427">
        <v>0</v>
      </c>
      <c r="BM108" s="427">
        <v>0</v>
      </c>
      <c r="BN108" s="427">
        <v>0</v>
      </c>
      <c r="BO108" s="427">
        <v>0</v>
      </c>
      <c r="BP108" s="427">
        <v>0</v>
      </c>
      <c r="BQ108" s="427">
        <v>0</v>
      </c>
      <c r="BR108" s="427">
        <v>0</v>
      </c>
      <c r="BS108" s="427">
        <v>0</v>
      </c>
      <c r="BT108" s="427">
        <v>0</v>
      </c>
      <c r="BU108" s="427">
        <v>0</v>
      </c>
      <c r="BV108" s="427">
        <v>0</v>
      </c>
      <c r="BW108" s="427">
        <v>0</v>
      </c>
      <c r="BX108" s="427">
        <v>0</v>
      </c>
      <c r="BY108" s="427">
        <v>0</v>
      </c>
      <c r="BZ108" s="427">
        <v>0</v>
      </c>
      <c r="CC108" s="21"/>
      <c r="CD108" s="58"/>
      <c r="CE108" s="433">
        <f t="shared" si="15"/>
        <v>0</v>
      </c>
      <c r="CF108" s="433">
        <f t="shared" si="16"/>
        <v>0</v>
      </c>
      <c r="CG108" s="433">
        <f t="shared" si="17"/>
        <v>0</v>
      </c>
      <c r="CH108" s="433">
        <f t="shared" si="18"/>
        <v>0</v>
      </c>
      <c r="CI108" s="433">
        <f t="shared" si="19"/>
        <v>0</v>
      </c>
      <c r="CJ108" s="433">
        <f t="shared" si="20"/>
        <v>0</v>
      </c>
      <c r="CK108" s="433">
        <f t="shared" si="21"/>
        <v>0</v>
      </c>
      <c r="CL108" s="433">
        <f t="shared" si="22"/>
        <v>0</v>
      </c>
      <c r="CM108" s="433">
        <f t="shared" si="23"/>
        <v>0</v>
      </c>
      <c r="CN108" s="433">
        <f t="shared" si="24"/>
        <v>0</v>
      </c>
      <c r="CO108" s="433">
        <f t="shared" si="25"/>
        <v>0</v>
      </c>
      <c r="CP108" s="433">
        <f t="shared" si="26"/>
        <v>0</v>
      </c>
      <c r="CQ108" s="433">
        <f t="shared" si="27"/>
        <v>0</v>
      </c>
      <c r="CR108" s="433">
        <f t="shared" si="28"/>
        <v>0</v>
      </c>
      <c r="CS108" s="433">
        <f t="shared" si="29"/>
        <v>0</v>
      </c>
      <c r="CT108" s="21"/>
    </row>
    <row r="109" spans="3:98" ht="24.75" customHeight="1">
      <c r="C109" s="435" t="s">
        <v>652</v>
      </c>
      <c r="D109" s="422">
        <v>0</v>
      </c>
      <c r="E109" s="422">
        <v>0</v>
      </c>
      <c r="F109" s="422">
        <v>0</v>
      </c>
      <c r="G109" s="422">
        <v>0</v>
      </c>
      <c r="H109" s="422">
        <v>0</v>
      </c>
      <c r="I109" s="422">
        <v>0</v>
      </c>
      <c r="J109" s="422">
        <v>0</v>
      </c>
      <c r="K109" s="422">
        <v>0</v>
      </c>
      <c r="L109" s="422">
        <v>0</v>
      </c>
      <c r="M109" s="422">
        <v>0</v>
      </c>
      <c r="N109" s="422">
        <v>0</v>
      </c>
      <c r="O109" s="422">
        <v>0</v>
      </c>
      <c r="P109" s="422">
        <v>0</v>
      </c>
      <c r="Q109" s="422">
        <v>0</v>
      </c>
      <c r="R109" s="422">
        <v>0</v>
      </c>
      <c r="S109" s="422">
        <v>0</v>
      </c>
      <c r="T109" s="422">
        <v>0</v>
      </c>
      <c r="U109" s="422">
        <v>0</v>
      </c>
      <c r="V109" s="422">
        <v>0</v>
      </c>
      <c r="W109" s="422">
        <v>0</v>
      </c>
      <c r="X109" s="422">
        <v>0</v>
      </c>
      <c r="Y109" s="422">
        <v>0</v>
      </c>
      <c r="Z109" s="422">
        <v>0</v>
      </c>
      <c r="AA109" s="422">
        <v>0</v>
      </c>
      <c r="AB109" s="422">
        <v>0</v>
      </c>
      <c r="AC109" s="422">
        <v>0</v>
      </c>
      <c r="AD109" s="422">
        <v>0</v>
      </c>
      <c r="AE109" s="422">
        <v>0</v>
      </c>
      <c r="AF109" s="422">
        <v>0</v>
      </c>
      <c r="AG109" s="422">
        <v>0</v>
      </c>
      <c r="AH109" s="422">
        <v>0</v>
      </c>
      <c r="AI109" s="422">
        <v>0</v>
      </c>
      <c r="AJ109" s="422">
        <v>0</v>
      </c>
      <c r="AK109" s="422">
        <v>0</v>
      </c>
      <c r="AL109" s="422">
        <v>0</v>
      </c>
      <c r="AM109" s="422">
        <v>0</v>
      </c>
      <c r="AN109" s="422">
        <v>0</v>
      </c>
      <c r="AO109" s="422">
        <v>0</v>
      </c>
      <c r="AP109" s="422">
        <v>0</v>
      </c>
      <c r="AQ109" s="422">
        <v>0</v>
      </c>
      <c r="AR109" s="422">
        <v>0</v>
      </c>
      <c r="AS109" s="422">
        <v>0</v>
      </c>
      <c r="AT109" s="422">
        <v>0</v>
      </c>
      <c r="AU109" s="422">
        <v>0</v>
      </c>
      <c r="AV109" s="422">
        <v>0</v>
      </c>
      <c r="AW109" s="422">
        <v>0</v>
      </c>
      <c r="AX109" s="422">
        <v>0</v>
      </c>
      <c r="AY109" s="422">
        <v>0</v>
      </c>
      <c r="AZ109" s="422">
        <v>0</v>
      </c>
      <c r="BA109" s="422">
        <v>0</v>
      </c>
      <c r="BB109" s="422">
        <v>0</v>
      </c>
      <c r="BC109" s="422">
        <v>0</v>
      </c>
      <c r="BD109" s="422">
        <v>0</v>
      </c>
      <c r="BE109" s="422">
        <v>0</v>
      </c>
      <c r="BF109" s="422">
        <v>0</v>
      </c>
      <c r="BG109" s="422">
        <v>0</v>
      </c>
      <c r="BH109" s="422">
        <v>0</v>
      </c>
      <c r="BI109" s="422">
        <v>0</v>
      </c>
      <c r="BJ109" s="422">
        <v>0</v>
      </c>
      <c r="BK109" s="422">
        <v>0</v>
      </c>
      <c r="BL109" s="422">
        <v>0</v>
      </c>
      <c r="BM109" s="422">
        <v>0</v>
      </c>
      <c r="BN109" s="422">
        <v>0</v>
      </c>
      <c r="BO109" s="422">
        <v>0</v>
      </c>
      <c r="BP109" s="422">
        <v>0</v>
      </c>
      <c r="BQ109" s="422">
        <v>0</v>
      </c>
      <c r="BR109" s="422">
        <v>0</v>
      </c>
      <c r="BS109" s="422">
        <v>0</v>
      </c>
      <c r="BT109" s="422">
        <v>0</v>
      </c>
      <c r="BU109" s="422">
        <v>0</v>
      </c>
      <c r="BV109" s="422">
        <v>0</v>
      </c>
      <c r="BW109" s="422">
        <v>0</v>
      </c>
      <c r="BX109" s="422">
        <v>0</v>
      </c>
      <c r="BY109" s="422">
        <v>0</v>
      </c>
      <c r="BZ109" s="422">
        <v>0</v>
      </c>
      <c r="CC109" s="21"/>
      <c r="CD109" s="435" t="s">
        <v>652</v>
      </c>
      <c r="CE109" s="436">
        <f t="shared" si="15"/>
        <v>0</v>
      </c>
      <c r="CF109" s="436">
        <f t="shared" si="16"/>
        <v>0</v>
      </c>
      <c r="CG109" s="436">
        <f t="shared" si="17"/>
        <v>0</v>
      </c>
      <c r="CH109" s="436">
        <f t="shared" si="18"/>
        <v>0</v>
      </c>
      <c r="CI109" s="436">
        <f t="shared" si="19"/>
        <v>0</v>
      </c>
      <c r="CJ109" s="436">
        <f t="shared" si="20"/>
        <v>0</v>
      </c>
      <c r="CK109" s="436">
        <f t="shared" si="21"/>
        <v>0</v>
      </c>
      <c r="CL109" s="436">
        <f t="shared" si="22"/>
        <v>0</v>
      </c>
      <c r="CM109" s="436">
        <f t="shared" si="23"/>
        <v>0</v>
      </c>
      <c r="CN109" s="436">
        <f t="shared" si="24"/>
        <v>0</v>
      </c>
      <c r="CO109" s="436">
        <f t="shared" si="25"/>
        <v>0</v>
      </c>
      <c r="CP109" s="436">
        <f t="shared" si="26"/>
        <v>0</v>
      </c>
      <c r="CQ109" s="436">
        <f t="shared" si="27"/>
        <v>0</v>
      </c>
      <c r="CR109" s="436">
        <f t="shared" si="28"/>
        <v>0</v>
      </c>
      <c r="CS109" s="436">
        <f t="shared" si="29"/>
        <v>0</v>
      </c>
      <c r="CT109" s="21"/>
    </row>
    <row r="110" spans="3:98" ht="4.5" customHeight="1">
      <c r="D110" s="427">
        <v>0</v>
      </c>
      <c r="E110" s="427">
        <v>0</v>
      </c>
      <c r="F110" s="427">
        <v>0</v>
      </c>
      <c r="G110" s="427">
        <v>0</v>
      </c>
      <c r="H110" s="427">
        <v>0</v>
      </c>
      <c r="I110" s="427">
        <v>0</v>
      </c>
      <c r="J110" s="427">
        <v>0</v>
      </c>
      <c r="K110" s="427">
        <v>0</v>
      </c>
      <c r="L110" s="427">
        <v>0</v>
      </c>
      <c r="M110" s="427">
        <v>0</v>
      </c>
      <c r="N110" s="427">
        <v>0</v>
      </c>
      <c r="O110" s="427">
        <v>0</v>
      </c>
      <c r="P110" s="427">
        <v>0</v>
      </c>
      <c r="Q110" s="427">
        <v>0</v>
      </c>
      <c r="R110" s="427">
        <v>0</v>
      </c>
      <c r="S110" s="427">
        <v>0</v>
      </c>
      <c r="T110" s="427">
        <v>0</v>
      </c>
      <c r="U110" s="427">
        <v>0</v>
      </c>
      <c r="V110" s="427">
        <v>0</v>
      </c>
      <c r="W110" s="427">
        <v>0</v>
      </c>
      <c r="X110" s="427">
        <v>0</v>
      </c>
      <c r="Y110" s="427">
        <v>0</v>
      </c>
      <c r="Z110" s="427">
        <v>0</v>
      </c>
      <c r="AA110" s="427">
        <v>0</v>
      </c>
      <c r="AB110" s="427">
        <v>0</v>
      </c>
      <c r="AC110" s="427">
        <v>0</v>
      </c>
      <c r="AD110" s="427">
        <v>0</v>
      </c>
      <c r="AE110" s="427">
        <v>0</v>
      </c>
      <c r="AF110" s="427">
        <v>0</v>
      </c>
      <c r="AG110" s="427">
        <v>0</v>
      </c>
      <c r="AH110" s="427">
        <v>0</v>
      </c>
      <c r="AI110" s="427">
        <v>0</v>
      </c>
      <c r="AJ110" s="427">
        <v>0</v>
      </c>
      <c r="AK110" s="427">
        <v>0</v>
      </c>
      <c r="AL110" s="427">
        <v>0</v>
      </c>
      <c r="AM110" s="427">
        <v>0</v>
      </c>
      <c r="AN110" s="427">
        <v>0</v>
      </c>
      <c r="AO110" s="427">
        <v>0</v>
      </c>
      <c r="AP110" s="427">
        <v>0</v>
      </c>
      <c r="AQ110" s="427">
        <v>0</v>
      </c>
      <c r="AR110" s="427">
        <v>0</v>
      </c>
      <c r="AS110" s="427">
        <v>0</v>
      </c>
      <c r="AT110" s="427">
        <v>0</v>
      </c>
      <c r="AU110" s="427">
        <v>0</v>
      </c>
      <c r="AV110" s="427">
        <v>0</v>
      </c>
      <c r="AW110" s="427">
        <v>0</v>
      </c>
      <c r="AX110" s="427">
        <v>0</v>
      </c>
      <c r="AY110" s="427">
        <v>0</v>
      </c>
      <c r="AZ110" s="427">
        <v>0</v>
      </c>
      <c r="BA110" s="427">
        <v>0</v>
      </c>
      <c r="BB110" s="427">
        <v>0</v>
      </c>
      <c r="BC110" s="427">
        <v>0</v>
      </c>
      <c r="BD110" s="427">
        <v>0</v>
      </c>
      <c r="BE110" s="427">
        <v>0</v>
      </c>
      <c r="BF110" s="427">
        <v>0</v>
      </c>
      <c r="BG110" s="427">
        <v>0</v>
      </c>
      <c r="BH110" s="427">
        <v>0</v>
      </c>
      <c r="BI110" s="427">
        <v>0</v>
      </c>
      <c r="BJ110" s="427">
        <v>0</v>
      </c>
      <c r="BK110" s="427">
        <v>0</v>
      </c>
      <c r="BL110" s="427">
        <v>0</v>
      </c>
      <c r="BM110" s="427">
        <v>0</v>
      </c>
      <c r="BN110" s="427">
        <v>0</v>
      </c>
      <c r="BO110" s="427">
        <v>0</v>
      </c>
      <c r="BP110" s="427">
        <v>0</v>
      </c>
      <c r="BQ110" s="427">
        <v>0</v>
      </c>
      <c r="BR110" s="427">
        <v>0</v>
      </c>
      <c r="BS110" s="427">
        <v>0</v>
      </c>
      <c r="BT110" s="427">
        <v>0</v>
      </c>
      <c r="BU110" s="427">
        <v>0</v>
      </c>
      <c r="BV110" s="427">
        <v>0</v>
      </c>
      <c r="BW110" s="427">
        <v>0</v>
      </c>
      <c r="BX110" s="427">
        <v>0</v>
      </c>
      <c r="BY110" s="427">
        <v>0</v>
      </c>
      <c r="BZ110" s="427">
        <v>0</v>
      </c>
      <c r="CC110" s="21"/>
      <c r="CD110" s="58"/>
      <c r="CE110" s="433">
        <f t="shared" si="15"/>
        <v>0</v>
      </c>
      <c r="CF110" s="433">
        <f t="shared" si="16"/>
        <v>0</v>
      </c>
      <c r="CG110" s="433">
        <f t="shared" si="17"/>
        <v>0</v>
      </c>
      <c r="CH110" s="433">
        <f t="shared" si="18"/>
        <v>0</v>
      </c>
      <c r="CI110" s="433">
        <f t="shared" si="19"/>
        <v>0</v>
      </c>
      <c r="CJ110" s="433">
        <f t="shared" si="20"/>
        <v>0</v>
      </c>
      <c r="CK110" s="433">
        <f t="shared" si="21"/>
        <v>0</v>
      </c>
      <c r="CL110" s="433">
        <f t="shared" si="22"/>
        <v>0</v>
      </c>
      <c r="CM110" s="433">
        <f t="shared" si="23"/>
        <v>0</v>
      </c>
      <c r="CN110" s="433">
        <f t="shared" si="24"/>
        <v>0</v>
      </c>
      <c r="CO110" s="433">
        <f t="shared" si="25"/>
        <v>0</v>
      </c>
      <c r="CP110" s="433">
        <f t="shared" si="26"/>
        <v>0</v>
      </c>
      <c r="CQ110" s="433">
        <f t="shared" si="27"/>
        <v>0</v>
      </c>
      <c r="CR110" s="433">
        <f t="shared" si="28"/>
        <v>0</v>
      </c>
      <c r="CS110" s="433">
        <f t="shared" si="29"/>
        <v>0</v>
      </c>
      <c r="CT110" s="21"/>
    </row>
    <row r="111" spans="3:98" ht="24.75" customHeight="1" collapsed="1">
      <c r="C111" s="421" t="s">
        <v>579</v>
      </c>
      <c r="D111" s="422">
        <v>0</v>
      </c>
      <c r="E111" s="422">
        <v>0</v>
      </c>
      <c r="F111" s="422">
        <v>0</v>
      </c>
      <c r="G111" s="422">
        <v>0</v>
      </c>
      <c r="H111" s="422">
        <v>0</v>
      </c>
      <c r="I111" s="422">
        <v>0</v>
      </c>
      <c r="J111" s="422">
        <v>0</v>
      </c>
      <c r="K111" s="422">
        <v>0</v>
      </c>
      <c r="L111" s="422">
        <v>0</v>
      </c>
      <c r="M111" s="422">
        <v>0</v>
      </c>
      <c r="N111" s="422">
        <v>0</v>
      </c>
      <c r="O111" s="422">
        <v>0</v>
      </c>
      <c r="P111" s="422">
        <v>0</v>
      </c>
      <c r="Q111" s="422">
        <v>0</v>
      </c>
      <c r="R111" s="422">
        <v>0</v>
      </c>
      <c r="S111" s="422">
        <v>0</v>
      </c>
      <c r="T111" s="422">
        <v>0</v>
      </c>
      <c r="U111" s="422">
        <v>0</v>
      </c>
      <c r="V111" s="422">
        <v>0</v>
      </c>
      <c r="W111" s="422">
        <v>0</v>
      </c>
      <c r="X111" s="422">
        <v>0</v>
      </c>
      <c r="Y111" s="422">
        <v>0</v>
      </c>
      <c r="Z111" s="422">
        <v>0</v>
      </c>
      <c r="AA111" s="422">
        <v>0</v>
      </c>
      <c r="AB111" s="422">
        <v>0</v>
      </c>
      <c r="AC111" s="422">
        <v>0</v>
      </c>
      <c r="AD111" s="422">
        <v>0</v>
      </c>
      <c r="AE111" s="422">
        <v>0</v>
      </c>
      <c r="AF111" s="422">
        <v>0</v>
      </c>
      <c r="AG111" s="422">
        <v>0</v>
      </c>
      <c r="AH111" s="422">
        <v>0</v>
      </c>
      <c r="AI111" s="422">
        <v>0</v>
      </c>
      <c r="AJ111" s="422">
        <v>0</v>
      </c>
      <c r="AK111" s="422">
        <v>0</v>
      </c>
      <c r="AL111" s="422">
        <v>0</v>
      </c>
      <c r="AM111" s="422">
        <v>0</v>
      </c>
      <c r="AN111" s="422">
        <v>0</v>
      </c>
      <c r="AO111" s="422">
        <v>0</v>
      </c>
      <c r="AP111" s="422">
        <v>0</v>
      </c>
      <c r="AQ111" s="422">
        <v>0</v>
      </c>
      <c r="AR111" s="422">
        <v>0</v>
      </c>
      <c r="AS111" s="422">
        <v>0</v>
      </c>
      <c r="AT111" s="422">
        <v>0</v>
      </c>
      <c r="AU111" s="422">
        <v>0</v>
      </c>
      <c r="AV111" s="422">
        <v>0</v>
      </c>
      <c r="AW111" s="422">
        <v>0</v>
      </c>
      <c r="AX111" s="422">
        <v>0</v>
      </c>
      <c r="AY111" s="422">
        <v>0</v>
      </c>
      <c r="AZ111" s="422">
        <v>0</v>
      </c>
      <c r="BA111" s="422">
        <v>0</v>
      </c>
      <c r="BB111" s="422">
        <v>0</v>
      </c>
      <c r="BC111" s="422">
        <v>0</v>
      </c>
      <c r="BD111" s="422">
        <v>0</v>
      </c>
      <c r="BE111" s="422">
        <v>0</v>
      </c>
      <c r="BF111" s="422">
        <v>-80.593999999999994</v>
      </c>
      <c r="BG111" s="422">
        <v>470.29899999999998</v>
      </c>
      <c r="BH111" s="422">
        <v>167.339</v>
      </c>
      <c r="BI111" s="422">
        <v>208.18899999999999</v>
      </c>
      <c r="BJ111" s="422">
        <v>2158.2429999999999</v>
      </c>
      <c r="BK111" s="422">
        <v>3004.07</v>
      </c>
      <c r="BL111" s="422">
        <v>3411.7649999999999</v>
      </c>
      <c r="BM111" s="422">
        <v>3982.8989999999999</v>
      </c>
      <c r="BN111" s="422">
        <v>342.04700000000003</v>
      </c>
      <c r="BO111" s="422">
        <v>-3698.5390000000002</v>
      </c>
      <c r="BP111" s="422">
        <v>4038.172</v>
      </c>
      <c r="BQ111" s="422">
        <v>-91.355999999999995</v>
      </c>
      <c r="BR111" s="422">
        <v>-351.13200000000001</v>
      </c>
      <c r="BS111" s="422">
        <v>-397.495</v>
      </c>
      <c r="BT111" s="422">
        <v>-745.43600000000004</v>
      </c>
      <c r="BU111" s="422">
        <v>-1585.4190000000001</v>
      </c>
      <c r="BV111" s="422">
        <v>463.07799999999997</v>
      </c>
      <c r="BW111" s="422">
        <v>151.124</v>
      </c>
      <c r="BX111" s="422">
        <v>313.935</v>
      </c>
      <c r="BY111" s="422">
        <v>0</v>
      </c>
      <c r="BZ111" s="422">
        <v>0</v>
      </c>
      <c r="CC111" s="21"/>
      <c r="CD111" s="421" t="s">
        <v>579</v>
      </c>
      <c r="CE111" s="436">
        <f t="shared" si="15"/>
        <v>0</v>
      </c>
      <c r="CF111" s="436">
        <f t="shared" si="16"/>
        <v>0</v>
      </c>
      <c r="CG111" s="436">
        <f t="shared" si="17"/>
        <v>0</v>
      </c>
      <c r="CH111" s="436">
        <f t="shared" si="18"/>
        <v>0</v>
      </c>
      <c r="CI111" s="436">
        <f t="shared" si="19"/>
        <v>0</v>
      </c>
      <c r="CJ111" s="436">
        <f t="shared" si="20"/>
        <v>0</v>
      </c>
      <c r="CK111" s="436">
        <f t="shared" si="21"/>
        <v>0</v>
      </c>
      <c r="CL111" s="436">
        <f t="shared" si="22"/>
        <v>0</v>
      </c>
      <c r="CM111" s="436">
        <f t="shared" si="23"/>
        <v>0</v>
      </c>
      <c r="CN111" s="436">
        <f t="shared" si="24"/>
        <v>0</v>
      </c>
      <c r="CO111" s="436">
        <f t="shared" si="25"/>
        <v>-80.593999999999994</v>
      </c>
      <c r="CP111" s="436">
        <f t="shared" si="26"/>
        <v>3004.07</v>
      </c>
      <c r="CQ111" s="436">
        <f t="shared" si="27"/>
        <v>4038.172</v>
      </c>
      <c r="CR111" s="436">
        <f t="shared" si="28"/>
        <v>-1585.4190000000001</v>
      </c>
      <c r="CS111" s="436">
        <f t="shared" si="29"/>
        <v>0</v>
      </c>
      <c r="CT111" s="21"/>
    </row>
    <row r="112" spans="3:98" ht="24.75" customHeight="1">
      <c r="D112" s="427"/>
      <c r="E112" s="427"/>
      <c r="F112" s="427"/>
      <c r="G112" s="427"/>
      <c r="H112" s="427"/>
      <c r="I112" s="427"/>
      <c r="J112" s="427"/>
      <c r="K112" s="427"/>
      <c r="L112" s="427"/>
      <c r="M112" s="427"/>
      <c r="N112" s="427"/>
      <c r="O112" s="427"/>
      <c r="P112" s="427"/>
      <c r="Q112" s="427"/>
      <c r="R112" s="427"/>
      <c r="S112" s="427"/>
      <c r="T112" s="427"/>
      <c r="U112" s="42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A112" s="427"/>
      <c r="BB112" s="427"/>
      <c r="BC112" s="427"/>
      <c r="BD112" s="427"/>
      <c r="BE112" s="427"/>
      <c r="BF112" s="427"/>
      <c r="BG112" s="427"/>
      <c r="BH112" s="427"/>
      <c r="BI112" s="427"/>
      <c r="BJ112" s="427"/>
      <c r="BK112" s="427"/>
      <c r="BL112" s="427"/>
      <c r="BM112" s="427"/>
      <c r="BN112" s="427"/>
      <c r="BO112" s="427"/>
      <c r="BP112" s="427"/>
      <c r="BQ112" s="427"/>
      <c r="BR112" s="427"/>
      <c r="BS112" s="427"/>
      <c r="BT112" s="427"/>
      <c r="BU112" s="427"/>
      <c r="BV112" s="427"/>
      <c r="BW112" s="427"/>
      <c r="BX112" s="427"/>
      <c r="BY112" s="427"/>
      <c r="BZ112" s="427"/>
      <c r="CC112" s="21"/>
      <c r="CD112" s="58"/>
      <c r="CE112" s="433"/>
      <c r="CF112" s="433"/>
      <c r="CG112" s="433"/>
      <c r="CH112" s="433"/>
      <c r="CI112" s="433"/>
      <c r="CJ112" s="433"/>
      <c r="CK112" s="433"/>
      <c r="CL112" s="433"/>
      <c r="CM112" s="433"/>
      <c r="CN112" s="433"/>
      <c r="CO112" s="433"/>
      <c r="CP112" s="433"/>
      <c r="CQ112" s="433"/>
      <c r="CR112" s="433"/>
      <c r="CS112" s="433"/>
      <c r="CT112" s="21"/>
    </row>
    <row r="113" spans="3:98" ht="24.75" customHeight="1">
      <c r="C113" s="415" t="s">
        <v>655</v>
      </c>
      <c r="D113" s="427">
        <v>0</v>
      </c>
      <c r="E113" s="427">
        <v>0</v>
      </c>
      <c r="F113" s="427">
        <v>0</v>
      </c>
      <c r="G113" s="427">
        <v>0</v>
      </c>
      <c r="H113" s="427">
        <v>0</v>
      </c>
      <c r="I113" s="427">
        <v>0</v>
      </c>
      <c r="J113" s="427">
        <v>0</v>
      </c>
      <c r="K113" s="427">
        <v>0</v>
      </c>
      <c r="L113" s="427">
        <v>0</v>
      </c>
      <c r="M113" s="427">
        <v>0</v>
      </c>
      <c r="N113" s="427">
        <v>0</v>
      </c>
      <c r="O113" s="427">
        <v>0</v>
      </c>
      <c r="P113" s="427">
        <v>0</v>
      </c>
      <c r="Q113" s="427">
        <v>0</v>
      </c>
      <c r="R113" s="427">
        <v>0</v>
      </c>
      <c r="S113" s="427">
        <v>0</v>
      </c>
      <c r="T113" s="427">
        <v>0</v>
      </c>
      <c r="U113" s="427">
        <v>0</v>
      </c>
      <c r="V113" s="427">
        <v>0</v>
      </c>
      <c r="W113" s="427">
        <v>0</v>
      </c>
      <c r="X113" s="427">
        <v>0</v>
      </c>
      <c r="Y113" s="427">
        <v>0</v>
      </c>
      <c r="Z113" s="427">
        <v>0</v>
      </c>
      <c r="AA113" s="427">
        <v>0</v>
      </c>
      <c r="AB113" s="427">
        <v>0</v>
      </c>
      <c r="AC113" s="427">
        <v>0</v>
      </c>
      <c r="AD113" s="427">
        <v>0</v>
      </c>
      <c r="AE113" s="427">
        <v>0</v>
      </c>
      <c r="AF113" s="427">
        <v>0</v>
      </c>
      <c r="AG113" s="427">
        <v>0</v>
      </c>
      <c r="AH113" s="427">
        <v>0</v>
      </c>
      <c r="AI113" s="427">
        <v>0</v>
      </c>
      <c r="AJ113" s="427">
        <v>0</v>
      </c>
      <c r="AK113" s="427">
        <v>0</v>
      </c>
      <c r="AL113" s="427">
        <v>0</v>
      </c>
      <c r="AM113" s="427">
        <v>0</v>
      </c>
      <c r="AN113" s="427">
        <v>0</v>
      </c>
      <c r="AO113" s="427">
        <v>0</v>
      </c>
      <c r="AP113" s="427">
        <v>0</v>
      </c>
      <c r="AQ113" s="427">
        <v>0</v>
      </c>
      <c r="AR113" s="427">
        <v>0</v>
      </c>
      <c r="AS113" s="427">
        <v>0</v>
      </c>
      <c r="AT113" s="427">
        <v>0</v>
      </c>
      <c r="AU113" s="427">
        <v>0</v>
      </c>
      <c r="AV113" s="427">
        <v>0</v>
      </c>
      <c r="AW113" s="427">
        <v>0</v>
      </c>
      <c r="AX113" s="427">
        <v>0</v>
      </c>
      <c r="AY113" s="427">
        <v>0</v>
      </c>
      <c r="AZ113" s="427">
        <v>0</v>
      </c>
      <c r="BA113" s="427">
        <v>0</v>
      </c>
      <c r="BB113" s="427">
        <v>0</v>
      </c>
      <c r="BC113" s="427">
        <v>0</v>
      </c>
      <c r="BD113" s="427">
        <v>0</v>
      </c>
      <c r="BE113" s="427">
        <v>0</v>
      </c>
      <c r="BF113" s="427">
        <v>-6.95</v>
      </c>
      <c r="BG113" s="427">
        <v>-1.9259999999999999</v>
      </c>
      <c r="BH113" s="427">
        <v>-1.679</v>
      </c>
      <c r="BI113" s="427">
        <v>-2.66</v>
      </c>
      <c r="BJ113" s="427">
        <v>-2.6240000000000001</v>
      </c>
      <c r="BK113" s="427">
        <v>-8.8889999999999993</v>
      </c>
      <c r="BL113" s="427">
        <v>-4.3879999999999999</v>
      </c>
      <c r="BM113" s="427">
        <v>-5.399</v>
      </c>
      <c r="BN113" s="427">
        <v>-5.72</v>
      </c>
      <c r="BO113" s="427">
        <v>-6.5659999999999998</v>
      </c>
      <c r="BP113" s="427">
        <v>-22.073</v>
      </c>
      <c r="BQ113" s="427">
        <v>-9.0820000000000007</v>
      </c>
      <c r="BR113" s="427">
        <v>-23.006</v>
      </c>
      <c r="BS113" s="427">
        <v>-15.743</v>
      </c>
      <c r="BT113" s="427">
        <v>-13.207000000000001</v>
      </c>
      <c r="BU113" s="427">
        <v>-61.037999999999997</v>
      </c>
      <c r="BV113" s="427">
        <v>-15.180999999999999</v>
      </c>
      <c r="BW113" s="427">
        <v>-15.406000000000001</v>
      </c>
      <c r="BX113" s="427">
        <v>-21.050999999999998</v>
      </c>
      <c r="BY113" s="427">
        <v>0</v>
      </c>
      <c r="BZ113" s="427">
        <v>0</v>
      </c>
      <c r="CC113" s="21"/>
      <c r="CD113" s="415" t="s">
        <v>655</v>
      </c>
      <c r="CE113" s="433">
        <f t="shared" si="15"/>
        <v>0</v>
      </c>
      <c r="CF113" s="433">
        <f t="shared" si="16"/>
        <v>0</v>
      </c>
      <c r="CG113" s="433">
        <f t="shared" si="17"/>
        <v>0</v>
      </c>
      <c r="CH113" s="433">
        <f t="shared" si="18"/>
        <v>0</v>
      </c>
      <c r="CI113" s="433">
        <f t="shared" si="19"/>
        <v>0</v>
      </c>
      <c r="CJ113" s="433">
        <f t="shared" si="20"/>
        <v>0</v>
      </c>
      <c r="CK113" s="433">
        <f t="shared" si="21"/>
        <v>0</v>
      </c>
      <c r="CL113" s="433">
        <f t="shared" si="22"/>
        <v>0</v>
      </c>
      <c r="CM113" s="433">
        <f t="shared" si="23"/>
        <v>0</v>
      </c>
      <c r="CN113" s="433">
        <f t="shared" si="24"/>
        <v>0</v>
      </c>
      <c r="CO113" s="433">
        <f t="shared" si="25"/>
        <v>-6.95</v>
      </c>
      <c r="CP113" s="433">
        <f t="shared" si="26"/>
        <v>-8.8889999999999993</v>
      </c>
      <c r="CQ113" s="433">
        <f t="shared" si="27"/>
        <v>-22.073</v>
      </c>
      <c r="CR113" s="433">
        <f t="shared" si="28"/>
        <v>-61.037999999999997</v>
      </c>
      <c r="CS113" s="433">
        <f t="shared" si="29"/>
        <v>0</v>
      </c>
      <c r="CT113" s="21"/>
    </row>
    <row r="114" spans="3:98" ht="24.75" hidden="1" customHeight="1" outlineLevel="1">
      <c r="C114" s="424" t="s">
        <v>657</v>
      </c>
      <c r="D114" s="427">
        <v>0</v>
      </c>
      <c r="E114" s="427">
        <v>0</v>
      </c>
      <c r="F114" s="427">
        <v>0</v>
      </c>
      <c r="G114" s="427">
        <v>0</v>
      </c>
      <c r="H114" s="434">
        <v>0</v>
      </c>
      <c r="I114" s="434">
        <v>0</v>
      </c>
      <c r="J114" s="434">
        <v>0</v>
      </c>
      <c r="K114" s="434">
        <v>0</v>
      </c>
      <c r="L114" s="434">
        <v>0</v>
      </c>
      <c r="M114" s="434">
        <v>0</v>
      </c>
      <c r="N114" s="434">
        <v>0</v>
      </c>
      <c r="O114" s="434">
        <v>0</v>
      </c>
      <c r="P114" s="434">
        <v>0</v>
      </c>
      <c r="Q114" s="434">
        <v>0</v>
      </c>
      <c r="R114" s="434">
        <v>0</v>
      </c>
      <c r="S114" s="434">
        <v>0</v>
      </c>
      <c r="T114" s="434">
        <v>0</v>
      </c>
      <c r="U114" s="434">
        <v>0</v>
      </c>
      <c r="V114" s="434">
        <v>0</v>
      </c>
      <c r="W114" s="434">
        <v>0</v>
      </c>
      <c r="X114" s="434">
        <v>0</v>
      </c>
      <c r="Y114" s="434">
        <v>0</v>
      </c>
      <c r="Z114" s="434">
        <v>0</v>
      </c>
      <c r="AA114" s="434">
        <v>0</v>
      </c>
      <c r="AB114" s="434">
        <v>0</v>
      </c>
      <c r="AC114" s="434">
        <v>0</v>
      </c>
      <c r="AD114" s="434">
        <v>0</v>
      </c>
      <c r="AE114" s="434">
        <v>0</v>
      </c>
      <c r="AF114" s="434">
        <v>0</v>
      </c>
      <c r="AG114" s="434">
        <v>0</v>
      </c>
      <c r="AH114" s="434">
        <v>0</v>
      </c>
      <c r="AI114" s="434">
        <v>0</v>
      </c>
      <c r="AJ114" s="434">
        <v>0</v>
      </c>
      <c r="AK114" s="434">
        <v>0</v>
      </c>
      <c r="AL114" s="434">
        <v>0</v>
      </c>
      <c r="AM114" s="434">
        <v>0</v>
      </c>
      <c r="AN114" s="434">
        <v>0</v>
      </c>
      <c r="AO114" s="434">
        <v>0</v>
      </c>
      <c r="AP114" s="434">
        <v>0</v>
      </c>
      <c r="AQ114" s="434">
        <v>0</v>
      </c>
      <c r="AR114" s="434">
        <v>0</v>
      </c>
      <c r="AS114" s="434">
        <v>0</v>
      </c>
      <c r="AT114" s="434">
        <v>0</v>
      </c>
      <c r="AU114" s="434">
        <v>0</v>
      </c>
      <c r="AV114" s="434">
        <v>0</v>
      </c>
      <c r="AW114" s="434">
        <v>0</v>
      </c>
      <c r="AX114" s="434">
        <v>0</v>
      </c>
      <c r="AY114" s="434">
        <v>0</v>
      </c>
      <c r="AZ114" s="434">
        <v>0</v>
      </c>
      <c r="BA114" s="434">
        <v>0</v>
      </c>
      <c r="BB114" s="434">
        <v>0</v>
      </c>
      <c r="BC114" s="434">
        <v>0</v>
      </c>
      <c r="BD114" s="434">
        <v>0</v>
      </c>
      <c r="BE114" s="434">
        <v>0</v>
      </c>
      <c r="BF114" s="434">
        <v>0</v>
      </c>
      <c r="BG114" s="434">
        <v>0</v>
      </c>
      <c r="BH114" s="434">
        <v>0</v>
      </c>
      <c r="BI114" s="434">
        <v>0</v>
      </c>
      <c r="BJ114" s="434">
        <v>0</v>
      </c>
      <c r="BK114" s="434">
        <v>0</v>
      </c>
      <c r="BL114" s="434">
        <v>0</v>
      </c>
      <c r="BM114" s="434">
        <v>-107.596</v>
      </c>
      <c r="BN114" s="434">
        <v>-61.728999999999999</v>
      </c>
      <c r="BO114" s="434">
        <v>-166.864</v>
      </c>
      <c r="BP114" s="434">
        <v>-336.18900000000002</v>
      </c>
      <c r="BQ114" s="434">
        <v>-100.625</v>
      </c>
      <c r="BR114" s="434">
        <v>-66.022999999999996</v>
      </c>
      <c r="BS114" s="434">
        <v>-22.489000000000001</v>
      </c>
      <c r="BT114" s="434">
        <v>-18.212</v>
      </c>
      <c r="BU114" s="434">
        <v>-207.34899999999999</v>
      </c>
      <c r="BV114" s="434">
        <v>-65.611000000000004</v>
      </c>
      <c r="BW114" s="434">
        <v>-78.671999999999997</v>
      </c>
      <c r="BX114" s="434">
        <v>-203.96899999999999</v>
      </c>
      <c r="BY114" s="434">
        <v>0</v>
      </c>
      <c r="BZ114" s="434">
        <v>0</v>
      </c>
      <c r="CC114" s="21"/>
      <c r="CD114" s="424" t="s">
        <v>657</v>
      </c>
      <c r="CE114" s="433">
        <f t="shared" si="15"/>
        <v>0</v>
      </c>
      <c r="CF114" s="433">
        <f t="shared" si="16"/>
        <v>0</v>
      </c>
      <c r="CG114" s="433">
        <f t="shared" si="17"/>
        <v>0</v>
      </c>
      <c r="CH114" s="433">
        <f t="shared" si="18"/>
        <v>0</v>
      </c>
      <c r="CI114" s="433">
        <f t="shared" si="19"/>
        <v>0</v>
      </c>
      <c r="CJ114" s="433">
        <f t="shared" si="20"/>
        <v>0</v>
      </c>
      <c r="CK114" s="433">
        <f t="shared" si="21"/>
        <v>0</v>
      </c>
      <c r="CL114" s="433">
        <f t="shared" si="22"/>
        <v>0</v>
      </c>
      <c r="CM114" s="433">
        <f t="shared" si="23"/>
        <v>0</v>
      </c>
      <c r="CN114" s="433">
        <f t="shared" si="24"/>
        <v>0</v>
      </c>
      <c r="CO114" s="433">
        <f t="shared" si="25"/>
        <v>0</v>
      </c>
      <c r="CP114" s="433">
        <f t="shared" si="26"/>
        <v>0</v>
      </c>
      <c r="CQ114" s="433">
        <f t="shared" si="27"/>
        <v>-336.18900000000002</v>
      </c>
      <c r="CR114" s="433">
        <f t="shared" si="28"/>
        <v>-207.34899999999999</v>
      </c>
      <c r="CS114" s="433">
        <f t="shared" si="29"/>
        <v>0</v>
      </c>
      <c r="CT114" s="21"/>
    </row>
    <row r="115" spans="3:98" ht="24.75" hidden="1" customHeight="1" outlineLevel="1">
      <c r="C115" s="424" t="s">
        <v>658</v>
      </c>
      <c r="D115" s="427">
        <v>0</v>
      </c>
      <c r="E115" s="427">
        <v>0</v>
      </c>
      <c r="F115" s="427">
        <v>0</v>
      </c>
      <c r="G115" s="427">
        <v>0</v>
      </c>
      <c r="H115" s="427">
        <v>0</v>
      </c>
      <c r="I115" s="427">
        <v>0</v>
      </c>
      <c r="J115" s="427">
        <v>0</v>
      </c>
      <c r="K115" s="427">
        <v>0</v>
      </c>
      <c r="L115" s="427">
        <v>0</v>
      </c>
      <c r="M115" s="427">
        <v>0</v>
      </c>
      <c r="N115" s="427">
        <v>0</v>
      </c>
      <c r="O115" s="427">
        <v>0</v>
      </c>
      <c r="P115" s="427">
        <v>0</v>
      </c>
      <c r="Q115" s="427">
        <v>0</v>
      </c>
      <c r="R115" s="427">
        <v>0</v>
      </c>
      <c r="S115" s="427">
        <v>0</v>
      </c>
      <c r="T115" s="427">
        <v>0</v>
      </c>
      <c r="U115" s="427">
        <v>0</v>
      </c>
      <c r="V115" s="427">
        <v>0</v>
      </c>
      <c r="W115" s="427">
        <v>0</v>
      </c>
      <c r="X115" s="427">
        <v>0</v>
      </c>
      <c r="Y115" s="427">
        <v>0</v>
      </c>
      <c r="Z115" s="427">
        <v>0</v>
      </c>
      <c r="AA115" s="427">
        <v>0</v>
      </c>
      <c r="AB115" s="427">
        <v>0</v>
      </c>
      <c r="AC115" s="427">
        <v>0</v>
      </c>
      <c r="AD115" s="427">
        <v>0</v>
      </c>
      <c r="AE115" s="427">
        <v>0</v>
      </c>
      <c r="AF115" s="427">
        <v>0</v>
      </c>
      <c r="AG115" s="427">
        <v>0</v>
      </c>
      <c r="AH115" s="427">
        <v>0</v>
      </c>
      <c r="AI115" s="427">
        <v>0</v>
      </c>
      <c r="AJ115" s="427">
        <v>0</v>
      </c>
      <c r="AK115" s="427">
        <v>0</v>
      </c>
      <c r="AL115" s="427">
        <v>0</v>
      </c>
      <c r="AM115" s="427">
        <v>0</v>
      </c>
      <c r="AN115" s="427">
        <v>0</v>
      </c>
      <c r="AO115" s="427">
        <v>0</v>
      </c>
      <c r="AP115" s="427">
        <v>0</v>
      </c>
      <c r="AQ115" s="427">
        <v>0</v>
      </c>
      <c r="AR115" s="427">
        <v>0</v>
      </c>
      <c r="AS115" s="427">
        <v>0</v>
      </c>
      <c r="AT115" s="427">
        <v>0</v>
      </c>
      <c r="AU115" s="427">
        <v>0</v>
      </c>
      <c r="AV115" s="427">
        <v>0</v>
      </c>
      <c r="AW115" s="427">
        <v>0</v>
      </c>
      <c r="AX115" s="427">
        <v>0</v>
      </c>
      <c r="AY115" s="427">
        <v>0</v>
      </c>
      <c r="AZ115" s="427">
        <v>0</v>
      </c>
      <c r="BA115" s="427">
        <v>0</v>
      </c>
      <c r="BB115" s="427">
        <v>0</v>
      </c>
      <c r="BC115" s="427">
        <v>0</v>
      </c>
      <c r="BD115" s="427">
        <v>0</v>
      </c>
      <c r="BE115" s="427">
        <v>0</v>
      </c>
      <c r="BF115" s="427">
        <v>0</v>
      </c>
      <c r="BG115" s="427">
        <v>0</v>
      </c>
      <c r="BH115" s="427">
        <v>0</v>
      </c>
      <c r="BI115" s="427">
        <v>0</v>
      </c>
      <c r="BJ115" s="427">
        <v>0</v>
      </c>
      <c r="BK115" s="427">
        <v>0</v>
      </c>
      <c r="BL115" s="427">
        <v>0</v>
      </c>
      <c r="BM115" s="427">
        <v>38.854999999999997</v>
      </c>
      <c r="BN115" s="427">
        <v>27.972000000000001</v>
      </c>
      <c r="BO115" s="427">
        <v>57.692999999999998</v>
      </c>
      <c r="BP115" s="427">
        <v>124.52</v>
      </c>
      <c r="BQ115" s="427">
        <v>100.764</v>
      </c>
      <c r="BR115" s="427">
        <v>158.34</v>
      </c>
      <c r="BS115" s="427">
        <v>31.824000000000002</v>
      </c>
      <c r="BT115" s="427">
        <v>36.610999999999997</v>
      </c>
      <c r="BU115" s="427">
        <v>327.53899999999999</v>
      </c>
      <c r="BV115" s="427">
        <v>31.779</v>
      </c>
      <c r="BW115" s="427">
        <v>77.850999999999999</v>
      </c>
      <c r="BX115" s="427">
        <v>132.75399999999999</v>
      </c>
      <c r="BY115" s="427">
        <v>0</v>
      </c>
      <c r="BZ115" s="427">
        <v>0</v>
      </c>
      <c r="CC115" s="21"/>
      <c r="CD115" s="424" t="s">
        <v>658</v>
      </c>
      <c r="CE115" s="433">
        <f t="shared" si="15"/>
        <v>0</v>
      </c>
      <c r="CF115" s="433">
        <f t="shared" si="16"/>
        <v>0</v>
      </c>
      <c r="CG115" s="433">
        <f t="shared" si="17"/>
        <v>0</v>
      </c>
      <c r="CH115" s="433">
        <f t="shared" si="18"/>
        <v>0</v>
      </c>
      <c r="CI115" s="433">
        <f t="shared" si="19"/>
        <v>0</v>
      </c>
      <c r="CJ115" s="433">
        <f t="shared" si="20"/>
        <v>0</v>
      </c>
      <c r="CK115" s="433">
        <f t="shared" si="21"/>
        <v>0</v>
      </c>
      <c r="CL115" s="433">
        <f t="shared" si="22"/>
        <v>0</v>
      </c>
      <c r="CM115" s="433">
        <f t="shared" si="23"/>
        <v>0</v>
      </c>
      <c r="CN115" s="433">
        <f t="shared" si="24"/>
        <v>0</v>
      </c>
      <c r="CO115" s="433">
        <f t="shared" si="25"/>
        <v>0</v>
      </c>
      <c r="CP115" s="433">
        <f t="shared" si="26"/>
        <v>0</v>
      </c>
      <c r="CQ115" s="433">
        <f t="shared" si="27"/>
        <v>124.52</v>
      </c>
      <c r="CR115" s="433">
        <f t="shared" si="28"/>
        <v>327.53899999999999</v>
      </c>
      <c r="CS115" s="433">
        <f t="shared" si="29"/>
        <v>0</v>
      </c>
      <c r="CT115" s="21"/>
    </row>
    <row r="116" spans="3:98" ht="24.75" customHeight="1" collapsed="1">
      <c r="C116" s="415" t="s">
        <v>656</v>
      </c>
      <c r="D116" s="427">
        <v>0</v>
      </c>
      <c r="E116" s="427">
        <v>0</v>
      </c>
      <c r="F116" s="427">
        <v>0</v>
      </c>
      <c r="G116" s="427">
        <v>0</v>
      </c>
      <c r="H116" s="434">
        <v>0</v>
      </c>
      <c r="I116" s="434">
        <v>0</v>
      </c>
      <c r="J116" s="434">
        <v>0</v>
      </c>
      <c r="K116" s="434">
        <v>0</v>
      </c>
      <c r="L116" s="434">
        <v>0</v>
      </c>
      <c r="M116" s="434">
        <v>0</v>
      </c>
      <c r="N116" s="434">
        <v>0</v>
      </c>
      <c r="O116" s="434">
        <v>0</v>
      </c>
      <c r="P116" s="434">
        <v>0</v>
      </c>
      <c r="Q116" s="434">
        <v>0</v>
      </c>
      <c r="R116" s="434">
        <v>0</v>
      </c>
      <c r="S116" s="434">
        <v>0</v>
      </c>
      <c r="T116" s="434">
        <v>0</v>
      </c>
      <c r="U116" s="434">
        <v>0</v>
      </c>
      <c r="V116" s="434">
        <v>0</v>
      </c>
      <c r="W116" s="434">
        <v>0</v>
      </c>
      <c r="X116" s="434">
        <v>0</v>
      </c>
      <c r="Y116" s="434">
        <v>0</v>
      </c>
      <c r="Z116" s="434">
        <v>0</v>
      </c>
      <c r="AA116" s="434">
        <v>0</v>
      </c>
      <c r="AB116" s="434">
        <v>0</v>
      </c>
      <c r="AC116" s="434">
        <v>0</v>
      </c>
      <c r="AD116" s="434">
        <v>0</v>
      </c>
      <c r="AE116" s="434">
        <v>0</v>
      </c>
      <c r="AF116" s="434">
        <v>0</v>
      </c>
      <c r="AG116" s="434">
        <v>0</v>
      </c>
      <c r="AH116" s="434">
        <v>0</v>
      </c>
      <c r="AI116" s="434">
        <v>0</v>
      </c>
      <c r="AJ116" s="434">
        <v>0</v>
      </c>
      <c r="AK116" s="434">
        <v>0</v>
      </c>
      <c r="AL116" s="434">
        <v>0</v>
      </c>
      <c r="AM116" s="434">
        <v>0</v>
      </c>
      <c r="AN116" s="434">
        <v>0</v>
      </c>
      <c r="AO116" s="434">
        <v>0</v>
      </c>
      <c r="AP116" s="434">
        <v>0</v>
      </c>
      <c r="AQ116" s="434">
        <v>0</v>
      </c>
      <c r="AR116" s="434">
        <v>0</v>
      </c>
      <c r="AS116" s="434">
        <v>0</v>
      </c>
      <c r="AT116" s="434">
        <v>0</v>
      </c>
      <c r="AU116" s="434">
        <v>0</v>
      </c>
      <c r="AV116" s="434">
        <v>0</v>
      </c>
      <c r="AW116" s="434">
        <v>0</v>
      </c>
      <c r="AX116" s="434">
        <v>0</v>
      </c>
      <c r="AY116" s="434">
        <v>0</v>
      </c>
      <c r="AZ116" s="434">
        <v>0</v>
      </c>
      <c r="BA116" s="434">
        <v>0</v>
      </c>
      <c r="BB116" s="434">
        <v>0</v>
      </c>
      <c r="BC116" s="434">
        <v>0</v>
      </c>
      <c r="BD116" s="434">
        <v>0</v>
      </c>
      <c r="BE116" s="434">
        <v>0</v>
      </c>
      <c r="BF116" s="434">
        <v>0</v>
      </c>
      <c r="BG116" s="434">
        <v>0</v>
      </c>
      <c r="BH116" s="434">
        <v>0</v>
      </c>
      <c r="BI116" s="434">
        <v>0</v>
      </c>
      <c r="BJ116" s="434">
        <v>0</v>
      </c>
      <c r="BK116" s="434">
        <v>0</v>
      </c>
      <c r="BL116" s="434">
        <v>0</v>
      </c>
      <c r="BM116" s="434">
        <v>-68.741</v>
      </c>
      <c r="BN116" s="434">
        <v>-33.756999999999998</v>
      </c>
      <c r="BO116" s="434">
        <v>-109.17100000000001</v>
      </c>
      <c r="BP116" s="434">
        <v>-211.66900000000001</v>
      </c>
      <c r="BQ116" s="434">
        <v>0.13900000000000001</v>
      </c>
      <c r="BR116" s="434">
        <v>92.316999999999993</v>
      </c>
      <c r="BS116" s="434">
        <v>9.3350000000000009</v>
      </c>
      <c r="BT116" s="434">
        <v>18.399000000000001</v>
      </c>
      <c r="BU116" s="434">
        <v>120.19</v>
      </c>
      <c r="BV116" s="434">
        <v>-33.832000000000001</v>
      </c>
      <c r="BW116" s="434">
        <v>-0.82099999999999995</v>
      </c>
      <c r="BX116" s="434">
        <v>-71.215000000000003</v>
      </c>
      <c r="BY116" s="434">
        <v>0</v>
      </c>
      <c r="BZ116" s="434">
        <v>0</v>
      </c>
      <c r="CC116" s="21"/>
      <c r="CD116" s="415" t="s">
        <v>656</v>
      </c>
      <c r="CE116" s="433">
        <f t="shared" si="15"/>
        <v>0</v>
      </c>
      <c r="CF116" s="433">
        <f t="shared" si="16"/>
        <v>0</v>
      </c>
      <c r="CG116" s="433">
        <f t="shared" si="17"/>
        <v>0</v>
      </c>
      <c r="CH116" s="433">
        <f t="shared" si="18"/>
        <v>0</v>
      </c>
      <c r="CI116" s="433">
        <f t="shared" si="19"/>
        <v>0</v>
      </c>
      <c r="CJ116" s="433">
        <f t="shared" si="20"/>
        <v>0</v>
      </c>
      <c r="CK116" s="433">
        <f t="shared" si="21"/>
        <v>0</v>
      </c>
      <c r="CL116" s="433">
        <f t="shared" si="22"/>
        <v>0</v>
      </c>
      <c r="CM116" s="433">
        <f t="shared" si="23"/>
        <v>0</v>
      </c>
      <c r="CN116" s="433">
        <f t="shared" si="24"/>
        <v>0</v>
      </c>
      <c r="CO116" s="433">
        <f t="shared" si="25"/>
        <v>0</v>
      </c>
      <c r="CP116" s="433">
        <f t="shared" si="26"/>
        <v>0</v>
      </c>
      <c r="CQ116" s="433">
        <f t="shared" si="27"/>
        <v>-211.66900000000001</v>
      </c>
      <c r="CR116" s="433">
        <f t="shared" si="28"/>
        <v>120.19</v>
      </c>
      <c r="CS116" s="433">
        <f t="shared" si="29"/>
        <v>0</v>
      </c>
      <c r="CT116" s="21"/>
    </row>
    <row r="117" spans="3:98" ht="24.75" customHeight="1">
      <c r="C117" s="415" t="s">
        <v>659</v>
      </c>
      <c r="D117" s="427">
        <v>0</v>
      </c>
      <c r="E117" s="427">
        <v>0</v>
      </c>
      <c r="F117" s="427">
        <v>0</v>
      </c>
      <c r="G117" s="427">
        <v>0</v>
      </c>
      <c r="H117" s="427">
        <v>0</v>
      </c>
      <c r="I117" s="427">
        <v>0</v>
      </c>
      <c r="J117" s="427">
        <v>0</v>
      </c>
      <c r="K117" s="427">
        <v>0</v>
      </c>
      <c r="L117" s="427">
        <v>0</v>
      </c>
      <c r="M117" s="427">
        <v>0</v>
      </c>
      <c r="N117" s="427">
        <v>0</v>
      </c>
      <c r="O117" s="427">
        <v>0</v>
      </c>
      <c r="P117" s="427">
        <v>0</v>
      </c>
      <c r="Q117" s="427">
        <v>0</v>
      </c>
      <c r="R117" s="427">
        <v>0</v>
      </c>
      <c r="S117" s="427">
        <v>0</v>
      </c>
      <c r="T117" s="427">
        <v>0</v>
      </c>
      <c r="U117" s="427">
        <v>0</v>
      </c>
      <c r="V117" s="427">
        <v>0</v>
      </c>
      <c r="W117" s="427">
        <v>0</v>
      </c>
      <c r="X117" s="427">
        <v>0</v>
      </c>
      <c r="Y117" s="427">
        <v>0</v>
      </c>
      <c r="Z117" s="427">
        <v>0</v>
      </c>
      <c r="AA117" s="427">
        <v>0</v>
      </c>
      <c r="AB117" s="427">
        <v>0</v>
      </c>
      <c r="AC117" s="427">
        <v>0</v>
      </c>
      <c r="AD117" s="427">
        <v>0</v>
      </c>
      <c r="AE117" s="427">
        <v>0</v>
      </c>
      <c r="AF117" s="427">
        <v>0</v>
      </c>
      <c r="AG117" s="427">
        <v>0</v>
      </c>
      <c r="AH117" s="427">
        <v>0</v>
      </c>
      <c r="AI117" s="427">
        <v>0</v>
      </c>
      <c r="AJ117" s="427">
        <v>0</v>
      </c>
      <c r="AK117" s="427">
        <v>0</v>
      </c>
      <c r="AL117" s="427">
        <v>0</v>
      </c>
      <c r="AM117" s="427">
        <v>0</v>
      </c>
      <c r="AN117" s="427">
        <v>0</v>
      </c>
      <c r="AO117" s="427">
        <v>0</v>
      </c>
      <c r="AP117" s="427">
        <v>0</v>
      </c>
      <c r="AQ117" s="427">
        <v>0</v>
      </c>
      <c r="AR117" s="427">
        <v>0</v>
      </c>
      <c r="AS117" s="427">
        <v>0</v>
      </c>
      <c r="AT117" s="427">
        <v>0</v>
      </c>
      <c r="AU117" s="427">
        <v>0</v>
      </c>
      <c r="AV117" s="427">
        <v>0</v>
      </c>
      <c r="AW117" s="427">
        <v>0</v>
      </c>
      <c r="AX117" s="427">
        <v>0</v>
      </c>
      <c r="AY117" s="427">
        <v>0</v>
      </c>
      <c r="AZ117" s="427">
        <v>0</v>
      </c>
      <c r="BA117" s="427">
        <v>0</v>
      </c>
      <c r="BB117" s="427">
        <v>0</v>
      </c>
      <c r="BC117" s="427">
        <v>0</v>
      </c>
      <c r="BD117" s="427">
        <v>0</v>
      </c>
      <c r="BE117" s="427">
        <v>0</v>
      </c>
      <c r="BF117" s="427">
        <v>0</v>
      </c>
      <c r="BG117" s="427">
        <v>0</v>
      </c>
      <c r="BH117" s="427">
        <v>0</v>
      </c>
      <c r="BI117" s="427">
        <v>0</v>
      </c>
      <c r="BJ117" s="427">
        <v>0</v>
      </c>
      <c r="BK117" s="427">
        <v>0</v>
      </c>
      <c r="BL117" s="427">
        <v>0</v>
      </c>
      <c r="BM117" s="427">
        <v>0</v>
      </c>
      <c r="BN117" s="427">
        <v>0</v>
      </c>
      <c r="BO117" s="427">
        <v>0</v>
      </c>
      <c r="BP117" s="427">
        <v>0</v>
      </c>
      <c r="BQ117" s="427">
        <v>0</v>
      </c>
      <c r="BR117" s="427">
        <v>0</v>
      </c>
      <c r="BS117" s="427">
        <v>0</v>
      </c>
      <c r="BT117" s="427">
        <v>0</v>
      </c>
      <c r="BU117" s="427">
        <v>0</v>
      </c>
      <c r="BV117" s="427">
        <v>0</v>
      </c>
      <c r="BW117" s="427">
        <v>0</v>
      </c>
      <c r="BX117" s="427">
        <v>0</v>
      </c>
      <c r="BY117" s="427">
        <v>0</v>
      </c>
      <c r="BZ117" s="427">
        <v>0</v>
      </c>
      <c r="CC117" s="21"/>
      <c r="CD117" s="415" t="s">
        <v>659</v>
      </c>
      <c r="CE117" s="433">
        <f t="shared" si="15"/>
        <v>0</v>
      </c>
      <c r="CF117" s="433">
        <f t="shared" si="16"/>
        <v>0</v>
      </c>
      <c r="CG117" s="433">
        <f t="shared" si="17"/>
        <v>0</v>
      </c>
      <c r="CH117" s="433">
        <f t="shared" si="18"/>
        <v>0</v>
      </c>
      <c r="CI117" s="433">
        <f t="shared" si="19"/>
        <v>0</v>
      </c>
      <c r="CJ117" s="433">
        <f t="shared" si="20"/>
        <v>0</v>
      </c>
      <c r="CK117" s="433">
        <f t="shared" si="21"/>
        <v>0</v>
      </c>
      <c r="CL117" s="433">
        <f t="shared" si="22"/>
        <v>0</v>
      </c>
      <c r="CM117" s="433">
        <f t="shared" si="23"/>
        <v>0</v>
      </c>
      <c r="CN117" s="433">
        <f t="shared" si="24"/>
        <v>0</v>
      </c>
      <c r="CO117" s="433">
        <f t="shared" si="25"/>
        <v>0</v>
      </c>
      <c r="CP117" s="433">
        <f t="shared" si="26"/>
        <v>0</v>
      </c>
      <c r="CQ117" s="433">
        <f t="shared" si="27"/>
        <v>0</v>
      </c>
      <c r="CR117" s="433">
        <f t="shared" si="28"/>
        <v>0</v>
      </c>
      <c r="CS117" s="433">
        <f t="shared" si="29"/>
        <v>0</v>
      </c>
      <c r="CT117" s="21"/>
    </row>
    <row r="118" spans="3:98" ht="24.75" hidden="1" customHeight="1" outlineLevel="1">
      <c r="C118" s="424" t="s">
        <v>661</v>
      </c>
      <c r="D118" s="427">
        <v>0</v>
      </c>
      <c r="E118" s="427">
        <v>0</v>
      </c>
      <c r="F118" s="427">
        <v>0</v>
      </c>
      <c r="G118" s="427">
        <v>0</v>
      </c>
      <c r="H118" s="427">
        <v>0</v>
      </c>
      <c r="I118" s="427">
        <v>0</v>
      </c>
      <c r="J118" s="427">
        <v>0</v>
      </c>
      <c r="K118" s="427">
        <v>0</v>
      </c>
      <c r="L118" s="427">
        <v>0</v>
      </c>
      <c r="M118" s="427">
        <v>0</v>
      </c>
      <c r="N118" s="427">
        <v>0</v>
      </c>
      <c r="O118" s="427">
        <v>0</v>
      </c>
      <c r="P118" s="427">
        <v>0</v>
      </c>
      <c r="Q118" s="427">
        <v>0</v>
      </c>
      <c r="R118" s="427">
        <v>0</v>
      </c>
      <c r="S118" s="427">
        <v>0</v>
      </c>
      <c r="T118" s="427">
        <v>0</v>
      </c>
      <c r="U118" s="427">
        <v>0</v>
      </c>
      <c r="V118" s="427">
        <v>0</v>
      </c>
      <c r="W118" s="427">
        <v>0</v>
      </c>
      <c r="X118" s="427">
        <v>0</v>
      </c>
      <c r="Y118" s="427">
        <v>0</v>
      </c>
      <c r="Z118" s="427">
        <v>0</v>
      </c>
      <c r="AA118" s="427">
        <v>0</v>
      </c>
      <c r="AB118" s="427">
        <v>0</v>
      </c>
      <c r="AC118" s="427">
        <v>0</v>
      </c>
      <c r="AD118" s="427">
        <v>0</v>
      </c>
      <c r="AE118" s="427">
        <v>0</v>
      </c>
      <c r="AF118" s="427">
        <v>0</v>
      </c>
      <c r="AG118" s="427">
        <v>0</v>
      </c>
      <c r="AH118" s="427">
        <v>0</v>
      </c>
      <c r="AI118" s="427">
        <v>0</v>
      </c>
      <c r="AJ118" s="427">
        <v>0</v>
      </c>
      <c r="AK118" s="427">
        <v>0</v>
      </c>
      <c r="AL118" s="427">
        <v>0</v>
      </c>
      <c r="AM118" s="427">
        <v>0</v>
      </c>
      <c r="AN118" s="427">
        <v>0</v>
      </c>
      <c r="AO118" s="427">
        <v>0</v>
      </c>
      <c r="AP118" s="427">
        <v>0</v>
      </c>
      <c r="AQ118" s="427">
        <v>0</v>
      </c>
      <c r="AR118" s="427">
        <v>0</v>
      </c>
      <c r="AS118" s="427">
        <v>0</v>
      </c>
      <c r="AT118" s="427">
        <v>0</v>
      </c>
      <c r="AU118" s="427">
        <v>0</v>
      </c>
      <c r="AV118" s="427">
        <v>0</v>
      </c>
      <c r="AW118" s="427">
        <v>0</v>
      </c>
      <c r="AX118" s="427">
        <v>0</v>
      </c>
      <c r="AY118" s="427">
        <v>0</v>
      </c>
      <c r="AZ118" s="427">
        <v>0</v>
      </c>
      <c r="BA118" s="427">
        <v>0</v>
      </c>
      <c r="BB118" s="427">
        <v>0</v>
      </c>
      <c r="BC118" s="427">
        <v>0</v>
      </c>
      <c r="BD118" s="427">
        <v>0</v>
      </c>
      <c r="BE118" s="427">
        <v>0</v>
      </c>
      <c r="BF118" s="427">
        <v>-33.521000000000001</v>
      </c>
      <c r="BG118" s="427">
        <v>-2.3929999999999998</v>
      </c>
      <c r="BH118" s="427">
        <v>-0.83699999999999997</v>
      </c>
      <c r="BI118" s="427">
        <v>-4.2699999999999996</v>
      </c>
      <c r="BJ118" s="427">
        <v>-2.4129999999999998</v>
      </c>
      <c r="BK118" s="427">
        <v>-9.9130000000000003</v>
      </c>
      <c r="BL118" s="427">
        <v>-1.7999999999999999E-2</v>
      </c>
      <c r="BM118" s="427">
        <v>-0.217</v>
      </c>
      <c r="BN118" s="427">
        <v>-1.393</v>
      </c>
      <c r="BO118" s="427">
        <v>-1.282</v>
      </c>
      <c r="BP118" s="427">
        <v>-2.91</v>
      </c>
      <c r="BQ118" s="427">
        <v>-1.1990000000000001</v>
      </c>
      <c r="BR118" s="427">
        <v>-2.5419999999999998</v>
      </c>
      <c r="BS118" s="427">
        <v>-6.0000000000000001E-3</v>
      </c>
      <c r="BT118" s="427">
        <v>0.81399999999999995</v>
      </c>
      <c r="BU118" s="427">
        <v>-2.9329999999999998</v>
      </c>
      <c r="BV118" s="427">
        <v>-0.05</v>
      </c>
      <c r="BW118" s="427">
        <v>-0.32900000000000001</v>
      </c>
      <c r="BX118" s="427">
        <v>-0.154</v>
      </c>
      <c r="BY118" s="427">
        <v>0</v>
      </c>
      <c r="BZ118" s="427">
        <v>0</v>
      </c>
      <c r="CC118" s="21"/>
      <c r="CD118" s="424" t="s">
        <v>661</v>
      </c>
      <c r="CE118" s="433">
        <f t="shared" si="15"/>
        <v>0</v>
      </c>
      <c r="CF118" s="433">
        <f t="shared" si="16"/>
        <v>0</v>
      </c>
      <c r="CG118" s="433">
        <f t="shared" si="17"/>
        <v>0</v>
      </c>
      <c r="CH118" s="433">
        <f t="shared" si="18"/>
        <v>0</v>
      </c>
      <c r="CI118" s="433">
        <f t="shared" si="19"/>
        <v>0</v>
      </c>
      <c r="CJ118" s="433">
        <f t="shared" si="20"/>
        <v>0</v>
      </c>
      <c r="CK118" s="433">
        <f t="shared" si="21"/>
        <v>0</v>
      </c>
      <c r="CL118" s="433">
        <f t="shared" si="22"/>
        <v>0</v>
      </c>
      <c r="CM118" s="433">
        <f t="shared" si="23"/>
        <v>0</v>
      </c>
      <c r="CN118" s="433">
        <f t="shared" si="24"/>
        <v>0</v>
      </c>
      <c r="CO118" s="433">
        <f t="shared" si="25"/>
        <v>-33.521000000000001</v>
      </c>
      <c r="CP118" s="433">
        <f t="shared" si="26"/>
        <v>-9.9130000000000003</v>
      </c>
      <c r="CQ118" s="433">
        <f t="shared" si="27"/>
        <v>-2.91</v>
      </c>
      <c r="CR118" s="433">
        <f t="shared" si="28"/>
        <v>-2.9329999999999998</v>
      </c>
      <c r="CS118" s="433">
        <f t="shared" si="29"/>
        <v>0</v>
      </c>
      <c r="CT118" s="21"/>
    </row>
    <row r="119" spans="3:98" ht="24.75" hidden="1" customHeight="1" outlineLevel="1">
      <c r="C119" s="424" t="s">
        <v>662</v>
      </c>
      <c r="D119" s="427">
        <v>0</v>
      </c>
      <c r="E119" s="427">
        <v>0</v>
      </c>
      <c r="F119" s="427">
        <v>0</v>
      </c>
      <c r="G119" s="427">
        <v>0</v>
      </c>
      <c r="H119" s="427">
        <v>0</v>
      </c>
      <c r="I119" s="427">
        <v>0</v>
      </c>
      <c r="J119" s="427">
        <v>0</v>
      </c>
      <c r="K119" s="427">
        <v>0</v>
      </c>
      <c r="L119" s="427">
        <v>0</v>
      </c>
      <c r="M119" s="427">
        <v>0</v>
      </c>
      <c r="N119" s="427">
        <v>0</v>
      </c>
      <c r="O119" s="427">
        <v>0</v>
      </c>
      <c r="P119" s="427">
        <v>0</v>
      </c>
      <c r="Q119" s="427">
        <v>0</v>
      </c>
      <c r="R119" s="427">
        <v>0</v>
      </c>
      <c r="S119" s="427">
        <v>0</v>
      </c>
      <c r="T119" s="427">
        <v>0</v>
      </c>
      <c r="U119" s="427">
        <v>0</v>
      </c>
      <c r="V119" s="427">
        <v>0</v>
      </c>
      <c r="W119" s="427">
        <v>0</v>
      </c>
      <c r="X119" s="427">
        <v>0</v>
      </c>
      <c r="Y119" s="427">
        <v>0</v>
      </c>
      <c r="Z119" s="427">
        <v>0</v>
      </c>
      <c r="AA119" s="427">
        <v>0</v>
      </c>
      <c r="AB119" s="427">
        <v>0</v>
      </c>
      <c r="AC119" s="427">
        <v>0</v>
      </c>
      <c r="AD119" s="427">
        <v>0</v>
      </c>
      <c r="AE119" s="427">
        <v>0</v>
      </c>
      <c r="AF119" s="427">
        <v>0</v>
      </c>
      <c r="AG119" s="427">
        <v>0</v>
      </c>
      <c r="AH119" s="427">
        <v>0</v>
      </c>
      <c r="AI119" s="427">
        <v>0</v>
      </c>
      <c r="AJ119" s="427">
        <v>0</v>
      </c>
      <c r="AK119" s="427">
        <v>0</v>
      </c>
      <c r="AL119" s="427">
        <v>0</v>
      </c>
      <c r="AM119" s="427">
        <v>0</v>
      </c>
      <c r="AN119" s="427">
        <v>0</v>
      </c>
      <c r="AO119" s="427">
        <v>0</v>
      </c>
      <c r="AP119" s="427">
        <v>0</v>
      </c>
      <c r="AQ119" s="427">
        <v>0</v>
      </c>
      <c r="AR119" s="427">
        <v>0</v>
      </c>
      <c r="AS119" s="427">
        <v>0</v>
      </c>
      <c r="AT119" s="427">
        <v>0</v>
      </c>
      <c r="AU119" s="427">
        <v>0</v>
      </c>
      <c r="AV119" s="427">
        <v>0</v>
      </c>
      <c r="AW119" s="427">
        <v>0</v>
      </c>
      <c r="AX119" s="427">
        <v>0</v>
      </c>
      <c r="AY119" s="427">
        <v>0</v>
      </c>
      <c r="AZ119" s="427">
        <v>0</v>
      </c>
      <c r="BA119" s="427">
        <v>0</v>
      </c>
      <c r="BB119" s="427">
        <v>0</v>
      </c>
      <c r="BC119" s="427">
        <v>0</v>
      </c>
      <c r="BD119" s="427">
        <v>0</v>
      </c>
      <c r="BE119" s="427">
        <v>0</v>
      </c>
      <c r="BF119" s="427">
        <v>0</v>
      </c>
      <c r="BG119" s="427">
        <v>0</v>
      </c>
      <c r="BH119" s="427">
        <v>0</v>
      </c>
      <c r="BI119" s="427">
        <v>0</v>
      </c>
      <c r="BJ119" s="427">
        <v>0</v>
      </c>
      <c r="BK119" s="427">
        <v>0</v>
      </c>
      <c r="BL119" s="427">
        <v>0</v>
      </c>
      <c r="BM119" s="427">
        <v>0</v>
      </c>
      <c r="BN119" s="427">
        <v>0</v>
      </c>
      <c r="BO119" s="427">
        <v>0</v>
      </c>
      <c r="BP119" s="427">
        <v>0</v>
      </c>
      <c r="BQ119" s="427">
        <v>0</v>
      </c>
      <c r="BR119" s="427">
        <v>0</v>
      </c>
      <c r="BS119" s="427">
        <v>0</v>
      </c>
      <c r="BT119" s="427">
        <v>0</v>
      </c>
      <c r="BU119" s="427">
        <v>0</v>
      </c>
      <c r="BV119" s="427">
        <v>0</v>
      </c>
      <c r="BW119" s="427">
        <v>0</v>
      </c>
      <c r="BX119" s="427">
        <v>0</v>
      </c>
      <c r="BY119" s="427">
        <v>0</v>
      </c>
      <c r="BZ119" s="427">
        <v>0</v>
      </c>
      <c r="CC119" s="21"/>
      <c r="CD119" s="424" t="s">
        <v>662</v>
      </c>
      <c r="CE119" s="433">
        <f t="shared" si="15"/>
        <v>0</v>
      </c>
      <c r="CF119" s="433">
        <f t="shared" si="16"/>
        <v>0</v>
      </c>
      <c r="CG119" s="433">
        <f t="shared" si="17"/>
        <v>0</v>
      </c>
      <c r="CH119" s="433">
        <f t="shared" si="18"/>
        <v>0</v>
      </c>
      <c r="CI119" s="433">
        <f t="shared" si="19"/>
        <v>0</v>
      </c>
      <c r="CJ119" s="433">
        <f t="shared" si="20"/>
        <v>0</v>
      </c>
      <c r="CK119" s="433">
        <f t="shared" si="21"/>
        <v>0</v>
      </c>
      <c r="CL119" s="433">
        <f t="shared" si="22"/>
        <v>0</v>
      </c>
      <c r="CM119" s="433">
        <f t="shared" si="23"/>
        <v>0</v>
      </c>
      <c r="CN119" s="433">
        <f t="shared" si="24"/>
        <v>0</v>
      </c>
      <c r="CO119" s="433">
        <f t="shared" si="25"/>
        <v>0</v>
      </c>
      <c r="CP119" s="433">
        <f t="shared" si="26"/>
        <v>0</v>
      </c>
      <c r="CQ119" s="433">
        <f t="shared" si="27"/>
        <v>0</v>
      </c>
      <c r="CR119" s="433">
        <f t="shared" si="28"/>
        <v>0</v>
      </c>
      <c r="CS119" s="433">
        <f t="shared" si="29"/>
        <v>0</v>
      </c>
      <c r="CT119" s="21"/>
    </row>
    <row r="120" spans="3:98" ht="24.75" hidden="1" customHeight="1" outlineLevel="1">
      <c r="C120" s="424" t="s">
        <v>663</v>
      </c>
      <c r="D120" s="427">
        <v>0</v>
      </c>
      <c r="E120" s="427">
        <v>0</v>
      </c>
      <c r="F120" s="427">
        <v>0</v>
      </c>
      <c r="G120" s="427">
        <v>0</v>
      </c>
      <c r="H120" s="427">
        <v>0</v>
      </c>
      <c r="I120" s="427">
        <v>0</v>
      </c>
      <c r="J120" s="427">
        <v>0</v>
      </c>
      <c r="K120" s="427">
        <v>0</v>
      </c>
      <c r="L120" s="427">
        <v>0</v>
      </c>
      <c r="M120" s="427">
        <v>0</v>
      </c>
      <c r="N120" s="427">
        <v>0</v>
      </c>
      <c r="O120" s="427">
        <v>0</v>
      </c>
      <c r="P120" s="427">
        <v>0</v>
      </c>
      <c r="Q120" s="427">
        <v>0</v>
      </c>
      <c r="R120" s="427">
        <v>0</v>
      </c>
      <c r="S120" s="427">
        <v>0</v>
      </c>
      <c r="T120" s="427">
        <v>0</v>
      </c>
      <c r="U120" s="427">
        <v>0</v>
      </c>
      <c r="V120" s="427">
        <v>0</v>
      </c>
      <c r="W120" s="427">
        <v>0</v>
      </c>
      <c r="X120" s="427">
        <v>0</v>
      </c>
      <c r="Y120" s="427">
        <v>0</v>
      </c>
      <c r="Z120" s="427">
        <v>0</v>
      </c>
      <c r="AA120" s="427">
        <v>0</v>
      </c>
      <c r="AB120" s="427">
        <v>0</v>
      </c>
      <c r="AC120" s="427">
        <v>0</v>
      </c>
      <c r="AD120" s="427">
        <v>0</v>
      </c>
      <c r="AE120" s="427">
        <v>0</v>
      </c>
      <c r="AF120" s="427">
        <v>0</v>
      </c>
      <c r="AG120" s="427">
        <v>0</v>
      </c>
      <c r="AH120" s="427">
        <v>0</v>
      </c>
      <c r="AI120" s="427">
        <v>0</v>
      </c>
      <c r="AJ120" s="427">
        <v>0</v>
      </c>
      <c r="AK120" s="427">
        <v>0</v>
      </c>
      <c r="AL120" s="427">
        <v>0</v>
      </c>
      <c r="AM120" s="427">
        <v>0</v>
      </c>
      <c r="AN120" s="427">
        <v>0</v>
      </c>
      <c r="AO120" s="427">
        <v>0</v>
      </c>
      <c r="AP120" s="427">
        <v>0</v>
      </c>
      <c r="AQ120" s="427">
        <v>0</v>
      </c>
      <c r="AR120" s="427">
        <v>0</v>
      </c>
      <c r="AS120" s="427">
        <v>0</v>
      </c>
      <c r="AT120" s="427">
        <v>0</v>
      </c>
      <c r="AU120" s="427">
        <v>0</v>
      </c>
      <c r="AV120" s="427">
        <v>0</v>
      </c>
      <c r="AW120" s="427">
        <v>0</v>
      </c>
      <c r="AX120" s="427">
        <v>0</v>
      </c>
      <c r="AY120" s="427">
        <v>0</v>
      </c>
      <c r="AZ120" s="427">
        <v>0</v>
      </c>
      <c r="BA120" s="427">
        <v>0</v>
      </c>
      <c r="BB120" s="427">
        <v>0</v>
      </c>
      <c r="BC120" s="427">
        <v>0</v>
      </c>
      <c r="BD120" s="427">
        <v>0</v>
      </c>
      <c r="BE120" s="427">
        <v>0</v>
      </c>
      <c r="BF120" s="427">
        <v>2.2930000000000001</v>
      </c>
      <c r="BG120" s="427">
        <v>0</v>
      </c>
      <c r="BH120" s="427">
        <v>0</v>
      </c>
      <c r="BI120" s="427">
        <v>0</v>
      </c>
      <c r="BJ120" s="427">
        <v>0</v>
      </c>
      <c r="BK120" s="427">
        <v>0</v>
      </c>
      <c r="BL120" s="427">
        <v>4.8000000000000001E-2</v>
      </c>
      <c r="BM120" s="427">
        <v>-1.7000000000000001E-2</v>
      </c>
      <c r="BN120" s="427">
        <v>0</v>
      </c>
      <c r="BO120" s="427">
        <v>0</v>
      </c>
      <c r="BP120" s="427">
        <v>3.1E-2</v>
      </c>
      <c r="BQ120" s="427">
        <v>0</v>
      </c>
      <c r="BR120" s="427">
        <v>0</v>
      </c>
      <c r="BS120" s="427">
        <v>0</v>
      </c>
      <c r="BT120" s="427">
        <v>8.3000000000000004E-2</v>
      </c>
      <c r="BU120" s="427">
        <v>8.3000000000000004E-2</v>
      </c>
      <c r="BV120" s="427">
        <v>0</v>
      </c>
      <c r="BW120" s="427">
        <v>0</v>
      </c>
      <c r="BX120" s="427">
        <v>0.17199999999999999</v>
      </c>
      <c r="BY120" s="427">
        <v>0</v>
      </c>
      <c r="BZ120" s="427">
        <v>0</v>
      </c>
      <c r="CC120" s="21"/>
      <c r="CD120" s="424" t="s">
        <v>663</v>
      </c>
      <c r="CE120" s="433">
        <f t="shared" si="15"/>
        <v>0</v>
      </c>
      <c r="CF120" s="433">
        <f t="shared" si="16"/>
        <v>0</v>
      </c>
      <c r="CG120" s="433">
        <f t="shared" si="17"/>
        <v>0</v>
      </c>
      <c r="CH120" s="433">
        <f t="shared" si="18"/>
        <v>0</v>
      </c>
      <c r="CI120" s="433">
        <f t="shared" si="19"/>
        <v>0</v>
      </c>
      <c r="CJ120" s="433">
        <f t="shared" si="20"/>
        <v>0</v>
      </c>
      <c r="CK120" s="433">
        <f t="shared" si="21"/>
        <v>0</v>
      </c>
      <c r="CL120" s="433">
        <f t="shared" si="22"/>
        <v>0</v>
      </c>
      <c r="CM120" s="433">
        <f t="shared" si="23"/>
        <v>0</v>
      </c>
      <c r="CN120" s="433">
        <f t="shared" si="24"/>
        <v>0</v>
      </c>
      <c r="CO120" s="433">
        <f t="shared" si="25"/>
        <v>2.2930000000000001</v>
      </c>
      <c r="CP120" s="433">
        <f t="shared" si="26"/>
        <v>0</v>
      </c>
      <c r="CQ120" s="433">
        <f t="shared" si="27"/>
        <v>3.1E-2</v>
      </c>
      <c r="CR120" s="433">
        <f t="shared" si="28"/>
        <v>8.3000000000000004E-2</v>
      </c>
      <c r="CS120" s="433">
        <f t="shared" si="29"/>
        <v>0</v>
      </c>
      <c r="CT120" s="21"/>
    </row>
    <row r="121" spans="3:98" ht="24.75" hidden="1" customHeight="1" outlineLevel="1">
      <c r="C121" s="424" t="s">
        <v>664</v>
      </c>
      <c r="D121" s="427">
        <v>0</v>
      </c>
      <c r="E121" s="427">
        <v>0</v>
      </c>
      <c r="F121" s="427">
        <v>0</v>
      </c>
      <c r="G121" s="427">
        <v>0</v>
      </c>
      <c r="H121" s="427">
        <v>0</v>
      </c>
      <c r="I121" s="427">
        <v>0</v>
      </c>
      <c r="J121" s="427">
        <v>0</v>
      </c>
      <c r="K121" s="427">
        <v>0</v>
      </c>
      <c r="L121" s="427">
        <v>0</v>
      </c>
      <c r="M121" s="427">
        <v>0</v>
      </c>
      <c r="N121" s="427">
        <v>0</v>
      </c>
      <c r="O121" s="427">
        <v>0</v>
      </c>
      <c r="P121" s="427">
        <v>0</v>
      </c>
      <c r="Q121" s="427">
        <v>0</v>
      </c>
      <c r="R121" s="427">
        <v>0</v>
      </c>
      <c r="S121" s="427">
        <v>0</v>
      </c>
      <c r="T121" s="427">
        <v>0</v>
      </c>
      <c r="U121" s="427">
        <v>0</v>
      </c>
      <c r="V121" s="427">
        <v>0</v>
      </c>
      <c r="W121" s="427">
        <v>0</v>
      </c>
      <c r="X121" s="427">
        <v>0</v>
      </c>
      <c r="Y121" s="427">
        <v>0</v>
      </c>
      <c r="Z121" s="427">
        <v>0</v>
      </c>
      <c r="AA121" s="427">
        <v>0</v>
      </c>
      <c r="AB121" s="427">
        <v>0</v>
      </c>
      <c r="AC121" s="427">
        <v>0</v>
      </c>
      <c r="AD121" s="427">
        <v>0</v>
      </c>
      <c r="AE121" s="427">
        <v>0</v>
      </c>
      <c r="AF121" s="427">
        <v>0</v>
      </c>
      <c r="AG121" s="427">
        <v>0</v>
      </c>
      <c r="AH121" s="427">
        <v>0</v>
      </c>
      <c r="AI121" s="427">
        <v>0</v>
      </c>
      <c r="AJ121" s="427">
        <v>0</v>
      </c>
      <c r="AK121" s="427">
        <v>0</v>
      </c>
      <c r="AL121" s="427">
        <v>0</v>
      </c>
      <c r="AM121" s="427">
        <v>0</v>
      </c>
      <c r="AN121" s="427">
        <v>0</v>
      </c>
      <c r="AO121" s="427">
        <v>0</v>
      </c>
      <c r="AP121" s="427">
        <v>0</v>
      </c>
      <c r="AQ121" s="427">
        <v>0</v>
      </c>
      <c r="AR121" s="427">
        <v>0</v>
      </c>
      <c r="AS121" s="427">
        <v>0</v>
      </c>
      <c r="AT121" s="427">
        <v>0</v>
      </c>
      <c r="AU121" s="427">
        <v>0</v>
      </c>
      <c r="AV121" s="427">
        <v>0</v>
      </c>
      <c r="AW121" s="427">
        <v>0</v>
      </c>
      <c r="AX121" s="427">
        <v>0</v>
      </c>
      <c r="AY121" s="427">
        <v>0</v>
      </c>
      <c r="AZ121" s="427">
        <v>0</v>
      </c>
      <c r="BA121" s="427">
        <v>0</v>
      </c>
      <c r="BB121" s="427">
        <v>0</v>
      </c>
      <c r="BC121" s="427">
        <v>0</v>
      </c>
      <c r="BD121" s="427">
        <v>0</v>
      </c>
      <c r="BE121" s="427">
        <v>0</v>
      </c>
      <c r="BF121" s="427">
        <v>0</v>
      </c>
      <c r="BG121" s="427">
        <v>0</v>
      </c>
      <c r="BH121" s="427">
        <v>0</v>
      </c>
      <c r="BI121" s="427">
        <v>0</v>
      </c>
      <c r="BJ121" s="427">
        <v>0</v>
      </c>
      <c r="BK121" s="427">
        <v>0</v>
      </c>
      <c r="BL121" s="427">
        <v>0</v>
      </c>
      <c r="BM121" s="427">
        <v>0</v>
      </c>
      <c r="BN121" s="427">
        <v>0</v>
      </c>
      <c r="BO121" s="427">
        <v>0</v>
      </c>
      <c r="BP121" s="427">
        <v>0</v>
      </c>
      <c r="BQ121" s="427">
        <v>0</v>
      </c>
      <c r="BR121" s="427">
        <v>0</v>
      </c>
      <c r="BS121" s="427">
        <v>0</v>
      </c>
      <c r="BT121" s="427">
        <v>0</v>
      </c>
      <c r="BU121" s="427">
        <v>0</v>
      </c>
      <c r="BV121" s="427">
        <v>0</v>
      </c>
      <c r="BW121" s="427">
        <v>0</v>
      </c>
      <c r="BX121" s="427">
        <v>0</v>
      </c>
      <c r="BY121" s="427">
        <v>0</v>
      </c>
      <c r="BZ121" s="427">
        <v>0</v>
      </c>
      <c r="CC121" s="21"/>
      <c r="CD121" s="424" t="s">
        <v>664</v>
      </c>
      <c r="CE121" s="433">
        <f t="shared" si="15"/>
        <v>0</v>
      </c>
      <c r="CF121" s="433">
        <f t="shared" si="16"/>
        <v>0</v>
      </c>
      <c r="CG121" s="433">
        <f t="shared" si="17"/>
        <v>0</v>
      </c>
      <c r="CH121" s="433">
        <f t="shared" si="18"/>
        <v>0</v>
      </c>
      <c r="CI121" s="433">
        <f t="shared" si="19"/>
        <v>0</v>
      </c>
      <c r="CJ121" s="433">
        <f t="shared" si="20"/>
        <v>0</v>
      </c>
      <c r="CK121" s="433">
        <f t="shared" si="21"/>
        <v>0</v>
      </c>
      <c r="CL121" s="433">
        <f t="shared" si="22"/>
        <v>0</v>
      </c>
      <c r="CM121" s="433">
        <f t="shared" si="23"/>
        <v>0</v>
      </c>
      <c r="CN121" s="433">
        <f t="shared" si="24"/>
        <v>0</v>
      </c>
      <c r="CO121" s="433">
        <f t="shared" si="25"/>
        <v>0</v>
      </c>
      <c r="CP121" s="433">
        <f t="shared" si="26"/>
        <v>0</v>
      </c>
      <c r="CQ121" s="433">
        <f t="shared" si="27"/>
        <v>0</v>
      </c>
      <c r="CR121" s="433">
        <f t="shared" si="28"/>
        <v>0</v>
      </c>
      <c r="CS121" s="433">
        <f t="shared" si="29"/>
        <v>0</v>
      </c>
      <c r="CT121" s="21"/>
    </row>
    <row r="122" spans="3:98" ht="24.75" customHeight="1" collapsed="1">
      <c r="C122" s="415" t="s">
        <v>660</v>
      </c>
      <c r="D122" s="427">
        <v>0</v>
      </c>
      <c r="E122" s="427">
        <v>0</v>
      </c>
      <c r="F122" s="427">
        <v>0</v>
      </c>
      <c r="G122" s="427">
        <v>0</v>
      </c>
      <c r="H122" s="427">
        <v>0</v>
      </c>
      <c r="I122" s="427">
        <v>0</v>
      </c>
      <c r="J122" s="427">
        <v>0</v>
      </c>
      <c r="K122" s="427">
        <v>0</v>
      </c>
      <c r="L122" s="427">
        <v>0</v>
      </c>
      <c r="M122" s="427">
        <v>0</v>
      </c>
      <c r="N122" s="427">
        <v>0</v>
      </c>
      <c r="O122" s="427">
        <v>0</v>
      </c>
      <c r="P122" s="427">
        <v>0</v>
      </c>
      <c r="Q122" s="427">
        <v>0</v>
      </c>
      <c r="R122" s="427">
        <v>0</v>
      </c>
      <c r="S122" s="427">
        <v>0</v>
      </c>
      <c r="T122" s="427">
        <v>0</v>
      </c>
      <c r="U122" s="427">
        <v>0</v>
      </c>
      <c r="V122" s="427">
        <v>0</v>
      </c>
      <c r="W122" s="427">
        <v>0</v>
      </c>
      <c r="X122" s="427">
        <v>0</v>
      </c>
      <c r="Y122" s="427">
        <v>0</v>
      </c>
      <c r="Z122" s="427">
        <v>0</v>
      </c>
      <c r="AA122" s="427">
        <v>0</v>
      </c>
      <c r="AB122" s="427">
        <v>0</v>
      </c>
      <c r="AC122" s="427">
        <v>0</v>
      </c>
      <c r="AD122" s="427">
        <v>0</v>
      </c>
      <c r="AE122" s="427">
        <v>0</v>
      </c>
      <c r="AF122" s="427">
        <v>0</v>
      </c>
      <c r="AG122" s="427">
        <v>0</v>
      </c>
      <c r="AH122" s="427">
        <v>0</v>
      </c>
      <c r="AI122" s="427">
        <v>0</v>
      </c>
      <c r="AJ122" s="427">
        <v>0</v>
      </c>
      <c r="AK122" s="427">
        <v>0</v>
      </c>
      <c r="AL122" s="427">
        <v>0</v>
      </c>
      <c r="AM122" s="427">
        <v>0</v>
      </c>
      <c r="AN122" s="427">
        <v>0</v>
      </c>
      <c r="AO122" s="427">
        <v>0</v>
      </c>
      <c r="AP122" s="427">
        <v>0</v>
      </c>
      <c r="AQ122" s="427">
        <v>0</v>
      </c>
      <c r="AR122" s="427">
        <v>0</v>
      </c>
      <c r="AS122" s="427">
        <v>0</v>
      </c>
      <c r="AT122" s="427">
        <v>0</v>
      </c>
      <c r="AU122" s="427">
        <v>0</v>
      </c>
      <c r="AV122" s="427">
        <v>0</v>
      </c>
      <c r="AW122" s="427">
        <v>0</v>
      </c>
      <c r="AX122" s="427">
        <v>0</v>
      </c>
      <c r="AY122" s="427">
        <v>0</v>
      </c>
      <c r="AZ122" s="427">
        <v>0</v>
      </c>
      <c r="BA122" s="427">
        <v>0</v>
      </c>
      <c r="BB122" s="427">
        <v>0</v>
      </c>
      <c r="BC122" s="427">
        <v>0</v>
      </c>
      <c r="BD122" s="427">
        <v>0</v>
      </c>
      <c r="BE122" s="427">
        <v>0</v>
      </c>
      <c r="BF122" s="427">
        <v>-31.228000000000002</v>
      </c>
      <c r="BG122" s="427">
        <v>-2.3929999999999998</v>
      </c>
      <c r="BH122" s="427">
        <v>-0.83699999999999997</v>
      </c>
      <c r="BI122" s="427">
        <v>-4.2699999999999996</v>
      </c>
      <c r="BJ122" s="427">
        <v>-2.4129999999999998</v>
      </c>
      <c r="BK122" s="427">
        <v>-9.9130000000000003</v>
      </c>
      <c r="BL122" s="427">
        <v>0.03</v>
      </c>
      <c r="BM122" s="427">
        <v>-0.23400000000000001</v>
      </c>
      <c r="BN122" s="427">
        <v>-1.393</v>
      </c>
      <c r="BO122" s="427">
        <v>-1.282</v>
      </c>
      <c r="BP122" s="427">
        <v>-2.879</v>
      </c>
      <c r="BQ122" s="427">
        <v>-1.1990000000000001</v>
      </c>
      <c r="BR122" s="427">
        <v>-2.5419999999999998</v>
      </c>
      <c r="BS122" s="427">
        <v>-6.0000000000000001E-3</v>
      </c>
      <c r="BT122" s="427">
        <v>0.89700000000000002</v>
      </c>
      <c r="BU122" s="427">
        <v>-2.85</v>
      </c>
      <c r="BV122" s="427">
        <v>-0.05</v>
      </c>
      <c r="BW122" s="427">
        <v>-0.22600000000000001</v>
      </c>
      <c r="BX122" s="427">
        <v>1.7999999999999999E-2</v>
      </c>
      <c r="BY122" s="427">
        <v>0</v>
      </c>
      <c r="BZ122" s="427">
        <v>0</v>
      </c>
      <c r="CC122" s="21"/>
      <c r="CD122" s="415" t="s">
        <v>660</v>
      </c>
      <c r="CE122" s="433">
        <f t="shared" si="15"/>
        <v>0</v>
      </c>
      <c r="CF122" s="433">
        <f t="shared" si="16"/>
        <v>0</v>
      </c>
      <c r="CG122" s="433">
        <f t="shared" si="17"/>
        <v>0</v>
      </c>
      <c r="CH122" s="433">
        <f t="shared" si="18"/>
        <v>0</v>
      </c>
      <c r="CI122" s="433">
        <f t="shared" si="19"/>
        <v>0</v>
      </c>
      <c r="CJ122" s="433">
        <f t="shared" si="20"/>
        <v>0</v>
      </c>
      <c r="CK122" s="433">
        <f t="shared" si="21"/>
        <v>0</v>
      </c>
      <c r="CL122" s="433">
        <f t="shared" si="22"/>
        <v>0</v>
      </c>
      <c r="CM122" s="433">
        <f t="shared" si="23"/>
        <v>0</v>
      </c>
      <c r="CN122" s="433">
        <f t="shared" si="24"/>
        <v>0</v>
      </c>
      <c r="CO122" s="433">
        <f t="shared" si="25"/>
        <v>-31.228000000000002</v>
      </c>
      <c r="CP122" s="433">
        <f t="shared" si="26"/>
        <v>-9.9130000000000003</v>
      </c>
      <c r="CQ122" s="433">
        <f t="shared" si="27"/>
        <v>-2.879</v>
      </c>
      <c r="CR122" s="433">
        <f t="shared" si="28"/>
        <v>-2.85</v>
      </c>
      <c r="CS122" s="433">
        <f t="shared" si="29"/>
        <v>0</v>
      </c>
      <c r="CT122" s="21"/>
    </row>
    <row r="123" spans="3:98" ht="24.75" hidden="1" customHeight="1" outlineLevel="1" collapsed="1">
      <c r="C123" s="424" t="s">
        <v>666</v>
      </c>
      <c r="D123" s="427">
        <v>0</v>
      </c>
      <c r="E123" s="427">
        <v>0</v>
      </c>
      <c r="F123" s="427">
        <v>0</v>
      </c>
      <c r="G123" s="427">
        <v>0</v>
      </c>
      <c r="H123" s="427">
        <v>0</v>
      </c>
      <c r="I123" s="427">
        <v>0</v>
      </c>
      <c r="J123" s="427">
        <v>0</v>
      </c>
      <c r="K123" s="427">
        <v>0</v>
      </c>
      <c r="L123" s="427">
        <v>0</v>
      </c>
      <c r="M123" s="427">
        <v>0</v>
      </c>
      <c r="N123" s="427">
        <v>0</v>
      </c>
      <c r="O123" s="427">
        <v>0</v>
      </c>
      <c r="P123" s="427">
        <v>0</v>
      </c>
      <c r="Q123" s="427">
        <v>0</v>
      </c>
      <c r="R123" s="427">
        <v>0</v>
      </c>
      <c r="S123" s="427">
        <v>0</v>
      </c>
      <c r="T123" s="427">
        <v>0</v>
      </c>
      <c r="U123" s="427">
        <v>0</v>
      </c>
      <c r="V123" s="427">
        <v>0</v>
      </c>
      <c r="W123" s="427">
        <v>0</v>
      </c>
      <c r="X123" s="427">
        <v>0</v>
      </c>
      <c r="Y123" s="427">
        <v>0</v>
      </c>
      <c r="Z123" s="427">
        <v>0</v>
      </c>
      <c r="AA123" s="427">
        <v>0</v>
      </c>
      <c r="AB123" s="427">
        <v>0</v>
      </c>
      <c r="AC123" s="427">
        <v>0</v>
      </c>
      <c r="AD123" s="427">
        <v>0</v>
      </c>
      <c r="AE123" s="427">
        <v>0</v>
      </c>
      <c r="AF123" s="427">
        <v>0</v>
      </c>
      <c r="AG123" s="427">
        <v>0</v>
      </c>
      <c r="AH123" s="427">
        <v>0</v>
      </c>
      <c r="AI123" s="427">
        <v>0</v>
      </c>
      <c r="AJ123" s="427">
        <v>0</v>
      </c>
      <c r="AK123" s="427">
        <v>0</v>
      </c>
      <c r="AL123" s="427">
        <v>0</v>
      </c>
      <c r="AM123" s="427">
        <v>0</v>
      </c>
      <c r="AN123" s="427">
        <v>0</v>
      </c>
      <c r="AO123" s="427">
        <v>0</v>
      </c>
      <c r="AP123" s="427">
        <v>0</v>
      </c>
      <c r="AQ123" s="427">
        <v>0</v>
      </c>
      <c r="AR123" s="427">
        <v>0</v>
      </c>
      <c r="AS123" s="427">
        <v>0</v>
      </c>
      <c r="AT123" s="427">
        <v>0</v>
      </c>
      <c r="AU123" s="427">
        <v>0</v>
      </c>
      <c r="AV123" s="427">
        <v>0</v>
      </c>
      <c r="AW123" s="427">
        <v>0</v>
      </c>
      <c r="AX123" s="427">
        <v>0</v>
      </c>
      <c r="AY123" s="427">
        <v>0</v>
      </c>
      <c r="AZ123" s="427">
        <v>0</v>
      </c>
      <c r="BA123" s="427">
        <v>0</v>
      </c>
      <c r="BB123" s="427">
        <v>0</v>
      </c>
      <c r="BC123" s="427">
        <v>0</v>
      </c>
      <c r="BD123" s="427">
        <v>0</v>
      </c>
      <c r="BE123" s="427">
        <v>0</v>
      </c>
      <c r="BF123" s="427">
        <v>0</v>
      </c>
      <c r="BG123" s="427">
        <v>0</v>
      </c>
      <c r="BH123" s="427">
        <v>0</v>
      </c>
      <c r="BI123" s="427">
        <v>0</v>
      </c>
      <c r="BJ123" s="427">
        <v>0</v>
      </c>
      <c r="BK123" s="427">
        <v>0</v>
      </c>
      <c r="BL123" s="427">
        <v>0</v>
      </c>
      <c r="BM123" s="427">
        <v>0</v>
      </c>
      <c r="BN123" s="427">
        <v>0</v>
      </c>
      <c r="BO123" s="427">
        <v>-36.799999999999997</v>
      </c>
      <c r="BP123" s="427">
        <v>-60.8</v>
      </c>
      <c r="BQ123" s="427">
        <v>0</v>
      </c>
      <c r="BR123" s="427">
        <v>0</v>
      </c>
      <c r="BS123" s="427">
        <v>0</v>
      </c>
      <c r="BT123" s="427">
        <v>0</v>
      </c>
      <c r="BU123" s="427">
        <v>0</v>
      </c>
      <c r="BV123" s="427">
        <v>0</v>
      </c>
      <c r="BW123" s="427">
        <v>0</v>
      </c>
      <c r="BX123" s="427">
        <v>0</v>
      </c>
      <c r="BY123" s="427">
        <v>0</v>
      </c>
      <c r="BZ123" s="427">
        <v>0</v>
      </c>
      <c r="CC123" s="21"/>
      <c r="CD123" s="424" t="s">
        <v>666</v>
      </c>
      <c r="CE123" s="433">
        <f t="shared" si="15"/>
        <v>0</v>
      </c>
      <c r="CF123" s="433">
        <f t="shared" si="16"/>
        <v>0</v>
      </c>
      <c r="CG123" s="433">
        <f t="shared" si="17"/>
        <v>0</v>
      </c>
      <c r="CH123" s="433">
        <f t="shared" si="18"/>
        <v>0</v>
      </c>
      <c r="CI123" s="433">
        <f t="shared" si="19"/>
        <v>0</v>
      </c>
      <c r="CJ123" s="433">
        <f t="shared" si="20"/>
        <v>0</v>
      </c>
      <c r="CK123" s="433">
        <f t="shared" si="21"/>
        <v>0</v>
      </c>
      <c r="CL123" s="433">
        <f t="shared" si="22"/>
        <v>0</v>
      </c>
      <c r="CM123" s="433">
        <f t="shared" si="23"/>
        <v>0</v>
      </c>
      <c r="CN123" s="433">
        <f t="shared" si="24"/>
        <v>0</v>
      </c>
      <c r="CO123" s="433">
        <f t="shared" si="25"/>
        <v>0</v>
      </c>
      <c r="CP123" s="433">
        <f t="shared" si="26"/>
        <v>0</v>
      </c>
      <c r="CQ123" s="433">
        <f t="shared" si="27"/>
        <v>-60.8</v>
      </c>
      <c r="CR123" s="433">
        <f t="shared" si="28"/>
        <v>0</v>
      </c>
      <c r="CS123" s="433">
        <f t="shared" si="29"/>
        <v>0</v>
      </c>
      <c r="CT123" s="21"/>
    </row>
    <row r="124" spans="3:98" ht="24.75" hidden="1" customHeight="1" outlineLevel="1">
      <c r="C124" s="424" t="s">
        <v>667</v>
      </c>
      <c r="D124" s="427">
        <v>0</v>
      </c>
      <c r="E124" s="427">
        <v>0</v>
      </c>
      <c r="F124" s="427">
        <v>0</v>
      </c>
      <c r="G124" s="427">
        <v>0</v>
      </c>
      <c r="H124" s="427">
        <v>0</v>
      </c>
      <c r="I124" s="427">
        <v>0</v>
      </c>
      <c r="J124" s="427">
        <v>0</v>
      </c>
      <c r="K124" s="427">
        <v>0</v>
      </c>
      <c r="L124" s="427">
        <v>0</v>
      </c>
      <c r="M124" s="427">
        <v>0</v>
      </c>
      <c r="N124" s="427">
        <v>0</v>
      </c>
      <c r="O124" s="427">
        <v>0</v>
      </c>
      <c r="P124" s="427">
        <v>0</v>
      </c>
      <c r="Q124" s="427">
        <v>0</v>
      </c>
      <c r="R124" s="427">
        <v>0</v>
      </c>
      <c r="S124" s="427">
        <v>0</v>
      </c>
      <c r="T124" s="427">
        <v>0</v>
      </c>
      <c r="U124" s="427">
        <v>0</v>
      </c>
      <c r="V124" s="427">
        <v>0</v>
      </c>
      <c r="W124" s="427">
        <v>0</v>
      </c>
      <c r="X124" s="427">
        <v>0</v>
      </c>
      <c r="Y124" s="427">
        <v>0</v>
      </c>
      <c r="Z124" s="427">
        <v>0</v>
      </c>
      <c r="AA124" s="427">
        <v>0</v>
      </c>
      <c r="AB124" s="427">
        <v>0</v>
      </c>
      <c r="AC124" s="427">
        <v>0</v>
      </c>
      <c r="AD124" s="427">
        <v>0</v>
      </c>
      <c r="AE124" s="427">
        <v>0</v>
      </c>
      <c r="AF124" s="427">
        <v>0</v>
      </c>
      <c r="AG124" s="427">
        <v>0</v>
      </c>
      <c r="AH124" s="427">
        <v>0</v>
      </c>
      <c r="AI124" s="427">
        <v>0</v>
      </c>
      <c r="AJ124" s="427">
        <v>0</v>
      </c>
      <c r="AK124" s="427">
        <v>0</v>
      </c>
      <c r="AL124" s="427">
        <v>0</v>
      </c>
      <c r="AM124" s="427">
        <v>0</v>
      </c>
      <c r="AN124" s="427">
        <v>0</v>
      </c>
      <c r="AO124" s="427">
        <v>0</v>
      </c>
      <c r="AP124" s="427">
        <v>0</v>
      </c>
      <c r="AQ124" s="427">
        <v>0</v>
      </c>
      <c r="AR124" s="427">
        <v>0</v>
      </c>
      <c r="AS124" s="427">
        <v>0</v>
      </c>
      <c r="AT124" s="427">
        <v>0</v>
      </c>
      <c r="AU124" s="427">
        <v>0</v>
      </c>
      <c r="AV124" s="427">
        <v>0</v>
      </c>
      <c r="AW124" s="427">
        <v>0</v>
      </c>
      <c r="AX124" s="427">
        <v>0</v>
      </c>
      <c r="AY124" s="427">
        <v>0</v>
      </c>
      <c r="AZ124" s="427">
        <v>0</v>
      </c>
      <c r="BA124" s="427">
        <v>0</v>
      </c>
      <c r="BB124" s="427">
        <v>0</v>
      </c>
      <c r="BC124" s="427">
        <v>0</v>
      </c>
      <c r="BD124" s="427">
        <v>0</v>
      </c>
      <c r="BE124" s="427">
        <v>0</v>
      </c>
      <c r="BF124" s="427">
        <v>0</v>
      </c>
      <c r="BG124" s="427">
        <v>0</v>
      </c>
      <c r="BH124" s="427">
        <v>0</v>
      </c>
      <c r="BI124" s="427">
        <v>0</v>
      </c>
      <c r="BJ124" s="427">
        <v>0</v>
      </c>
      <c r="BK124" s="427">
        <v>0</v>
      </c>
      <c r="BL124" s="427">
        <v>0</v>
      </c>
      <c r="BM124" s="427">
        <v>0</v>
      </c>
      <c r="BN124" s="427">
        <v>0</v>
      </c>
      <c r="BO124" s="427">
        <v>0</v>
      </c>
      <c r="BP124" s="427">
        <v>0</v>
      </c>
      <c r="BQ124" s="427">
        <v>0</v>
      </c>
      <c r="BR124" s="427">
        <v>0</v>
      </c>
      <c r="BS124" s="427">
        <v>0</v>
      </c>
      <c r="BT124" s="427">
        <v>0</v>
      </c>
      <c r="BU124" s="427">
        <v>0</v>
      </c>
      <c r="BV124" s="427">
        <v>0</v>
      </c>
      <c r="BW124" s="427">
        <v>0</v>
      </c>
      <c r="BX124" s="427">
        <v>0</v>
      </c>
      <c r="BY124" s="427">
        <v>0</v>
      </c>
      <c r="BZ124" s="427">
        <v>0</v>
      </c>
      <c r="CC124" s="21"/>
      <c r="CD124" s="424" t="s">
        <v>667</v>
      </c>
      <c r="CE124" s="433">
        <f t="shared" si="15"/>
        <v>0</v>
      </c>
      <c r="CF124" s="433">
        <f t="shared" si="16"/>
        <v>0</v>
      </c>
      <c r="CG124" s="433">
        <f t="shared" si="17"/>
        <v>0</v>
      </c>
      <c r="CH124" s="433">
        <f t="shared" si="18"/>
        <v>0</v>
      </c>
      <c r="CI124" s="433">
        <f t="shared" si="19"/>
        <v>0</v>
      </c>
      <c r="CJ124" s="433">
        <f t="shared" si="20"/>
        <v>0</v>
      </c>
      <c r="CK124" s="433">
        <f t="shared" si="21"/>
        <v>0</v>
      </c>
      <c r="CL124" s="433">
        <f t="shared" si="22"/>
        <v>0</v>
      </c>
      <c r="CM124" s="433">
        <f t="shared" si="23"/>
        <v>0</v>
      </c>
      <c r="CN124" s="433">
        <f t="shared" si="24"/>
        <v>0</v>
      </c>
      <c r="CO124" s="433">
        <f t="shared" si="25"/>
        <v>0</v>
      </c>
      <c r="CP124" s="433">
        <f t="shared" si="26"/>
        <v>0</v>
      </c>
      <c r="CQ124" s="433">
        <f t="shared" si="27"/>
        <v>0</v>
      </c>
      <c r="CR124" s="433">
        <f t="shared" si="28"/>
        <v>0</v>
      </c>
      <c r="CS124" s="433">
        <f t="shared" si="29"/>
        <v>0</v>
      </c>
      <c r="CT124" s="21"/>
    </row>
    <row r="125" spans="3:98" ht="24.75" customHeight="1" collapsed="1">
      <c r="C125" s="415" t="s">
        <v>665</v>
      </c>
      <c r="D125" s="427">
        <v>0</v>
      </c>
      <c r="E125" s="427">
        <v>0</v>
      </c>
      <c r="F125" s="427">
        <v>0</v>
      </c>
      <c r="G125" s="427">
        <v>0</v>
      </c>
      <c r="H125" s="434">
        <v>0</v>
      </c>
      <c r="I125" s="434">
        <v>0</v>
      </c>
      <c r="J125" s="434">
        <v>0</v>
      </c>
      <c r="K125" s="434">
        <v>0</v>
      </c>
      <c r="L125" s="434">
        <v>0</v>
      </c>
      <c r="M125" s="434">
        <v>0</v>
      </c>
      <c r="N125" s="434">
        <v>0</v>
      </c>
      <c r="O125" s="434">
        <v>0</v>
      </c>
      <c r="P125" s="434">
        <v>0</v>
      </c>
      <c r="Q125" s="434">
        <v>0</v>
      </c>
      <c r="R125" s="434">
        <v>0</v>
      </c>
      <c r="S125" s="434">
        <v>0</v>
      </c>
      <c r="T125" s="434">
        <v>0</v>
      </c>
      <c r="U125" s="434">
        <v>0</v>
      </c>
      <c r="V125" s="434">
        <v>0</v>
      </c>
      <c r="W125" s="434">
        <v>0</v>
      </c>
      <c r="X125" s="434">
        <v>0</v>
      </c>
      <c r="Y125" s="434">
        <v>0</v>
      </c>
      <c r="Z125" s="434">
        <v>0</v>
      </c>
      <c r="AA125" s="434">
        <v>0</v>
      </c>
      <c r="AB125" s="434">
        <v>0</v>
      </c>
      <c r="AC125" s="434">
        <v>0</v>
      </c>
      <c r="AD125" s="434">
        <v>0</v>
      </c>
      <c r="AE125" s="434">
        <v>0</v>
      </c>
      <c r="AF125" s="434">
        <v>0</v>
      </c>
      <c r="AG125" s="434">
        <v>0</v>
      </c>
      <c r="AH125" s="434">
        <v>0</v>
      </c>
      <c r="AI125" s="434">
        <v>0</v>
      </c>
      <c r="AJ125" s="434">
        <v>0</v>
      </c>
      <c r="AK125" s="434">
        <v>0</v>
      </c>
      <c r="AL125" s="434">
        <v>0</v>
      </c>
      <c r="AM125" s="434">
        <v>0</v>
      </c>
      <c r="AN125" s="434">
        <v>0</v>
      </c>
      <c r="AO125" s="434">
        <v>0</v>
      </c>
      <c r="AP125" s="434">
        <v>0</v>
      </c>
      <c r="AQ125" s="434">
        <v>0</v>
      </c>
      <c r="AR125" s="434">
        <v>0</v>
      </c>
      <c r="AS125" s="434">
        <v>0</v>
      </c>
      <c r="AT125" s="434">
        <v>0</v>
      </c>
      <c r="AU125" s="434">
        <v>0</v>
      </c>
      <c r="AV125" s="434">
        <v>0</v>
      </c>
      <c r="AW125" s="434">
        <v>0</v>
      </c>
      <c r="AX125" s="434">
        <v>0</v>
      </c>
      <c r="AY125" s="434">
        <v>0</v>
      </c>
      <c r="AZ125" s="434">
        <v>0</v>
      </c>
      <c r="BA125" s="434">
        <v>0</v>
      </c>
      <c r="BB125" s="434">
        <v>0</v>
      </c>
      <c r="BC125" s="434">
        <v>0</v>
      </c>
      <c r="BD125" s="434">
        <v>0</v>
      </c>
      <c r="BE125" s="434">
        <v>0</v>
      </c>
      <c r="BF125" s="434">
        <v>0</v>
      </c>
      <c r="BG125" s="434">
        <v>0</v>
      </c>
      <c r="BH125" s="434">
        <v>0</v>
      </c>
      <c r="BI125" s="434">
        <v>0</v>
      </c>
      <c r="BJ125" s="434">
        <v>0</v>
      </c>
      <c r="BK125" s="434">
        <v>0</v>
      </c>
      <c r="BL125" s="434">
        <v>0</v>
      </c>
      <c r="BM125" s="434">
        <v>0</v>
      </c>
      <c r="BN125" s="434">
        <v>0</v>
      </c>
      <c r="BO125" s="434">
        <v>-36.799999999999997</v>
      </c>
      <c r="BP125" s="434">
        <v>-60.8</v>
      </c>
      <c r="BQ125" s="434">
        <v>0</v>
      </c>
      <c r="BR125" s="434">
        <v>0</v>
      </c>
      <c r="BS125" s="434">
        <v>0</v>
      </c>
      <c r="BT125" s="434">
        <v>0</v>
      </c>
      <c r="BU125" s="434">
        <v>0</v>
      </c>
      <c r="BV125" s="434">
        <v>0</v>
      </c>
      <c r="BW125" s="434">
        <v>0</v>
      </c>
      <c r="BX125" s="434">
        <v>0</v>
      </c>
      <c r="BY125" s="434">
        <v>0</v>
      </c>
      <c r="BZ125" s="434">
        <v>0</v>
      </c>
      <c r="CC125" s="21"/>
      <c r="CD125" s="415" t="s">
        <v>665</v>
      </c>
      <c r="CE125" s="433">
        <f t="shared" si="15"/>
        <v>0</v>
      </c>
      <c r="CF125" s="433">
        <f t="shared" si="16"/>
        <v>0</v>
      </c>
      <c r="CG125" s="433">
        <f t="shared" si="17"/>
        <v>0</v>
      </c>
      <c r="CH125" s="433">
        <f t="shared" si="18"/>
        <v>0</v>
      </c>
      <c r="CI125" s="433">
        <f t="shared" si="19"/>
        <v>0</v>
      </c>
      <c r="CJ125" s="433">
        <f t="shared" si="20"/>
        <v>0</v>
      </c>
      <c r="CK125" s="433">
        <f t="shared" si="21"/>
        <v>0</v>
      </c>
      <c r="CL125" s="433">
        <f t="shared" si="22"/>
        <v>0</v>
      </c>
      <c r="CM125" s="433">
        <f t="shared" si="23"/>
        <v>0</v>
      </c>
      <c r="CN125" s="433">
        <f t="shared" si="24"/>
        <v>0</v>
      </c>
      <c r="CO125" s="433">
        <f t="shared" si="25"/>
        <v>0</v>
      </c>
      <c r="CP125" s="433">
        <f t="shared" si="26"/>
        <v>0</v>
      </c>
      <c r="CQ125" s="433">
        <f t="shared" si="27"/>
        <v>-60.8</v>
      </c>
      <c r="CR125" s="433">
        <f t="shared" si="28"/>
        <v>0</v>
      </c>
      <c r="CS125" s="433">
        <f t="shared" si="29"/>
        <v>0</v>
      </c>
      <c r="CT125" s="21"/>
    </row>
    <row r="126" spans="3:98" ht="24.75" hidden="1" customHeight="1" outlineLevel="1">
      <c r="C126" s="424" t="s">
        <v>669</v>
      </c>
      <c r="D126" s="427">
        <v>0</v>
      </c>
      <c r="E126" s="427">
        <v>0</v>
      </c>
      <c r="F126" s="427">
        <v>0</v>
      </c>
      <c r="G126" s="427">
        <v>0</v>
      </c>
      <c r="H126" s="427">
        <v>0</v>
      </c>
      <c r="I126" s="427">
        <v>0</v>
      </c>
      <c r="J126" s="427">
        <v>0</v>
      </c>
      <c r="K126" s="427">
        <v>0</v>
      </c>
      <c r="L126" s="427">
        <v>0</v>
      </c>
      <c r="M126" s="427">
        <v>0</v>
      </c>
      <c r="N126" s="427">
        <v>0</v>
      </c>
      <c r="O126" s="427">
        <v>0</v>
      </c>
      <c r="P126" s="427">
        <v>0</v>
      </c>
      <c r="Q126" s="427">
        <v>0</v>
      </c>
      <c r="R126" s="427">
        <v>0</v>
      </c>
      <c r="S126" s="427">
        <v>0</v>
      </c>
      <c r="T126" s="427">
        <v>0</v>
      </c>
      <c r="U126" s="427">
        <v>0</v>
      </c>
      <c r="V126" s="427">
        <v>0</v>
      </c>
      <c r="W126" s="427">
        <v>0</v>
      </c>
      <c r="X126" s="427">
        <v>0</v>
      </c>
      <c r="Y126" s="427">
        <v>0</v>
      </c>
      <c r="Z126" s="427">
        <v>0</v>
      </c>
      <c r="AA126" s="427">
        <v>0</v>
      </c>
      <c r="AB126" s="427">
        <v>0</v>
      </c>
      <c r="AC126" s="427">
        <v>0</v>
      </c>
      <c r="AD126" s="427">
        <v>0</v>
      </c>
      <c r="AE126" s="427">
        <v>0</v>
      </c>
      <c r="AF126" s="427">
        <v>0</v>
      </c>
      <c r="AG126" s="427">
        <v>0</v>
      </c>
      <c r="AH126" s="427">
        <v>0</v>
      </c>
      <c r="AI126" s="427">
        <v>0</v>
      </c>
      <c r="AJ126" s="427">
        <v>0</v>
      </c>
      <c r="AK126" s="427">
        <v>0</v>
      </c>
      <c r="AL126" s="427">
        <v>0</v>
      </c>
      <c r="AM126" s="427">
        <v>0</v>
      </c>
      <c r="AN126" s="427">
        <v>0</v>
      </c>
      <c r="AO126" s="427">
        <v>0</v>
      </c>
      <c r="AP126" s="427">
        <v>0</v>
      </c>
      <c r="AQ126" s="427">
        <v>0</v>
      </c>
      <c r="AR126" s="427">
        <v>0</v>
      </c>
      <c r="AS126" s="427">
        <v>0</v>
      </c>
      <c r="AT126" s="427">
        <v>0</v>
      </c>
      <c r="AU126" s="427">
        <v>0</v>
      </c>
      <c r="AV126" s="427">
        <v>0</v>
      </c>
      <c r="AW126" s="427">
        <v>0</v>
      </c>
      <c r="AX126" s="427">
        <v>0</v>
      </c>
      <c r="AY126" s="427">
        <v>0</v>
      </c>
      <c r="AZ126" s="427">
        <v>0</v>
      </c>
      <c r="BA126" s="427">
        <v>0</v>
      </c>
      <c r="BB126" s="427">
        <v>0</v>
      </c>
      <c r="BC126" s="427">
        <v>0</v>
      </c>
      <c r="BD126" s="427">
        <v>0</v>
      </c>
      <c r="BE126" s="427">
        <v>0</v>
      </c>
      <c r="BF126" s="427">
        <v>0</v>
      </c>
      <c r="BG126" s="427">
        <v>0</v>
      </c>
      <c r="BH126" s="427">
        <v>0</v>
      </c>
      <c r="BI126" s="427">
        <v>0</v>
      </c>
      <c r="BJ126" s="427">
        <v>0</v>
      </c>
      <c r="BK126" s="427">
        <v>0</v>
      </c>
      <c r="BL126" s="427">
        <v>-16.524999999999999</v>
      </c>
      <c r="BM126" s="427">
        <v>0</v>
      </c>
      <c r="BN126" s="427">
        <v>0</v>
      </c>
      <c r="BO126" s="427">
        <v>0</v>
      </c>
      <c r="BP126" s="427">
        <v>0</v>
      </c>
      <c r="BQ126" s="427">
        <v>0</v>
      </c>
      <c r="BR126" s="427">
        <v>0</v>
      </c>
      <c r="BS126" s="427">
        <v>0</v>
      </c>
      <c r="BT126" s="427">
        <v>0</v>
      </c>
      <c r="BU126" s="427">
        <v>0</v>
      </c>
      <c r="BV126" s="427">
        <v>0</v>
      </c>
      <c r="BW126" s="427">
        <v>0</v>
      </c>
      <c r="BX126" s="427">
        <v>0</v>
      </c>
      <c r="BY126" s="427">
        <v>0</v>
      </c>
      <c r="BZ126" s="427">
        <v>0</v>
      </c>
      <c r="CC126" s="21"/>
      <c r="CD126" s="424" t="s">
        <v>669</v>
      </c>
      <c r="CE126" s="433">
        <f t="shared" si="15"/>
        <v>0</v>
      </c>
      <c r="CF126" s="433">
        <f t="shared" si="16"/>
        <v>0</v>
      </c>
      <c r="CG126" s="433">
        <f t="shared" si="17"/>
        <v>0</v>
      </c>
      <c r="CH126" s="433">
        <f t="shared" si="18"/>
        <v>0</v>
      </c>
      <c r="CI126" s="433">
        <f t="shared" si="19"/>
        <v>0</v>
      </c>
      <c r="CJ126" s="433">
        <f t="shared" si="20"/>
        <v>0</v>
      </c>
      <c r="CK126" s="433">
        <f t="shared" si="21"/>
        <v>0</v>
      </c>
      <c r="CL126" s="433">
        <f t="shared" si="22"/>
        <v>0</v>
      </c>
      <c r="CM126" s="433">
        <f t="shared" si="23"/>
        <v>0</v>
      </c>
      <c r="CN126" s="433">
        <f t="shared" si="24"/>
        <v>0</v>
      </c>
      <c r="CO126" s="433">
        <f t="shared" si="25"/>
        <v>0</v>
      </c>
      <c r="CP126" s="433">
        <f t="shared" si="26"/>
        <v>0</v>
      </c>
      <c r="CQ126" s="433">
        <f t="shared" si="27"/>
        <v>0</v>
      </c>
      <c r="CR126" s="433">
        <f t="shared" si="28"/>
        <v>0</v>
      </c>
      <c r="CS126" s="433">
        <f t="shared" si="29"/>
        <v>0</v>
      </c>
      <c r="CT126" s="21"/>
    </row>
    <row r="127" spans="3:98" ht="24.75" hidden="1" customHeight="1" outlineLevel="1">
      <c r="C127" s="424" t="s">
        <v>670</v>
      </c>
      <c r="D127" s="427">
        <v>0</v>
      </c>
      <c r="E127" s="427">
        <v>0</v>
      </c>
      <c r="F127" s="427">
        <v>0</v>
      </c>
      <c r="G127" s="427">
        <v>0</v>
      </c>
      <c r="H127" s="427">
        <v>0</v>
      </c>
      <c r="I127" s="427">
        <v>0</v>
      </c>
      <c r="J127" s="427">
        <v>0</v>
      </c>
      <c r="K127" s="427">
        <v>0</v>
      </c>
      <c r="L127" s="427">
        <v>0</v>
      </c>
      <c r="M127" s="427">
        <v>0</v>
      </c>
      <c r="N127" s="427">
        <v>0</v>
      </c>
      <c r="O127" s="427">
        <v>0</v>
      </c>
      <c r="P127" s="427">
        <v>0</v>
      </c>
      <c r="Q127" s="427">
        <v>0</v>
      </c>
      <c r="R127" s="427">
        <v>0</v>
      </c>
      <c r="S127" s="427">
        <v>0</v>
      </c>
      <c r="T127" s="427">
        <v>0</v>
      </c>
      <c r="U127" s="427">
        <v>0</v>
      </c>
      <c r="V127" s="427">
        <v>0</v>
      </c>
      <c r="W127" s="427">
        <v>0</v>
      </c>
      <c r="X127" s="427">
        <v>0</v>
      </c>
      <c r="Y127" s="427">
        <v>0</v>
      </c>
      <c r="Z127" s="427">
        <v>0</v>
      </c>
      <c r="AA127" s="427">
        <v>0</v>
      </c>
      <c r="AB127" s="427">
        <v>0</v>
      </c>
      <c r="AC127" s="427">
        <v>0</v>
      </c>
      <c r="AD127" s="427">
        <v>0</v>
      </c>
      <c r="AE127" s="427">
        <v>0</v>
      </c>
      <c r="AF127" s="427">
        <v>0</v>
      </c>
      <c r="AG127" s="427">
        <v>0</v>
      </c>
      <c r="AH127" s="427">
        <v>0</v>
      </c>
      <c r="AI127" s="427">
        <v>0</v>
      </c>
      <c r="AJ127" s="427">
        <v>0</v>
      </c>
      <c r="AK127" s="427">
        <v>0</v>
      </c>
      <c r="AL127" s="427">
        <v>0</v>
      </c>
      <c r="AM127" s="427">
        <v>0</v>
      </c>
      <c r="AN127" s="427">
        <v>0</v>
      </c>
      <c r="AO127" s="427">
        <v>0</v>
      </c>
      <c r="AP127" s="427">
        <v>0</v>
      </c>
      <c r="AQ127" s="427">
        <v>0</v>
      </c>
      <c r="AR127" s="427">
        <v>0</v>
      </c>
      <c r="AS127" s="427">
        <v>0</v>
      </c>
      <c r="AT127" s="427">
        <v>0</v>
      </c>
      <c r="AU127" s="427">
        <v>0</v>
      </c>
      <c r="AV127" s="427">
        <v>0</v>
      </c>
      <c r="AW127" s="427">
        <v>0</v>
      </c>
      <c r="AX127" s="427">
        <v>0</v>
      </c>
      <c r="AY127" s="427">
        <v>0</v>
      </c>
      <c r="AZ127" s="427">
        <v>0</v>
      </c>
      <c r="BA127" s="427">
        <v>0</v>
      </c>
      <c r="BB127" s="427">
        <v>0</v>
      </c>
      <c r="BC127" s="427">
        <v>0</v>
      </c>
      <c r="BD127" s="427">
        <v>0</v>
      </c>
      <c r="BE127" s="427">
        <v>0</v>
      </c>
      <c r="BF127" s="427">
        <v>0</v>
      </c>
      <c r="BG127" s="427">
        <v>0</v>
      </c>
      <c r="BH127" s="427">
        <v>0</v>
      </c>
      <c r="BI127" s="427">
        <v>0</v>
      </c>
      <c r="BJ127" s="427">
        <v>0</v>
      </c>
      <c r="BK127" s="427">
        <v>0</v>
      </c>
      <c r="BL127" s="427">
        <v>0</v>
      </c>
      <c r="BM127" s="427">
        <v>0</v>
      </c>
      <c r="BN127" s="427">
        <v>0</v>
      </c>
      <c r="BO127" s="427">
        <v>0</v>
      </c>
      <c r="BP127" s="427">
        <v>0</v>
      </c>
      <c r="BQ127" s="427">
        <v>0</v>
      </c>
      <c r="BR127" s="427">
        <v>0</v>
      </c>
      <c r="BS127" s="427">
        <v>0</v>
      </c>
      <c r="BT127" s="427">
        <v>0</v>
      </c>
      <c r="BU127" s="427">
        <v>0</v>
      </c>
      <c r="BV127" s="427">
        <v>0</v>
      </c>
      <c r="BW127" s="427">
        <v>0</v>
      </c>
      <c r="BX127" s="427">
        <v>0</v>
      </c>
      <c r="BY127" s="427">
        <v>0</v>
      </c>
      <c r="BZ127" s="427">
        <v>0</v>
      </c>
      <c r="CC127" s="21"/>
      <c r="CD127" s="424" t="s">
        <v>670</v>
      </c>
      <c r="CE127" s="433">
        <f t="shared" si="15"/>
        <v>0</v>
      </c>
      <c r="CF127" s="433">
        <f t="shared" si="16"/>
        <v>0</v>
      </c>
      <c r="CG127" s="433">
        <f t="shared" si="17"/>
        <v>0</v>
      </c>
      <c r="CH127" s="433">
        <f t="shared" si="18"/>
        <v>0</v>
      </c>
      <c r="CI127" s="433">
        <f t="shared" si="19"/>
        <v>0</v>
      </c>
      <c r="CJ127" s="433">
        <f t="shared" si="20"/>
        <v>0</v>
      </c>
      <c r="CK127" s="433">
        <f t="shared" si="21"/>
        <v>0</v>
      </c>
      <c r="CL127" s="433">
        <f t="shared" si="22"/>
        <v>0</v>
      </c>
      <c r="CM127" s="433">
        <f t="shared" si="23"/>
        <v>0</v>
      </c>
      <c r="CN127" s="433">
        <f t="shared" si="24"/>
        <v>0</v>
      </c>
      <c r="CO127" s="433">
        <f t="shared" si="25"/>
        <v>0</v>
      </c>
      <c r="CP127" s="433">
        <f t="shared" si="26"/>
        <v>0</v>
      </c>
      <c r="CQ127" s="433">
        <f t="shared" si="27"/>
        <v>0</v>
      </c>
      <c r="CR127" s="433">
        <f t="shared" si="28"/>
        <v>0</v>
      </c>
      <c r="CS127" s="433">
        <f t="shared" si="29"/>
        <v>0</v>
      </c>
      <c r="CT127" s="21"/>
    </row>
    <row r="128" spans="3:98" ht="24.75" customHeight="1" collapsed="1">
      <c r="C128" s="415" t="s">
        <v>668</v>
      </c>
      <c r="D128" s="427">
        <v>0</v>
      </c>
      <c r="E128" s="427">
        <v>0</v>
      </c>
      <c r="F128" s="427">
        <v>0</v>
      </c>
      <c r="G128" s="427">
        <v>0</v>
      </c>
      <c r="H128" s="427">
        <v>0</v>
      </c>
      <c r="I128" s="427">
        <v>0</v>
      </c>
      <c r="J128" s="427">
        <v>0</v>
      </c>
      <c r="K128" s="427">
        <v>0</v>
      </c>
      <c r="L128" s="427">
        <v>0</v>
      </c>
      <c r="M128" s="427">
        <v>0</v>
      </c>
      <c r="N128" s="427">
        <v>0</v>
      </c>
      <c r="O128" s="427">
        <v>0</v>
      </c>
      <c r="P128" s="427">
        <v>0</v>
      </c>
      <c r="Q128" s="427">
        <v>0</v>
      </c>
      <c r="R128" s="427">
        <v>0</v>
      </c>
      <c r="S128" s="427">
        <v>0</v>
      </c>
      <c r="T128" s="427">
        <v>0</v>
      </c>
      <c r="U128" s="427">
        <v>0</v>
      </c>
      <c r="V128" s="427">
        <v>0</v>
      </c>
      <c r="W128" s="427">
        <v>0</v>
      </c>
      <c r="X128" s="427">
        <v>0</v>
      </c>
      <c r="Y128" s="427">
        <v>0</v>
      </c>
      <c r="Z128" s="427">
        <v>0</v>
      </c>
      <c r="AA128" s="427">
        <v>0</v>
      </c>
      <c r="AB128" s="427">
        <v>0</v>
      </c>
      <c r="AC128" s="427">
        <v>0</v>
      </c>
      <c r="AD128" s="427">
        <v>0</v>
      </c>
      <c r="AE128" s="427">
        <v>0</v>
      </c>
      <c r="AF128" s="427">
        <v>0</v>
      </c>
      <c r="AG128" s="427">
        <v>0</v>
      </c>
      <c r="AH128" s="427">
        <v>0</v>
      </c>
      <c r="AI128" s="427">
        <v>0</v>
      </c>
      <c r="AJ128" s="427">
        <v>0</v>
      </c>
      <c r="AK128" s="427">
        <v>0</v>
      </c>
      <c r="AL128" s="427">
        <v>0</v>
      </c>
      <c r="AM128" s="427">
        <v>0</v>
      </c>
      <c r="AN128" s="427">
        <v>0</v>
      </c>
      <c r="AO128" s="427">
        <v>0</v>
      </c>
      <c r="AP128" s="427">
        <v>0</v>
      </c>
      <c r="AQ128" s="427">
        <v>0</v>
      </c>
      <c r="AR128" s="427">
        <v>0</v>
      </c>
      <c r="AS128" s="427">
        <v>0</v>
      </c>
      <c r="AT128" s="427">
        <v>0</v>
      </c>
      <c r="AU128" s="427">
        <v>0</v>
      </c>
      <c r="AV128" s="427">
        <v>0</v>
      </c>
      <c r="AW128" s="427">
        <v>0</v>
      </c>
      <c r="AX128" s="427">
        <v>0</v>
      </c>
      <c r="AY128" s="427">
        <v>0</v>
      </c>
      <c r="AZ128" s="427">
        <v>0</v>
      </c>
      <c r="BA128" s="427">
        <v>0</v>
      </c>
      <c r="BB128" s="427">
        <v>0</v>
      </c>
      <c r="BC128" s="427">
        <v>0</v>
      </c>
      <c r="BD128" s="427">
        <v>0</v>
      </c>
      <c r="BE128" s="427">
        <v>0</v>
      </c>
      <c r="BF128" s="427">
        <v>-5.6980000000000004</v>
      </c>
      <c r="BG128" s="427">
        <v>0</v>
      </c>
      <c r="BH128" s="427">
        <v>0</v>
      </c>
      <c r="BI128" s="427">
        <v>33.615000000000002</v>
      </c>
      <c r="BJ128" s="427">
        <v>0</v>
      </c>
      <c r="BK128" s="427">
        <v>33.615000000000002</v>
      </c>
      <c r="BL128" s="427">
        <v>-16.524999999999999</v>
      </c>
      <c r="BM128" s="427">
        <v>-16.466999999999999</v>
      </c>
      <c r="BN128" s="427">
        <v>-6.4130000000000003</v>
      </c>
      <c r="BO128" s="427">
        <v>-31.506</v>
      </c>
      <c r="BP128" s="427">
        <v>-70.911000000000001</v>
      </c>
      <c r="BQ128" s="427">
        <v>-186.15</v>
      </c>
      <c r="BR128" s="427">
        <v>0</v>
      </c>
      <c r="BS128" s="427">
        <v>0</v>
      </c>
      <c r="BT128" s="427">
        <v>0</v>
      </c>
      <c r="BU128" s="427">
        <v>-186.15</v>
      </c>
      <c r="BV128" s="427">
        <v>-30.73</v>
      </c>
      <c r="BW128" s="427">
        <v>0</v>
      </c>
      <c r="BX128" s="427">
        <v>0</v>
      </c>
      <c r="BY128" s="427">
        <v>0</v>
      </c>
      <c r="BZ128" s="427">
        <v>0</v>
      </c>
      <c r="CC128" s="21"/>
      <c r="CD128" s="415" t="s">
        <v>668</v>
      </c>
      <c r="CE128" s="433">
        <f t="shared" si="15"/>
        <v>0</v>
      </c>
      <c r="CF128" s="433">
        <f t="shared" si="16"/>
        <v>0</v>
      </c>
      <c r="CG128" s="433">
        <f t="shared" si="17"/>
        <v>0</v>
      </c>
      <c r="CH128" s="433">
        <f t="shared" si="18"/>
        <v>0</v>
      </c>
      <c r="CI128" s="433">
        <f t="shared" si="19"/>
        <v>0</v>
      </c>
      <c r="CJ128" s="433">
        <f t="shared" si="20"/>
        <v>0</v>
      </c>
      <c r="CK128" s="433">
        <f t="shared" si="21"/>
        <v>0</v>
      </c>
      <c r="CL128" s="433">
        <f t="shared" si="22"/>
        <v>0</v>
      </c>
      <c r="CM128" s="433">
        <f t="shared" si="23"/>
        <v>0</v>
      </c>
      <c r="CN128" s="433">
        <f t="shared" si="24"/>
        <v>0</v>
      </c>
      <c r="CO128" s="433">
        <f t="shared" si="25"/>
        <v>-5.6980000000000004</v>
      </c>
      <c r="CP128" s="433">
        <f t="shared" si="26"/>
        <v>33.615000000000002</v>
      </c>
      <c r="CQ128" s="433">
        <f t="shared" si="27"/>
        <v>-70.911000000000001</v>
      </c>
      <c r="CR128" s="433">
        <f t="shared" si="28"/>
        <v>-186.15</v>
      </c>
      <c r="CS128" s="433">
        <f t="shared" si="29"/>
        <v>0</v>
      </c>
      <c r="CT128" s="21"/>
    </row>
    <row r="129" spans="3:98" ht="24.75" hidden="1" customHeight="1" outlineLevel="1">
      <c r="C129" s="424" t="s">
        <v>672</v>
      </c>
      <c r="D129" s="427">
        <v>0</v>
      </c>
      <c r="E129" s="427">
        <v>0</v>
      </c>
      <c r="F129" s="427">
        <v>0</v>
      </c>
      <c r="G129" s="427">
        <v>0</v>
      </c>
      <c r="H129" s="427">
        <v>0</v>
      </c>
      <c r="I129" s="427">
        <v>0</v>
      </c>
      <c r="J129" s="427">
        <v>0</v>
      </c>
      <c r="K129" s="427">
        <v>0</v>
      </c>
      <c r="L129" s="427">
        <v>0</v>
      </c>
      <c r="M129" s="427">
        <v>0</v>
      </c>
      <c r="N129" s="427">
        <v>0</v>
      </c>
      <c r="O129" s="427">
        <v>0</v>
      </c>
      <c r="P129" s="427">
        <v>0</v>
      </c>
      <c r="Q129" s="427">
        <v>0</v>
      </c>
      <c r="R129" s="427">
        <v>0</v>
      </c>
      <c r="S129" s="427">
        <v>0</v>
      </c>
      <c r="T129" s="427">
        <v>0</v>
      </c>
      <c r="U129" s="427">
        <v>0</v>
      </c>
      <c r="V129" s="427">
        <v>0</v>
      </c>
      <c r="W129" s="427">
        <v>0</v>
      </c>
      <c r="X129" s="427">
        <v>0</v>
      </c>
      <c r="Y129" s="427">
        <v>0</v>
      </c>
      <c r="Z129" s="427">
        <v>0</v>
      </c>
      <c r="AA129" s="427">
        <v>0</v>
      </c>
      <c r="AB129" s="427">
        <v>0</v>
      </c>
      <c r="AC129" s="427">
        <v>0</v>
      </c>
      <c r="AD129" s="427">
        <v>0</v>
      </c>
      <c r="AE129" s="427">
        <v>0</v>
      </c>
      <c r="AF129" s="427">
        <v>0</v>
      </c>
      <c r="AG129" s="427">
        <v>0</v>
      </c>
      <c r="AH129" s="427">
        <v>0</v>
      </c>
      <c r="AI129" s="427">
        <v>0</v>
      </c>
      <c r="AJ129" s="427">
        <v>0</v>
      </c>
      <c r="AK129" s="427">
        <v>0</v>
      </c>
      <c r="AL129" s="427">
        <v>0</v>
      </c>
      <c r="AM129" s="427">
        <v>0</v>
      </c>
      <c r="AN129" s="427">
        <v>0</v>
      </c>
      <c r="AO129" s="427">
        <v>0</v>
      </c>
      <c r="AP129" s="427">
        <v>0</v>
      </c>
      <c r="AQ129" s="427">
        <v>0</v>
      </c>
      <c r="AR129" s="427">
        <v>0</v>
      </c>
      <c r="AS129" s="427">
        <v>0</v>
      </c>
      <c r="AT129" s="427">
        <v>0</v>
      </c>
      <c r="AU129" s="427">
        <v>0</v>
      </c>
      <c r="AV129" s="427">
        <v>0</v>
      </c>
      <c r="AW129" s="427">
        <v>0</v>
      </c>
      <c r="AX129" s="427">
        <v>0</v>
      </c>
      <c r="AY129" s="427">
        <v>0</v>
      </c>
      <c r="AZ129" s="427">
        <v>0</v>
      </c>
      <c r="BA129" s="427">
        <v>0</v>
      </c>
      <c r="BB129" s="427">
        <v>0</v>
      </c>
      <c r="BC129" s="427">
        <v>0</v>
      </c>
      <c r="BD129" s="427">
        <v>0</v>
      </c>
      <c r="BE129" s="427">
        <v>0</v>
      </c>
      <c r="BF129" s="427">
        <v>0</v>
      </c>
      <c r="BG129" s="427">
        <v>0</v>
      </c>
      <c r="BH129" s="427">
        <v>0</v>
      </c>
      <c r="BI129" s="427">
        <v>0</v>
      </c>
      <c r="BJ129" s="427">
        <v>0</v>
      </c>
      <c r="BK129" s="427">
        <v>0</v>
      </c>
      <c r="BL129" s="427">
        <v>0</v>
      </c>
      <c r="BM129" s="427">
        <v>0</v>
      </c>
      <c r="BN129" s="427">
        <v>0</v>
      </c>
      <c r="BO129" s="427">
        <v>0</v>
      </c>
      <c r="BP129" s="427">
        <v>0</v>
      </c>
      <c r="BQ129" s="427">
        <v>0</v>
      </c>
      <c r="BR129" s="427">
        <v>0</v>
      </c>
      <c r="BS129" s="427">
        <v>0</v>
      </c>
      <c r="BT129" s="427">
        <v>0</v>
      </c>
      <c r="BU129" s="427">
        <v>0</v>
      </c>
      <c r="BV129" s="427">
        <v>0</v>
      </c>
      <c r="BW129" s="427">
        <v>0</v>
      </c>
      <c r="BX129" s="427">
        <v>0</v>
      </c>
      <c r="BY129" s="427">
        <v>0</v>
      </c>
      <c r="BZ129" s="427">
        <v>0</v>
      </c>
      <c r="CC129" s="21"/>
      <c r="CD129" s="424" t="s">
        <v>672</v>
      </c>
      <c r="CE129" s="433">
        <f t="shared" si="15"/>
        <v>0</v>
      </c>
      <c r="CF129" s="433">
        <f t="shared" si="16"/>
        <v>0</v>
      </c>
      <c r="CG129" s="433">
        <f t="shared" si="17"/>
        <v>0</v>
      </c>
      <c r="CH129" s="433">
        <f t="shared" si="18"/>
        <v>0</v>
      </c>
      <c r="CI129" s="433">
        <f t="shared" si="19"/>
        <v>0</v>
      </c>
      <c r="CJ129" s="433">
        <f t="shared" si="20"/>
        <v>0</v>
      </c>
      <c r="CK129" s="433">
        <f t="shared" si="21"/>
        <v>0</v>
      </c>
      <c r="CL129" s="433">
        <f t="shared" si="22"/>
        <v>0</v>
      </c>
      <c r="CM129" s="433">
        <f t="shared" si="23"/>
        <v>0</v>
      </c>
      <c r="CN129" s="433">
        <f t="shared" si="24"/>
        <v>0</v>
      </c>
      <c r="CO129" s="433">
        <f t="shared" si="25"/>
        <v>0</v>
      </c>
      <c r="CP129" s="433">
        <f t="shared" si="26"/>
        <v>0</v>
      </c>
      <c r="CQ129" s="433">
        <f t="shared" si="27"/>
        <v>0</v>
      </c>
      <c r="CR129" s="433">
        <f t="shared" si="28"/>
        <v>0</v>
      </c>
      <c r="CS129" s="433">
        <f t="shared" si="29"/>
        <v>0</v>
      </c>
      <c r="CT129" s="21"/>
    </row>
    <row r="130" spans="3:98" ht="24.75" hidden="1" customHeight="1" outlineLevel="1">
      <c r="C130" s="424" t="s">
        <v>673</v>
      </c>
      <c r="D130" s="427">
        <v>0</v>
      </c>
      <c r="E130" s="427">
        <v>0</v>
      </c>
      <c r="F130" s="427">
        <v>0</v>
      </c>
      <c r="G130" s="427">
        <v>0</v>
      </c>
      <c r="H130" s="434">
        <v>0</v>
      </c>
      <c r="I130" s="434">
        <v>0</v>
      </c>
      <c r="J130" s="434">
        <v>0</v>
      </c>
      <c r="K130" s="434">
        <v>0</v>
      </c>
      <c r="L130" s="434">
        <v>0</v>
      </c>
      <c r="M130" s="434">
        <v>0</v>
      </c>
      <c r="N130" s="434">
        <v>0</v>
      </c>
      <c r="O130" s="434">
        <v>0</v>
      </c>
      <c r="P130" s="434">
        <v>0</v>
      </c>
      <c r="Q130" s="434">
        <v>0</v>
      </c>
      <c r="R130" s="434">
        <v>0</v>
      </c>
      <c r="S130" s="434">
        <v>0</v>
      </c>
      <c r="T130" s="434">
        <v>0</v>
      </c>
      <c r="U130" s="434">
        <v>0</v>
      </c>
      <c r="V130" s="434">
        <v>0</v>
      </c>
      <c r="W130" s="434">
        <v>0</v>
      </c>
      <c r="X130" s="434">
        <v>0</v>
      </c>
      <c r="Y130" s="434">
        <v>0</v>
      </c>
      <c r="Z130" s="434">
        <v>0</v>
      </c>
      <c r="AA130" s="434">
        <v>0</v>
      </c>
      <c r="AB130" s="434">
        <v>0</v>
      </c>
      <c r="AC130" s="434">
        <v>0</v>
      </c>
      <c r="AD130" s="434">
        <v>0</v>
      </c>
      <c r="AE130" s="434">
        <v>0</v>
      </c>
      <c r="AF130" s="434">
        <v>0</v>
      </c>
      <c r="AG130" s="434">
        <v>0</v>
      </c>
      <c r="AH130" s="434">
        <v>0</v>
      </c>
      <c r="AI130" s="434">
        <v>0</v>
      </c>
      <c r="AJ130" s="434">
        <v>0</v>
      </c>
      <c r="AK130" s="434">
        <v>0</v>
      </c>
      <c r="AL130" s="434">
        <v>0</v>
      </c>
      <c r="AM130" s="434">
        <v>0</v>
      </c>
      <c r="AN130" s="434">
        <v>0</v>
      </c>
      <c r="AO130" s="434">
        <v>0</v>
      </c>
      <c r="AP130" s="434">
        <v>0</v>
      </c>
      <c r="AQ130" s="434">
        <v>0</v>
      </c>
      <c r="AR130" s="434">
        <v>0</v>
      </c>
      <c r="AS130" s="434">
        <v>0</v>
      </c>
      <c r="AT130" s="434">
        <v>0</v>
      </c>
      <c r="AU130" s="434">
        <v>0</v>
      </c>
      <c r="AV130" s="434">
        <v>0</v>
      </c>
      <c r="AW130" s="434">
        <v>0</v>
      </c>
      <c r="AX130" s="434">
        <v>0</v>
      </c>
      <c r="AY130" s="434">
        <v>0</v>
      </c>
      <c r="AZ130" s="434">
        <v>0</v>
      </c>
      <c r="BA130" s="434">
        <v>0</v>
      </c>
      <c r="BB130" s="434">
        <v>0</v>
      </c>
      <c r="BC130" s="434">
        <v>0</v>
      </c>
      <c r="BD130" s="434">
        <v>0</v>
      </c>
      <c r="BE130" s="434">
        <v>0</v>
      </c>
      <c r="BF130" s="434">
        <v>0</v>
      </c>
      <c r="BG130" s="434">
        <v>0</v>
      </c>
      <c r="BH130" s="434">
        <v>0</v>
      </c>
      <c r="BI130" s="434">
        <v>0</v>
      </c>
      <c r="BJ130" s="434">
        <v>0</v>
      </c>
      <c r="BK130" s="434">
        <v>0</v>
      </c>
      <c r="BL130" s="434">
        <v>0</v>
      </c>
      <c r="BM130" s="434">
        <v>0</v>
      </c>
      <c r="BN130" s="434">
        <v>0</v>
      </c>
      <c r="BO130" s="434">
        <v>0</v>
      </c>
      <c r="BP130" s="434">
        <v>0</v>
      </c>
      <c r="BQ130" s="434">
        <v>0</v>
      </c>
      <c r="BR130" s="434">
        <v>0</v>
      </c>
      <c r="BS130" s="434">
        <v>0</v>
      </c>
      <c r="BT130" s="434">
        <v>0</v>
      </c>
      <c r="BU130" s="434">
        <v>0</v>
      </c>
      <c r="BV130" s="434">
        <v>0</v>
      </c>
      <c r="BW130" s="434">
        <v>0</v>
      </c>
      <c r="BX130" s="434">
        <v>0</v>
      </c>
      <c r="BY130" s="434">
        <v>0</v>
      </c>
      <c r="BZ130" s="434">
        <v>0</v>
      </c>
      <c r="CC130" s="21"/>
      <c r="CD130" s="424" t="s">
        <v>673</v>
      </c>
      <c r="CE130" s="433">
        <f t="shared" si="15"/>
        <v>0</v>
      </c>
      <c r="CF130" s="433">
        <f t="shared" si="16"/>
        <v>0</v>
      </c>
      <c r="CG130" s="433">
        <f t="shared" si="17"/>
        <v>0</v>
      </c>
      <c r="CH130" s="433">
        <f t="shared" si="18"/>
        <v>0</v>
      </c>
      <c r="CI130" s="433">
        <f t="shared" si="19"/>
        <v>0</v>
      </c>
      <c r="CJ130" s="433">
        <f t="shared" si="20"/>
        <v>0</v>
      </c>
      <c r="CK130" s="433">
        <f t="shared" si="21"/>
        <v>0</v>
      </c>
      <c r="CL130" s="433">
        <f t="shared" si="22"/>
        <v>0</v>
      </c>
      <c r="CM130" s="433">
        <f t="shared" si="23"/>
        <v>0</v>
      </c>
      <c r="CN130" s="433">
        <f t="shared" si="24"/>
        <v>0</v>
      </c>
      <c r="CO130" s="433">
        <f t="shared" si="25"/>
        <v>0</v>
      </c>
      <c r="CP130" s="433">
        <f t="shared" si="26"/>
        <v>0</v>
      </c>
      <c r="CQ130" s="433">
        <f t="shared" si="27"/>
        <v>0</v>
      </c>
      <c r="CR130" s="433">
        <f t="shared" si="28"/>
        <v>0</v>
      </c>
      <c r="CS130" s="433">
        <f t="shared" si="29"/>
        <v>0</v>
      </c>
      <c r="CT130" s="21"/>
    </row>
    <row r="131" spans="3:98" ht="24.75" customHeight="1" collapsed="1">
      <c r="C131" s="415" t="s">
        <v>671</v>
      </c>
      <c r="D131" s="427">
        <v>0</v>
      </c>
      <c r="E131" s="427">
        <v>0</v>
      </c>
      <c r="F131" s="427">
        <v>0</v>
      </c>
      <c r="G131" s="427">
        <v>0</v>
      </c>
      <c r="H131" s="427">
        <v>0</v>
      </c>
      <c r="I131" s="427">
        <v>0</v>
      </c>
      <c r="J131" s="427">
        <v>0</v>
      </c>
      <c r="K131" s="427">
        <v>0</v>
      </c>
      <c r="L131" s="427">
        <v>0</v>
      </c>
      <c r="M131" s="427">
        <v>0</v>
      </c>
      <c r="N131" s="427">
        <v>0</v>
      </c>
      <c r="O131" s="427">
        <v>0</v>
      </c>
      <c r="P131" s="427">
        <v>0</v>
      </c>
      <c r="Q131" s="427">
        <v>0</v>
      </c>
      <c r="R131" s="427">
        <v>0</v>
      </c>
      <c r="S131" s="427">
        <v>0</v>
      </c>
      <c r="T131" s="427">
        <v>0</v>
      </c>
      <c r="U131" s="427">
        <v>0</v>
      </c>
      <c r="V131" s="427">
        <v>0</v>
      </c>
      <c r="W131" s="427">
        <v>0</v>
      </c>
      <c r="X131" s="427">
        <v>0</v>
      </c>
      <c r="Y131" s="427">
        <v>0</v>
      </c>
      <c r="Z131" s="427">
        <v>0</v>
      </c>
      <c r="AA131" s="427">
        <v>0</v>
      </c>
      <c r="AB131" s="427">
        <v>0</v>
      </c>
      <c r="AC131" s="427">
        <v>0</v>
      </c>
      <c r="AD131" s="427">
        <v>0</v>
      </c>
      <c r="AE131" s="427">
        <v>0</v>
      </c>
      <c r="AF131" s="427">
        <v>0</v>
      </c>
      <c r="AG131" s="427">
        <v>0</v>
      </c>
      <c r="AH131" s="427">
        <v>0</v>
      </c>
      <c r="AI131" s="427">
        <v>0</v>
      </c>
      <c r="AJ131" s="427">
        <v>0</v>
      </c>
      <c r="AK131" s="427">
        <v>0</v>
      </c>
      <c r="AL131" s="427">
        <v>0</v>
      </c>
      <c r="AM131" s="427">
        <v>0</v>
      </c>
      <c r="AN131" s="427">
        <v>0</v>
      </c>
      <c r="AO131" s="427">
        <v>0</v>
      </c>
      <c r="AP131" s="427">
        <v>0</v>
      </c>
      <c r="AQ131" s="427">
        <v>0</v>
      </c>
      <c r="AR131" s="427">
        <v>0</v>
      </c>
      <c r="AS131" s="427">
        <v>0</v>
      </c>
      <c r="AT131" s="427">
        <v>0</v>
      </c>
      <c r="AU131" s="427">
        <v>0</v>
      </c>
      <c r="AV131" s="427">
        <v>0</v>
      </c>
      <c r="AW131" s="427">
        <v>0</v>
      </c>
      <c r="AX131" s="427">
        <v>0</v>
      </c>
      <c r="AY131" s="427">
        <v>0</v>
      </c>
      <c r="AZ131" s="427">
        <v>0</v>
      </c>
      <c r="BA131" s="427">
        <v>0</v>
      </c>
      <c r="BB131" s="427">
        <v>0</v>
      </c>
      <c r="BC131" s="427">
        <v>0</v>
      </c>
      <c r="BD131" s="427">
        <v>0</v>
      </c>
      <c r="BE131" s="427">
        <v>0</v>
      </c>
      <c r="BF131" s="427">
        <v>0</v>
      </c>
      <c r="BG131" s="427">
        <v>0</v>
      </c>
      <c r="BH131" s="427">
        <v>0</v>
      </c>
      <c r="BI131" s="427">
        <v>0</v>
      </c>
      <c r="BJ131" s="427">
        <v>0</v>
      </c>
      <c r="BK131" s="427">
        <v>0</v>
      </c>
      <c r="BL131" s="427">
        <v>0</v>
      </c>
      <c r="BM131" s="427">
        <v>0</v>
      </c>
      <c r="BN131" s="427">
        <v>0</v>
      </c>
      <c r="BO131" s="427">
        <v>0</v>
      </c>
      <c r="BP131" s="427">
        <v>0</v>
      </c>
      <c r="BQ131" s="427">
        <v>0</v>
      </c>
      <c r="BR131" s="427">
        <v>0</v>
      </c>
      <c r="BS131" s="427">
        <v>0</v>
      </c>
      <c r="BT131" s="427">
        <v>0</v>
      </c>
      <c r="BU131" s="427">
        <v>0</v>
      </c>
      <c r="BV131" s="427">
        <v>0</v>
      </c>
      <c r="BW131" s="427">
        <v>0</v>
      </c>
      <c r="BX131" s="427">
        <v>0</v>
      </c>
      <c r="BY131" s="427">
        <v>0</v>
      </c>
      <c r="BZ131" s="427">
        <v>0</v>
      </c>
      <c r="CC131" s="21"/>
      <c r="CD131" s="415" t="s">
        <v>671</v>
      </c>
      <c r="CE131" s="433">
        <f t="shared" si="15"/>
        <v>0</v>
      </c>
      <c r="CF131" s="433">
        <f t="shared" si="16"/>
        <v>0</v>
      </c>
      <c r="CG131" s="433">
        <f t="shared" si="17"/>
        <v>0</v>
      </c>
      <c r="CH131" s="433">
        <f t="shared" si="18"/>
        <v>0</v>
      </c>
      <c r="CI131" s="433">
        <f t="shared" si="19"/>
        <v>0</v>
      </c>
      <c r="CJ131" s="433">
        <f t="shared" si="20"/>
        <v>0</v>
      </c>
      <c r="CK131" s="433">
        <f t="shared" si="21"/>
        <v>0</v>
      </c>
      <c r="CL131" s="433">
        <f t="shared" si="22"/>
        <v>0</v>
      </c>
      <c r="CM131" s="433">
        <f t="shared" si="23"/>
        <v>0</v>
      </c>
      <c r="CN131" s="433">
        <f t="shared" si="24"/>
        <v>0</v>
      </c>
      <c r="CO131" s="433">
        <f t="shared" si="25"/>
        <v>0</v>
      </c>
      <c r="CP131" s="433">
        <f t="shared" si="26"/>
        <v>0</v>
      </c>
      <c r="CQ131" s="433">
        <f t="shared" si="27"/>
        <v>0</v>
      </c>
      <c r="CR131" s="433">
        <f t="shared" si="28"/>
        <v>0</v>
      </c>
      <c r="CS131" s="433">
        <f t="shared" si="29"/>
        <v>0</v>
      </c>
      <c r="CT131" s="21"/>
    </row>
    <row r="132" spans="3:98" ht="24.75" hidden="1" customHeight="1" outlineLevel="1">
      <c r="C132" s="424" t="s">
        <v>675</v>
      </c>
      <c r="D132" s="427">
        <v>0</v>
      </c>
      <c r="E132" s="427">
        <v>0</v>
      </c>
      <c r="F132" s="427">
        <v>0</v>
      </c>
      <c r="G132" s="427">
        <v>0</v>
      </c>
      <c r="H132" s="427">
        <v>0</v>
      </c>
      <c r="I132" s="427">
        <v>0</v>
      </c>
      <c r="J132" s="427">
        <v>0</v>
      </c>
      <c r="K132" s="427">
        <v>0</v>
      </c>
      <c r="L132" s="427">
        <v>0</v>
      </c>
      <c r="M132" s="427">
        <v>0</v>
      </c>
      <c r="N132" s="427">
        <v>0</v>
      </c>
      <c r="O132" s="427">
        <v>0</v>
      </c>
      <c r="P132" s="427">
        <v>0</v>
      </c>
      <c r="Q132" s="427">
        <v>0</v>
      </c>
      <c r="R132" s="427">
        <v>0</v>
      </c>
      <c r="S132" s="427">
        <v>0</v>
      </c>
      <c r="T132" s="427">
        <v>0</v>
      </c>
      <c r="U132" s="427">
        <v>0</v>
      </c>
      <c r="V132" s="427">
        <v>0</v>
      </c>
      <c r="W132" s="427">
        <v>0</v>
      </c>
      <c r="X132" s="427">
        <v>0</v>
      </c>
      <c r="Y132" s="427">
        <v>0</v>
      </c>
      <c r="Z132" s="427">
        <v>0</v>
      </c>
      <c r="AA132" s="427">
        <v>0</v>
      </c>
      <c r="AB132" s="427">
        <v>0</v>
      </c>
      <c r="AC132" s="427">
        <v>0</v>
      </c>
      <c r="AD132" s="427">
        <v>0</v>
      </c>
      <c r="AE132" s="427">
        <v>0</v>
      </c>
      <c r="AF132" s="427">
        <v>0</v>
      </c>
      <c r="AG132" s="427">
        <v>0</v>
      </c>
      <c r="AH132" s="427">
        <v>0</v>
      </c>
      <c r="AI132" s="427">
        <v>0</v>
      </c>
      <c r="AJ132" s="427">
        <v>0</v>
      </c>
      <c r="AK132" s="427">
        <v>0</v>
      </c>
      <c r="AL132" s="427">
        <v>0</v>
      </c>
      <c r="AM132" s="427">
        <v>0</v>
      </c>
      <c r="AN132" s="427">
        <v>0</v>
      </c>
      <c r="AO132" s="427">
        <v>0</v>
      </c>
      <c r="AP132" s="427">
        <v>0</v>
      </c>
      <c r="AQ132" s="427">
        <v>0</v>
      </c>
      <c r="AR132" s="427">
        <v>0</v>
      </c>
      <c r="AS132" s="427">
        <v>0</v>
      </c>
      <c r="AT132" s="427">
        <v>0</v>
      </c>
      <c r="AU132" s="427">
        <v>0</v>
      </c>
      <c r="AV132" s="427">
        <v>0</v>
      </c>
      <c r="AW132" s="427">
        <v>0</v>
      </c>
      <c r="AX132" s="427">
        <v>0</v>
      </c>
      <c r="AY132" s="427">
        <v>0</v>
      </c>
      <c r="AZ132" s="427">
        <v>0</v>
      </c>
      <c r="BA132" s="427">
        <v>0</v>
      </c>
      <c r="BB132" s="427">
        <v>0</v>
      </c>
      <c r="BC132" s="427">
        <v>0</v>
      </c>
      <c r="BD132" s="427">
        <v>0</v>
      </c>
      <c r="BE132" s="427">
        <v>0</v>
      </c>
      <c r="BF132" s="427">
        <v>0</v>
      </c>
      <c r="BG132" s="427">
        <v>0</v>
      </c>
      <c r="BH132" s="427">
        <v>0</v>
      </c>
      <c r="BI132" s="427">
        <v>0</v>
      </c>
      <c r="BJ132" s="427">
        <v>0</v>
      </c>
      <c r="BK132" s="427">
        <v>0</v>
      </c>
      <c r="BL132" s="427">
        <v>0</v>
      </c>
      <c r="BM132" s="427">
        <v>0</v>
      </c>
      <c r="BN132" s="427">
        <v>0</v>
      </c>
      <c r="BO132" s="427">
        <v>0</v>
      </c>
      <c r="BP132" s="427">
        <v>0</v>
      </c>
      <c r="BQ132" s="427">
        <v>0</v>
      </c>
      <c r="BR132" s="427">
        <v>0</v>
      </c>
      <c r="BS132" s="427">
        <v>0</v>
      </c>
      <c r="BT132" s="427">
        <v>0</v>
      </c>
      <c r="BU132" s="427">
        <v>0</v>
      </c>
      <c r="BV132" s="427">
        <v>0</v>
      </c>
      <c r="BW132" s="427">
        <v>0</v>
      </c>
      <c r="BX132" s="427">
        <v>0</v>
      </c>
      <c r="BY132" s="427">
        <v>0</v>
      </c>
      <c r="BZ132" s="427">
        <v>0</v>
      </c>
      <c r="CC132" s="21"/>
      <c r="CD132" s="424" t="s">
        <v>675</v>
      </c>
      <c r="CE132" s="433">
        <f t="shared" si="15"/>
        <v>0</v>
      </c>
      <c r="CF132" s="433">
        <f t="shared" si="16"/>
        <v>0</v>
      </c>
      <c r="CG132" s="433">
        <f t="shared" si="17"/>
        <v>0</v>
      </c>
      <c r="CH132" s="433">
        <f t="shared" si="18"/>
        <v>0</v>
      </c>
      <c r="CI132" s="433">
        <f t="shared" si="19"/>
        <v>0</v>
      </c>
      <c r="CJ132" s="433">
        <f t="shared" si="20"/>
        <v>0</v>
      </c>
      <c r="CK132" s="433">
        <f t="shared" si="21"/>
        <v>0</v>
      </c>
      <c r="CL132" s="433">
        <f t="shared" si="22"/>
        <v>0</v>
      </c>
      <c r="CM132" s="433">
        <f t="shared" si="23"/>
        <v>0</v>
      </c>
      <c r="CN132" s="433">
        <f t="shared" si="24"/>
        <v>0</v>
      </c>
      <c r="CO132" s="433">
        <f t="shared" si="25"/>
        <v>0</v>
      </c>
      <c r="CP132" s="433">
        <f t="shared" si="26"/>
        <v>0</v>
      </c>
      <c r="CQ132" s="433">
        <f t="shared" si="27"/>
        <v>0</v>
      </c>
      <c r="CR132" s="433">
        <f t="shared" si="28"/>
        <v>0</v>
      </c>
      <c r="CS132" s="433">
        <f t="shared" si="29"/>
        <v>0</v>
      </c>
      <c r="CT132" s="21"/>
    </row>
    <row r="133" spans="3:98" ht="24.75" hidden="1" customHeight="1" outlineLevel="1">
      <c r="C133" s="424" t="s">
        <v>676</v>
      </c>
      <c r="D133" s="427">
        <v>0</v>
      </c>
      <c r="E133" s="427">
        <v>0</v>
      </c>
      <c r="F133" s="427">
        <v>0</v>
      </c>
      <c r="G133" s="427">
        <v>0</v>
      </c>
      <c r="H133" s="434">
        <v>0</v>
      </c>
      <c r="I133" s="434">
        <v>0</v>
      </c>
      <c r="J133" s="434">
        <v>0</v>
      </c>
      <c r="K133" s="434">
        <v>0</v>
      </c>
      <c r="L133" s="434">
        <v>0</v>
      </c>
      <c r="M133" s="434">
        <v>0</v>
      </c>
      <c r="N133" s="434">
        <v>0</v>
      </c>
      <c r="O133" s="434">
        <v>0</v>
      </c>
      <c r="P133" s="434">
        <v>0</v>
      </c>
      <c r="Q133" s="434">
        <v>0</v>
      </c>
      <c r="R133" s="434">
        <v>0</v>
      </c>
      <c r="S133" s="434">
        <v>0</v>
      </c>
      <c r="T133" s="434">
        <v>0</v>
      </c>
      <c r="U133" s="434">
        <v>0</v>
      </c>
      <c r="V133" s="434">
        <v>0</v>
      </c>
      <c r="W133" s="434">
        <v>0</v>
      </c>
      <c r="X133" s="434">
        <v>0</v>
      </c>
      <c r="Y133" s="434">
        <v>0</v>
      </c>
      <c r="Z133" s="434">
        <v>0</v>
      </c>
      <c r="AA133" s="434">
        <v>0</v>
      </c>
      <c r="AB133" s="434">
        <v>0</v>
      </c>
      <c r="AC133" s="434">
        <v>0</v>
      </c>
      <c r="AD133" s="434">
        <v>0</v>
      </c>
      <c r="AE133" s="434">
        <v>0</v>
      </c>
      <c r="AF133" s="434">
        <v>0</v>
      </c>
      <c r="AG133" s="434">
        <v>0</v>
      </c>
      <c r="AH133" s="434">
        <v>0</v>
      </c>
      <c r="AI133" s="434">
        <v>0</v>
      </c>
      <c r="AJ133" s="434">
        <v>0</v>
      </c>
      <c r="AK133" s="434">
        <v>0</v>
      </c>
      <c r="AL133" s="434">
        <v>0</v>
      </c>
      <c r="AM133" s="434">
        <v>0</v>
      </c>
      <c r="AN133" s="434">
        <v>0</v>
      </c>
      <c r="AO133" s="434">
        <v>0</v>
      </c>
      <c r="AP133" s="434">
        <v>0</v>
      </c>
      <c r="AQ133" s="434">
        <v>0</v>
      </c>
      <c r="AR133" s="434">
        <v>0</v>
      </c>
      <c r="AS133" s="434">
        <v>0</v>
      </c>
      <c r="AT133" s="434">
        <v>0</v>
      </c>
      <c r="AU133" s="434">
        <v>0</v>
      </c>
      <c r="AV133" s="434">
        <v>0</v>
      </c>
      <c r="AW133" s="434">
        <v>0</v>
      </c>
      <c r="AX133" s="434">
        <v>0</v>
      </c>
      <c r="AY133" s="434">
        <v>0</v>
      </c>
      <c r="AZ133" s="434">
        <v>0</v>
      </c>
      <c r="BA133" s="434">
        <v>0</v>
      </c>
      <c r="BB133" s="434">
        <v>0</v>
      </c>
      <c r="BC133" s="434">
        <v>0</v>
      </c>
      <c r="BD133" s="434">
        <v>0</v>
      </c>
      <c r="BE133" s="434">
        <v>0</v>
      </c>
      <c r="BF133" s="434">
        <v>0</v>
      </c>
      <c r="BG133" s="434">
        <v>0</v>
      </c>
      <c r="BH133" s="434">
        <v>0</v>
      </c>
      <c r="BI133" s="434">
        <v>0</v>
      </c>
      <c r="BJ133" s="434">
        <v>0</v>
      </c>
      <c r="BK133" s="434">
        <v>0</v>
      </c>
      <c r="BL133" s="434">
        <v>0</v>
      </c>
      <c r="BM133" s="434">
        <v>0</v>
      </c>
      <c r="BN133" s="434">
        <v>0</v>
      </c>
      <c r="BO133" s="434">
        <v>0</v>
      </c>
      <c r="BP133" s="434">
        <v>0</v>
      </c>
      <c r="BQ133" s="434">
        <v>0</v>
      </c>
      <c r="BR133" s="434">
        <v>0</v>
      </c>
      <c r="BS133" s="434">
        <v>0</v>
      </c>
      <c r="BT133" s="434">
        <v>0</v>
      </c>
      <c r="BU133" s="434">
        <v>0</v>
      </c>
      <c r="BV133" s="434">
        <v>0</v>
      </c>
      <c r="BW133" s="434">
        <v>0</v>
      </c>
      <c r="BX133" s="434">
        <v>0</v>
      </c>
      <c r="BY133" s="434">
        <v>0</v>
      </c>
      <c r="BZ133" s="434">
        <v>0</v>
      </c>
      <c r="CC133" s="21"/>
      <c r="CD133" s="424" t="s">
        <v>676</v>
      </c>
      <c r="CE133" s="433">
        <f t="shared" si="15"/>
        <v>0</v>
      </c>
      <c r="CF133" s="433">
        <f t="shared" si="16"/>
        <v>0</v>
      </c>
      <c r="CG133" s="433">
        <f t="shared" si="17"/>
        <v>0</v>
      </c>
      <c r="CH133" s="433">
        <f t="shared" si="18"/>
        <v>0</v>
      </c>
      <c r="CI133" s="433">
        <f t="shared" si="19"/>
        <v>0</v>
      </c>
      <c r="CJ133" s="433">
        <f t="shared" si="20"/>
        <v>0</v>
      </c>
      <c r="CK133" s="433">
        <f t="shared" si="21"/>
        <v>0</v>
      </c>
      <c r="CL133" s="433">
        <f t="shared" si="22"/>
        <v>0</v>
      </c>
      <c r="CM133" s="433">
        <f t="shared" si="23"/>
        <v>0</v>
      </c>
      <c r="CN133" s="433">
        <f t="shared" si="24"/>
        <v>0</v>
      </c>
      <c r="CO133" s="433">
        <f t="shared" si="25"/>
        <v>0</v>
      </c>
      <c r="CP133" s="433">
        <f t="shared" si="26"/>
        <v>0</v>
      </c>
      <c r="CQ133" s="433">
        <f t="shared" si="27"/>
        <v>0</v>
      </c>
      <c r="CR133" s="433">
        <f t="shared" si="28"/>
        <v>0</v>
      </c>
      <c r="CS133" s="433">
        <f t="shared" si="29"/>
        <v>0</v>
      </c>
      <c r="CT133" s="21"/>
    </row>
    <row r="134" spans="3:98" ht="24.75" customHeight="1" collapsed="1">
      <c r="C134" s="415" t="s">
        <v>674</v>
      </c>
      <c r="D134" s="427">
        <v>0</v>
      </c>
      <c r="E134" s="427">
        <v>0</v>
      </c>
      <c r="F134" s="427">
        <v>0</v>
      </c>
      <c r="G134" s="427">
        <v>0</v>
      </c>
      <c r="H134" s="427">
        <v>0</v>
      </c>
      <c r="I134" s="427">
        <v>0</v>
      </c>
      <c r="J134" s="427">
        <v>0</v>
      </c>
      <c r="K134" s="427">
        <v>0</v>
      </c>
      <c r="L134" s="427">
        <v>0</v>
      </c>
      <c r="M134" s="427">
        <v>0</v>
      </c>
      <c r="N134" s="427">
        <v>0</v>
      </c>
      <c r="O134" s="427">
        <v>0</v>
      </c>
      <c r="P134" s="427">
        <v>0</v>
      </c>
      <c r="Q134" s="427">
        <v>0</v>
      </c>
      <c r="R134" s="427">
        <v>0</v>
      </c>
      <c r="S134" s="427">
        <v>0</v>
      </c>
      <c r="T134" s="427">
        <v>0</v>
      </c>
      <c r="U134" s="427">
        <v>0</v>
      </c>
      <c r="V134" s="427">
        <v>0</v>
      </c>
      <c r="W134" s="427">
        <v>0</v>
      </c>
      <c r="X134" s="427">
        <v>0</v>
      </c>
      <c r="Y134" s="427">
        <v>0</v>
      </c>
      <c r="Z134" s="427">
        <v>0</v>
      </c>
      <c r="AA134" s="427">
        <v>0</v>
      </c>
      <c r="AB134" s="427">
        <v>0</v>
      </c>
      <c r="AC134" s="427">
        <v>0</v>
      </c>
      <c r="AD134" s="427">
        <v>0</v>
      </c>
      <c r="AE134" s="427">
        <v>0</v>
      </c>
      <c r="AF134" s="427">
        <v>0</v>
      </c>
      <c r="AG134" s="427">
        <v>0</v>
      </c>
      <c r="AH134" s="427">
        <v>0</v>
      </c>
      <c r="AI134" s="427">
        <v>0</v>
      </c>
      <c r="AJ134" s="427">
        <v>0</v>
      </c>
      <c r="AK134" s="427">
        <v>0</v>
      </c>
      <c r="AL134" s="427">
        <v>0</v>
      </c>
      <c r="AM134" s="427">
        <v>0</v>
      </c>
      <c r="AN134" s="427">
        <v>0</v>
      </c>
      <c r="AO134" s="427">
        <v>0</v>
      </c>
      <c r="AP134" s="427">
        <v>0</v>
      </c>
      <c r="AQ134" s="427">
        <v>0</v>
      </c>
      <c r="AR134" s="427">
        <v>0</v>
      </c>
      <c r="AS134" s="427">
        <v>0</v>
      </c>
      <c r="AT134" s="427">
        <v>0</v>
      </c>
      <c r="AU134" s="427">
        <v>0</v>
      </c>
      <c r="AV134" s="427">
        <v>0</v>
      </c>
      <c r="AW134" s="427">
        <v>0</v>
      </c>
      <c r="AX134" s="427">
        <v>0</v>
      </c>
      <c r="AY134" s="427">
        <v>0</v>
      </c>
      <c r="AZ134" s="427">
        <v>0</v>
      </c>
      <c r="BA134" s="427">
        <v>0</v>
      </c>
      <c r="BB134" s="427">
        <v>0</v>
      </c>
      <c r="BC134" s="427">
        <v>0</v>
      </c>
      <c r="BD134" s="427">
        <v>0</v>
      </c>
      <c r="BE134" s="427">
        <v>0</v>
      </c>
      <c r="BF134" s="427">
        <v>0</v>
      </c>
      <c r="BG134" s="427">
        <v>0</v>
      </c>
      <c r="BH134" s="427">
        <v>0</v>
      </c>
      <c r="BI134" s="427">
        <v>0</v>
      </c>
      <c r="BJ134" s="427">
        <v>0</v>
      </c>
      <c r="BK134" s="427">
        <v>0</v>
      </c>
      <c r="BL134" s="427">
        <v>0</v>
      </c>
      <c r="BM134" s="427">
        <v>0</v>
      </c>
      <c r="BN134" s="427">
        <v>0</v>
      </c>
      <c r="BO134" s="427">
        <v>0</v>
      </c>
      <c r="BP134" s="427">
        <v>0</v>
      </c>
      <c r="BQ134" s="427">
        <v>0</v>
      </c>
      <c r="BR134" s="427">
        <v>0</v>
      </c>
      <c r="BS134" s="427">
        <v>0</v>
      </c>
      <c r="BT134" s="427">
        <v>0</v>
      </c>
      <c r="BU134" s="427">
        <v>0</v>
      </c>
      <c r="BV134" s="427">
        <v>0</v>
      </c>
      <c r="BW134" s="427">
        <v>0</v>
      </c>
      <c r="BX134" s="427">
        <v>0</v>
      </c>
      <c r="BY134" s="427">
        <v>0</v>
      </c>
      <c r="BZ134" s="427">
        <v>0</v>
      </c>
      <c r="CC134" s="21"/>
      <c r="CD134" s="415" t="s">
        <v>674</v>
      </c>
      <c r="CE134" s="433">
        <f t="shared" si="15"/>
        <v>0</v>
      </c>
      <c r="CF134" s="433">
        <f t="shared" si="16"/>
        <v>0</v>
      </c>
      <c r="CG134" s="433">
        <f t="shared" si="17"/>
        <v>0</v>
      </c>
      <c r="CH134" s="433">
        <f t="shared" si="18"/>
        <v>0</v>
      </c>
      <c r="CI134" s="433">
        <f t="shared" si="19"/>
        <v>0</v>
      </c>
      <c r="CJ134" s="433">
        <f t="shared" si="20"/>
        <v>0</v>
      </c>
      <c r="CK134" s="433">
        <f t="shared" si="21"/>
        <v>0</v>
      </c>
      <c r="CL134" s="433">
        <f t="shared" si="22"/>
        <v>0</v>
      </c>
      <c r="CM134" s="433">
        <f t="shared" si="23"/>
        <v>0</v>
      </c>
      <c r="CN134" s="433">
        <f t="shared" si="24"/>
        <v>0</v>
      </c>
      <c r="CO134" s="433">
        <f t="shared" si="25"/>
        <v>0</v>
      </c>
      <c r="CP134" s="433">
        <f t="shared" si="26"/>
        <v>0</v>
      </c>
      <c r="CQ134" s="433">
        <f t="shared" si="27"/>
        <v>0</v>
      </c>
      <c r="CR134" s="433">
        <f t="shared" si="28"/>
        <v>0</v>
      </c>
      <c r="CS134" s="433">
        <f t="shared" si="29"/>
        <v>0</v>
      </c>
      <c r="CT134" s="21"/>
    </row>
    <row r="135" spans="3:98" ht="24.75" hidden="1" customHeight="1" outlineLevel="1">
      <c r="C135" s="424" t="s">
        <v>678</v>
      </c>
      <c r="D135" s="427">
        <v>0</v>
      </c>
      <c r="E135" s="427">
        <v>0</v>
      </c>
      <c r="F135" s="427">
        <v>0</v>
      </c>
      <c r="G135" s="427">
        <v>0</v>
      </c>
      <c r="H135" s="427">
        <v>0</v>
      </c>
      <c r="I135" s="427">
        <v>0</v>
      </c>
      <c r="J135" s="427">
        <v>0</v>
      </c>
      <c r="K135" s="427">
        <v>0</v>
      </c>
      <c r="L135" s="427">
        <v>0</v>
      </c>
      <c r="M135" s="427">
        <v>0</v>
      </c>
      <c r="N135" s="427">
        <v>0</v>
      </c>
      <c r="O135" s="427">
        <v>0</v>
      </c>
      <c r="P135" s="427">
        <v>0</v>
      </c>
      <c r="Q135" s="427">
        <v>0</v>
      </c>
      <c r="R135" s="427">
        <v>0</v>
      </c>
      <c r="S135" s="427">
        <v>0</v>
      </c>
      <c r="T135" s="427">
        <v>0</v>
      </c>
      <c r="U135" s="427">
        <v>0</v>
      </c>
      <c r="V135" s="427">
        <v>0</v>
      </c>
      <c r="W135" s="427">
        <v>0</v>
      </c>
      <c r="X135" s="427">
        <v>0</v>
      </c>
      <c r="Y135" s="427">
        <v>0</v>
      </c>
      <c r="Z135" s="427">
        <v>0</v>
      </c>
      <c r="AA135" s="427">
        <v>0</v>
      </c>
      <c r="AB135" s="427">
        <v>0</v>
      </c>
      <c r="AC135" s="427">
        <v>0</v>
      </c>
      <c r="AD135" s="427">
        <v>0</v>
      </c>
      <c r="AE135" s="427">
        <v>0</v>
      </c>
      <c r="AF135" s="427">
        <v>0</v>
      </c>
      <c r="AG135" s="427">
        <v>0</v>
      </c>
      <c r="AH135" s="427">
        <v>0</v>
      </c>
      <c r="AI135" s="427">
        <v>0</v>
      </c>
      <c r="AJ135" s="427">
        <v>0</v>
      </c>
      <c r="AK135" s="427">
        <v>0</v>
      </c>
      <c r="AL135" s="427">
        <v>0</v>
      </c>
      <c r="AM135" s="427">
        <v>0</v>
      </c>
      <c r="AN135" s="427">
        <v>0</v>
      </c>
      <c r="AO135" s="427">
        <v>0</v>
      </c>
      <c r="AP135" s="427">
        <v>0</v>
      </c>
      <c r="AQ135" s="427">
        <v>0</v>
      </c>
      <c r="AR135" s="427">
        <v>0</v>
      </c>
      <c r="AS135" s="427">
        <v>0</v>
      </c>
      <c r="AT135" s="427">
        <v>0</v>
      </c>
      <c r="AU135" s="427">
        <v>0</v>
      </c>
      <c r="AV135" s="427">
        <v>0</v>
      </c>
      <c r="AW135" s="427">
        <v>0</v>
      </c>
      <c r="AX135" s="427">
        <v>0</v>
      </c>
      <c r="AY135" s="427">
        <v>0</v>
      </c>
      <c r="AZ135" s="427">
        <v>0</v>
      </c>
      <c r="BA135" s="427">
        <v>0</v>
      </c>
      <c r="BB135" s="427">
        <v>0</v>
      </c>
      <c r="BC135" s="427">
        <v>0</v>
      </c>
      <c r="BD135" s="427">
        <v>0</v>
      </c>
      <c r="BE135" s="427">
        <v>0</v>
      </c>
      <c r="BF135" s="427">
        <v>-279.20400000000001</v>
      </c>
      <c r="BG135" s="427">
        <v>-62.408000000000001</v>
      </c>
      <c r="BH135" s="427">
        <v>-72.698999999999998</v>
      </c>
      <c r="BI135" s="427">
        <v>-144.22800000000001</v>
      </c>
      <c r="BJ135" s="427">
        <v>-259.07400000000001</v>
      </c>
      <c r="BK135" s="427">
        <v>-538.40899999999999</v>
      </c>
      <c r="BL135" s="427">
        <v>-562.21500000000003</v>
      </c>
      <c r="BM135" s="427">
        <v>-577.28099999999995</v>
      </c>
      <c r="BN135" s="427">
        <v>-590.71299999999997</v>
      </c>
      <c r="BO135" s="427">
        <v>-1605.39</v>
      </c>
      <c r="BP135" s="427">
        <v>-3335.5990000000002</v>
      </c>
      <c r="BQ135" s="427">
        <v>-896.923</v>
      </c>
      <c r="BR135" s="427">
        <v>-354.89699999999999</v>
      </c>
      <c r="BS135" s="427">
        <v>-145.58500000000001</v>
      </c>
      <c r="BT135" s="427">
        <v>-65.674999999999997</v>
      </c>
      <c r="BU135" s="427">
        <v>-1463.08</v>
      </c>
      <c r="BV135" s="427">
        <v>-99.019000000000005</v>
      </c>
      <c r="BW135" s="427">
        <v>-48.192</v>
      </c>
      <c r="BX135" s="427">
        <v>-55.414000000000001</v>
      </c>
      <c r="BY135" s="427">
        <v>0</v>
      </c>
      <c r="BZ135" s="427">
        <v>0</v>
      </c>
      <c r="CC135" s="21"/>
      <c r="CD135" s="424" t="s">
        <v>678</v>
      </c>
      <c r="CE135" s="433">
        <f t="shared" si="15"/>
        <v>0</v>
      </c>
      <c r="CF135" s="433">
        <f t="shared" si="16"/>
        <v>0</v>
      </c>
      <c r="CG135" s="433">
        <f t="shared" si="17"/>
        <v>0</v>
      </c>
      <c r="CH135" s="433">
        <f t="shared" si="18"/>
        <v>0</v>
      </c>
      <c r="CI135" s="433">
        <f t="shared" si="19"/>
        <v>0</v>
      </c>
      <c r="CJ135" s="433">
        <f t="shared" si="20"/>
        <v>0</v>
      </c>
      <c r="CK135" s="433">
        <f t="shared" si="21"/>
        <v>0</v>
      </c>
      <c r="CL135" s="433">
        <f t="shared" si="22"/>
        <v>0</v>
      </c>
      <c r="CM135" s="433">
        <f t="shared" si="23"/>
        <v>0</v>
      </c>
      <c r="CN135" s="433">
        <f t="shared" si="24"/>
        <v>0</v>
      </c>
      <c r="CO135" s="433">
        <f t="shared" si="25"/>
        <v>-279.20400000000001</v>
      </c>
      <c r="CP135" s="433">
        <f t="shared" si="26"/>
        <v>-538.40899999999999</v>
      </c>
      <c r="CQ135" s="433">
        <f t="shared" si="27"/>
        <v>-3335.5990000000002</v>
      </c>
      <c r="CR135" s="433">
        <f t="shared" si="28"/>
        <v>-1463.08</v>
      </c>
      <c r="CS135" s="433">
        <f t="shared" si="29"/>
        <v>0</v>
      </c>
      <c r="CT135" s="21"/>
    </row>
    <row r="136" spans="3:98" ht="24.75" hidden="1" customHeight="1" outlineLevel="1">
      <c r="C136" s="424" t="s">
        <v>679</v>
      </c>
      <c r="D136" s="427">
        <v>0</v>
      </c>
      <c r="E136" s="427">
        <v>0</v>
      </c>
      <c r="F136" s="427">
        <v>0</v>
      </c>
      <c r="G136" s="427">
        <v>0</v>
      </c>
      <c r="H136" s="427">
        <v>0</v>
      </c>
      <c r="I136" s="427">
        <v>0</v>
      </c>
      <c r="J136" s="427">
        <v>0</v>
      </c>
      <c r="K136" s="427">
        <v>0</v>
      </c>
      <c r="L136" s="427">
        <v>0</v>
      </c>
      <c r="M136" s="427">
        <v>0</v>
      </c>
      <c r="N136" s="427">
        <v>0</v>
      </c>
      <c r="O136" s="427">
        <v>0</v>
      </c>
      <c r="P136" s="427">
        <v>0</v>
      </c>
      <c r="Q136" s="427">
        <v>0</v>
      </c>
      <c r="R136" s="427">
        <v>0</v>
      </c>
      <c r="S136" s="427">
        <v>0</v>
      </c>
      <c r="T136" s="427">
        <v>0</v>
      </c>
      <c r="U136" s="427">
        <v>0</v>
      </c>
      <c r="V136" s="427">
        <v>0</v>
      </c>
      <c r="W136" s="427">
        <v>0</v>
      </c>
      <c r="X136" s="427">
        <v>0</v>
      </c>
      <c r="Y136" s="427">
        <v>0</v>
      </c>
      <c r="Z136" s="427">
        <v>0</v>
      </c>
      <c r="AA136" s="427">
        <v>0</v>
      </c>
      <c r="AB136" s="427">
        <v>0</v>
      </c>
      <c r="AC136" s="427">
        <v>0</v>
      </c>
      <c r="AD136" s="427">
        <v>0</v>
      </c>
      <c r="AE136" s="427">
        <v>0</v>
      </c>
      <c r="AF136" s="427">
        <v>0</v>
      </c>
      <c r="AG136" s="427">
        <v>0</v>
      </c>
      <c r="AH136" s="427">
        <v>0</v>
      </c>
      <c r="AI136" s="427">
        <v>0</v>
      </c>
      <c r="AJ136" s="427">
        <v>0</v>
      </c>
      <c r="AK136" s="427">
        <v>0</v>
      </c>
      <c r="AL136" s="427">
        <v>0</v>
      </c>
      <c r="AM136" s="427">
        <v>0</v>
      </c>
      <c r="AN136" s="427">
        <v>0</v>
      </c>
      <c r="AO136" s="427">
        <v>0</v>
      </c>
      <c r="AP136" s="427">
        <v>0</v>
      </c>
      <c r="AQ136" s="427">
        <v>0</v>
      </c>
      <c r="AR136" s="427">
        <v>0</v>
      </c>
      <c r="AS136" s="427">
        <v>0</v>
      </c>
      <c r="AT136" s="427">
        <v>0</v>
      </c>
      <c r="AU136" s="427">
        <v>0</v>
      </c>
      <c r="AV136" s="427">
        <v>0</v>
      </c>
      <c r="AW136" s="427">
        <v>0</v>
      </c>
      <c r="AX136" s="427">
        <v>0</v>
      </c>
      <c r="AY136" s="427">
        <v>0</v>
      </c>
      <c r="AZ136" s="427">
        <v>0</v>
      </c>
      <c r="BA136" s="427">
        <v>0</v>
      </c>
      <c r="BB136" s="427">
        <v>0</v>
      </c>
      <c r="BC136" s="427">
        <v>0</v>
      </c>
      <c r="BD136" s="427">
        <v>0</v>
      </c>
      <c r="BE136" s="427">
        <v>0</v>
      </c>
      <c r="BF136" s="427">
        <v>273.11599999999999</v>
      </c>
      <c r="BG136" s="427">
        <v>61.186999999999998</v>
      </c>
      <c r="BH136" s="427">
        <v>81.308999999999997</v>
      </c>
      <c r="BI136" s="427">
        <v>146.852</v>
      </c>
      <c r="BJ136" s="427">
        <v>285.07</v>
      </c>
      <c r="BK136" s="427">
        <v>574.41800000000001</v>
      </c>
      <c r="BL136" s="427">
        <v>545.18799999999999</v>
      </c>
      <c r="BM136" s="427">
        <v>392.28399999999999</v>
      </c>
      <c r="BN136" s="427">
        <v>331.32900000000001</v>
      </c>
      <c r="BO136" s="427">
        <v>1310.3900000000001</v>
      </c>
      <c r="BP136" s="427">
        <v>2579.1909999999998</v>
      </c>
      <c r="BQ136" s="427">
        <v>401.62400000000002</v>
      </c>
      <c r="BR136" s="427">
        <v>361.09899999999999</v>
      </c>
      <c r="BS136" s="427">
        <v>132.92099999999999</v>
      </c>
      <c r="BT136" s="427">
        <v>75.091999999999999</v>
      </c>
      <c r="BU136" s="427">
        <v>970.73599999999999</v>
      </c>
      <c r="BV136" s="427">
        <v>111.705</v>
      </c>
      <c r="BW136" s="427">
        <v>77.453999999999994</v>
      </c>
      <c r="BX136" s="427">
        <v>79.149000000000001</v>
      </c>
      <c r="BY136" s="427">
        <v>0</v>
      </c>
      <c r="BZ136" s="427">
        <v>0</v>
      </c>
      <c r="CC136" s="21"/>
      <c r="CD136" s="424" t="s">
        <v>679</v>
      </c>
      <c r="CE136" s="433">
        <f t="shared" ref="CE136:CE198" si="30">H136</f>
        <v>0</v>
      </c>
      <c r="CF136" s="433">
        <f t="shared" ref="CF136:CF198" si="31">M136</f>
        <v>0</v>
      </c>
      <c r="CG136" s="433">
        <f t="shared" ref="CG136:CG198" si="32">R136</f>
        <v>0</v>
      </c>
      <c r="CH136" s="433">
        <f t="shared" ref="CH136:CH198" si="33">W136</f>
        <v>0</v>
      </c>
      <c r="CI136" s="433">
        <f t="shared" ref="CI136:CI198" si="34">AB136</f>
        <v>0</v>
      </c>
      <c r="CJ136" s="433">
        <f t="shared" ref="CJ136:CJ198" si="35">AG136</f>
        <v>0</v>
      </c>
      <c r="CK136" s="433">
        <f t="shared" ref="CK136:CK198" si="36">AL136</f>
        <v>0</v>
      </c>
      <c r="CL136" s="433">
        <f t="shared" ref="CL136:CL198" si="37">AQ136</f>
        <v>0</v>
      </c>
      <c r="CM136" s="433">
        <f t="shared" ref="CM136:CM198" si="38">AV136</f>
        <v>0</v>
      </c>
      <c r="CN136" s="433">
        <f t="shared" ref="CN136:CN198" si="39">BA136</f>
        <v>0</v>
      </c>
      <c r="CO136" s="433">
        <f t="shared" ref="CO136:CO198" si="40">BF136</f>
        <v>273.11599999999999</v>
      </c>
      <c r="CP136" s="433">
        <f t="shared" ref="CP136:CP198" si="41">BK136</f>
        <v>574.41800000000001</v>
      </c>
      <c r="CQ136" s="433">
        <f t="shared" ref="CQ136:CQ198" si="42">BP136</f>
        <v>2579.1909999999998</v>
      </c>
      <c r="CR136" s="433">
        <f t="shared" ref="CR136:CR198" si="43">BU136</f>
        <v>970.73599999999999</v>
      </c>
      <c r="CS136" s="433">
        <f t="shared" ref="CS136:CS198" si="44">BZ136</f>
        <v>0</v>
      </c>
      <c r="CT136" s="21"/>
    </row>
    <row r="137" spans="3:98" ht="24.75" customHeight="1" collapsed="1">
      <c r="C137" s="415" t="s">
        <v>677</v>
      </c>
      <c r="D137" s="427">
        <v>0</v>
      </c>
      <c r="E137" s="427">
        <v>0</v>
      </c>
      <c r="F137" s="427">
        <v>0</v>
      </c>
      <c r="G137" s="427">
        <v>0</v>
      </c>
      <c r="H137" s="427">
        <v>0</v>
      </c>
      <c r="I137" s="427">
        <v>0</v>
      </c>
      <c r="J137" s="427">
        <v>0</v>
      </c>
      <c r="K137" s="427">
        <v>0</v>
      </c>
      <c r="L137" s="427">
        <v>0</v>
      </c>
      <c r="M137" s="427">
        <v>0</v>
      </c>
      <c r="N137" s="427">
        <v>0</v>
      </c>
      <c r="O137" s="427">
        <v>0</v>
      </c>
      <c r="P137" s="427">
        <v>0</v>
      </c>
      <c r="Q137" s="427">
        <v>0</v>
      </c>
      <c r="R137" s="427">
        <v>0</v>
      </c>
      <c r="S137" s="427">
        <v>0</v>
      </c>
      <c r="T137" s="427">
        <v>0</v>
      </c>
      <c r="U137" s="427">
        <v>0</v>
      </c>
      <c r="V137" s="427">
        <v>0</v>
      </c>
      <c r="W137" s="427">
        <v>0</v>
      </c>
      <c r="X137" s="427">
        <v>0</v>
      </c>
      <c r="Y137" s="427">
        <v>0</v>
      </c>
      <c r="Z137" s="427">
        <v>0</v>
      </c>
      <c r="AA137" s="427">
        <v>0</v>
      </c>
      <c r="AB137" s="427">
        <v>0</v>
      </c>
      <c r="AC137" s="427">
        <v>0</v>
      </c>
      <c r="AD137" s="427">
        <v>0</v>
      </c>
      <c r="AE137" s="427">
        <v>0</v>
      </c>
      <c r="AF137" s="427">
        <v>0</v>
      </c>
      <c r="AG137" s="427">
        <v>0</v>
      </c>
      <c r="AH137" s="427">
        <v>0</v>
      </c>
      <c r="AI137" s="427">
        <v>0</v>
      </c>
      <c r="AJ137" s="427">
        <v>0</v>
      </c>
      <c r="AK137" s="427">
        <v>0</v>
      </c>
      <c r="AL137" s="427">
        <v>0</v>
      </c>
      <c r="AM137" s="427">
        <v>0</v>
      </c>
      <c r="AN137" s="427">
        <v>0</v>
      </c>
      <c r="AO137" s="427">
        <v>0</v>
      </c>
      <c r="AP137" s="427">
        <v>0</v>
      </c>
      <c r="AQ137" s="427">
        <v>0</v>
      </c>
      <c r="AR137" s="427">
        <v>0</v>
      </c>
      <c r="AS137" s="427">
        <v>0</v>
      </c>
      <c r="AT137" s="427">
        <v>0</v>
      </c>
      <c r="AU137" s="427">
        <v>0</v>
      </c>
      <c r="AV137" s="427">
        <v>0</v>
      </c>
      <c r="AW137" s="427">
        <v>0</v>
      </c>
      <c r="AX137" s="427">
        <v>0</v>
      </c>
      <c r="AY137" s="427">
        <v>0</v>
      </c>
      <c r="AZ137" s="427">
        <v>0</v>
      </c>
      <c r="BA137" s="427">
        <v>0</v>
      </c>
      <c r="BB137" s="427">
        <v>0</v>
      </c>
      <c r="BC137" s="427">
        <v>0</v>
      </c>
      <c r="BD137" s="427">
        <v>0</v>
      </c>
      <c r="BE137" s="427">
        <v>0</v>
      </c>
      <c r="BF137" s="427">
        <v>-6.0880000000000001</v>
      </c>
      <c r="BG137" s="427">
        <v>-1.2210000000000001</v>
      </c>
      <c r="BH137" s="427">
        <v>8.61</v>
      </c>
      <c r="BI137" s="427">
        <v>2.6240000000000001</v>
      </c>
      <c r="BJ137" s="427">
        <v>25.995999999999999</v>
      </c>
      <c r="BK137" s="427">
        <v>36.009</v>
      </c>
      <c r="BL137" s="427">
        <v>-17.027000000000001</v>
      </c>
      <c r="BM137" s="427">
        <v>-184.99700000000001</v>
      </c>
      <c r="BN137" s="427">
        <v>-259.38400000000001</v>
      </c>
      <c r="BO137" s="427">
        <v>-295</v>
      </c>
      <c r="BP137" s="427">
        <v>-756.40800000000002</v>
      </c>
      <c r="BQ137" s="427">
        <v>-495.29899999999998</v>
      </c>
      <c r="BR137" s="427">
        <v>6.202</v>
      </c>
      <c r="BS137" s="427">
        <v>-12.664</v>
      </c>
      <c r="BT137" s="427">
        <v>9.4169999999999998</v>
      </c>
      <c r="BU137" s="427">
        <v>-492.34399999999999</v>
      </c>
      <c r="BV137" s="427">
        <v>12.686</v>
      </c>
      <c r="BW137" s="427">
        <v>29.262</v>
      </c>
      <c r="BX137" s="427">
        <v>23.734999999999999</v>
      </c>
      <c r="BY137" s="427">
        <v>0</v>
      </c>
      <c r="BZ137" s="427">
        <v>0</v>
      </c>
      <c r="CC137" s="21"/>
      <c r="CD137" s="415" t="s">
        <v>677</v>
      </c>
      <c r="CE137" s="433">
        <f t="shared" si="30"/>
        <v>0</v>
      </c>
      <c r="CF137" s="433">
        <f t="shared" si="31"/>
        <v>0</v>
      </c>
      <c r="CG137" s="433">
        <f t="shared" si="32"/>
        <v>0</v>
      </c>
      <c r="CH137" s="433">
        <f t="shared" si="33"/>
        <v>0</v>
      </c>
      <c r="CI137" s="433">
        <f t="shared" si="34"/>
        <v>0</v>
      </c>
      <c r="CJ137" s="433">
        <f t="shared" si="35"/>
        <v>0</v>
      </c>
      <c r="CK137" s="433">
        <f t="shared" si="36"/>
        <v>0</v>
      </c>
      <c r="CL137" s="433">
        <f t="shared" si="37"/>
        <v>0</v>
      </c>
      <c r="CM137" s="433">
        <f t="shared" si="38"/>
        <v>0</v>
      </c>
      <c r="CN137" s="433">
        <f t="shared" si="39"/>
        <v>0</v>
      </c>
      <c r="CO137" s="433">
        <f t="shared" si="40"/>
        <v>-6.0880000000000001</v>
      </c>
      <c r="CP137" s="433">
        <f t="shared" si="41"/>
        <v>36.009</v>
      </c>
      <c r="CQ137" s="433">
        <f t="shared" si="42"/>
        <v>-756.40800000000002</v>
      </c>
      <c r="CR137" s="433">
        <f t="shared" si="43"/>
        <v>-492.34399999999999</v>
      </c>
      <c r="CS137" s="433">
        <f t="shared" si="44"/>
        <v>0</v>
      </c>
      <c r="CT137" s="21"/>
    </row>
    <row r="138" spans="3:98" ht="24.75" hidden="1" customHeight="1" outlineLevel="1" collapsed="1">
      <c r="C138" s="424" t="s">
        <v>681</v>
      </c>
      <c r="D138" s="427">
        <v>0</v>
      </c>
      <c r="E138" s="427">
        <v>0</v>
      </c>
      <c r="F138" s="427">
        <v>0</v>
      </c>
      <c r="G138" s="427">
        <v>0</v>
      </c>
      <c r="H138" s="427">
        <v>0</v>
      </c>
      <c r="I138" s="427">
        <v>0</v>
      </c>
      <c r="J138" s="427">
        <v>0</v>
      </c>
      <c r="K138" s="427">
        <v>0</v>
      </c>
      <c r="L138" s="427">
        <v>0</v>
      </c>
      <c r="M138" s="427">
        <v>0</v>
      </c>
      <c r="N138" s="427">
        <v>0</v>
      </c>
      <c r="O138" s="427">
        <v>0</v>
      </c>
      <c r="P138" s="427">
        <v>0</v>
      </c>
      <c r="Q138" s="427">
        <v>0</v>
      </c>
      <c r="R138" s="427">
        <v>0</v>
      </c>
      <c r="S138" s="427">
        <v>0</v>
      </c>
      <c r="T138" s="427">
        <v>0</v>
      </c>
      <c r="U138" s="427">
        <v>0</v>
      </c>
      <c r="V138" s="427">
        <v>0</v>
      </c>
      <c r="W138" s="427">
        <v>0</v>
      </c>
      <c r="X138" s="427">
        <v>0</v>
      </c>
      <c r="Y138" s="427">
        <v>0</v>
      </c>
      <c r="Z138" s="427">
        <v>0</v>
      </c>
      <c r="AA138" s="427">
        <v>0</v>
      </c>
      <c r="AB138" s="427">
        <v>0</v>
      </c>
      <c r="AC138" s="427">
        <v>0</v>
      </c>
      <c r="AD138" s="427">
        <v>0</v>
      </c>
      <c r="AE138" s="427">
        <v>0</v>
      </c>
      <c r="AF138" s="427">
        <v>0</v>
      </c>
      <c r="AG138" s="427">
        <v>0</v>
      </c>
      <c r="AH138" s="427">
        <v>0</v>
      </c>
      <c r="AI138" s="427">
        <v>0</v>
      </c>
      <c r="AJ138" s="427">
        <v>0</v>
      </c>
      <c r="AK138" s="427">
        <v>0</v>
      </c>
      <c r="AL138" s="427">
        <v>0</v>
      </c>
      <c r="AM138" s="427">
        <v>0</v>
      </c>
      <c r="AN138" s="427">
        <v>0</v>
      </c>
      <c r="AO138" s="427">
        <v>0</v>
      </c>
      <c r="AP138" s="427">
        <v>0</v>
      </c>
      <c r="AQ138" s="427">
        <v>0</v>
      </c>
      <c r="AR138" s="427">
        <v>0</v>
      </c>
      <c r="AS138" s="427">
        <v>0</v>
      </c>
      <c r="AT138" s="427">
        <v>0</v>
      </c>
      <c r="AU138" s="427">
        <v>0</v>
      </c>
      <c r="AV138" s="427">
        <v>0</v>
      </c>
      <c r="AW138" s="427">
        <v>0</v>
      </c>
      <c r="AX138" s="427">
        <v>0</v>
      </c>
      <c r="AY138" s="427">
        <v>0</v>
      </c>
      <c r="AZ138" s="427">
        <v>0</v>
      </c>
      <c r="BA138" s="427">
        <v>0</v>
      </c>
      <c r="BB138" s="427">
        <v>0</v>
      </c>
      <c r="BC138" s="427">
        <v>0</v>
      </c>
      <c r="BD138" s="427">
        <v>0</v>
      </c>
      <c r="BE138" s="427">
        <v>0</v>
      </c>
      <c r="BF138" s="427">
        <v>-55.389000000000003</v>
      </c>
      <c r="BG138" s="427">
        <v>0</v>
      </c>
      <c r="BH138" s="427">
        <v>0</v>
      </c>
      <c r="BI138" s="427">
        <v>0</v>
      </c>
      <c r="BJ138" s="427">
        <v>0</v>
      </c>
      <c r="BK138" s="427">
        <v>0</v>
      </c>
      <c r="BL138" s="427">
        <v>0</v>
      </c>
      <c r="BM138" s="427">
        <v>0</v>
      </c>
      <c r="BN138" s="427">
        <v>0</v>
      </c>
      <c r="BO138" s="427">
        <v>0</v>
      </c>
      <c r="BP138" s="427">
        <v>0</v>
      </c>
      <c r="BQ138" s="427">
        <v>0</v>
      </c>
      <c r="BR138" s="427">
        <v>0</v>
      </c>
      <c r="BS138" s="427">
        <v>0</v>
      </c>
      <c r="BT138" s="427">
        <v>0</v>
      </c>
      <c r="BU138" s="427">
        <v>0</v>
      </c>
      <c r="BV138" s="427">
        <v>0</v>
      </c>
      <c r="BW138" s="427">
        <v>0</v>
      </c>
      <c r="BX138" s="427">
        <v>0</v>
      </c>
      <c r="BY138" s="427">
        <v>0</v>
      </c>
      <c r="BZ138" s="427">
        <v>0</v>
      </c>
      <c r="CC138" s="21"/>
      <c r="CD138" s="424" t="s">
        <v>681</v>
      </c>
      <c r="CE138" s="433">
        <f t="shared" si="30"/>
        <v>0</v>
      </c>
      <c r="CF138" s="433">
        <f t="shared" si="31"/>
        <v>0</v>
      </c>
      <c r="CG138" s="433">
        <f t="shared" si="32"/>
        <v>0</v>
      </c>
      <c r="CH138" s="433">
        <f t="shared" si="33"/>
        <v>0</v>
      </c>
      <c r="CI138" s="433">
        <f t="shared" si="34"/>
        <v>0</v>
      </c>
      <c r="CJ138" s="433">
        <f t="shared" si="35"/>
        <v>0</v>
      </c>
      <c r="CK138" s="433">
        <f t="shared" si="36"/>
        <v>0</v>
      </c>
      <c r="CL138" s="433">
        <f t="shared" si="37"/>
        <v>0</v>
      </c>
      <c r="CM138" s="433">
        <f t="shared" si="38"/>
        <v>0</v>
      </c>
      <c r="CN138" s="433">
        <f t="shared" si="39"/>
        <v>0</v>
      </c>
      <c r="CO138" s="433">
        <f t="shared" si="40"/>
        <v>-55.389000000000003</v>
      </c>
      <c r="CP138" s="433">
        <f t="shared" si="41"/>
        <v>0</v>
      </c>
      <c r="CQ138" s="433">
        <f t="shared" si="42"/>
        <v>0</v>
      </c>
      <c r="CR138" s="433">
        <f t="shared" si="43"/>
        <v>0</v>
      </c>
      <c r="CS138" s="433">
        <f t="shared" si="44"/>
        <v>0</v>
      </c>
      <c r="CT138" s="21"/>
    </row>
    <row r="139" spans="3:98" ht="24.75" hidden="1" customHeight="1" outlineLevel="1">
      <c r="C139" s="424" t="s">
        <v>682</v>
      </c>
      <c r="D139" s="427">
        <v>0</v>
      </c>
      <c r="E139" s="427">
        <v>0</v>
      </c>
      <c r="F139" s="427">
        <v>0</v>
      </c>
      <c r="G139" s="427">
        <v>0</v>
      </c>
      <c r="H139" s="427">
        <v>0</v>
      </c>
      <c r="I139" s="427">
        <v>0</v>
      </c>
      <c r="J139" s="427">
        <v>0</v>
      </c>
      <c r="K139" s="427">
        <v>0</v>
      </c>
      <c r="L139" s="427">
        <v>0</v>
      </c>
      <c r="M139" s="427">
        <v>0</v>
      </c>
      <c r="N139" s="427">
        <v>0</v>
      </c>
      <c r="O139" s="427">
        <v>0</v>
      </c>
      <c r="P139" s="427">
        <v>0</v>
      </c>
      <c r="Q139" s="427">
        <v>0</v>
      </c>
      <c r="R139" s="427">
        <v>0</v>
      </c>
      <c r="S139" s="427">
        <v>0</v>
      </c>
      <c r="T139" s="427">
        <v>0</v>
      </c>
      <c r="U139" s="427">
        <v>0</v>
      </c>
      <c r="V139" s="427">
        <v>0</v>
      </c>
      <c r="W139" s="427">
        <v>0</v>
      </c>
      <c r="X139" s="427">
        <v>0</v>
      </c>
      <c r="Y139" s="427">
        <v>0</v>
      </c>
      <c r="Z139" s="427">
        <v>0</v>
      </c>
      <c r="AA139" s="427">
        <v>0</v>
      </c>
      <c r="AB139" s="427">
        <v>0</v>
      </c>
      <c r="AC139" s="427">
        <v>0</v>
      </c>
      <c r="AD139" s="427">
        <v>0</v>
      </c>
      <c r="AE139" s="427">
        <v>0</v>
      </c>
      <c r="AF139" s="427">
        <v>0</v>
      </c>
      <c r="AG139" s="427">
        <v>0</v>
      </c>
      <c r="AH139" s="427">
        <v>0</v>
      </c>
      <c r="AI139" s="427">
        <v>0</v>
      </c>
      <c r="AJ139" s="427">
        <v>0</v>
      </c>
      <c r="AK139" s="427">
        <v>0</v>
      </c>
      <c r="AL139" s="427">
        <v>0</v>
      </c>
      <c r="AM139" s="427">
        <v>0</v>
      </c>
      <c r="AN139" s="427">
        <v>0</v>
      </c>
      <c r="AO139" s="427">
        <v>0</v>
      </c>
      <c r="AP139" s="427">
        <v>0</v>
      </c>
      <c r="AQ139" s="427">
        <v>0</v>
      </c>
      <c r="AR139" s="427">
        <v>0</v>
      </c>
      <c r="AS139" s="427">
        <v>0</v>
      </c>
      <c r="AT139" s="427">
        <v>0</v>
      </c>
      <c r="AU139" s="427">
        <v>0</v>
      </c>
      <c r="AV139" s="427">
        <v>0</v>
      </c>
      <c r="AW139" s="427">
        <v>0</v>
      </c>
      <c r="AX139" s="427">
        <v>0</v>
      </c>
      <c r="AY139" s="427">
        <v>0</v>
      </c>
      <c r="AZ139" s="427">
        <v>0</v>
      </c>
      <c r="BA139" s="427">
        <v>0</v>
      </c>
      <c r="BB139" s="427">
        <v>0</v>
      </c>
      <c r="BC139" s="427">
        <v>0</v>
      </c>
      <c r="BD139" s="427">
        <v>0</v>
      </c>
      <c r="BE139" s="427">
        <v>0</v>
      </c>
      <c r="BF139" s="427">
        <v>0</v>
      </c>
      <c r="BG139" s="427">
        <v>0</v>
      </c>
      <c r="BH139" s="427">
        <v>0</v>
      </c>
      <c r="BI139" s="427">
        <v>0</v>
      </c>
      <c r="BJ139" s="427">
        <v>0</v>
      </c>
      <c r="BK139" s="427">
        <v>0</v>
      </c>
      <c r="BL139" s="427">
        <v>0</v>
      </c>
      <c r="BM139" s="427">
        <v>0</v>
      </c>
      <c r="BN139" s="427">
        <v>0</v>
      </c>
      <c r="BO139" s="427">
        <v>0</v>
      </c>
      <c r="BP139" s="427">
        <v>0</v>
      </c>
      <c r="BQ139" s="427">
        <v>0</v>
      </c>
      <c r="BR139" s="427">
        <v>0</v>
      </c>
      <c r="BS139" s="427">
        <v>0</v>
      </c>
      <c r="BT139" s="427">
        <v>0</v>
      </c>
      <c r="BU139" s="427">
        <v>0</v>
      </c>
      <c r="BV139" s="427">
        <v>0</v>
      </c>
      <c r="BW139" s="427">
        <v>0</v>
      </c>
      <c r="BX139" s="427">
        <v>0</v>
      </c>
      <c r="BY139" s="427">
        <v>0</v>
      </c>
      <c r="BZ139" s="427">
        <v>0</v>
      </c>
      <c r="CC139" s="21"/>
      <c r="CD139" s="424" t="s">
        <v>682</v>
      </c>
      <c r="CE139" s="433">
        <f t="shared" si="30"/>
        <v>0</v>
      </c>
      <c r="CF139" s="433">
        <f t="shared" si="31"/>
        <v>0</v>
      </c>
      <c r="CG139" s="433">
        <f t="shared" si="32"/>
        <v>0</v>
      </c>
      <c r="CH139" s="433">
        <f t="shared" si="33"/>
        <v>0</v>
      </c>
      <c r="CI139" s="433">
        <f t="shared" si="34"/>
        <v>0</v>
      </c>
      <c r="CJ139" s="433">
        <f t="shared" si="35"/>
        <v>0</v>
      </c>
      <c r="CK139" s="433">
        <f t="shared" si="36"/>
        <v>0</v>
      </c>
      <c r="CL139" s="433">
        <f t="shared" si="37"/>
        <v>0</v>
      </c>
      <c r="CM139" s="433">
        <f t="shared" si="38"/>
        <v>0</v>
      </c>
      <c r="CN139" s="433">
        <f t="shared" si="39"/>
        <v>0</v>
      </c>
      <c r="CO139" s="433">
        <f t="shared" si="40"/>
        <v>0</v>
      </c>
      <c r="CP139" s="433">
        <f t="shared" si="41"/>
        <v>0</v>
      </c>
      <c r="CQ139" s="433">
        <f t="shared" si="42"/>
        <v>0</v>
      </c>
      <c r="CR139" s="433">
        <f t="shared" si="43"/>
        <v>0</v>
      </c>
      <c r="CS139" s="433">
        <f t="shared" si="44"/>
        <v>0</v>
      </c>
      <c r="CT139" s="21"/>
    </row>
    <row r="140" spans="3:98" ht="24.75" customHeight="1" collapsed="1">
      <c r="C140" s="415" t="s">
        <v>680</v>
      </c>
      <c r="D140" s="427">
        <v>0</v>
      </c>
      <c r="E140" s="427">
        <v>0</v>
      </c>
      <c r="F140" s="427">
        <v>0</v>
      </c>
      <c r="G140" s="427">
        <v>0</v>
      </c>
      <c r="H140" s="434">
        <v>0</v>
      </c>
      <c r="I140" s="434">
        <v>0</v>
      </c>
      <c r="J140" s="434">
        <v>0</v>
      </c>
      <c r="K140" s="434">
        <v>0</v>
      </c>
      <c r="L140" s="434">
        <v>0</v>
      </c>
      <c r="M140" s="434">
        <v>0</v>
      </c>
      <c r="N140" s="434">
        <v>0</v>
      </c>
      <c r="O140" s="434">
        <v>0</v>
      </c>
      <c r="P140" s="434">
        <v>0</v>
      </c>
      <c r="Q140" s="434">
        <v>0</v>
      </c>
      <c r="R140" s="434">
        <v>0</v>
      </c>
      <c r="S140" s="434">
        <v>0</v>
      </c>
      <c r="T140" s="434">
        <v>0</v>
      </c>
      <c r="U140" s="434">
        <v>0</v>
      </c>
      <c r="V140" s="434">
        <v>0</v>
      </c>
      <c r="W140" s="434">
        <v>0</v>
      </c>
      <c r="X140" s="434">
        <v>0</v>
      </c>
      <c r="Y140" s="434">
        <v>0</v>
      </c>
      <c r="Z140" s="434">
        <v>0</v>
      </c>
      <c r="AA140" s="434">
        <v>0</v>
      </c>
      <c r="AB140" s="434">
        <v>0</v>
      </c>
      <c r="AC140" s="434">
        <v>0</v>
      </c>
      <c r="AD140" s="434">
        <v>0</v>
      </c>
      <c r="AE140" s="434">
        <v>0</v>
      </c>
      <c r="AF140" s="434">
        <v>0</v>
      </c>
      <c r="AG140" s="434">
        <v>0</v>
      </c>
      <c r="AH140" s="434">
        <v>0</v>
      </c>
      <c r="AI140" s="434">
        <v>0</v>
      </c>
      <c r="AJ140" s="434">
        <v>0</v>
      </c>
      <c r="AK140" s="434">
        <v>0</v>
      </c>
      <c r="AL140" s="434">
        <v>0</v>
      </c>
      <c r="AM140" s="434">
        <v>0</v>
      </c>
      <c r="AN140" s="434">
        <v>0</v>
      </c>
      <c r="AO140" s="434">
        <v>0</v>
      </c>
      <c r="AP140" s="434">
        <v>0</v>
      </c>
      <c r="AQ140" s="434">
        <v>0</v>
      </c>
      <c r="AR140" s="434">
        <v>0</v>
      </c>
      <c r="AS140" s="434">
        <v>0</v>
      </c>
      <c r="AT140" s="434">
        <v>0</v>
      </c>
      <c r="AU140" s="434">
        <v>0</v>
      </c>
      <c r="AV140" s="434">
        <v>0</v>
      </c>
      <c r="AW140" s="434">
        <v>0</v>
      </c>
      <c r="AX140" s="434">
        <v>0</v>
      </c>
      <c r="AY140" s="434">
        <v>0</v>
      </c>
      <c r="AZ140" s="434">
        <v>0</v>
      </c>
      <c r="BA140" s="434">
        <v>0</v>
      </c>
      <c r="BB140" s="434">
        <v>0</v>
      </c>
      <c r="BC140" s="434">
        <v>0</v>
      </c>
      <c r="BD140" s="434">
        <v>0</v>
      </c>
      <c r="BE140" s="434">
        <v>0</v>
      </c>
      <c r="BF140" s="434">
        <v>-55.389000000000003</v>
      </c>
      <c r="BG140" s="434">
        <v>0</v>
      </c>
      <c r="BH140" s="434">
        <v>0</v>
      </c>
      <c r="BI140" s="434">
        <v>0</v>
      </c>
      <c r="BJ140" s="434">
        <v>0</v>
      </c>
      <c r="BK140" s="434">
        <v>0</v>
      </c>
      <c r="BL140" s="434">
        <v>0</v>
      </c>
      <c r="BM140" s="434">
        <v>0</v>
      </c>
      <c r="BN140" s="434">
        <v>0</v>
      </c>
      <c r="BO140" s="434">
        <v>0</v>
      </c>
      <c r="BP140" s="434">
        <v>0</v>
      </c>
      <c r="BQ140" s="434">
        <v>0</v>
      </c>
      <c r="BR140" s="434">
        <v>0</v>
      </c>
      <c r="BS140" s="434">
        <v>0</v>
      </c>
      <c r="BT140" s="434">
        <v>0</v>
      </c>
      <c r="BU140" s="434">
        <v>0</v>
      </c>
      <c r="BV140" s="434">
        <v>0</v>
      </c>
      <c r="BW140" s="434">
        <v>0</v>
      </c>
      <c r="BX140" s="434">
        <v>0</v>
      </c>
      <c r="BY140" s="434">
        <v>0</v>
      </c>
      <c r="BZ140" s="434">
        <v>0</v>
      </c>
      <c r="CC140" s="21"/>
      <c r="CD140" s="415" t="s">
        <v>680</v>
      </c>
      <c r="CE140" s="433">
        <f t="shared" si="30"/>
        <v>0</v>
      </c>
      <c r="CF140" s="433">
        <f t="shared" si="31"/>
        <v>0</v>
      </c>
      <c r="CG140" s="433">
        <f t="shared" si="32"/>
        <v>0</v>
      </c>
      <c r="CH140" s="433">
        <f t="shared" si="33"/>
        <v>0</v>
      </c>
      <c r="CI140" s="433">
        <f t="shared" si="34"/>
        <v>0</v>
      </c>
      <c r="CJ140" s="433">
        <f t="shared" si="35"/>
        <v>0</v>
      </c>
      <c r="CK140" s="433">
        <f t="shared" si="36"/>
        <v>0</v>
      </c>
      <c r="CL140" s="433">
        <f t="shared" si="37"/>
        <v>0</v>
      </c>
      <c r="CM140" s="433">
        <f t="shared" si="38"/>
        <v>0</v>
      </c>
      <c r="CN140" s="433">
        <f t="shared" si="39"/>
        <v>0</v>
      </c>
      <c r="CO140" s="433">
        <f t="shared" si="40"/>
        <v>-55.389000000000003</v>
      </c>
      <c r="CP140" s="433">
        <f t="shared" si="41"/>
        <v>0</v>
      </c>
      <c r="CQ140" s="433">
        <f t="shared" si="42"/>
        <v>0</v>
      </c>
      <c r="CR140" s="433">
        <f t="shared" si="43"/>
        <v>0</v>
      </c>
      <c r="CS140" s="433">
        <f t="shared" si="44"/>
        <v>0</v>
      </c>
      <c r="CT140" s="21"/>
    </row>
    <row r="141" spans="3:98" ht="24.75" customHeight="1">
      <c r="C141" s="415" t="s">
        <v>683</v>
      </c>
      <c r="D141" s="427">
        <v>0</v>
      </c>
      <c r="E141" s="427">
        <v>0</v>
      </c>
      <c r="F141" s="427">
        <v>0</v>
      </c>
      <c r="G141" s="427">
        <v>0</v>
      </c>
      <c r="H141" s="427">
        <v>0</v>
      </c>
      <c r="I141" s="427">
        <v>0</v>
      </c>
      <c r="J141" s="427">
        <v>0</v>
      </c>
      <c r="K141" s="427">
        <v>0</v>
      </c>
      <c r="L141" s="427">
        <v>0</v>
      </c>
      <c r="M141" s="427">
        <v>0</v>
      </c>
      <c r="N141" s="427">
        <v>0</v>
      </c>
      <c r="O141" s="427">
        <v>0</v>
      </c>
      <c r="P141" s="427">
        <v>0</v>
      </c>
      <c r="Q141" s="427">
        <v>0</v>
      </c>
      <c r="R141" s="427">
        <v>0</v>
      </c>
      <c r="S141" s="427">
        <v>0</v>
      </c>
      <c r="T141" s="427">
        <v>0</v>
      </c>
      <c r="U141" s="427">
        <v>0</v>
      </c>
      <c r="V141" s="427">
        <v>0</v>
      </c>
      <c r="W141" s="427">
        <v>0</v>
      </c>
      <c r="X141" s="427">
        <v>0</v>
      </c>
      <c r="Y141" s="427">
        <v>0</v>
      </c>
      <c r="Z141" s="427">
        <v>0</v>
      </c>
      <c r="AA141" s="427">
        <v>0</v>
      </c>
      <c r="AB141" s="427">
        <v>0</v>
      </c>
      <c r="AC141" s="427">
        <v>0</v>
      </c>
      <c r="AD141" s="427">
        <v>0</v>
      </c>
      <c r="AE141" s="427">
        <v>0</v>
      </c>
      <c r="AF141" s="427">
        <v>0</v>
      </c>
      <c r="AG141" s="427">
        <v>0</v>
      </c>
      <c r="AH141" s="427">
        <v>0</v>
      </c>
      <c r="AI141" s="427">
        <v>0</v>
      </c>
      <c r="AJ141" s="427">
        <v>0</v>
      </c>
      <c r="AK141" s="427">
        <v>0</v>
      </c>
      <c r="AL141" s="427">
        <v>0</v>
      </c>
      <c r="AM141" s="427">
        <v>0</v>
      </c>
      <c r="AN141" s="427">
        <v>0</v>
      </c>
      <c r="AO141" s="427">
        <v>0</v>
      </c>
      <c r="AP141" s="427">
        <v>0</v>
      </c>
      <c r="AQ141" s="427">
        <v>0</v>
      </c>
      <c r="AR141" s="427">
        <v>0</v>
      </c>
      <c r="AS141" s="427">
        <v>0</v>
      </c>
      <c r="AT141" s="427">
        <v>0</v>
      </c>
      <c r="AU141" s="427">
        <v>0</v>
      </c>
      <c r="AV141" s="427">
        <v>0</v>
      </c>
      <c r="AW141" s="427">
        <v>0</v>
      </c>
      <c r="AX141" s="427">
        <v>0</v>
      </c>
      <c r="AY141" s="427">
        <v>0</v>
      </c>
      <c r="AZ141" s="427">
        <v>0</v>
      </c>
      <c r="BA141" s="427">
        <v>0</v>
      </c>
      <c r="BB141" s="427">
        <v>0</v>
      </c>
      <c r="BC141" s="427">
        <v>0</v>
      </c>
      <c r="BD141" s="427">
        <v>0</v>
      </c>
      <c r="BE141" s="427">
        <v>0</v>
      </c>
      <c r="BF141" s="427">
        <v>0</v>
      </c>
      <c r="BG141" s="427">
        <v>0</v>
      </c>
      <c r="BH141" s="427">
        <v>0</v>
      </c>
      <c r="BI141" s="427">
        <v>0</v>
      </c>
      <c r="BJ141" s="427">
        <v>0</v>
      </c>
      <c r="BK141" s="427">
        <v>0</v>
      </c>
      <c r="BL141" s="427">
        <v>0</v>
      </c>
      <c r="BM141" s="427">
        <v>0</v>
      </c>
      <c r="BN141" s="427">
        <v>0</v>
      </c>
      <c r="BO141" s="427">
        <v>0</v>
      </c>
      <c r="BP141" s="427">
        <v>0</v>
      </c>
      <c r="BQ141" s="427">
        <v>0</v>
      </c>
      <c r="BR141" s="427">
        <v>0</v>
      </c>
      <c r="BS141" s="427">
        <v>0</v>
      </c>
      <c r="BT141" s="427">
        <v>-41.63</v>
      </c>
      <c r="BU141" s="427">
        <v>-41.63</v>
      </c>
      <c r="BV141" s="427">
        <v>41.027000000000001</v>
      </c>
      <c r="BW141" s="427">
        <v>0.51700000000000002</v>
      </c>
      <c r="BX141" s="427">
        <v>-3.85</v>
      </c>
      <c r="BY141" s="427">
        <v>0</v>
      </c>
      <c r="BZ141" s="427">
        <v>0</v>
      </c>
      <c r="CC141" s="21"/>
      <c r="CD141" s="415" t="s">
        <v>683</v>
      </c>
      <c r="CE141" s="433">
        <f t="shared" si="30"/>
        <v>0</v>
      </c>
      <c r="CF141" s="433">
        <f t="shared" si="31"/>
        <v>0</v>
      </c>
      <c r="CG141" s="433">
        <f t="shared" si="32"/>
        <v>0</v>
      </c>
      <c r="CH141" s="433">
        <f t="shared" si="33"/>
        <v>0</v>
      </c>
      <c r="CI141" s="433">
        <f t="shared" si="34"/>
        <v>0</v>
      </c>
      <c r="CJ141" s="433">
        <f t="shared" si="35"/>
        <v>0</v>
      </c>
      <c r="CK141" s="433">
        <f t="shared" si="36"/>
        <v>0</v>
      </c>
      <c r="CL141" s="433">
        <f t="shared" si="37"/>
        <v>0</v>
      </c>
      <c r="CM141" s="433">
        <f t="shared" si="38"/>
        <v>0</v>
      </c>
      <c r="CN141" s="433">
        <f t="shared" si="39"/>
        <v>0</v>
      </c>
      <c r="CO141" s="433">
        <f t="shared" si="40"/>
        <v>0</v>
      </c>
      <c r="CP141" s="433">
        <f t="shared" si="41"/>
        <v>0</v>
      </c>
      <c r="CQ141" s="433">
        <f t="shared" si="42"/>
        <v>0</v>
      </c>
      <c r="CR141" s="433">
        <f t="shared" si="43"/>
        <v>-41.63</v>
      </c>
      <c r="CS141" s="433">
        <f t="shared" si="44"/>
        <v>0</v>
      </c>
      <c r="CT141" s="21"/>
    </row>
    <row r="142" spans="3:98" ht="24.75" customHeight="1">
      <c r="C142" s="415" t="s">
        <v>684</v>
      </c>
      <c r="D142" s="427">
        <v>0</v>
      </c>
      <c r="E142" s="427">
        <v>0</v>
      </c>
      <c r="F142" s="427">
        <v>0</v>
      </c>
      <c r="G142" s="427">
        <v>0</v>
      </c>
      <c r="H142" s="427">
        <v>0</v>
      </c>
      <c r="I142" s="427">
        <v>0</v>
      </c>
      <c r="J142" s="427">
        <v>0</v>
      </c>
      <c r="K142" s="427">
        <v>0</v>
      </c>
      <c r="L142" s="427">
        <v>0</v>
      </c>
      <c r="M142" s="427">
        <v>0</v>
      </c>
      <c r="N142" s="427">
        <v>0</v>
      </c>
      <c r="O142" s="427">
        <v>0</v>
      </c>
      <c r="P142" s="427">
        <v>0</v>
      </c>
      <c r="Q142" s="427">
        <v>0</v>
      </c>
      <c r="R142" s="427">
        <v>0</v>
      </c>
      <c r="S142" s="427">
        <v>0</v>
      </c>
      <c r="T142" s="427">
        <v>0</v>
      </c>
      <c r="U142" s="427">
        <v>0</v>
      </c>
      <c r="V142" s="427">
        <v>0</v>
      </c>
      <c r="W142" s="427">
        <v>0</v>
      </c>
      <c r="X142" s="427">
        <v>0</v>
      </c>
      <c r="Y142" s="427">
        <v>0</v>
      </c>
      <c r="Z142" s="427">
        <v>0</v>
      </c>
      <c r="AA142" s="427">
        <v>0</v>
      </c>
      <c r="AB142" s="427">
        <v>0</v>
      </c>
      <c r="AC142" s="427">
        <v>0</v>
      </c>
      <c r="AD142" s="427">
        <v>0</v>
      </c>
      <c r="AE142" s="427">
        <v>0</v>
      </c>
      <c r="AF142" s="427">
        <v>0</v>
      </c>
      <c r="AG142" s="427">
        <v>0</v>
      </c>
      <c r="AH142" s="427">
        <v>0</v>
      </c>
      <c r="AI142" s="427">
        <v>0</v>
      </c>
      <c r="AJ142" s="427">
        <v>0</v>
      </c>
      <c r="AK142" s="427">
        <v>0</v>
      </c>
      <c r="AL142" s="427">
        <v>0</v>
      </c>
      <c r="AM142" s="427">
        <v>0</v>
      </c>
      <c r="AN142" s="427">
        <v>0</v>
      </c>
      <c r="AO142" s="427">
        <v>0</v>
      </c>
      <c r="AP142" s="427">
        <v>0</v>
      </c>
      <c r="AQ142" s="427">
        <v>0</v>
      </c>
      <c r="AR142" s="427">
        <v>0</v>
      </c>
      <c r="AS142" s="427">
        <v>0</v>
      </c>
      <c r="AT142" s="427">
        <v>0</v>
      </c>
      <c r="AU142" s="427">
        <v>0</v>
      </c>
      <c r="AV142" s="427">
        <v>0</v>
      </c>
      <c r="AW142" s="427">
        <v>0</v>
      </c>
      <c r="AX142" s="427">
        <v>0</v>
      </c>
      <c r="AY142" s="427">
        <v>0</v>
      </c>
      <c r="AZ142" s="427">
        <v>0</v>
      </c>
      <c r="BA142" s="427">
        <v>0</v>
      </c>
      <c r="BB142" s="427">
        <v>0</v>
      </c>
      <c r="BC142" s="427">
        <v>0</v>
      </c>
      <c r="BD142" s="427">
        <v>0</v>
      </c>
      <c r="BE142" s="427">
        <v>0</v>
      </c>
      <c r="BF142" s="427">
        <v>0</v>
      </c>
      <c r="BG142" s="427">
        <v>0</v>
      </c>
      <c r="BH142" s="427">
        <v>0</v>
      </c>
      <c r="BI142" s="427">
        <v>0</v>
      </c>
      <c r="BJ142" s="427">
        <v>0</v>
      </c>
      <c r="BK142" s="427">
        <v>0</v>
      </c>
      <c r="BL142" s="427">
        <v>0</v>
      </c>
      <c r="BM142" s="427">
        <v>0</v>
      </c>
      <c r="BN142" s="427">
        <v>0</v>
      </c>
      <c r="BO142" s="427">
        <v>0</v>
      </c>
      <c r="BP142" s="427">
        <v>0</v>
      </c>
      <c r="BQ142" s="427">
        <v>0</v>
      </c>
      <c r="BR142" s="427">
        <v>0</v>
      </c>
      <c r="BS142" s="427">
        <v>0</v>
      </c>
      <c r="BT142" s="427">
        <v>0</v>
      </c>
      <c r="BU142" s="427">
        <v>0</v>
      </c>
      <c r="BV142" s="427">
        <v>0</v>
      </c>
      <c r="BW142" s="427">
        <v>0</v>
      </c>
      <c r="BX142" s="427">
        <v>0</v>
      </c>
      <c r="BY142" s="427">
        <v>0</v>
      </c>
      <c r="BZ142" s="427">
        <v>0</v>
      </c>
      <c r="CC142" s="21"/>
      <c r="CD142" s="415" t="s">
        <v>684</v>
      </c>
      <c r="CE142" s="433">
        <f t="shared" si="30"/>
        <v>0</v>
      </c>
      <c r="CF142" s="433">
        <f t="shared" si="31"/>
        <v>0</v>
      </c>
      <c r="CG142" s="433">
        <f t="shared" si="32"/>
        <v>0</v>
      </c>
      <c r="CH142" s="433">
        <f t="shared" si="33"/>
        <v>0</v>
      </c>
      <c r="CI142" s="433">
        <f t="shared" si="34"/>
        <v>0</v>
      </c>
      <c r="CJ142" s="433">
        <f t="shared" si="35"/>
        <v>0</v>
      </c>
      <c r="CK142" s="433">
        <f t="shared" si="36"/>
        <v>0</v>
      </c>
      <c r="CL142" s="433">
        <f t="shared" si="37"/>
        <v>0</v>
      </c>
      <c r="CM142" s="433">
        <f t="shared" si="38"/>
        <v>0</v>
      </c>
      <c r="CN142" s="433">
        <f t="shared" si="39"/>
        <v>0</v>
      </c>
      <c r="CO142" s="433">
        <f t="shared" si="40"/>
        <v>0</v>
      </c>
      <c r="CP142" s="433">
        <f t="shared" si="41"/>
        <v>0</v>
      </c>
      <c r="CQ142" s="433">
        <f t="shared" si="42"/>
        <v>0</v>
      </c>
      <c r="CR142" s="433">
        <f t="shared" si="43"/>
        <v>0</v>
      </c>
      <c r="CS142" s="433">
        <f t="shared" si="44"/>
        <v>0</v>
      </c>
      <c r="CT142" s="21"/>
    </row>
    <row r="143" spans="3:98" ht="24.75" customHeight="1">
      <c r="C143" s="415" t="s">
        <v>685</v>
      </c>
      <c r="D143" s="427">
        <v>0</v>
      </c>
      <c r="E143" s="427">
        <v>0</v>
      </c>
      <c r="F143" s="427">
        <v>0</v>
      </c>
      <c r="G143" s="427">
        <v>0</v>
      </c>
      <c r="H143" s="434">
        <v>0</v>
      </c>
      <c r="I143" s="434">
        <v>0</v>
      </c>
      <c r="J143" s="434">
        <v>0</v>
      </c>
      <c r="K143" s="434">
        <v>0</v>
      </c>
      <c r="L143" s="434">
        <v>0</v>
      </c>
      <c r="M143" s="434">
        <v>0</v>
      </c>
      <c r="N143" s="434">
        <v>0</v>
      </c>
      <c r="O143" s="434">
        <v>0</v>
      </c>
      <c r="P143" s="434">
        <v>0</v>
      </c>
      <c r="Q143" s="434">
        <v>0</v>
      </c>
      <c r="R143" s="434">
        <v>0</v>
      </c>
      <c r="S143" s="434">
        <v>0</v>
      </c>
      <c r="T143" s="434">
        <v>0</v>
      </c>
      <c r="U143" s="434">
        <v>0</v>
      </c>
      <c r="V143" s="434">
        <v>0</v>
      </c>
      <c r="W143" s="434">
        <v>0</v>
      </c>
      <c r="X143" s="434">
        <v>0</v>
      </c>
      <c r="Y143" s="434">
        <v>0</v>
      </c>
      <c r="Z143" s="434">
        <v>0</v>
      </c>
      <c r="AA143" s="434">
        <v>0</v>
      </c>
      <c r="AB143" s="434">
        <v>0</v>
      </c>
      <c r="AC143" s="434">
        <v>0</v>
      </c>
      <c r="AD143" s="434">
        <v>0</v>
      </c>
      <c r="AE143" s="434">
        <v>0</v>
      </c>
      <c r="AF143" s="434">
        <v>0</v>
      </c>
      <c r="AG143" s="434">
        <v>0</v>
      </c>
      <c r="AH143" s="434">
        <v>0</v>
      </c>
      <c r="AI143" s="434">
        <v>0</v>
      </c>
      <c r="AJ143" s="434">
        <v>0</v>
      </c>
      <c r="AK143" s="434">
        <v>0</v>
      </c>
      <c r="AL143" s="434">
        <v>0</v>
      </c>
      <c r="AM143" s="434">
        <v>0</v>
      </c>
      <c r="AN143" s="434">
        <v>0</v>
      </c>
      <c r="AO143" s="434">
        <v>0</v>
      </c>
      <c r="AP143" s="434">
        <v>0</v>
      </c>
      <c r="AQ143" s="434">
        <v>0</v>
      </c>
      <c r="AR143" s="434">
        <v>0</v>
      </c>
      <c r="AS143" s="434">
        <v>0</v>
      </c>
      <c r="AT143" s="434">
        <v>0</v>
      </c>
      <c r="AU143" s="434">
        <v>0</v>
      </c>
      <c r="AV143" s="434">
        <v>0</v>
      </c>
      <c r="AW143" s="434">
        <v>0</v>
      </c>
      <c r="AX143" s="434">
        <v>0</v>
      </c>
      <c r="AY143" s="434">
        <v>0</v>
      </c>
      <c r="AZ143" s="434">
        <v>0</v>
      </c>
      <c r="BA143" s="434">
        <v>0</v>
      </c>
      <c r="BB143" s="434">
        <v>0</v>
      </c>
      <c r="BC143" s="434">
        <v>0</v>
      </c>
      <c r="BD143" s="434">
        <v>0</v>
      </c>
      <c r="BE143" s="434">
        <v>0</v>
      </c>
      <c r="BF143" s="434">
        <v>0</v>
      </c>
      <c r="BG143" s="434">
        <v>0</v>
      </c>
      <c r="BH143" s="434">
        <v>0</v>
      </c>
      <c r="BI143" s="434">
        <v>0</v>
      </c>
      <c r="BJ143" s="434">
        <v>0</v>
      </c>
      <c r="BK143" s="434">
        <v>0</v>
      </c>
      <c r="BL143" s="434">
        <v>0</v>
      </c>
      <c r="BM143" s="434">
        <v>0</v>
      </c>
      <c r="BN143" s="434">
        <v>0</v>
      </c>
      <c r="BO143" s="434">
        <v>0</v>
      </c>
      <c r="BP143" s="434">
        <v>0</v>
      </c>
      <c r="BQ143" s="434">
        <v>0</v>
      </c>
      <c r="BR143" s="434">
        <v>0</v>
      </c>
      <c r="BS143" s="434">
        <v>0</v>
      </c>
      <c r="BT143" s="434">
        <v>0</v>
      </c>
      <c r="BU143" s="434">
        <v>0</v>
      </c>
      <c r="BV143" s="434">
        <v>0</v>
      </c>
      <c r="BW143" s="434">
        <v>0</v>
      </c>
      <c r="BX143" s="434">
        <v>0</v>
      </c>
      <c r="BY143" s="434">
        <v>0</v>
      </c>
      <c r="BZ143" s="434">
        <v>0</v>
      </c>
      <c r="CC143" s="21"/>
      <c r="CD143" s="415" t="s">
        <v>685</v>
      </c>
      <c r="CE143" s="433">
        <f t="shared" si="30"/>
        <v>0</v>
      </c>
      <c r="CF143" s="433">
        <f t="shared" si="31"/>
        <v>0</v>
      </c>
      <c r="CG143" s="433">
        <f t="shared" si="32"/>
        <v>0</v>
      </c>
      <c r="CH143" s="433">
        <f t="shared" si="33"/>
        <v>0</v>
      </c>
      <c r="CI143" s="433">
        <f t="shared" si="34"/>
        <v>0</v>
      </c>
      <c r="CJ143" s="433">
        <f t="shared" si="35"/>
        <v>0</v>
      </c>
      <c r="CK143" s="433">
        <f t="shared" si="36"/>
        <v>0</v>
      </c>
      <c r="CL143" s="433">
        <f t="shared" si="37"/>
        <v>0</v>
      </c>
      <c r="CM143" s="433">
        <f t="shared" si="38"/>
        <v>0</v>
      </c>
      <c r="CN143" s="433">
        <f t="shared" si="39"/>
        <v>0</v>
      </c>
      <c r="CO143" s="433">
        <f t="shared" si="40"/>
        <v>0</v>
      </c>
      <c r="CP143" s="433">
        <f t="shared" si="41"/>
        <v>0</v>
      </c>
      <c r="CQ143" s="433">
        <f t="shared" si="42"/>
        <v>0</v>
      </c>
      <c r="CR143" s="433">
        <f t="shared" si="43"/>
        <v>0</v>
      </c>
      <c r="CS143" s="433">
        <f t="shared" si="44"/>
        <v>0</v>
      </c>
      <c r="CT143" s="21"/>
    </row>
    <row r="144" spans="3:98" ht="24.75" customHeight="1">
      <c r="C144" s="415" t="s">
        <v>95</v>
      </c>
      <c r="D144" s="427">
        <v>0</v>
      </c>
      <c r="E144" s="427">
        <v>0</v>
      </c>
      <c r="F144" s="427">
        <v>0</v>
      </c>
      <c r="G144" s="427">
        <v>0</v>
      </c>
      <c r="H144" s="427">
        <v>0</v>
      </c>
      <c r="I144" s="427">
        <v>0</v>
      </c>
      <c r="J144" s="427">
        <v>0</v>
      </c>
      <c r="K144" s="427">
        <v>0</v>
      </c>
      <c r="L144" s="427">
        <v>0</v>
      </c>
      <c r="M144" s="427">
        <v>0</v>
      </c>
      <c r="N144" s="427">
        <v>0</v>
      </c>
      <c r="O144" s="427">
        <v>0</v>
      </c>
      <c r="P144" s="427">
        <v>0</v>
      </c>
      <c r="Q144" s="427">
        <v>0</v>
      </c>
      <c r="R144" s="427">
        <v>0</v>
      </c>
      <c r="S144" s="427">
        <v>0</v>
      </c>
      <c r="T144" s="427">
        <v>0</v>
      </c>
      <c r="U144" s="427">
        <v>0</v>
      </c>
      <c r="V144" s="427">
        <v>0</v>
      </c>
      <c r="W144" s="427">
        <v>0</v>
      </c>
      <c r="X144" s="427">
        <v>0</v>
      </c>
      <c r="Y144" s="427">
        <v>0</v>
      </c>
      <c r="Z144" s="427">
        <v>0</v>
      </c>
      <c r="AA144" s="427">
        <v>0</v>
      </c>
      <c r="AB144" s="427">
        <v>0</v>
      </c>
      <c r="AC144" s="427">
        <v>0</v>
      </c>
      <c r="AD144" s="427">
        <v>0</v>
      </c>
      <c r="AE144" s="427">
        <v>0</v>
      </c>
      <c r="AF144" s="427">
        <v>0</v>
      </c>
      <c r="AG144" s="427">
        <v>0</v>
      </c>
      <c r="AH144" s="427">
        <v>0</v>
      </c>
      <c r="AI144" s="427">
        <v>0</v>
      </c>
      <c r="AJ144" s="427">
        <v>0</v>
      </c>
      <c r="AK144" s="427">
        <v>0</v>
      </c>
      <c r="AL144" s="427">
        <v>0</v>
      </c>
      <c r="AM144" s="427">
        <v>0</v>
      </c>
      <c r="AN144" s="427">
        <v>0</v>
      </c>
      <c r="AO144" s="427">
        <v>0</v>
      </c>
      <c r="AP144" s="427">
        <v>0</v>
      </c>
      <c r="AQ144" s="427">
        <v>0</v>
      </c>
      <c r="AR144" s="427">
        <v>0</v>
      </c>
      <c r="AS144" s="427">
        <v>0</v>
      </c>
      <c r="AT144" s="427">
        <v>0</v>
      </c>
      <c r="AU144" s="427">
        <v>0</v>
      </c>
      <c r="AV144" s="427">
        <v>0</v>
      </c>
      <c r="AW144" s="427">
        <v>0</v>
      </c>
      <c r="AX144" s="427">
        <v>0</v>
      </c>
      <c r="AY144" s="427">
        <v>0</v>
      </c>
      <c r="AZ144" s="427">
        <v>0</v>
      </c>
      <c r="BA144" s="427">
        <v>0</v>
      </c>
      <c r="BB144" s="427">
        <v>0</v>
      </c>
      <c r="BC144" s="427">
        <v>0</v>
      </c>
      <c r="BD144" s="427">
        <v>0</v>
      </c>
      <c r="BE144" s="427">
        <v>0</v>
      </c>
      <c r="BF144" s="427">
        <v>0</v>
      </c>
      <c r="BG144" s="427">
        <v>0</v>
      </c>
      <c r="BH144" s="427">
        <v>0</v>
      </c>
      <c r="BI144" s="427">
        <v>0</v>
      </c>
      <c r="BJ144" s="427">
        <v>0</v>
      </c>
      <c r="BK144" s="427">
        <v>0</v>
      </c>
      <c r="BL144" s="427">
        <v>0</v>
      </c>
      <c r="BM144" s="427">
        <v>0</v>
      </c>
      <c r="BN144" s="427">
        <v>0</v>
      </c>
      <c r="BO144" s="427">
        <v>0</v>
      </c>
      <c r="BP144" s="427">
        <v>0</v>
      </c>
      <c r="BQ144" s="427">
        <v>0</v>
      </c>
      <c r="BR144" s="427">
        <v>0</v>
      </c>
      <c r="BS144" s="427">
        <v>0</v>
      </c>
      <c r="BT144" s="427">
        <v>0</v>
      </c>
      <c r="BU144" s="427">
        <v>0</v>
      </c>
      <c r="BV144" s="427">
        <v>0</v>
      </c>
      <c r="BW144" s="427">
        <v>0</v>
      </c>
      <c r="BX144" s="427">
        <v>0</v>
      </c>
      <c r="BY144" s="427">
        <v>0</v>
      </c>
      <c r="BZ144" s="427">
        <v>0</v>
      </c>
      <c r="CC144" s="21"/>
      <c r="CD144" s="415" t="s">
        <v>95</v>
      </c>
      <c r="CE144" s="433">
        <f t="shared" si="30"/>
        <v>0</v>
      </c>
      <c r="CF144" s="433">
        <f t="shared" si="31"/>
        <v>0</v>
      </c>
      <c r="CG144" s="433">
        <f t="shared" si="32"/>
        <v>0</v>
      </c>
      <c r="CH144" s="433">
        <f t="shared" si="33"/>
        <v>0</v>
      </c>
      <c r="CI144" s="433">
        <f t="shared" si="34"/>
        <v>0</v>
      </c>
      <c r="CJ144" s="433">
        <f t="shared" si="35"/>
        <v>0</v>
      </c>
      <c r="CK144" s="433">
        <f t="shared" si="36"/>
        <v>0</v>
      </c>
      <c r="CL144" s="433">
        <f t="shared" si="37"/>
        <v>0</v>
      </c>
      <c r="CM144" s="433">
        <f t="shared" si="38"/>
        <v>0</v>
      </c>
      <c r="CN144" s="433">
        <f t="shared" si="39"/>
        <v>0</v>
      </c>
      <c r="CO144" s="433">
        <f t="shared" si="40"/>
        <v>0</v>
      </c>
      <c r="CP144" s="433">
        <f t="shared" si="41"/>
        <v>0</v>
      </c>
      <c r="CQ144" s="433">
        <f t="shared" si="42"/>
        <v>0</v>
      </c>
      <c r="CR144" s="433">
        <f t="shared" si="43"/>
        <v>0</v>
      </c>
      <c r="CS144" s="433">
        <f t="shared" si="44"/>
        <v>0</v>
      </c>
      <c r="CT144" s="21"/>
    </row>
    <row r="145" spans="3:98" ht="24.75" customHeight="1">
      <c r="C145" s="435" t="s">
        <v>654</v>
      </c>
      <c r="D145" s="422">
        <v>0</v>
      </c>
      <c r="E145" s="422">
        <v>0</v>
      </c>
      <c r="F145" s="422">
        <v>0</v>
      </c>
      <c r="G145" s="422">
        <v>0</v>
      </c>
      <c r="H145" s="422">
        <v>0</v>
      </c>
      <c r="I145" s="422">
        <v>0</v>
      </c>
      <c r="J145" s="422">
        <v>0</v>
      </c>
      <c r="K145" s="422">
        <v>0</v>
      </c>
      <c r="L145" s="422">
        <v>0</v>
      </c>
      <c r="M145" s="422">
        <v>0</v>
      </c>
      <c r="N145" s="422">
        <v>0</v>
      </c>
      <c r="O145" s="422">
        <v>0</v>
      </c>
      <c r="P145" s="422">
        <v>0</v>
      </c>
      <c r="Q145" s="422">
        <v>0</v>
      </c>
      <c r="R145" s="422">
        <v>0</v>
      </c>
      <c r="S145" s="422">
        <v>0</v>
      </c>
      <c r="T145" s="422">
        <v>0</v>
      </c>
      <c r="U145" s="422">
        <v>0</v>
      </c>
      <c r="V145" s="422">
        <v>0</v>
      </c>
      <c r="W145" s="422">
        <v>0</v>
      </c>
      <c r="X145" s="422">
        <v>0</v>
      </c>
      <c r="Y145" s="422">
        <v>0</v>
      </c>
      <c r="Z145" s="422">
        <v>0</v>
      </c>
      <c r="AA145" s="422">
        <v>0</v>
      </c>
      <c r="AB145" s="422">
        <v>0</v>
      </c>
      <c r="AC145" s="422">
        <v>0</v>
      </c>
      <c r="AD145" s="422">
        <v>0</v>
      </c>
      <c r="AE145" s="422">
        <v>0</v>
      </c>
      <c r="AF145" s="422">
        <v>0</v>
      </c>
      <c r="AG145" s="422">
        <v>0</v>
      </c>
      <c r="AH145" s="422">
        <v>0</v>
      </c>
      <c r="AI145" s="422">
        <v>0</v>
      </c>
      <c r="AJ145" s="422">
        <v>0</v>
      </c>
      <c r="AK145" s="422">
        <v>0</v>
      </c>
      <c r="AL145" s="422">
        <v>0</v>
      </c>
      <c r="AM145" s="422">
        <v>0</v>
      </c>
      <c r="AN145" s="422">
        <v>0</v>
      </c>
      <c r="AO145" s="422">
        <v>0</v>
      </c>
      <c r="AP145" s="422">
        <v>0</v>
      </c>
      <c r="AQ145" s="422">
        <v>0</v>
      </c>
      <c r="AR145" s="422">
        <v>0</v>
      </c>
      <c r="AS145" s="422">
        <v>0</v>
      </c>
      <c r="AT145" s="422">
        <v>0</v>
      </c>
      <c r="AU145" s="422">
        <v>0</v>
      </c>
      <c r="AV145" s="422">
        <v>0</v>
      </c>
      <c r="AW145" s="422">
        <v>0</v>
      </c>
      <c r="AX145" s="422">
        <v>0</v>
      </c>
      <c r="AY145" s="422">
        <v>0</v>
      </c>
      <c r="AZ145" s="422">
        <v>0</v>
      </c>
      <c r="BA145" s="422">
        <v>0</v>
      </c>
      <c r="BB145" s="422">
        <v>0</v>
      </c>
      <c r="BC145" s="422">
        <v>0</v>
      </c>
      <c r="BD145" s="422">
        <v>0</v>
      </c>
      <c r="BE145" s="422">
        <v>0</v>
      </c>
      <c r="BF145" s="422">
        <v>-105.35299999999999</v>
      </c>
      <c r="BG145" s="422">
        <v>-5.54</v>
      </c>
      <c r="BH145" s="422">
        <v>6.0940000000000003</v>
      </c>
      <c r="BI145" s="422">
        <v>29.309000000000001</v>
      </c>
      <c r="BJ145" s="422">
        <v>20.959</v>
      </c>
      <c r="BK145" s="422">
        <v>50.822000000000003</v>
      </c>
      <c r="BL145" s="422">
        <v>-37.909999999999997</v>
      </c>
      <c r="BM145" s="422">
        <v>-299.83800000000002</v>
      </c>
      <c r="BN145" s="422">
        <v>-306.66699999999997</v>
      </c>
      <c r="BO145" s="422">
        <v>-480.32499999999999</v>
      </c>
      <c r="BP145" s="422">
        <v>-1124.74</v>
      </c>
      <c r="BQ145" s="422">
        <v>-691.59100000000001</v>
      </c>
      <c r="BR145" s="422">
        <v>72.971000000000004</v>
      </c>
      <c r="BS145" s="422">
        <v>-19.077999999999999</v>
      </c>
      <c r="BT145" s="422">
        <v>-26.123999999999999</v>
      </c>
      <c r="BU145" s="422">
        <v>-663.822</v>
      </c>
      <c r="BV145" s="422">
        <v>-26.08</v>
      </c>
      <c r="BW145" s="422">
        <v>13.326000000000001</v>
      </c>
      <c r="BX145" s="422">
        <v>-72.363</v>
      </c>
      <c r="BY145" s="422">
        <v>0</v>
      </c>
      <c r="BZ145" s="422">
        <v>0</v>
      </c>
      <c r="CC145" s="21"/>
      <c r="CD145" s="435" t="s">
        <v>654</v>
      </c>
      <c r="CE145" s="436">
        <f t="shared" si="30"/>
        <v>0</v>
      </c>
      <c r="CF145" s="436">
        <f t="shared" si="31"/>
        <v>0</v>
      </c>
      <c r="CG145" s="436">
        <f t="shared" si="32"/>
        <v>0</v>
      </c>
      <c r="CH145" s="436">
        <f t="shared" si="33"/>
        <v>0</v>
      </c>
      <c r="CI145" s="436">
        <f t="shared" si="34"/>
        <v>0</v>
      </c>
      <c r="CJ145" s="436">
        <f t="shared" si="35"/>
        <v>0</v>
      </c>
      <c r="CK145" s="436">
        <f t="shared" si="36"/>
        <v>0</v>
      </c>
      <c r="CL145" s="436">
        <f t="shared" si="37"/>
        <v>0</v>
      </c>
      <c r="CM145" s="436">
        <f t="shared" si="38"/>
        <v>0</v>
      </c>
      <c r="CN145" s="436">
        <f t="shared" si="39"/>
        <v>0</v>
      </c>
      <c r="CO145" s="436">
        <f t="shared" si="40"/>
        <v>-105.35299999999999</v>
      </c>
      <c r="CP145" s="436">
        <f t="shared" si="41"/>
        <v>50.822000000000003</v>
      </c>
      <c r="CQ145" s="436">
        <f t="shared" si="42"/>
        <v>-1124.74</v>
      </c>
      <c r="CR145" s="436">
        <f t="shared" si="43"/>
        <v>-663.822</v>
      </c>
      <c r="CS145" s="436">
        <f t="shared" si="44"/>
        <v>0</v>
      </c>
      <c r="CT145" s="21"/>
    </row>
    <row r="146" spans="3:98" ht="4.5" customHeight="1">
      <c r="D146" s="427">
        <v>0</v>
      </c>
      <c r="E146" s="427">
        <v>0</v>
      </c>
      <c r="F146" s="427">
        <v>0</v>
      </c>
      <c r="G146" s="427">
        <v>0</v>
      </c>
      <c r="H146" s="427">
        <v>0</v>
      </c>
      <c r="I146" s="427">
        <v>0</v>
      </c>
      <c r="J146" s="427">
        <v>0</v>
      </c>
      <c r="K146" s="427">
        <v>0</v>
      </c>
      <c r="L146" s="427">
        <v>0</v>
      </c>
      <c r="M146" s="427">
        <v>0</v>
      </c>
      <c r="N146" s="427">
        <v>0</v>
      </c>
      <c r="O146" s="427">
        <v>0</v>
      </c>
      <c r="P146" s="427">
        <v>0</v>
      </c>
      <c r="Q146" s="427">
        <v>0</v>
      </c>
      <c r="R146" s="427">
        <v>0</v>
      </c>
      <c r="S146" s="427">
        <v>0</v>
      </c>
      <c r="T146" s="427">
        <v>0</v>
      </c>
      <c r="U146" s="427">
        <v>0</v>
      </c>
      <c r="V146" s="427">
        <v>0</v>
      </c>
      <c r="W146" s="427">
        <v>0</v>
      </c>
      <c r="X146" s="427">
        <v>0</v>
      </c>
      <c r="Y146" s="427">
        <v>0</v>
      </c>
      <c r="Z146" s="427">
        <v>0</v>
      </c>
      <c r="AA146" s="427">
        <v>0</v>
      </c>
      <c r="AB146" s="427">
        <v>0</v>
      </c>
      <c r="AC146" s="427">
        <v>0</v>
      </c>
      <c r="AD146" s="427">
        <v>0</v>
      </c>
      <c r="AE146" s="427">
        <v>0</v>
      </c>
      <c r="AF146" s="427">
        <v>0</v>
      </c>
      <c r="AG146" s="427">
        <v>0</v>
      </c>
      <c r="AH146" s="427">
        <v>0</v>
      </c>
      <c r="AI146" s="427">
        <v>0</v>
      </c>
      <c r="AJ146" s="427">
        <v>0</v>
      </c>
      <c r="AK146" s="427">
        <v>0</v>
      </c>
      <c r="AL146" s="427">
        <v>0</v>
      </c>
      <c r="AM146" s="427">
        <v>0</v>
      </c>
      <c r="AN146" s="427">
        <v>0</v>
      </c>
      <c r="AO146" s="427">
        <v>0</v>
      </c>
      <c r="AP146" s="427">
        <v>0</v>
      </c>
      <c r="AQ146" s="427">
        <v>0</v>
      </c>
      <c r="AR146" s="427">
        <v>0</v>
      </c>
      <c r="AS146" s="427">
        <v>0</v>
      </c>
      <c r="AT146" s="427">
        <v>0</v>
      </c>
      <c r="AU146" s="427">
        <v>0</v>
      </c>
      <c r="AV146" s="427">
        <v>0</v>
      </c>
      <c r="AW146" s="427">
        <v>0</v>
      </c>
      <c r="AX146" s="427">
        <v>0</v>
      </c>
      <c r="AY146" s="427">
        <v>0</v>
      </c>
      <c r="AZ146" s="427">
        <v>0</v>
      </c>
      <c r="BA146" s="427">
        <v>0</v>
      </c>
      <c r="BB146" s="427">
        <v>0</v>
      </c>
      <c r="BC146" s="427">
        <v>0</v>
      </c>
      <c r="BD146" s="427">
        <v>0</v>
      </c>
      <c r="BE146" s="427">
        <v>0</v>
      </c>
      <c r="BF146" s="427">
        <v>0</v>
      </c>
      <c r="BG146" s="427">
        <v>0</v>
      </c>
      <c r="BH146" s="427">
        <v>0</v>
      </c>
      <c r="BI146" s="427">
        <v>0</v>
      </c>
      <c r="BJ146" s="427">
        <v>0</v>
      </c>
      <c r="BK146" s="427">
        <v>0</v>
      </c>
      <c r="BL146" s="427">
        <v>0</v>
      </c>
      <c r="BM146" s="427">
        <v>0</v>
      </c>
      <c r="BN146" s="427">
        <v>0</v>
      </c>
      <c r="BO146" s="427">
        <v>0</v>
      </c>
      <c r="BP146" s="427">
        <v>0</v>
      </c>
      <c r="BQ146" s="427">
        <v>0</v>
      </c>
      <c r="BR146" s="427">
        <v>0</v>
      </c>
      <c r="BS146" s="427">
        <v>0</v>
      </c>
      <c r="BT146" s="427">
        <v>0</v>
      </c>
      <c r="BU146" s="427">
        <v>0</v>
      </c>
      <c r="BV146" s="427">
        <v>0</v>
      </c>
      <c r="BW146" s="427">
        <v>0</v>
      </c>
      <c r="BX146" s="427">
        <v>0</v>
      </c>
      <c r="BY146" s="427">
        <v>0</v>
      </c>
      <c r="BZ146" s="427">
        <v>0</v>
      </c>
      <c r="CC146" s="21"/>
      <c r="CD146" s="58"/>
      <c r="CE146" s="433"/>
      <c r="CF146" s="433"/>
      <c r="CG146" s="433"/>
      <c r="CH146" s="433"/>
      <c r="CI146" s="433"/>
      <c r="CJ146" s="433"/>
      <c r="CK146" s="433"/>
      <c r="CL146" s="433"/>
      <c r="CM146" s="433"/>
      <c r="CN146" s="433"/>
      <c r="CO146" s="433"/>
      <c r="CP146" s="433"/>
      <c r="CQ146" s="433"/>
      <c r="CR146" s="433"/>
      <c r="CS146" s="433"/>
      <c r="CT146" s="21"/>
    </row>
    <row r="147" spans="3:98" ht="24.75" customHeight="1">
      <c r="C147" s="435" t="s">
        <v>686</v>
      </c>
      <c r="D147" s="422">
        <v>0</v>
      </c>
      <c r="E147" s="422">
        <v>0</v>
      </c>
      <c r="F147" s="422">
        <v>0</v>
      </c>
      <c r="G147" s="422">
        <v>0</v>
      </c>
      <c r="H147" s="422">
        <v>0</v>
      </c>
      <c r="I147" s="422">
        <v>0</v>
      </c>
      <c r="J147" s="422">
        <v>0</v>
      </c>
      <c r="K147" s="422">
        <v>0</v>
      </c>
      <c r="L147" s="422">
        <v>0</v>
      </c>
      <c r="M147" s="422">
        <v>0</v>
      </c>
      <c r="N147" s="422">
        <v>0</v>
      </c>
      <c r="O147" s="422">
        <v>0</v>
      </c>
      <c r="P147" s="422">
        <v>0</v>
      </c>
      <c r="Q147" s="422">
        <v>0</v>
      </c>
      <c r="R147" s="422">
        <v>0</v>
      </c>
      <c r="S147" s="422">
        <v>0</v>
      </c>
      <c r="T147" s="422">
        <v>0</v>
      </c>
      <c r="U147" s="422">
        <v>0</v>
      </c>
      <c r="V147" s="422">
        <v>0</v>
      </c>
      <c r="W147" s="422">
        <v>0</v>
      </c>
      <c r="X147" s="422">
        <v>0</v>
      </c>
      <c r="Y147" s="422">
        <v>0</v>
      </c>
      <c r="Z147" s="422">
        <v>0</v>
      </c>
      <c r="AA147" s="422">
        <v>0</v>
      </c>
      <c r="AB147" s="422">
        <v>0</v>
      </c>
      <c r="AC147" s="422">
        <v>0</v>
      </c>
      <c r="AD147" s="422">
        <v>0</v>
      </c>
      <c r="AE147" s="422">
        <v>0</v>
      </c>
      <c r="AF147" s="422">
        <v>0</v>
      </c>
      <c r="AG147" s="422">
        <v>0</v>
      </c>
      <c r="AH147" s="422">
        <v>0</v>
      </c>
      <c r="AI147" s="422">
        <v>0</v>
      </c>
      <c r="AJ147" s="422">
        <v>0</v>
      </c>
      <c r="AK147" s="422">
        <v>0</v>
      </c>
      <c r="AL147" s="422">
        <v>0</v>
      </c>
      <c r="AM147" s="422">
        <v>0</v>
      </c>
      <c r="AN147" s="422">
        <v>0</v>
      </c>
      <c r="AO147" s="422">
        <v>0</v>
      </c>
      <c r="AP147" s="422">
        <v>0</v>
      </c>
      <c r="AQ147" s="422">
        <v>0</v>
      </c>
      <c r="AR147" s="422">
        <v>0</v>
      </c>
      <c r="AS147" s="422">
        <v>0</v>
      </c>
      <c r="AT147" s="422">
        <v>0</v>
      </c>
      <c r="AU147" s="422">
        <v>0</v>
      </c>
      <c r="AV147" s="422">
        <v>0</v>
      </c>
      <c r="AW147" s="422">
        <v>0</v>
      </c>
      <c r="AX147" s="422">
        <v>0</v>
      </c>
      <c r="AY147" s="422">
        <v>0</v>
      </c>
      <c r="AZ147" s="422">
        <v>0</v>
      </c>
      <c r="BA147" s="422">
        <v>0</v>
      </c>
      <c r="BB147" s="422">
        <v>0</v>
      </c>
      <c r="BC147" s="422">
        <v>0</v>
      </c>
      <c r="BD147" s="422">
        <v>0</v>
      </c>
      <c r="BE147" s="422">
        <v>0</v>
      </c>
      <c r="BF147" s="422">
        <v>0</v>
      </c>
      <c r="BG147" s="422">
        <v>0</v>
      </c>
      <c r="BH147" s="422">
        <v>0</v>
      </c>
      <c r="BI147" s="422">
        <v>0</v>
      </c>
      <c r="BJ147" s="422">
        <v>0</v>
      </c>
      <c r="BK147" s="422">
        <v>0</v>
      </c>
      <c r="BL147" s="422">
        <v>0</v>
      </c>
      <c r="BM147" s="422">
        <v>0</v>
      </c>
      <c r="BN147" s="422">
        <v>0</v>
      </c>
      <c r="BO147" s="422">
        <v>0</v>
      </c>
      <c r="BP147" s="422">
        <v>0</v>
      </c>
      <c r="BQ147" s="422">
        <v>0</v>
      </c>
      <c r="BR147" s="422">
        <v>0</v>
      </c>
      <c r="BS147" s="422">
        <v>0</v>
      </c>
      <c r="BT147" s="422">
        <v>0</v>
      </c>
      <c r="BU147" s="422">
        <v>0</v>
      </c>
      <c r="BV147" s="422">
        <v>0</v>
      </c>
      <c r="BW147" s="422">
        <v>0</v>
      </c>
      <c r="BX147" s="422">
        <v>0</v>
      </c>
      <c r="BY147" s="422">
        <v>0</v>
      </c>
      <c r="BZ147" s="422">
        <v>0</v>
      </c>
      <c r="CC147" s="21"/>
      <c r="CD147" s="435" t="s">
        <v>686</v>
      </c>
      <c r="CE147" s="436">
        <f t="shared" si="30"/>
        <v>0</v>
      </c>
      <c r="CF147" s="436">
        <f t="shared" si="31"/>
        <v>0</v>
      </c>
      <c r="CG147" s="436">
        <f t="shared" si="32"/>
        <v>0</v>
      </c>
      <c r="CH147" s="436">
        <f t="shared" si="33"/>
        <v>0</v>
      </c>
      <c r="CI147" s="436">
        <f t="shared" si="34"/>
        <v>0</v>
      </c>
      <c r="CJ147" s="436">
        <f t="shared" si="35"/>
        <v>0</v>
      </c>
      <c r="CK147" s="436">
        <f t="shared" si="36"/>
        <v>0</v>
      </c>
      <c r="CL147" s="436">
        <f t="shared" si="37"/>
        <v>0</v>
      </c>
      <c r="CM147" s="436">
        <f t="shared" si="38"/>
        <v>0</v>
      </c>
      <c r="CN147" s="436">
        <f t="shared" si="39"/>
        <v>0</v>
      </c>
      <c r="CO147" s="436">
        <f t="shared" si="40"/>
        <v>0</v>
      </c>
      <c r="CP147" s="436">
        <f t="shared" si="41"/>
        <v>0</v>
      </c>
      <c r="CQ147" s="436">
        <f t="shared" si="42"/>
        <v>0</v>
      </c>
      <c r="CR147" s="436">
        <f t="shared" si="43"/>
        <v>0</v>
      </c>
      <c r="CS147" s="436">
        <f t="shared" si="44"/>
        <v>0</v>
      </c>
      <c r="CT147" s="21"/>
    </row>
    <row r="148" spans="3:98" ht="4.5" customHeight="1">
      <c r="D148" s="427">
        <v>0</v>
      </c>
      <c r="E148" s="427">
        <v>0</v>
      </c>
      <c r="F148" s="427">
        <v>0</v>
      </c>
      <c r="G148" s="427">
        <v>0</v>
      </c>
      <c r="H148" s="427">
        <v>0</v>
      </c>
      <c r="I148" s="427">
        <v>0</v>
      </c>
      <c r="J148" s="427">
        <v>0</v>
      </c>
      <c r="K148" s="427">
        <v>0</v>
      </c>
      <c r="L148" s="427">
        <v>0</v>
      </c>
      <c r="M148" s="427">
        <v>0</v>
      </c>
      <c r="N148" s="427">
        <v>0</v>
      </c>
      <c r="O148" s="427">
        <v>0</v>
      </c>
      <c r="P148" s="427">
        <v>0</v>
      </c>
      <c r="Q148" s="427">
        <v>0</v>
      </c>
      <c r="R148" s="427">
        <v>0</v>
      </c>
      <c r="S148" s="427">
        <v>0</v>
      </c>
      <c r="T148" s="427">
        <v>0</v>
      </c>
      <c r="U148" s="427">
        <v>0</v>
      </c>
      <c r="V148" s="427">
        <v>0</v>
      </c>
      <c r="W148" s="427">
        <v>0</v>
      </c>
      <c r="X148" s="427">
        <v>0</v>
      </c>
      <c r="Y148" s="427">
        <v>0</v>
      </c>
      <c r="Z148" s="427">
        <v>0</v>
      </c>
      <c r="AA148" s="427">
        <v>0</v>
      </c>
      <c r="AB148" s="427">
        <v>0</v>
      </c>
      <c r="AC148" s="427">
        <v>0</v>
      </c>
      <c r="AD148" s="427">
        <v>0</v>
      </c>
      <c r="AE148" s="427">
        <v>0</v>
      </c>
      <c r="AF148" s="427">
        <v>0</v>
      </c>
      <c r="AG148" s="427">
        <v>0</v>
      </c>
      <c r="AH148" s="427">
        <v>0</v>
      </c>
      <c r="AI148" s="427">
        <v>0</v>
      </c>
      <c r="AJ148" s="427">
        <v>0</v>
      </c>
      <c r="AK148" s="427">
        <v>0</v>
      </c>
      <c r="AL148" s="427">
        <v>0</v>
      </c>
      <c r="AM148" s="427">
        <v>0</v>
      </c>
      <c r="AN148" s="427">
        <v>0</v>
      </c>
      <c r="AO148" s="427">
        <v>0</v>
      </c>
      <c r="AP148" s="427">
        <v>0</v>
      </c>
      <c r="AQ148" s="427">
        <v>0</v>
      </c>
      <c r="AR148" s="427">
        <v>0</v>
      </c>
      <c r="AS148" s="427">
        <v>0</v>
      </c>
      <c r="AT148" s="427">
        <v>0</v>
      </c>
      <c r="AU148" s="427">
        <v>0</v>
      </c>
      <c r="AV148" s="427">
        <v>0</v>
      </c>
      <c r="AW148" s="427">
        <v>0</v>
      </c>
      <c r="AX148" s="427">
        <v>0</v>
      </c>
      <c r="AY148" s="427">
        <v>0</v>
      </c>
      <c r="AZ148" s="427">
        <v>0</v>
      </c>
      <c r="BA148" s="427">
        <v>0</v>
      </c>
      <c r="BB148" s="427">
        <v>0</v>
      </c>
      <c r="BC148" s="427">
        <v>0</v>
      </c>
      <c r="BD148" s="427">
        <v>0</v>
      </c>
      <c r="BE148" s="427">
        <v>0</v>
      </c>
      <c r="BF148" s="427">
        <v>0</v>
      </c>
      <c r="BG148" s="427">
        <v>0</v>
      </c>
      <c r="BH148" s="427">
        <v>0</v>
      </c>
      <c r="BI148" s="427">
        <v>0</v>
      </c>
      <c r="BJ148" s="427">
        <v>0</v>
      </c>
      <c r="BK148" s="427">
        <v>0</v>
      </c>
      <c r="BL148" s="427">
        <v>0</v>
      </c>
      <c r="BM148" s="427">
        <v>0</v>
      </c>
      <c r="BN148" s="427">
        <v>0</v>
      </c>
      <c r="BO148" s="427">
        <v>0</v>
      </c>
      <c r="BP148" s="427">
        <v>0</v>
      </c>
      <c r="BQ148" s="427">
        <v>0</v>
      </c>
      <c r="BR148" s="427">
        <v>0</v>
      </c>
      <c r="BS148" s="427">
        <v>0</v>
      </c>
      <c r="BT148" s="427">
        <v>0</v>
      </c>
      <c r="BU148" s="427">
        <v>0</v>
      </c>
      <c r="BV148" s="427">
        <v>0</v>
      </c>
      <c r="BW148" s="427">
        <v>0</v>
      </c>
      <c r="BX148" s="427">
        <v>0</v>
      </c>
      <c r="BY148" s="427">
        <v>0</v>
      </c>
      <c r="BZ148" s="427">
        <v>0</v>
      </c>
      <c r="CC148" s="21"/>
      <c r="CD148" s="58"/>
      <c r="CE148" s="433"/>
      <c r="CF148" s="433"/>
      <c r="CG148" s="433"/>
      <c r="CH148" s="433"/>
      <c r="CI148" s="433"/>
      <c r="CJ148" s="433"/>
      <c r="CK148" s="433"/>
      <c r="CL148" s="433"/>
      <c r="CM148" s="433"/>
      <c r="CN148" s="433"/>
      <c r="CO148" s="433"/>
      <c r="CP148" s="433"/>
      <c r="CQ148" s="433"/>
      <c r="CR148" s="433"/>
      <c r="CS148" s="433"/>
      <c r="CT148" s="21"/>
    </row>
    <row r="149" spans="3:98" ht="24.75" customHeight="1" collapsed="1">
      <c r="C149" s="421" t="s">
        <v>653</v>
      </c>
      <c r="D149" s="422">
        <v>0</v>
      </c>
      <c r="E149" s="422">
        <v>0</v>
      </c>
      <c r="F149" s="422">
        <v>0</v>
      </c>
      <c r="G149" s="422">
        <v>0</v>
      </c>
      <c r="H149" s="422">
        <v>0</v>
      </c>
      <c r="I149" s="422">
        <v>0</v>
      </c>
      <c r="J149" s="422">
        <v>0</v>
      </c>
      <c r="K149" s="422">
        <v>0</v>
      </c>
      <c r="L149" s="422">
        <v>0</v>
      </c>
      <c r="M149" s="422">
        <v>0</v>
      </c>
      <c r="N149" s="422">
        <v>0</v>
      </c>
      <c r="O149" s="422">
        <v>0</v>
      </c>
      <c r="P149" s="422">
        <v>0</v>
      </c>
      <c r="Q149" s="422">
        <v>0</v>
      </c>
      <c r="R149" s="422">
        <v>0</v>
      </c>
      <c r="S149" s="422">
        <v>0</v>
      </c>
      <c r="T149" s="422">
        <v>0</v>
      </c>
      <c r="U149" s="422">
        <v>0</v>
      </c>
      <c r="V149" s="422">
        <v>0</v>
      </c>
      <c r="W149" s="422">
        <v>0</v>
      </c>
      <c r="X149" s="422">
        <v>0</v>
      </c>
      <c r="Y149" s="422">
        <v>0</v>
      </c>
      <c r="Z149" s="422">
        <v>0</v>
      </c>
      <c r="AA149" s="422">
        <v>0</v>
      </c>
      <c r="AB149" s="422">
        <v>0</v>
      </c>
      <c r="AC149" s="422">
        <v>0</v>
      </c>
      <c r="AD149" s="422">
        <v>0</v>
      </c>
      <c r="AE149" s="422">
        <v>0</v>
      </c>
      <c r="AF149" s="422">
        <v>0</v>
      </c>
      <c r="AG149" s="422">
        <v>0</v>
      </c>
      <c r="AH149" s="422">
        <v>0</v>
      </c>
      <c r="AI149" s="422">
        <v>0</v>
      </c>
      <c r="AJ149" s="422">
        <v>0</v>
      </c>
      <c r="AK149" s="422">
        <v>0</v>
      </c>
      <c r="AL149" s="422">
        <v>0</v>
      </c>
      <c r="AM149" s="422">
        <v>0</v>
      </c>
      <c r="AN149" s="422">
        <v>0</v>
      </c>
      <c r="AO149" s="422">
        <v>0</v>
      </c>
      <c r="AP149" s="422">
        <v>0</v>
      </c>
      <c r="AQ149" s="422">
        <v>0</v>
      </c>
      <c r="AR149" s="422">
        <v>0</v>
      </c>
      <c r="AS149" s="422">
        <v>0</v>
      </c>
      <c r="AT149" s="422">
        <v>0</v>
      </c>
      <c r="AU149" s="422">
        <v>0</v>
      </c>
      <c r="AV149" s="422">
        <v>0</v>
      </c>
      <c r="AW149" s="422">
        <v>0</v>
      </c>
      <c r="AX149" s="422">
        <v>0</v>
      </c>
      <c r="AY149" s="422">
        <v>0</v>
      </c>
      <c r="AZ149" s="422">
        <v>0</v>
      </c>
      <c r="BA149" s="422">
        <v>0</v>
      </c>
      <c r="BB149" s="422">
        <v>0</v>
      </c>
      <c r="BC149" s="422">
        <v>0</v>
      </c>
      <c r="BD149" s="422">
        <v>0</v>
      </c>
      <c r="BE149" s="422">
        <v>0</v>
      </c>
      <c r="BF149" s="422">
        <v>-105.35299999999999</v>
      </c>
      <c r="BG149" s="422">
        <v>-5.54</v>
      </c>
      <c r="BH149" s="422">
        <v>6.0940000000000003</v>
      </c>
      <c r="BI149" s="422">
        <v>29.309000000000001</v>
      </c>
      <c r="BJ149" s="422">
        <v>20.959</v>
      </c>
      <c r="BK149" s="422">
        <v>50.822000000000003</v>
      </c>
      <c r="BL149" s="422">
        <v>-37.909999999999997</v>
      </c>
      <c r="BM149" s="422">
        <v>-299.83800000000002</v>
      </c>
      <c r="BN149" s="422">
        <v>-306.66699999999997</v>
      </c>
      <c r="BO149" s="422">
        <v>-480.32499999999999</v>
      </c>
      <c r="BP149" s="422">
        <v>-1124.74</v>
      </c>
      <c r="BQ149" s="422">
        <v>-691.59100000000001</v>
      </c>
      <c r="BR149" s="422">
        <v>72.971000000000004</v>
      </c>
      <c r="BS149" s="422">
        <v>-19.077999999999999</v>
      </c>
      <c r="BT149" s="422">
        <v>-26.123999999999999</v>
      </c>
      <c r="BU149" s="422">
        <v>-663.822</v>
      </c>
      <c r="BV149" s="422">
        <v>-26.08</v>
      </c>
      <c r="BW149" s="422">
        <v>13.326000000000001</v>
      </c>
      <c r="BX149" s="422">
        <v>-72.363</v>
      </c>
      <c r="BY149" s="422">
        <v>0</v>
      </c>
      <c r="BZ149" s="422">
        <v>0</v>
      </c>
      <c r="CC149" s="21"/>
      <c r="CD149" s="421" t="s">
        <v>653</v>
      </c>
      <c r="CE149" s="436">
        <f t="shared" si="30"/>
        <v>0</v>
      </c>
      <c r="CF149" s="436">
        <f t="shared" si="31"/>
        <v>0</v>
      </c>
      <c r="CG149" s="436">
        <f t="shared" si="32"/>
        <v>0</v>
      </c>
      <c r="CH149" s="436">
        <f t="shared" si="33"/>
        <v>0</v>
      </c>
      <c r="CI149" s="436">
        <f t="shared" si="34"/>
        <v>0</v>
      </c>
      <c r="CJ149" s="436">
        <f t="shared" si="35"/>
        <v>0</v>
      </c>
      <c r="CK149" s="436">
        <f t="shared" si="36"/>
        <v>0</v>
      </c>
      <c r="CL149" s="436">
        <f t="shared" si="37"/>
        <v>0</v>
      </c>
      <c r="CM149" s="436">
        <f t="shared" si="38"/>
        <v>0</v>
      </c>
      <c r="CN149" s="436">
        <f t="shared" si="39"/>
        <v>0</v>
      </c>
      <c r="CO149" s="436">
        <f t="shared" si="40"/>
        <v>-105.35299999999999</v>
      </c>
      <c r="CP149" s="436">
        <f t="shared" si="41"/>
        <v>50.822000000000003</v>
      </c>
      <c r="CQ149" s="436">
        <f t="shared" si="42"/>
        <v>-1124.74</v>
      </c>
      <c r="CR149" s="436">
        <f t="shared" si="43"/>
        <v>-663.822</v>
      </c>
      <c r="CS149" s="436">
        <f t="shared" si="44"/>
        <v>0</v>
      </c>
      <c r="CT149" s="21"/>
    </row>
    <row r="150" spans="3:98" ht="24.75" customHeight="1">
      <c r="D150" s="427"/>
      <c r="E150" s="427"/>
      <c r="F150" s="427"/>
      <c r="G150" s="427"/>
      <c r="H150" s="427"/>
      <c r="I150" s="427"/>
      <c r="J150" s="427"/>
      <c r="K150" s="427"/>
      <c r="L150" s="427"/>
      <c r="M150" s="427"/>
      <c r="N150" s="427"/>
      <c r="O150" s="427"/>
      <c r="P150" s="427"/>
      <c r="Q150" s="427"/>
      <c r="R150" s="427"/>
      <c r="S150" s="427"/>
      <c r="T150" s="427"/>
      <c r="U150" s="427"/>
      <c r="V150" s="427"/>
      <c r="W150" s="427"/>
      <c r="X150" s="427"/>
      <c r="Y150" s="427"/>
      <c r="Z150" s="427"/>
      <c r="AA150" s="427"/>
      <c r="AB150" s="427"/>
      <c r="AC150" s="427"/>
      <c r="AD150" s="427"/>
      <c r="AE150" s="427"/>
      <c r="AF150" s="427"/>
      <c r="AG150" s="427"/>
      <c r="AH150" s="427"/>
      <c r="AI150" s="427"/>
      <c r="AJ150" s="427"/>
      <c r="AK150" s="427"/>
      <c r="AL150" s="427"/>
      <c r="AM150" s="427"/>
      <c r="AN150" s="427"/>
      <c r="AO150" s="427"/>
      <c r="AP150" s="427"/>
      <c r="AQ150" s="427"/>
      <c r="AR150" s="427"/>
      <c r="AS150" s="427"/>
      <c r="AT150" s="427"/>
      <c r="AU150" s="427"/>
      <c r="AV150" s="427"/>
      <c r="AW150" s="427"/>
      <c r="AX150" s="427"/>
      <c r="AY150" s="427"/>
      <c r="AZ150" s="427"/>
      <c r="BA150" s="427"/>
      <c r="BB150" s="427"/>
      <c r="BC150" s="427"/>
      <c r="BD150" s="427"/>
      <c r="BE150" s="427"/>
      <c r="BF150" s="427"/>
      <c r="BG150" s="427"/>
      <c r="BH150" s="427"/>
      <c r="BI150" s="427"/>
      <c r="BJ150" s="427"/>
      <c r="BK150" s="427"/>
      <c r="BL150" s="427"/>
      <c r="BM150" s="427"/>
      <c r="BN150" s="427"/>
      <c r="BO150" s="427"/>
      <c r="BP150" s="427"/>
      <c r="BQ150" s="427"/>
      <c r="BR150" s="427"/>
      <c r="BS150" s="427"/>
      <c r="BT150" s="427"/>
      <c r="BU150" s="427"/>
      <c r="BV150" s="427"/>
      <c r="BW150" s="427"/>
      <c r="BX150" s="427"/>
      <c r="BY150" s="427"/>
      <c r="BZ150" s="427"/>
      <c r="CC150" s="21"/>
      <c r="CD150" s="58"/>
      <c r="CE150" s="433"/>
      <c r="CF150" s="433"/>
      <c r="CG150" s="433"/>
      <c r="CH150" s="433"/>
      <c r="CI150" s="433"/>
      <c r="CJ150" s="433"/>
      <c r="CK150" s="433"/>
      <c r="CL150" s="433"/>
      <c r="CM150" s="433"/>
      <c r="CN150" s="433"/>
      <c r="CO150" s="433"/>
      <c r="CP150" s="433"/>
      <c r="CQ150" s="433"/>
      <c r="CR150" s="433"/>
      <c r="CS150" s="433"/>
      <c r="CT150" s="21"/>
    </row>
    <row r="151" spans="3:98" ht="24.75" hidden="1" customHeight="1" outlineLevel="1">
      <c r="C151" s="424" t="s">
        <v>690</v>
      </c>
      <c r="D151" s="427">
        <v>0</v>
      </c>
      <c r="E151" s="427">
        <v>0</v>
      </c>
      <c r="F151" s="427">
        <v>0</v>
      </c>
      <c r="G151" s="427">
        <v>0</v>
      </c>
      <c r="H151" s="427">
        <v>0</v>
      </c>
      <c r="I151" s="427">
        <v>0</v>
      </c>
      <c r="J151" s="427">
        <v>0</v>
      </c>
      <c r="K151" s="427">
        <v>0</v>
      </c>
      <c r="L151" s="427">
        <v>0</v>
      </c>
      <c r="M151" s="427">
        <v>0</v>
      </c>
      <c r="N151" s="427">
        <v>0</v>
      </c>
      <c r="O151" s="427">
        <v>0</v>
      </c>
      <c r="P151" s="427">
        <v>0</v>
      </c>
      <c r="Q151" s="427">
        <v>0</v>
      </c>
      <c r="R151" s="427">
        <v>0</v>
      </c>
      <c r="S151" s="427">
        <v>0</v>
      </c>
      <c r="T151" s="427">
        <v>0</v>
      </c>
      <c r="U151" s="427">
        <v>0</v>
      </c>
      <c r="V151" s="427">
        <v>0</v>
      </c>
      <c r="W151" s="427">
        <v>0</v>
      </c>
      <c r="X151" s="427">
        <v>0</v>
      </c>
      <c r="Y151" s="427">
        <v>0</v>
      </c>
      <c r="Z151" s="427">
        <v>0</v>
      </c>
      <c r="AA151" s="427">
        <v>0</v>
      </c>
      <c r="AB151" s="427">
        <v>0</v>
      </c>
      <c r="AC151" s="427">
        <v>0</v>
      </c>
      <c r="AD151" s="427">
        <v>0</v>
      </c>
      <c r="AE151" s="427">
        <v>0</v>
      </c>
      <c r="AF151" s="427">
        <v>0</v>
      </c>
      <c r="AG151" s="427">
        <v>0</v>
      </c>
      <c r="AH151" s="427">
        <v>0</v>
      </c>
      <c r="AI151" s="427">
        <v>0</v>
      </c>
      <c r="AJ151" s="427">
        <v>0</v>
      </c>
      <c r="AK151" s="427">
        <v>0</v>
      </c>
      <c r="AL151" s="427">
        <v>0</v>
      </c>
      <c r="AM151" s="427">
        <v>0</v>
      </c>
      <c r="AN151" s="427">
        <v>0</v>
      </c>
      <c r="AO151" s="427">
        <v>0</v>
      </c>
      <c r="AP151" s="427">
        <v>0</v>
      </c>
      <c r="AQ151" s="427">
        <v>0</v>
      </c>
      <c r="AR151" s="427">
        <v>0</v>
      </c>
      <c r="AS151" s="427">
        <v>0</v>
      </c>
      <c r="AT151" s="427">
        <v>0</v>
      </c>
      <c r="AU151" s="427">
        <v>0</v>
      </c>
      <c r="AV151" s="427">
        <v>0</v>
      </c>
      <c r="AW151" s="427">
        <v>0</v>
      </c>
      <c r="AX151" s="427">
        <v>0</v>
      </c>
      <c r="AY151" s="427">
        <v>0</v>
      </c>
      <c r="AZ151" s="427">
        <v>0</v>
      </c>
      <c r="BA151" s="427">
        <v>0</v>
      </c>
      <c r="BB151" s="427">
        <v>0</v>
      </c>
      <c r="BC151" s="427">
        <v>0</v>
      </c>
      <c r="BD151" s="427">
        <v>0</v>
      </c>
      <c r="BE151" s="427">
        <v>0</v>
      </c>
      <c r="BF151" s="427">
        <v>0</v>
      </c>
      <c r="BG151" s="427">
        <v>0</v>
      </c>
      <c r="BH151" s="427">
        <v>0</v>
      </c>
      <c r="BI151" s="427">
        <v>0</v>
      </c>
      <c r="BJ151" s="427">
        <v>0</v>
      </c>
      <c r="BK151" s="427">
        <v>0</v>
      </c>
      <c r="BL151" s="427">
        <v>0</v>
      </c>
      <c r="BM151" s="427">
        <v>0</v>
      </c>
      <c r="BN151" s="427">
        <v>0</v>
      </c>
      <c r="BO151" s="427">
        <v>0</v>
      </c>
      <c r="BP151" s="427">
        <v>0</v>
      </c>
      <c r="BQ151" s="427">
        <v>0</v>
      </c>
      <c r="BR151" s="427">
        <v>0</v>
      </c>
      <c r="BS151" s="427">
        <v>0</v>
      </c>
      <c r="BT151" s="427">
        <v>0</v>
      </c>
      <c r="BU151" s="427">
        <v>0</v>
      </c>
      <c r="BV151" s="427">
        <v>0</v>
      </c>
      <c r="BW151" s="427">
        <v>0</v>
      </c>
      <c r="BX151" s="427">
        <v>0</v>
      </c>
      <c r="BY151" s="427">
        <v>0</v>
      </c>
      <c r="BZ151" s="427">
        <v>0</v>
      </c>
      <c r="CC151" s="21"/>
      <c r="CD151" s="424" t="s">
        <v>690</v>
      </c>
      <c r="CE151" s="433">
        <f t="shared" si="30"/>
        <v>0</v>
      </c>
      <c r="CF151" s="433">
        <f t="shared" si="31"/>
        <v>0</v>
      </c>
      <c r="CG151" s="433">
        <f t="shared" si="32"/>
        <v>0</v>
      </c>
      <c r="CH151" s="433">
        <f t="shared" si="33"/>
        <v>0</v>
      </c>
      <c r="CI151" s="433">
        <f t="shared" si="34"/>
        <v>0</v>
      </c>
      <c r="CJ151" s="433">
        <f t="shared" si="35"/>
        <v>0</v>
      </c>
      <c r="CK151" s="433">
        <f t="shared" si="36"/>
        <v>0</v>
      </c>
      <c r="CL151" s="433">
        <f t="shared" si="37"/>
        <v>0</v>
      </c>
      <c r="CM151" s="433">
        <f t="shared" si="38"/>
        <v>0</v>
      </c>
      <c r="CN151" s="433">
        <f t="shared" si="39"/>
        <v>0</v>
      </c>
      <c r="CO151" s="433">
        <f t="shared" si="40"/>
        <v>0</v>
      </c>
      <c r="CP151" s="433">
        <f t="shared" si="41"/>
        <v>0</v>
      </c>
      <c r="CQ151" s="433">
        <f t="shared" si="42"/>
        <v>0</v>
      </c>
      <c r="CR151" s="433">
        <f t="shared" si="43"/>
        <v>0</v>
      </c>
      <c r="CS151" s="433">
        <f t="shared" si="44"/>
        <v>0</v>
      </c>
      <c r="CT151" s="21"/>
    </row>
    <row r="152" spans="3:98" ht="24.75" hidden="1" customHeight="1" outlineLevel="1" collapsed="1">
      <c r="C152" s="424" t="s">
        <v>691</v>
      </c>
      <c r="D152" s="427">
        <v>0</v>
      </c>
      <c r="E152" s="427">
        <v>0</v>
      </c>
      <c r="F152" s="427">
        <v>0</v>
      </c>
      <c r="G152" s="427">
        <v>0</v>
      </c>
      <c r="H152" s="427">
        <v>0</v>
      </c>
      <c r="I152" s="427">
        <v>0</v>
      </c>
      <c r="J152" s="427">
        <v>0</v>
      </c>
      <c r="K152" s="427">
        <v>0</v>
      </c>
      <c r="L152" s="427">
        <v>0</v>
      </c>
      <c r="M152" s="427">
        <v>0</v>
      </c>
      <c r="N152" s="427">
        <v>0</v>
      </c>
      <c r="O152" s="427">
        <v>0</v>
      </c>
      <c r="P152" s="427">
        <v>0</v>
      </c>
      <c r="Q152" s="427">
        <v>0</v>
      </c>
      <c r="R152" s="427">
        <v>0</v>
      </c>
      <c r="S152" s="427">
        <v>0</v>
      </c>
      <c r="T152" s="427">
        <v>0</v>
      </c>
      <c r="U152" s="427">
        <v>0</v>
      </c>
      <c r="V152" s="427">
        <v>0</v>
      </c>
      <c r="W152" s="427">
        <v>0</v>
      </c>
      <c r="X152" s="427">
        <v>0</v>
      </c>
      <c r="Y152" s="427">
        <v>0</v>
      </c>
      <c r="Z152" s="427">
        <v>0</v>
      </c>
      <c r="AA152" s="427">
        <v>0</v>
      </c>
      <c r="AB152" s="427">
        <v>0</v>
      </c>
      <c r="AC152" s="427">
        <v>0</v>
      </c>
      <c r="AD152" s="427">
        <v>0</v>
      </c>
      <c r="AE152" s="427">
        <v>0</v>
      </c>
      <c r="AF152" s="427">
        <v>0</v>
      </c>
      <c r="AG152" s="427">
        <v>0</v>
      </c>
      <c r="AH152" s="427">
        <v>0</v>
      </c>
      <c r="AI152" s="427">
        <v>0</v>
      </c>
      <c r="AJ152" s="427">
        <v>0</v>
      </c>
      <c r="AK152" s="427">
        <v>0</v>
      </c>
      <c r="AL152" s="427">
        <v>0</v>
      </c>
      <c r="AM152" s="427">
        <v>0</v>
      </c>
      <c r="AN152" s="427">
        <v>0</v>
      </c>
      <c r="AO152" s="427">
        <v>0</v>
      </c>
      <c r="AP152" s="427">
        <v>0</v>
      </c>
      <c r="AQ152" s="427">
        <v>0</v>
      </c>
      <c r="AR152" s="427">
        <v>0</v>
      </c>
      <c r="AS152" s="427">
        <v>0</v>
      </c>
      <c r="AT152" s="427">
        <v>0</v>
      </c>
      <c r="AU152" s="427">
        <v>0</v>
      </c>
      <c r="AV152" s="427">
        <v>0</v>
      </c>
      <c r="AW152" s="427">
        <v>0</v>
      </c>
      <c r="AX152" s="427">
        <v>0</v>
      </c>
      <c r="AY152" s="427">
        <v>0</v>
      </c>
      <c r="AZ152" s="427">
        <v>0</v>
      </c>
      <c r="BA152" s="427">
        <v>0</v>
      </c>
      <c r="BB152" s="427">
        <v>0</v>
      </c>
      <c r="BC152" s="427">
        <v>0</v>
      </c>
      <c r="BD152" s="427">
        <v>0</v>
      </c>
      <c r="BE152" s="427">
        <v>0</v>
      </c>
      <c r="BF152" s="427">
        <v>0</v>
      </c>
      <c r="BG152" s="427">
        <v>0</v>
      </c>
      <c r="BH152" s="427">
        <v>0</v>
      </c>
      <c r="BI152" s="427">
        <v>0</v>
      </c>
      <c r="BJ152" s="427">
        <v>0</v>
      </c>
      <c r="BK152" s="427">
        <v>0</v>
      </c>
      <c r="BL152" s="427">
        <v>0</v>
      </c>
      <c r="BM152" s="427">
        <v>0</v>
      </c>
      <c r="BN152" s="427">
        <v>0</v>
      </c>
      <c r="BO152" s="427">
        <v>0</v>
      </c>
      <c r="BP152" s="427">
        <v>0</v>
      </c>
      <c r="BQ152" s="427">
        <v>0</v>
      </c>
      <c r="BR152" s="427">
        <v>0</v>
      </c>
      <c r="BS152" s="427">
        <v>0</v>
      </c>
      <c r="BT152" s="427">
        <v>0</v>
      </c>
      <c r="BU152" s="427">
        <v>0</v>
      </c>
      <c r="BV152" s="427">
        <v>0</v>
      </c>
      <c r="BW152" s="427">
        <v>0</v>
      </c>
      <c r="BX152" s="427">
        <v>0</v>
      </c>
      <c r="BY152" s="427">
        <v>0</v>
      </c>
      <c r="BZ152" s="427">
        <v>0</v>
      </c>
      <c r="CC152" s="21"/>
      <c r="CD152" s="424" t="s">
        <v>691</v>
      </c>
      <c r="CE152" s="433">
        <f t="shared" si="30"/>
        <v>0</v>
      </c>
      <c r="CF152" s="433">
        <f t="shared" si="31"/>
        <v>0</v>
      </c>
      <c r="CG152" s="433">
        <f t="shared" si="32"/>
        <v>0</v>
      </c>
      <c r="CH152" s="433">
        <f t="shared" si="33"/>
        <v>0</v>
      </c>
      <c r="CI152" s="433">
        <f t="shared" si="34"/>
        <v>0</v>
      </c>
      <c r="CJ152" s="433">
        <f t="shared" si="35"/>
        <v>0</v>
      </c>
      <c r="CK152" s="433">
        <f t="shared" si="36"/>
        <v>0</v>
      </c>
      <c r="CL152" s="433">
        <f t="shared" si="37"/>
        <v>0</v>
      </c>
      <c r="CM152" s="433">
        <f t="shared" si="38"/>
        <v>0</v>
      </c>
      <c r="CN152" s="433">
        <f t="shared" si="39"/>
        <v>0</v>
      </c>
      <c r="CO152" s="433">
        <f t="shared" si="40"/>
        <v>0</v>
      </c>
      <c r="CP152" s="433">
        <f t="shared" si="41"/>
        <v>0</v>
      </c>
      <c r="CQ152" s="433">
        <f t="shared" si="42"/>
        <v>0</v>
      </c>
      <c r="CR152" s="433">
        <f t="shared" si="43"/>
        <v>0</v>
      </c>
      <c r="CS152" s="433">
        <f t="shared" si="44"/>
        <v>0</v>
      </c>
      <c r="CT152" s="21"/>
    </row>
    <row r="153" spans="3:98" ht="24.75" customHeight="1" collapsed="1">
      <c r="C153" s="415" t="s">
        <v>689</v>
      </c>
      <c r="D153" s="427">
        <v>0</v>
      </c>
      <c r="E153" s="427">
        <v>0</v>
      </c>
      <c r="F153" s="427">
        <v>0</v>
      </c>
      <c r="G153" s="427">
        <v>0</v>
      </c>
      <c r="H153" s="427">
        <v>0</v>
      </c>
      <c r="I153" s="427">
        <v>0</v>
      </c>
      <c r="J153" s="427">
        <v>0</v>
      </c>
      <c r="K153" s="427">
        <v>0</v>
      </c>
      <c r="L153" s="427">
        <v>0</v>
      </c>
      <c r="M153" s="427">
        <v>0</v>
      </c>
      <c r="N153" s="427">
        <v>0</v>
      </c>
      <c r="O153" s="427">
        <v>0</v>
      </c>
      <c r="P153" s="427">
        <v>0</v>
      </c>
      <c r="Q153" s="427">
        <v>0</v>
      </c>
      <c r="R153" s="427">
        <v>0</v>
      </c>
      <c r="S153" s="427">
        <v>0</v>
      </c>
      <c r="T153" s="427">
        <v>0</v>
      </c>
      <c r="U153" s="427">
        <v>0</v>
      </c>
      <c r="V153" s="427">
        <v>0</v>
      </c>
      <c r="W153" s="427">
        <v>0</v>
      </c>
      <c r="X153" s="427">
        <v>0</v>
      </c>
      <c r="Y153" s="427">
        <v>0</v>
      </c>
      <c r="Z153" s="427">
        <v>0</v>
      </c>
      <c r="AA153" s="427">
        <v>0</v>
      </c>
      <c r="AB153" s="427">
        <v>0</v>
      </c>
      <c r="AC153" s="427">
        <v>0</v>
      </c>
      <c r="AD153" s="427">
        <v>0</v>
      </c>
      <c r="AE153" s="427">
        <v>0</v>
      </c>
      <c r="AF153" s="427">
        <v>0</v>
      </c>
      <c r="AG153" s="427">
        <v>0</v>
      </c>
      <c r="AH153" s="427">
        <v>0</v>
      </c>
      <c r="AI153" s="427">
        <v>0</v>
      </c>
      <c r="AJ153" s="427">
        <v>0</v>
      </c>
      <c r="AK153" s="427">
        <v>0</v>
      </c>
      <c r="AL153" s="427">
        <v>0</v>
      </c>
      <c r="AM153" s="427">
        <v>0</v>
      </c>
      <c r="AN153" s="427">
        <v>0</v>
      </c>
      <c r="AO153" s="427">
        <v>0</v>
      </c>
      <c r="AP153" s="427">
        <v>0</v>
      </c>
      <c r="AQ153" s="427">
        <v>0</v>
      </c>
      <c r="AR153" s="427">
        <v>0</v>
      </c>
      <c r="AS153" s="427">
        <v>0</v>
      </c>
      <c r="AT153" s="427">
        <v>0</v>
      </c>
      <c r="AU153" s="427">
        <v>0</v>
      </c>
      <c r="AV153" s="427">
        <v>0</v>
      </c>
      <c r="AW153" s="427">
        <v>0</v>
      </c>
      <c r="AX153" s="427">
        <v>0</v>
      </c>
      <c r="AY153" s="427">
        <v>0</v>
      </c>
      <c r="AZ153" s="427">
        <v>0</v>
      </c>
      <c r="BA153" s="427">
        <v>0</v>
      </c>
      <c r="BB153" s="427">
        <v>0</v>
      </c>
      <c r="BC153" s="427">
        <v>0</v>
      </c>
      <c r="BD153" s="427">
        <v>0</v>
      </c>
      <c r="BE153" s="427">
        <v>0</v>
      </c>
      <c r="BF153" s="427">
        <v>0</v>
      </c>
      <c r="BG153" s="427">
        <v>0</v>
      </c>
      <c r="BH153" s="427">
        <v>0</v>
      </c>
      <c r="BI153" s="427">
        <v>0</v>
      </c>
      <c r="BJ153" s="427">
        <v>0</v>
      </c>
      <c r="BK153" s="427">
        <v>0</v>
      </c>
      <c r="BL153" s="427">
        <v>0</v>
      </c>
      <c r="BM153" s="427">
        <v>0</v>
      </c>
      <c r="BN153" s="427">
        <v>0</v>
      </c>
      <c r="BO153" s="427">
        <v>0</v>
      </c>
      <c r="BP153" s="427">
        <v>0</v>
      </c>
      <c r="BQ153" s="427">
        <v>0</v>
      </c>
      <c r="BR153" s="427">
        <v>0</v>
      </c>
      <c r="BS153" s="427">
        <v>0</v>
      </c>
      <c r="BT153" s="427">
        <v>0</v>
      </c>
      <c r="BU153" s="427">
        <v>0</v>
      </c>
      <c r="BV153" s="427">
        <v>0</v>
      </c>
      <c r="BW153" s="427">
        <v>0</v>
      </c>
      <c r="BX153" s="427">
        <v>0</v>
      </c>
      <c r="BY153" s="427">
        <v>0</v>
      </c>
      <c r="BZ153" s="427">
        <v>0</v>
      </c>
      <c r="CC153" s="21"/>
      <c r="CD153" s="415" t="s">
        <v>689</v>
      </c>
      <c r="CE153" s="433">
        <f t="shared" si="30"/>
        <v>0</v>
      </c>
      <c r="CF153" s="433">
        <f t="shared" si="31"/>
        <v>0</v>
      </c>
      <c r="CG153" s="433">
        <f t="shared" si="32"/>
        <v>0</v>
      </c>
      <c r="CH153" s="433">
        <f t="shared" si="33"/>
        <v>0</v>
      </c>
      <c r="CI153" s="433">
        <f t="shared" si="34"/>
        <v>0</v>
      </c>
      <c r="CJ153" s="433">
        <f t="shared" si="35"/>
        <v>0</v>
      </c>
      <c r="CK153" s="433">
        <f t="shared" si="36"/>
        <v>0</v>
      </c>
      <c r="CL153" s="433">
        <f t="shared" si="37"/>
        <v>0</v>
      </c>
      <c r="CM153" s="433">
        <f t="shared" si="38"/>
        <v>0</v>
      </c>
      <c r="CN153" s="433">
        <f t="shared" si="39"/>
        <v>0</v>
      </c>
      <c r="CO153" s="433">
        <f t="shared" si="40"/>
        <v>0</v>
      </c>
      <c r="CP153" s="433">
        <f t="shared" si="41"/>
        <v>0</v>
      </c>
      <c r="CQ153" s="433">
        <f t="shared" si="42"/>
        <v>0</v>
      </c>
      <c r="CR153" s="433">
        <f t="shared" si="43"/>
        <v>0</v>
      </c>
      <c r="CS153" s="433">
        <f t="shared" si="44"/>
        <v>0</v>
      </c>
      <c r="CT153" s="21"/>
    </row>
    <row r="154" spans="3:98" ht="24.75" hidden="1" customHeight="1" outlineLevel="1">
      <c r="C154" s="424" t="s">
        <v>693</v>
      </c>
      <c r="D154" s="427">
        <v>0</v>
      </c>
      <c r="E154" s="427">
        <v>0</v>
      </c>
      <c r="F154" s="427">
        <v>0</v>
      </c>
      <c r="G154" s="427">
        <v>0</v>
      </c>
      <c r="H154" s="434">
        <v>0</v>
      </c>
      <c r="I154" s="434">
        <v>0</v>
      </c>
      <c r="J154" s="434">
        <v>0</v>
      </c>
      <c r="K154" s="434">
        <v>0</v>
      </c>
      <c r="L154" s="434">
        <v>0</v>
      </c>
      <c r="M154" s="434">
        <v>0</v>
      </c>
      <c r="N154" s="434">
        <v>0</v>
      </c>
      <c r="O154" s="434">
        <v>0</v>
      </c>
      <c r="P154" s="434">
        <v>0</v>
      </c>
      <c r="Q154" s="434">
        <v>0</v>
      </c>
      <c r="R154" s="434">
        <v>0</v>
      </c>
      <c r="S154" s="434">
        <v>0</v>
      </c>
      <c r="T154" s="434">
        <v>0</v>
      </c>
      <c r="U154" s="434">
        <v>0</v>
      </c>
      <c r="V154" s="434">
        <v>0</v>
      </c>
      <c r="W154" s="434">
        <v>0</v>
      </c>
      <c r="X154" s="434">
        <v>0</v>
      </c>
      <c r="Y154" s="434">
        <v>0</v>
      </c>
      <c r="Z154" s="434">
        <v>0</v>
      </c>
      <c r="AA154" s="434">
        <v>0</v>
      </c>
      <c r="AB154" s="434">
        <v>0</v>
      </c>
      <c r="AC154" s="434">
        <v>0</v>
      </c>
      <c r="AD154" s="434">
        <v>0</v>
      </c>
      <c r="AE154" s="434">
        <v>0</v>
      </c>
      <c r="AF154" s="434">
        <v>0</v>
      </c>
      <c r="AG154" s="434">
        <v>0</v>
      </c>
      <c r="AH154" s="434">
        <v>0</v>
      </c>
      <c r="AI154" s="434">
        <v>0</v>
      </c>
      <c r="AJ154" s="434">
        <v>0</v>
      </c>
      <c r="AK154" s="434">
        <v>0</v>
      </c>
      <c r="AL154" s="434">
        <v>0</v>
      </c>
      <c r="AM154" s="434">
        <v>0</v>
      </c>
      <c r="AN154" s="434">
        <v>0</v>
      </c>
      <c r="AO154" s="434">
        <v>0</v>
      </c>
      <c r="AP154" s="434">
        <v>0</v>
      </c>
      <c r="AQ154" s="434">
        <v>0</v>
      </c>
      <c r="AR154" s="434">
        <v>0</v>
      </c>
      <c r="AS154" s="434">
        <v>0</v>
      </c>
      <c r="AT154" s="434">
        <v>0</v>
      </c>
      <c r="AU154" s="434">
        <v>0</v>
      </c>
      <c r="AV154" s="434">
        <v>0</v>
      </c>
      <c r="AW154" s="434">
        <v>0</v>
      </c>
      <c r="AX154" s="434">
        <v>0</v>
      </c>
      <c r="AY154" s="434">
        <v>0</v>
      </c>
      <c r="AZ154" s="434">
        <v>0</v>
      </c>
      <c r="BA154" s="434">
        <v>0</v>
      </c>
      <c r="BB154" s="434">
        <v>0</v>
      </c>
      <c r="BC154" s="434">
        <v>0</v>
      </c>
      <c r="BD154" s="434">
        <v>0</v>
      </c>
      <c r="BE154" s="434">
        <v>0</v>
      </c>
      <c r="BF154" s="434">
        <v>0</v>
      </c>
      <c r="BG154" s="434">
        <v>0</v>
      </c>
      <c r="BH154" s="434">
        <v>0</v>
      </c>
      <c r="BI154" s="434">
        <v>0</v>
      </c>
      <c r="BJ154" s="434">
        <v>0</v>
      </c>
      <c r="BK154" s="434">
        <v>0</v>
      </c>
      <c r="BL154" s="434">
        <v>0</v>
      </c>
      <c r="BM154" s="434">
        <v>0</v>
      </c>
      <c r="BN154" s="434">
        <v>0</v>
      </c>
      <c r="BO154" s="434">
        <v>0</v>
      </c>
      <c r="BP154" s="434">
        <v>0</v>
      </c>
      <c r="BQ154" s="434">
        <v>0</v>
      </c>
      <c r="BR154" s="434">
        <v>0</v>
      </c>
      <c r="BS154" s="434">
        <v>0</v>
      </c>
      <c r="BT154" s="434">
        <v>0</v>
      </c>
      <c r="BU154" s="434">
        <v>0</v>
      </c>
      <c r="BV154" s="434">
        <v>0</v>
      </c>
      <c r="BW154" s="434">
        <v>0</v>
      </c>
      <c r="BX154" s="434">
        <v>0</v>
      </c>
      <c r="BY154" s="434">
        <v>0</v>
      </c>
      <c r="BZ154" s="434">
        <v>0</v>
      </c>
      <c r="CC154" s="21"/>
      <c r="CD154" s="424" t="s">
        <v>693</v>
      </c>
      <c r="CE154" s="433">
        <f t="shared" si="30"/>
        <v>0</v>
      </c>
      <c r="CF154" s="433">
        <f t="shared" si="31"/>
        <v>0</v>
      </c>
      <c r="CG154" s="433">
        <f t="shared" si="32"/>
        <v>0</v>
      </c>
      <c r="CH154" s="433">
        <f t="shared" si="33"/>
        <v>0</v>
      </c>
      <c r="CI154" s="433">
        <f t="shared" si="34"/>
        <v>0</v>
      </c>
      <c r="CJ154" s="433">
        <f t="shared" si="35"/>
        <v>0</v>
      </c>
      <c r="CK154" s="433">
        <f t="shared" si="36"/>
        <v>0</v>
      </c>
      <c r="CL154" s="433">
        <f t="shared" si="37"/>
        <v>0</v>
      </c>
      <c r="CM154" s="433">
        <f t="shared" si="38"/>
        <v>0</v>
      </c>
      <c r="CN154" s="433">
        <f t="shared" si="39"/>
        <v>0</v>
      </c>
      <c r="CO154" s="433">
        <f t="shared" si="40"/>
        <v>0</v>
      </c>
      <c r="CP154" s="433">
        <f t="shared" si="41"/>
        <v>0</v>
      </c>
      <c r="CQ154" s="433">
        <f t="shared" si="42"/>
        <v>0</v>
      </c>
      <c r="CR154" s="433">
        <f t="shared" si="43"/>
        <v>0</v>
      </c>
      <c r="CS154" s="433">
        <f t="shared" si="44"/>
        <v>0</v>
      </c>
      <c r="CT154" s="21"/>
    </row>
    <row r="155" spans="3:98" ht="24.75" hidden="1" customHeight="1" outlineLevel="1">
      <c r="C155" s="424" t="s">
        <v>694</v>
      </c>
      <c r="D155" s="427">
        <v>0</v>
      </c>
      <c r="E155" s="427">
        <v>0</v>
      </c>
      <c r="F155" s="427">
        <v>0</v>
      </c>
      <c r="G155" s="427">
        <v>0</v>
      </c>
      <c r="H155" s="427">
        <v>0</v>
      </c>
      <c r="I155" s="427">
        <v>0</v>
      </c>
      <c r="J155" s="427">
        <v>0</v>
      </c>
      <c r="K155" s="427">
        <v>0</v>
      </c>
      <c r="L155" s="427">
        <v>0</v>
      </c>
      <c r="M155" s="427">
        <v>0</v>
      </c>
      <c r="N155" s="427">
        <v>0</v>
      </c>
      <c r="O155" s="427">
        <v>0</v>
      </c>
      <c r="P155" s="427">
        <v>0</v>
      </c>
      <c r="Q155" s="427">
        <v>0</v>
      </c>
      <c r="R155" s="427">
        <v>0</v>
      </c>
      <c r="S155" s="427">
        <v>0</v>
      </c>
      <c r="T155" s="427">
        <v>0</v>
      </c>
      <c r="U155" s="427">
        <v>0</v>
      </c>
      <c r="V155" s="427">
        <v>0</v>
      </c>
      <c r="W155" s="427">
        <v>0</v>
      </c>
      <c r="X155" s="427">
        <v>0</v>
      </c>
      <c r="Y155" s="427">
        <v>0</v>
      </c>
      <c r="Z155" s="427">
        <v>0</v>
      </c>
      <c r="AA155" s="427">
        <v>0</v>
      </c>
      <c r="AB155" s="427">
        <v>0</v>
      </c>
      <c r="AC155" s="427">
        <v>0</v>
      </c>
      <c r="AD155" s="427">
        <v>0</v>
      </c>
      <c r="AE155" s="427">
        <v>0</v>
      </c>
      <c r="AF155" s="427">
        <v>0</v>
      </c>
      <c r="AG155" s="427">
        <v>0</v>
      </c>
      <c r="AH155" s="427">
        <v>0</v>
      </c>
      <c r="AI155" s="427">
        <v>0</v>
      </c>
      <c r="AJ155" s="427">
        <v>0</v>
      </c>
      <c r="AK155" s="427">
        <v>0</v>
      </c>
      <c r="AL155" s="427">
        <v>0</v>
      </c>
      <c r="AM155" s="427">
        <v>0</v>
      </c>
      <c r="AN155" s="427">
        <v>0</v>
      </c>
      <c r="AO155" s="427">
        <v>0</v>
      </c>
      <c r="AP155" s="427">
        <v>0</v>
      </c>
      <c r="AQ155" s="427">
        <v>0</v>
      </c>
      <c r="AR155" s="427">
        <v>0</v>
      </c>
      <c r="AS155" s="427">
        <v>0</v>
      </c>
      <c r="AT155" s="427">
        <v>0</v>
      </c>
      <c r="AU155" s="427">
        <v>0</v>
      </c>
      <c r="AV155" s="427">
        <v>0</v>
      </c>
      <c r="AW155" s="427">
        <v>0</v>
      </c>
      <c r="AX155" s="427">
        <v>0</v>
      </c>
      <c r="AY155" s="427">
        <v>0</v>
      </c>
      <c r="AZ155" s="427">
        <v>0</v>
      </c>
      <c r="BA155" s="427">
        <v>0</v>
      </c>
      <c r="BB155" s="427">
        <v>0</v>
      </c>
      <c r="BC155" s="427">
        <v>0</v>
      </c>
      <c r="BD155" s="427">
        <v>0</v>
      </c>
      <c r="BE155" s="427">
        <v>0</v>
      </c>
      <c r="BF155" s="427">
        <v>0</v>
      </c>
      <c r="BG155" s="427">
        <v>0</v>
      </c>
      <c r="BH155" s="427">
        <v>0</v>
      </c>
      <c r="BI155" s="427">
        <v>0</v>
      </c>
      <c r="BJ155" s="427">
        <v>0</v>
      </c>
      <c r="BK155" s="427">
        <v>0</v>
      </c>
      <c r="BL155" s="427">
        <v>0</v>
      </c>
      <c r="BM155" s="427">
        <v>0</v>
      </c>
      <c r="BN155" s="427">
        <v>0</v>
      </c>
      <c r="BO155" s="427">
        <v>0</v>
      </c>
      <c r="BP155" s="427">
        <v>0</v>
      </c>
      <c r="BQ155" s="427">
        <v>0</v>
      </c>
      <c r="BR155" s="427">
        <v>0</v>
      </c>
      <c r="BS155" s="427">
        <v>0</v>
      </c>
      <c r="BT155" s="427">
        <v>0</v>
      </c>
      <c r="BU155" s="427">
        <v>0</v>
      </c>
      <c r="BV155" s="427">
        <v>0</v>
      </c>
      <c r="BW155" s="427">
        <v>0</v>
      </c>
      <c r="BX155" s="427">
        <v>0</v>
      </c>
      <c r="BY155" s="427">
        <v>0</v>
      </c>
      <c r="BZ155" s="427">
        <v>0</v>
      </c>
      <c r="CC155" s="21"/>
      <c r="CD155" s="424" t="s">
        <v>694</v>
      </c>
      <c r="CE155" s="433">
        <f t="shared" si="30"/>
        <v>0</v>
      </c>
      <c r="CF155" s="433">
        <f t="shared" si="31"/>
        <v>0</v>
      </c>
      <c r="CG155" s="433">
        <f t="shared" si="32"/>
        <v>0</v>
      </c>
      <c r="CH155" s="433">
        <f t="shared" si="33"/>
        <v>0</v>
      </c>
      <c r="CI155" s="433">
        <f t="shared" si="34"/>
        <v>0</v>
      </c>
      <c r="CJ155" s="433">
        <f t="shared" si="35"/>
        <v>0</v>
      </c>
      <c r="CK155" s="433">
        <f t="shared" si="36"/>
        <v>0</v>
      </c>
      <c r="CL155" s="433">
        <f t="shared" si="37"/>
        <v>0</v>
      </c>
      <c r="CM155" s="433">
        <f t="shared" si="38"/>
        <v>0</v>
      </c>
      <c r="CN155" s="433">
        <f t="shared" si="39"/>
        <v>0</v>
      </c>
      <c r="CO155" s="433">
        <f t="shared" si="40"/>
        <v>0</v>
      </c>
      <c r="CP155" s="433">
        <f t="shared" si="41"/>
        <v>0</v>
      </c>
      <c r="CQ155" s="433">
        <f t="shared" si="42"/>
        <v>0</v>
      </c>
      <c r="CR155" s="433">
        <f t="shared" si="43"/>
        <v>0</v>
      </c>
      <c r="CS155" s="433">
        <f t="shared" si="44"/>
        <v>0</v>
      </c>
      <c r="CT155" s="21"/>
    </row>
    <row r="156" spans="3:98" ht="24.75" customHeight="1" collapsed="1">
      <c r="C156" s="415" t="s">
        <v>692</v>
      </c>
      <c r="D156" s="427">
        <v>0</v>
      </c>
      <c r="E156" s="427">
        <v>0</v>
      </c>
      <c r="F156" s="427">
        <v>0</v>
      </c>
      <c r="G156" s="427">
        <v>0</v>
      </c>
      <c r="H156" s="427">
        <v>0</v>
      </c>
      <c r="I156" s="427">
        <v>0</v>
      </c>
      <c r="J156" s="427">
        <v>0</v>
      </c>
      <c r="K156" s="427">
        <v>0</v>
      </c>
      <c r="L156" s="427">
        <v>0</v>
      </c>
      <c r="M156" s="427">
        <v>0</v>
      </c>
      <c r="N156" s="427">
        <v>0</v>
      </c>
      <c r="O156" s="427">
        <v>0</v>
      </c>
      <c r="P156" s="427">
        <v>0</v>
      </c>
      <c r="Q156" s="427">
        <v>0</v>
      </c>
      <c r="R156" s="427">
        <v>0</v>
      </c>
      <c r="S156" s="427">
        <v>0</v>
      </c>
      <c r="T156" s="427">
        <v>0</v>
      </c>
      <c r="U156" s="427">
        <v>0</v>
      </c>
      <c r="V156" s="427">
        <v>0</v>
      </c>
      <c r="W156" s="427">
        <v>0</v>
      </c>
      <c r="X156" s="427">
        <v>0</v>
      </c>
      <c r="Y156" s="427">
        <v>0</v>
      </c>
      <c r="Z156" s="427">
        <v>0</v>
      </c>
      <c r="AA156" s="427">
        <v>0</v>
      </c>
      <c r="AB156" s="427">
        <v>0</v>
      </c>
      <c r="AC156" s="427">
        <v>0</v>
      </c>
      <c r="AD156" s="427">
        <v>0</v>
      </c>
      <c r="AE156" s="427">
        <v>0</v>
      </c>
      <c r="AF156" s="427">
        <v>0</v>
      </c>
      <c r="AG156" s="427">
        <v>0</v>
      </c>
      <c r="AH156" s="427">
        <v>0</v>
      </c>
      <c r="AI156" s="427">
        <v>0</v>
      </c>
      <c r="AJ156" s="427">
        <v>0</v>
      </c>
      <c r="AK156" s="427">
        <v>0</v>
      </c>
      <c r="AL156" s="427">
        <v>0</v>
      </c>
      <c r="AM156" s="427">
        <v>0</v>
      </c>
      <c r="AN156" s="427">
        <v>0</v>
      </c>
      <c r="AO156" s="427">
        <v>0</v>
      </c>
      <c r="AP156" s="427">
        <v>0</v>
      </c>
      <c r="AQ156" s="427">
        <v>0</v>
      </c>
      <c r="AR156" s="427">
        <v>0</v>
      </c>
      <c r="AS156" s="427">
        <v>0</v>
      </c>
      <c r="AT156" s="427">
        <v>0</v>
      </c>
      <c r="AU156" s="427">
        <v>0</v>
      </c>
      <c r="AV156" s="427">
        <v>0</v>
      </c>
      <c r="AW156" s="427">
        <v>0</v>
      </c>
      <c r="AX156" s="427">
        <v>0</v>
      </c>
      <c r="AY156" s="427">
        <v>0</v>
      </c>
      <c r="AZ156" s="427">
        <v>0</v>
      </c>
      <c r="BA156" s="427">
        <v>0</v>
      </c>
      <c r="BB156" s="427">
        <v>0</v>
      </c>
      <c r="BC156" s="427">
        <v>0</v>
      </c>
      <c r="BD156" s="427">
        <v>0</v>
      </c>
      <c r="BE156" s="427">
        <v>0</v>
      </c>
      <c r="BF156" s="427">
        <v>0</v>
      </c>
      <c r="BG156" s="427">
        <v>0</v>
      </c>
      <c r="BH156" s="427">
        <v>0</v>
      </c>
      <c r="BI156" s="427">
        <v>0</v>
      </c>
      <c r="BJ156" s="427">
        <v>0</v>
      </c>
      <c r="BK156" s="427">
        <v>0</v>
      </c>
      <c r="BL156" s="427">
        <v>0</v>
      </c>
      <c r="BM156" s="427">
        <v>0</v>
      </c>
      <c r="BN156" s="427">
        <v>0</v>
      </c>
      <c r="BO156" s="427">
        <v>0</v>
      </c>
      <c r="BP156" s="427">
        <v>0</v>
      </c>
      <c r="BQ156" s="427">
        <v>0</v>
      </c>
      <c r="BR156" s="427">
        <v>0</v>
      </c>
      <c r="BS156" s="427">
        <v>0</v>
      </c>
      <c r="BT156" s="427">
        <v>0</v>
      </c>
      <c r="BU156" s="427">
        <v>0</v>
      </c>
      <c r="BV156" s="427">
        <v>0</v>
      </c>
      <c r="BW156" s="427">
        <v>0</v>
      </c>
      <c r="BX156" s="427">
        <v>0</v>
      </c>
      <c r="BY156" s="427">
        <v>0</v>
      </c>
      <c r="BZ156" s="427">
        <v>0</v>
      </c>
      <c r="CC156" s="21"/>
      <c r="CD156" s="415" t="s">
        <v>692</v>
      </c>
      <c r="CE156" s="433">
        <f t="shared" si="30"/>
        <v>0</v>
      </c>
      <c r="CF156" s="433">
        <f t="shared" si="31"/>
        <v>0</v>
      </c>
      <c r="CG156" s="433">
        <f t="shared" si="32"/>
        <v>0</v>
      </c>
      <c r="CH156" s="433">
        <f t="shared" si="33"/>
        <v>0</v>
      </c>
      <c r="CI156" s="433">
        <f t="shared" si="34"/>
        <v>0</v>
      </c>
      <c r="CJ156" s="433">
        <f t="shared" si="35"/>
        <v>0</v>
      </c>
      <c r="CK156" s="433">
        <f t="shared" si="36"/>
        <v>0</v>
      </c>
      <c r="CL156" s="433">
        <f t="shared" si="37"/>
        <v>0</v>
      </c>
      <c r="CM156" s="433">
        <f t="shared" si="38"/>
        <v>0</v>
      </c>
      <c r="CN156" s="433">
        <f t="shared" si="39"/>
        <v>0</v>
      </c>
      <c r="CO156" s="433">
        <f t="shared" si="40"/>
        <v>0</v>
      </c>
      <c r="CP156" s="433">
        <f t="shared" si="41"/>
        <v>0</v>
      </c>
      <c r="CQ156" s="433">
        <f t="shared" si="42"/>
        <v>0</v>
      </c>
      <c r="CR156" s="433">
        <f t="shared" si="43"/>
        <v>0</v>
      </c>
      <c r="CS156" s="433">
        <f t="shared" si="44"/>
        <v>0</v>
      </c>
      <c r="CT156" s="21"/>
    </row>
    <row r="157" spans="3:98" ht="24.75" hidden="1" customHeight="1" outlineLevel="2">
      <c r="C157" s="426" t="s">
        <v>697</v>
      </c>
      <c r="D157" s="427">
        <v>0</v>
      </c>
      <c r="E157" s="427">
        <v>0</v>
      </c>
      <c r="F157" s="427">
        <v>0</v>
      </c>
      <c r="G157" s="427">
        <v>0</v>
      </c>
      <c r="H157" s="427">
        <v>0</v>
      </c>
      <c r="I157" s="427">
        <v>0</v>
      </c>
      <c r="J157" s="427">
        <v>0</v>
      </c>
      <c r="K157" s="427">
        <v>0</v>
      </c>
      <c r="L157" s="427">
        <v>0</v>
      </c>
      <c r="M157" s="427">
        <v>0</v>
      </c>
      <c r="N157" s="427">
        <v>0</v>
      </c>
      <c r="O157" s="427">
        <v>0</v>
      </c>
      <c r="P157" s="427">
        <v>0</v>
      </c>
      <c r="Q157" s="427">
        <v>0</v>
      </c>
      <c r="R157" s="427">
        <v>0</v>
      </c>
      <c r="S157" s="427">
        <v>0</v>
      </c>
      <c r="T157" s="427">
        <v>0</v>
      </c>
      <c r="U157" s="427">
        <v>0</v>
      </c>
      <c r="V157" s="427">
        <v>0</v>
      </c>
      <c r="W157" s="427">
        <v>0</v>
      </c>
      <c r="X157" s="427">
        <v>0</v>
      </c>
      <c r="Y157" s="427">
        <v>0</v>
      </c>
      <c r="Z157" s="427">
        <v>0</v>
      </c>
      <c r="AA157" s="427">
        <v>0</v>
      </c>
      <c r="AB157" s="427">
        <v>0</v>
      </c>
      <c r="AC157" s="427">
        <v>0</v>
      </c>
      <c r="AD157" s="427">
        <v>0</v>
      </c>
      <c r="AE157" s="427">
        <v>0</v>
      </c>
      <c r="AF157" s="427">
        <v>0</v>
      </c>
      <c r="AG157" s="427">
        <v>0</v>
      </c>
      <c r="AH157" s="427">
        <v>0</v>
      </c>
      <c r="AI157" s="427">
        <v>0</v>
      </c>
      <c r="AJ157" s="427">
        <v>0</v>
      </c>
      <c r="AK157" s="427">
        <v>0</v>
      </c>
      <c r="AL157" s="427">
        <v>0</v>
      </c>
      <c r="AM157" s="427">
        <v>0</v>
      </c>
      <c r="AN157" s="427">
        <v>0</v>
      </c>
      <c r="AO157" s="427">
        <v>0</v>
      </c>
      <c r="AP157" s="427">
        <v>0</v>
      </c>
      <c r="AQ157" s="427">
        <v>0</v>
      </c>
      <c r="AR157" s="427">
        <v>0</v>
      </c>
      <c r="AS157" s="427">
        <v>0</v>
      </c>
      <c r="AT157" s="427">
        <v>0</v>
      </c>
      <c r="AU157" s="427">
        <v>0</v>
      </c>
      <c r="AV157" s="427">
        <v>0</v>
      </c>
      <c r="AW157" s="427">
        <v>0</v>
      </c>
      <c r="AX157" s="427">
        <v>0</v>
      </c>
      <c r="AY157" s="427">
        <v>0</v>
      </c>
      <c r="AZ157" s="427">
        <v>0</v>
      </c>
      <c r="BA157" s="427">
        <v>0</v>
      </c>
      <c r="BB157" s="427">
        <v>0</v>
      </c>
      <c r="BC157" s="427">
        <v>0</v>
      </c>
      <c r="BD157" s="427">
        <v>0</v>
      </c>
      <c r="BE157" s="427">
        <v>0</v>
      </c>
      <c r="BF157" s="427">
        <v>0</v>
      </c>
      <c r="BG157" s="427">
        <v>0</v>
      </c>
      <c r="BH157" s="427">
        <v>0</v>
      </c>
      <c r="BI157" s="427">
        <v>0</v>
      </c>
      <c r="BJ157" s="427">
        <v>0</v>
      </c>
      <c r="BK157" s="427">
        <v>0</v>
      </c>
      <c r="BL157" s="427">
        <v>0</v>
      </c>
      <c r="BM157" s="427">
        <v>20</v>
      </c>
      <c r="BN157" s="427">
        <v>0</v>
      </c>
      <c r="BO157" s="427">
        <v>0</v>
      </c>
      <c r="BP157" s="427">
        <v>20</v>
      </c>
      <c r="BQ157" s="427">
        <v>149.4</v>
      </c>
      <c r="BR157" s="427">
        <v>0</v>
      </c>
      <c r="BS157" s="427">
        <v>0</v>
      </c>
      <c r="BT157" s="427">
        <v>41.555999999999997</v>
      </c>
      <c r="BU157" s="427">
        <v>190.95599999999999</v>
      </c>
      <c r="BV157" s="427">
        <v>31.64</v>
      </c>
      <c r="BW157" s="427">
        <v>0</v>
      </c>
      <c r="BX157" s="427">
        <v>0</v>
      </c>
      <c r="BY157" s="427">
        <v>0</v>
      </c>
      <c r="BZ157" s="427">
        <v>0</v>
      </c>
      <c r="CC157" s="21"/>
      <c r="CD157" s="426" t="s">
        <v>697</v>
      </c>
      <c r="CE157" s="433">
        <f t="shared" si="30"/>
        <v>0</v>
      </c>
      <c r="CF157" s="433">
        <f t="shared" si="31"/>
        <v>0</v>
      </c>
      <c r="CG157" s="433">
        <f t="shared" si="32"/>
        <v>0</v>
      </c>
      <c r="CH157" s="433">
        <f t="shared" si="33"/>
        <v>0</v>
      </c>
      <c r="CI157" s="433">
        <f t="shared" si="34"/>
        <v>0</v>
      </c>
      <c r="CJ157" s="433">
        <f t="shared" si="35"/>
        <v>0</v>
      </c>
      <c r="CK157" s="433">
        <f t="shared" si="36"/>
        <v>0</v>
      </c>
      <c r="CL157" s="433">
        <f t="shared" si="37"/>
        <v>0</v>
      </c>
      <c r="CM157" s="433">
        <f t="shared" si="38"/>
        <v>0</v>
      </c>
      <c r="CN157" s="433">
        <f t="shared" si="39"/>
        <v>0</v>
      </c>
      <c r="CO157" s="433">
        <f t="shared" si="40"/>
        <v>0</v>
      </c>
      <c r="CP157" s="433">
        <f t="shared" si="41"/>
        <v>0</v>
      </c>
      <c r="CQ157" s="433">
        <f t="shared" si="42"/>
        <v>20</v>
      </c>
      <c r="CR157" s="433">
        <f t="shared" si="43"/>
        <v>190.95599999999999</v>
      </c>
      <c r="CS157" s="433">
        <f t="shared" si="44"/>
        <v>0</v>
      </c>
      <c r="CT157" s="21"/>
    </row>
    <row r="158" spans="3:98" ht="24.75" hidden="1" customHeight="1" outlineLevel="2">
      <c r="C158" s="426" t="s">
        <v>698</v>
      </c>
      <c r="D158" s="427">
        <v>0</v>
      </c>
      <c r="E158" s="427">
        <v>0</v>
      </c>
      <c r="F158" s="427">
        <v>0</v>
      </c>
      <c r="G158" s="427">
        <v>0</v>
      </c>
      <c r="H158" s="427">
        <v>0</v>
      </c>
      <c r="I158" s="427">
        <v>0</v>
      </c>
      <c r="J158" s="427">
        <v>0</v>
      </c>
      <c r="K158" s="427">
        <v>0</v>
      </c>
      <c r="L158" s="427">
        <v>0</v>
      </c>
      <c r="M158" s="427">
        <v>0</v>
      </c>
      <c r="N158" s="427">
        <v>0</v>
      </c>
      <c r="O158" s="427">
        <v>0</v>
      </c>
      <c r="P158" s="427">
        <v>0</v>
      </c>
      <c r="Q158" s="427">
        <v>0</v>
      </c>
      <c r="R158" s="427">
        <v>0</v>
      </c>
      <c r="S158" s="427">
        <v>0</v>
      </c>
      <c r="T158" s="427">
        <v>0</v>
      </c>
      <c r="U158" s="427">
        <v>0</v>
      </c>
      <c r="V158" s="427">
        <v>0</v>
      </c>
      <c r="W158" s="427">
        <v>0</v>
      </c>
      <c r="X158" s="427">
        <v>0</v>
      </c>
      <c r="Y158" s="427">
        <v>0</v>
      </c>
      <c r="Z158" s="427">
        <v>0</v>
      </c>
      <c r="AA158" s="427">
        <v>0</v>
      </c>
      <c r="AB158" s="427">
        <v>0</v>
      </c>
      <c r="AC158" s="427">
        <v>0</v>
      </c>
      <c r="AD158" s="427">
        <v>0</v>
      </c>
      <c r="AE158" s="427">
        <v>0</v>
      </c>
      <c r="AF158" s="427">
        <v>0</v>
      </c>
      <c r="AG158" s="427">
        <v>0</v>
      </c>
      <c r="AH158" s="427">
        <v>0</v>
      </c>
      <c r="AI158" s="427">
        <v>0</v>
      </c>
      <c r="AJ158" s="427">
        <v>0</v>
      </c>
      <c r="AK158" s="427">
        <v>0</v>
      </c>
      <c r="AL158" s="427">
        <v>0</v>
      </c>
      <c r="AM158" s="427">
        <v>0</v>
      </c>
      <c r="AN158" s="427">
        <v>0</v>
      </c>
      <c r="AO158" s="427">
        <v>0</v>
      </c>
      <c r="AP158" s="427">
        <v>0</v>
      </c>
      <c r="AQ158" s="427">
        <v>0</v>
      </c>
      <c r="AR158" s="427">
        <v>0</v>
      </c>
      <c r="AS158" s="427">
        <v>0</v>
      </c>
      <c r="AT158" s="427">
        <v>0</v>
      </c>
      <c r="AU158" s="427">
        <v>0</v>
      </c>
      <c r="AV158" s="427">
        <v>0</v>
      </c>
      <c r="AW158" s="427">
        <v>0</v>
      </c>
      <c r="AX158" s="427">
        <v>0</v>
      </c>
      <c r="AY158" s="427">
        <v>0</v>
      </c>
      <c r="AZ158" s="427">
        <v>0</v>
      </c>
      <c r="BA158" s="427">
        <v>0</v>
      </c>
      <c r="BB158" s="427">
        <v>0</v>
      </c>
      <c r="BC158" s="427">
        <v>0</v>
      </c>
      <c r="BD158" s="427">
        <v>0</v>
      </c>
      <c r="BE158" s="427">
        <v>0</v>
      </c>
      <c r="BF158" s="427">
        <v>0</v>
      </c>
      <c r="BG158" s="427">
        <v>0</v>
      </c>
      <c r="BH158" s="427">
        <v>0</v>
      </c>
      <c r="BI158" s="427">
        <v>0</v>
      </c>
      <c r="BJ158" s="427">
        <v>0</v>
      </c>
      <c r="BK158" s="427">
        <v>0</v>
      </c>
      <c r="BL158" s="427">
        <v>0</v>
      </c>
      <c r="BM158" s="427">
        <v>0</v>
      </c>
      <c r="BN158" s="427">
        <v>0</v>
      </c>
      <c r="BO158" s="427">
        <v>0</v>
      </c>
      <c r="BP158" s="427">
        <v>0</v>
      </c>
      <c r="BQ158" s="427">
        <v>-20</v>
      </c>
      <c r="BR158" s="427">
        <v>-150</v>
      </c>
      <c r="BS158" s="427">
        <v>0</v>
      </c>
      <c r="BT158" s="427">
        <v>-21.073</v>
      </c>
      <c r="BU158" s="427">
        <v>-191.07300000000001</v>
      </c>
      <c r="BV158" s="427">
        <v>-52.122</v>
      </c>
      <c r="BW158" s="427">
        <v>0</v>
      </c>
      <c r="BX158" s="427">
        <v>0</v>
      </c>
      <c r="BY158" s="427">
        <v>0</v>
      </c>
      <c r="BZ158" s="427">
        <v>0</v>
      </c>
      <c r="CC158" s="21"/>
      <c r="CD158" s="426" t="s">
        <v>698</v>
      </c>
      <c r="CE158" s="433">
        <f t="shared" si="30"/>
        <v>0</v>
      </c>
      <c r="CF158" s="433">
        <f t="shared" si="31"/>
        <v>0</v>
      </c>
      <c r="CG158" s="433">
        <f t="shared" si="32"/>
        <v>0</v>
      </c>
      <c r="CH158" s="433">
        <f t="shared" si="33"/>
        <v>0</v>
      </c>
      <c r="CI158" s="433">
        <f t="shared" si="34"/>
        <v>0</v>
      </c>
      <c r="CJ158" s="433">
        <f t="shared" si="35"/>
        <v>0</v>
      </c>
      <c r="CK158" s="433">
        <f t="shared" si="36"/>
        <v>0</v>
      </c>
      <c r="CL158" s="433">
        <f t="shared" si="37"/>
        <v>0</v>
      </c>
      <c r="CM158" s="433">
        <f t="shared" si="38"/>
        <v>0</v>
      </c>
      <c r="CN158" s="433">
        <f t="shared" si="39"/>
        <v>0</v>
      </c>
      <c r="CO158" s="433">
        <f t="shared" si="40"/>
        <v>0</v>
      </c>
      <c r="CP158" s="433">
        <f t="shared" si="41"/>
        <v>0</v>
      </c>
      <c r="CQ158" s="433">
        <f t="shared" si="42"/>
        <v>0</v>
      </c>
      <c r="CR158" s="433">
        <f t="shared" si="43"/>
        <v>-191.07300000000001</v>
      </c>
      <c r="CS158" s="433">
        <f t="shared" si="44"/>
        <v>0</v>
      </c>
      <c r="CT158" s="21"/>
    </row>
    <row r="159" spans="3:98" ht="24.75" hidden="1" customHeight="1" outlineLevel="1">
      <c r="C159" s="424" t="s">
        <v>696</v>
      </c>
      <c r="D159" s="427">
        <v>0</v>
      </c>
      <c r="E159" s="427">
        <v>0</v>
      </c>
      <c r="F159" s="427">
        <v>0</v>
      </c>
      <c r="G159" s="427">
        <v>0</v>
      </c>
      <c r="H159" s="427">
        <v>0</v>
      </c>
      <c r="I159" s="427">
        <v>0</v>
      </c>
      <c r="J159" s="427">
        <v>0</v>
      </c>
      <c r="K159" s="427">
        <v>0</v>
      </c>
      <c r="L159" s="427">
        <v>0</v>
      </c>
      <c r="M159" s="427">
        <v>0</v>
      </c>
      <c r="N159" s="427">
        <v>0</v>
      </c>
      <c r="O159" s="427">
        <v>0</v>
      </c>
      <c r="P159" s="427">
        <v>0</v>
      </c>
      <c r="Q159" s="427">
        <v>0</v>
      </c>
      <c r="R159" s="427">
        <v>0</v>
      </c>
      <c r="S159" s="427">
        <v>0</v>
      </c>
      <c r="T159" s="427">
        <v>0</v>
      </c>
      <c r="U159" s="427">
        <v>0</v>
      </c>
      <c r="V159" s="427">
        <v>0</v>
      </c>
      <c r="W159" s="427">
        <v>0</v>
      </c>
      <c r="X159" s="427">
        <v>0</v>
      </c>
      <c r="Y159" s="427">
        <v>0</v>
      </c>
      <c r="Z159" s="427">
        <v>0</v>
      </c>
      <c r="AA159" s="427">
        <v>0</v>
      </c>
      <c r="AB159" s="427">
        <v>0</v>
      </c>
      <c r="AC159" s="427">
        <v>0</v>
      </c>
      <c r="AD159" s="427">
        <v>0</v>
      </c>
      <c r="AE159" s="427">
        <v>0</v>
      </c>
      <c r="AF159" s="427">
        <v>0</v>
      </c>
      <c r="AG159" s="427">
        <v>0</v>
      </c>
      <c r="AH159" s="427">
        <v>0</v>
      </c>
      <c r="AI159" s="427">
        <v>0</v>
      </c>
      <c r="AJ159" s="427">
        <v>0</v>
      </c>
      <c r="AK159" s="427">
        <v>0</v>
      </c>
      <c r="AL159" s="427">
        <v>0</v>
      </c>
      <c r="AM159" s="427">
        <v>0</v>
      </c>
      <c r="AN159" s="427">
        <v>0</v>
      </c>
      <c r="AO159" s="427">
        <v>0</v>
      </c>
      <c r="AP159" s="427">
        <v>0</v>
      </c>
      <c r="AQ159" s="427">
        <v>0</v>
      </c>
      <c r="AR159" s="427">
        <v>0</v>
      </c>
      <c r="AS159" s="427">
        <v>0</v>
      </c>
      <c r="AT159" s="427">
        <v>0</v>
      </c>
      <c r="AU159" s="427">
        <v>0</v>
      </c>
      <c r="AV159" s="427">
        <v>0</v>
      </c>
      <c r="AW159" s="427">
        <v>0</v>
      </c>
      <c r="AX159" s="427">
        <v>0</v>
      </c>
      <c r="AY159" s="427">
        <v>0</v>
      </c>
      <c r="AZ159" s="427">
        <v>0</v>
      </c>
      <c r="BA159" s="427">
        <v>0</v>
      </c>
      <c r="BB159" s="427">
        <v>0</v>
      </c>
      <c r="BC159" s="427">
        <v>0</v>
      </c>
      <c r="BD159" s="427">
        <v>0</v>
      </c>
      <c r="BE159" s="427">
        <v>0</v>
      </c>
      <c r="BF159" s="427">
        <v>0</v>
      </c>
      <c r="BG159" s="427">
        <v>0</v>
      </c>
      <c r="BH159" s="427">
        <v>0</v>
      </c>
      <c r="BI159" s="427">
        <v>0</v>
      </c>
      <c r="BJ159" s="427">
        <v>0</v>
      </c>
      <c r="BK159" s="427">
        <v>0</v>
      </c>
      <c r="BL159" s="427">
        <v>0</v>
      </c>
      <c r="BM159" s="427">
        <v>20</v>
      </c>
      <c r="BN159" s="427">
        <v>0</v>
      </c>
      <c r="BO159" s="427">
        <v>0</v>
      </c>
      <c r="BP159" s="427">
        <v>20</v>
      </c>
      <c r="BQ159" s="427">
        <v>129.4</v>
      </c>
      <c r="BR159" s="427">
        <v>-150</v>
      </c>
      <c r="BS159" s="427">
        <v>0</v>
      </c>
      <c r="BT159" s="427">
        <v>20.483000000000001</v>
      </c>
      <c r="BU159" s="427">
        <v>-0.11700000000000001</v>
      </c>
      <c r="BV159" s="427">
        <v>-20.481999999999999</v>
      </c>
      <c r="BW159" s="427">
        <v>0</v>
      </c>
      <c r="BX159" s="427">
        <v>0</v>
      </c>
      <c r="BY159" s="427">
        <v>0</v>
      </c>
      <c r="BZ159" s="427">
        <v>0</v>
      </c>
      <c r="CC159" s="21"/>
      <c r="CD159" s="424" t="s">
        <v>696</v>
      </c>
      <c r="CE159" s="433">
        <f t="shared" si="30"/>
        <v>0</v>
      </c>
      <c r="CF159" s="433">
        <f t="shared" si="31"/>
        <v>0</v>
      </c>
      <c r="CG159" s="433">
        <f t="shared" si="32"/>
        <v>0</v>
      </c>
      <c r="CH159" s="433">
        <f t="shared" si="33"/>
        <v>0</v>
      </c>
      <c r="CI159" s="433">
        <f t="shared" si="34"/>
        <v>0</v>
      </c>
      <c r="CJ159" s="433">
        <f t="shared" si="35"/>
        <v>0</v>
      </c>
      <c r="CK159" s="433">
        <f t="shared" si="36"/>
        <v>0</v>
      </c>
      <c r="CL159" s="433">
        <f t="shared" si="37"/>
        <v>0</v>
      </c>
      <c r="CM159" s="433">
        <f t="shared" si="38"/>
        <v>0</v>
      </c>
      <c r="CN159" s="433">
        <f t="shared" si="39"/>
        <v>0</v>
      </c>
      <c r="CO159" s="433">
        <f t="shared" si="40"/>
        <v>0</v>
      </c>
      <c r="CP159" s="433">
        <f t="shared" si="41"/>
        <v>0</v>
      </c>
      <c r="CQ159" s="433">
        <f t="shared" si="42"/>
        <v>20</v>
      </c>
      <c r="CR159" s="433">
        <f t="shared" si="43"/>
        <v>-0.11700000000000001</v>
      </c>
      <c r="CS159" s="433">
        <f t="shared" si="44"/>
        <v>0</v>
      </c>
      <c r="CT159" s="21"/>
    </row>
    <row r="160" spans="3:98" ht="24.75" hidden="1" customHeight="1" outlineLevel="2">
      <c r="C160" s="426" t="s">
        <v>700</v>
      </c>
      <c r="D160" s="427">
        <v>0</v>
      </c>
      <c r="E160" s="427">
        <v>0</v>
      </c>
      <c r="F160" s="427">
        <v>0</v>
      </c>
      <c r="G160" s="427">
        <v>0</v>
      </c>
      <c r="H160" s="427">
        <v>0</v>
      </c>
      <c r="I160" s="427">
        <v>0</v>
      </c>
      <c r="J160" s="427">
        <v>0</v>
      </c>
      <c r="K160" s="427">
        <v>0</v>
      </c>
      <c r="L160" s="427">
        <v>0</v>
      </c>
      <c r="M160" s="427">
        <v>0</v>
      </c>
      <c r="N160" s="427">
        <v>0</v>
      </c>
      <c r="O160" s="427">
        <v>0</v>
      </c>
      <c r="P160" s="427">
        <v>0</v>
      </c>
      <c r="Q160" s="427">
        <v>0</v>
      </c>
      <c r="R160" s="427">
        <v>0</v>
      </c>
      <c r="S160" s="427">
        <v>0</v>
      </c>
      <c r="T160" s="427">
        <v>0</v>
      </c>
      <c r="U160" s="427">
        <v>0</v>
      </c>
      <c r="V160" s="427">
        <v>0</v>
      </c>
      <c r="W160" s="427">
        <v>0</v>
      </c>
      <c r="X160" s="427">
        <v>0</v>
      </c>
      <c r="Y160" s="427">
        <v>0</v>
      </c>
      <c r="Z160" s="427">
        <v>0</v>
      </c>
      <c r="AA160" s="427">
        <v>0</v>
      </c>
      <c r="AB160" s="427">
        <v>0</v>
      </c>
      <c r="AC160" s="427">
        <v>0</v>
      </c>
      <c r="AD160" s="427">
        <v>0</v>
      </c>
      <c r="AE160" s="427">
        <v>0</v>
      </c>
      <c r="AF160" s="427">
        <v>0</v>
      </c>
      <c r="AG160" s="427">
        <v>0</v>
      </c>
      <c r="AH160" s="427">
        <v>0</v>
      </c>
      <c r="AI160" s="427">
        <v>0</v>
      </c>
      <c r="AJ160" s="427">
        <v>0</v>
      </c>
      <c r="AK160" s="427">
        <v>0</v>
      </c>
      <c r="AL160" s="427">
        <v>0</v>
      </c>
      <c r="AM160" s="427">
        <v>0</v>
      </c>
      <c r="AN160" s="427">
        <v>0</v>
      </c>
      <c r="AO160" s="427">
        <v>0</v>
      </c>
      <c r="AP160" s="427">
        <v>0</v>
      </c>
      <c r="AQ160" s="427">
        <v>0</v>
      </c>
      <c r="AR160" s="427">
        <v>0</v>
      </c>
      <c r="AS160" s="427">
        <v>0</v>
      </c>
      <c r="AT160" s="427">
        <v>0</v>
      </c>
      <c r="AU160" s="427">
        <v>0</v>
      </c>
      <c r="AV160" s="427">
        <v>0</v>
      </c>
      <c r="AW160" s="427">
        <v>0</v>
      </c>
      <c r="AX160" s="427">
        <v>0</v>
      </c>
      <c r="AY160" s="427">
        <v>0</v>
      </c>
      <c r="AZ160" s="427">
        <v>0</v>
      </c>
      <c r="BA160" s="427">
        <v>0</v>
      </c>
      <c r="BB160" s="427">
        <v>0</v>
      </c>
      <c r="BC160" s="427">
        <v>0</v>
      </c>
      <c r="BD160" s="427">
        <v>0</v>
      </c>
      <c r="BE160" s="427">
        <v>0</v>
      </c>
      <c r="BF160" s="427">
        <v>0</v>
      </c>
      <c r="BG160" s="427">
        <v>0</v>
      </c>
      <c r="BH160" s="427">
        <v>0</v>
      </c>
      <c r="BI160" s="427">
        <v>0</v>
      </c>
      <c r="BJ160" s="427">
        <v>0</v>
      </c>
      <c r="BK160" s="427">
        <v>0</v>
      </c>
      <c r="BL160" s="427">
        <v>0</v>
      </c>
      <c r="BM160" s="427">
        <v>0</v>
      </c>
      <c r="BN160" s="427">
        <v>1973.585</v>
      </c>
      <c r="BO160" s="427">
        <v>0</v>
      </c>
      <c r="BP160" s="427">
        <v>3379.7640000000001</v>
      </c>
      <c r="BQ160" s="427">
        <v>0</v>
      </c>
      <c r="BR160" s="427">
        <v>0</v>
      </c>
      <c r="BS160" s="427">
        <v>0</v>
      </c>
      <c r="BT160" s="427">
        <v>0</v>
      </c>
      <c r="BU160" s="427">
        <v>0</v>
      </c>
      <c r="BV160" s="427">
        <v>0</v>
      </c>
      <c r="BW160" s="427">
        <v>0</v>
      </c>
      <c r="BX160" s="427">
        <v>0</v>
      </c>
      <c r="BY160" s="427">
        <v>0</v>
      </c>
      <c r="BZ160" s="427">
        <v>0</v>
      </c>
      <c r="CC160" s="21"/>
      <c r="CD160" s="426" t="s">
        <v>700</v>
      </c>
      <c r="CE160" s="433">
        <f t="shared" si="30"/>
        <v>0</v>
      </c>
      <c r="CF160" s="433">
        <f t="shared" si="31"/>
        <v>0</v>
      </c>
      <c r="CG160" s="433">
        <f t="shared" si="32"/>
        <v>0</v>
      </c>
      <c r="CH160" s="433">
        <f t="shared" si="33"/>
        <v>0</v>
      </c>
      <c r="CI160" s="433">
        <f t="shared" si="34"/>
        <v>0</v>
      </c>
      <c r="CJ160" s="433">
        <f t="shared" si="35"/>
        <v>0</v>
      </c>
      <c r="CK160" s="433">
        <f t="shared" si="36"/>
        <v>0</v>
      </c>
      <c r="CL160" s="433">
        <f t="shared" si="37"/>
        <v>0</v>
      </c>
      <c r="CM160" s="433">
        <f t="shared" si="38"/>
        <v>0</v>
      </c>
      <c r="CN160" s="433">
        <f t="shared" si="39"/>
        <v>0</v>
      </c>
      <c r="CO160" s="433">
        <f t="shared" si="40"/>
        <v>0</v>
      </c>
      <c r="CP160" s="433">
        <f t="shared" si="41"/>
        <v>0</v>
      </c>
      <c r="CQ160" s="433">
        <f t="shared" si="42"/>
        <v>3379.7640000000001</v>
      </c>
      <c r="CR160" s="433">
        <f t="shared" si="43"/>
        <v>0</v>
      </c>
      <c r="CS160" s="433">
        <f t="shared" si="44"/>
        <v>0</v>
      </c>
      <c r="CT160" s="21"/>
    </row>
    <row r="161" spans="3:98" ht="24.75" hidden="1" customHeight="1" outlineLevel="2" collapsed="1">
      <c r="C161" s="426" t="s">
        <v>701</v>
      </c>
      <c r="D161" s="427">
        <v>0</v>
      </c>
      <c r="E161" s="427">
        <v>0</v>
      </c>
      <c r="F161" s="427">
        <v>0</v>
      </c>
      <c r="G161" s="427">
        <v>0</v>
      </c>
      <c r="H161" s="427">
        <v>0</v>
      </c>
      <c r="I161" s="427">
        <v>0</v>
      </c>
      <c r="J161" s="427">
        <v>0</v>
      </c>
      <c r="K161" s="427">
        <v>0</v>
      </c>
      <c r="L161" s="427">
        <v>0</v>
      </c>
      <c r="M161" s="427">
        <v>0</v>
      </c>
      <c r="N161" s="427">
        <v>0</v>
      </c>
      <c r="O161" s="427">
        <v>0</v>
      </c>
      <c r="P161" s="427">
        <v>0</v>
      </c>
      <c r="Q161" s="427">
        <v>0</v>
      </c>
      <c r="R161" s="427">
        <v>0</v>
      </c>
      <c r="S161" s="427">
        <v>0</v>
      </c>
      <c r="T161" s="427">
        <v>0</v>
      </c>
      <c r="U161" s="427">
        <v>0</v>
      </c>
      <c r="V161" s="427">
        <v>0</v>
      </c>
      <c r="W161" s="427">
        <v>0</v>
      </c>
      <c r="X161" s="427">
        <v>0</v>
      </c>
      <c r="Y161" s="427">
        <v>0</v>
      </c>
      <c r="Z161" s="427">
        <v>0</v>
      </c>
      <c r="AA161" s="427">
        <v>0</v>
      </c>
      <c r="AB161" s="427">
        <v>0</v>
      </c>
      <c r="AC161" s="427">
        <v>0</v>
      </c>
      <c r="AD161" s="427">
        <v>0</v>
      </c>
      <c r="AE161" s="427">
        <v>0</v>
      </c>
      <c r="AF161" s="427">
        <v>0</v>
      </c>
      <c r="AG161" s="427">
        <v>0</v>
      </c>
      <c r="AH161" s="427">
        <v>0</v>
      </c>
      <c r="AI161" s="427">
        <v>0</v>
      </c>
      <c r="AJ161" s="427">
        <v>0</v>
      </c>
      <c r="AK161" s="427">
        <v>0</v>
      </c>
      <c r="AL161" s="427">
        <v>0</v>
      </c>
      <c r="AM161" s="427">
        <v>0</v>
      </c>
      <c r="AN161" s="427">
        <v>0</v>
      </c>
      <c r="AO161" s="427">
        <v>0</v>
      </c>
      <c r="AP161" s="427">
        <v>0</v>
      </c>
      <c r="AQ161" s="427">
        <v>0</v>
      </c>
      <c r="AR161" s="427">
        <v>0</v>
      </c>
      <c r="AS161" s="427">
        <v>0</v>
      </c>
      <c r="AT161" s="427">
        <v>0</v>
      </c>
      <c r="AU161" s="427">
        <v>0</v>
      </c>
      <c r="AV161" s="427">
        <v>0</v>
      </c>
      <c r="AW161" s="427">
        <v>0</v>
      </c>
      <c r="AX161" s="427">
        <v>0</v>
      </c>
      <c r="AY161" s="427">
        <v>0</v>
      </c>
      <c r="AZ161" s="427">
        <v>0</v>
      </c>
      <c r="BA161" s="427">
        <v>0</v>
      </c>
      <c r="BB161" s="427">
        <v>0</v>
      </c>
      <c r="BC161" s="427">
        <v>0</v>
      </c>
      <c r="BD161" s="427">
        <v>0</v>
      </c>
      <c r="BE161" s="427">
        <v>0</v>
      </c>
      <c r="BF161" s="427">
        <v>0</v>
      </c>
      <c r="BG161" s="427">
        <v>0</v>
      </c>
      <c r="BH161" s="427">
        <v>0</v>
      </c>
      <c r="BI161" s="427">
        <v>0</v>
      </c>
      <c r="BJ161" s="427">
        <v>0</v>
      </c>
      <c r="BK161" s="427">
        <v>0</v>
      </c>
      <c r="BL161" s="427">
        <v>0</v>
      </c>
      <c r="BM161" s="427">
        <v>0</v>
      </c>
      <c r="BN161" s="427">
        <v>0</v>
      </c>
      <c r="BO161" s="427">
        <v>0</v>
      </c>
      <c r="BP161" s="427">
        <v>0</v>
      </c>
      <c r="BQ161" s="427">
        <v>0</v>
      </c>
      <c r="BR161" s="427">
        <v>0</v>
      </c>
      <c r="BS161" s="427">
        <v>0</v>
      </c>
      <c r="BT161" s="427">
        <v>0</v>
      </c>
      <c r="BU161" s="427">
        <v>0</v>
      </c>
      <c r="BV161" s="427">
        <v>0</v>
      </c>
      <c r="BW161" s="427">
        <v>0</v>
      </c>
      <c r="BX161" s="427">
        <v>-177.19499999999999</v>
      </c>
      <c r="BY161" s="427">
        <v>0</v>
      </c>
      <c r="BZ161" s="427">
        <v>0</v>
      </c>
      <c r="CC161" s="21"/>
      <c r="CD161" s="426" t="s">
        <v>701</v>
      </c>
      <c r="CE161" s="433">
        <f t="shared" si="30"/>
        <v>0</v>
      </c>
      <c r="CF161" s="433">
        <f t="shared" si="31"/>
        <v>0</v>
      </c>
      <c r="CG161" s="433">
        <f t="shared" si="32"/>
        <v>0</v>
      </c>
      <c r="CH161" s="433">
        <f t="shared" si="33"/>
        <v>0</v>
      </c>
      <c r="CI161" s="433">
        <f t="shared" si="34"/>
        <v>0</v>
      </c>
      <c r="CJ161" s="433">
        <f t="shared" si="35"/>
        <v>0</v>
      </c>
      <c r="CK161" s="433">
        <f t="shared" si="36"/>
        <v>0</v>
      </c>
      <c r="CL161" s="433">
        <f t="shared" si="37"/>
        <v>0</v>
      </c>
      <c r="CM161" s="433">
        <f t="shared" si="38"/>
        <v>0</v>
      </c>
      <c r="CN161" s="433">
        <f t="shared" si="39"/>
        <v>0</v>
      </c>
      <c r="CO161" s="433">
        <f t="shared" si="40"/>
        <v>0</v>
      </c>
      <c r="CP161" s="433">
        <f t="shared" si="41"/>
        <v>0</v>
      </c>
      <c r="CQ161" s="433">
        <f t="shared" si="42"/>
        <v>0</v>
      </c>
      <c r="CR161" s="433">
        <f t="shared" si="43"/>
        <v>0</v>
      </c>
      <c r="CS161" s="433">
        <f t="shared" si="44"/>
        <v>0</v>
      </c>
      <c r="CT161" s="21"/>
    </row>
    <row r="162" spans="3:98" ht="24.75" hidden="1" customHeight="1" outlineLevel="1">
      <c r="C162" s="424" t="s">
        <v>699</v>
      </c>
      <c r="D162" s="427">
        <v>0</v>
      </c>
      <c r="E162" s="427">
        <v>0</v>
      </c>
      <c r="F162" s="427">
        <v>0</v>
      </c>
      <c r="G162" s="427">
        <v>0</v>
      </c>
      <c r="H162" s="427">
        <v>0</v>
      </c>
      <c r="I162" s="427">
        <v>0</v>
      </c>
      <c r="J162" s="427">
        <v>0</v>
      </c>
      <c r="K162" s="427">
        <v>0</v>
      </c>
      <c r="L162" s="427">
        <v>0</v>
      </c>
      <c r="M162" s="427">
        <v>0</v>
      </c>
      <c r="N162" s="427">
        <v>0</v>
      </c>
      <c r="O162" s="427">
        <v>0</v>
      </c>
      <c r="P162" s="427">
        <v>0</v>
      </c>
      <c r="Q162" s="427">
        <v>0</v>
      </c>
      <c r="R162" s="427">
        <v>0</v>
      </c>
      <c r="S162" s="427">
        <v>0</v>
      </c>
      <c r="T162" s="427">
        <v>0</v>
      </c>
      <c r="U162" s="427">
        <v>0</v>
      </c>
      <c r="V162" s="427">
        <v>0</v>
      </c>
      <c r="W162" s="427">
        <v>0</v>
      </c>
      <c r="X162" s="427">
        <v>0</v>
      </c>
      <c r="Y162" s="427">
        <v>0</v>
      </c>
      <c r="Z162" s="427">
        <v>0</v>
      </c>
      <c r="AA162" s="427">
        <v>0</v>
      </c>
      <c r="AB162" s="427">
        <v>0</v>
      </c>
      <c r="AC162" s="427">
        <v>0</v>
      </c>
      <c r="AD162" s="427">
        <v>0</v>
      </c>
      <c r="AE162" s="427">
        <v>0</v>
      </c>
      <c r="AF162" s="427">
        <v>0</v>
      </c>
      <c r="AG162" s="427">
        <v>0</v>
      </c>
      <c r="AH162" s="427">
        <v>0</v>
      </c>
      <c r="AI162" s="427">
        <v>0</v>
      </c>
      <c r="AJ162" s="427">
        <v>0</v>
      </c>
      <c r="AK162" s="427">
        <v>0</v>
      </c>
      <c r="AL162" s="427">
        <v>0</v>
      </c>
      <c r="AM162" s="427">
        <v>0</v>
      </c>
      <c r="AN162" s="427">
        <v>0</v>
      </c>
      <c r="AO162" s="427">
        <v>0</v>
      </c>
      <c r="AP162" s="427">
        <v>0</v>
      </c>
      <c r="AQ162" s="427">
        <v>0</v>
      </c>
      <c r="AR162" s="427">
        <v>0</v>
      </c>
      <c r="AS162" s="427">
        <v>0</v>
      </c>
      <c r="AT162" s="427">
        <v>0</v>
      </c>
      <c r="AU162" s="427">
        <v>0</v>
      </c>
      <c r="AV162" s="427">
        <v>0</v>
      </c>
      <c r="AW162" s="427">
        <v>0</v>
      </c>
      <c r="AX162" s="427">
        <v>0</v>
      </c>
      <c r="AY162" s="427">
        <v>0</v>
      </c>
      <c r="AZ162" s="427">
        <v>0</v>
      </c>
      <c r="BA162" s="427">
        <v>0</v>
      </c>
      <c r="BB162" s="427">
        <v>0</v>
      </c>
      <c r="BC162" s="427">
        <v>0</v>
      </c>
      <c r="BD162" s="427">
        <v>0</v>
      </c>
      <c r="BE162" s="427">
        <v>0</v>
      </c>
      <c r="BF162" s="427">
        <v>0</v>
      </c>
      <c r="BG162" s="427">
        <v>0</v>
      </c>
      <c r="BH162" s="427">
        <v>0</v>
      </c>
      <c r="BI162" s="427">
        <v>0</v>
      </c>
      <c r="BJ162" s="427">
        <v>0</v>
      </c>
      <c r="BK162" s="427">
        <v>0</v>
      </c>
      <c r="BL162" s="427">
        <v>0</v>
      </c>
      <c r="BM162" s="427">
        <v>0</v>
      </c>
      <c r="BN162" s="427">
        <v>1973.585</v>
      </c>
      <c r="BO162" s="427">
        <v>0</v>
      </c>
      <c r="BP162" s="427">
        <v>3379.7640000000001</v>
      </c>
      <c r="BQ162" s="427">
        <v>0</v>
      </c>
      <c r="BR162" s="427">
        <v>0</v>
      </c>
      <c r="BS162" s="427">
        <v>0</v>
      </c>
      <c r="BT162" s="427">
        <v>0</v>
      </c>
      <c r="BU162" s="427">
        <v>0</v>
      </c>
      <c r="BV162" s="427">
        <v>0</v>
      </c>
      <c r="BW162" s="427">
        <v>0</v>
      </c>
      <c r="BX162" s="427">
        <v>-177.19499999999999</v>
      </c>
      <c r="BY162" s="427">
        <v>0</v>
      </c>
      <c r="BZ162" s="427">
        <v>0</v>
      </c>
      <c r="CC162" s="21"/>
      <c r="CD162" s="424" t="s">
        <v>699</v>
      </c>
      <c r="CE162" s="433">
        <f t="shared" si="30"/>
        <v>0</v>
      </c>
      <c r="CF162" s="433">
        <f t="shared" si="31"/>
        <v>0</v>
      </c>
      <c r="CG162" s="433">
        <f t="shared" si="32"/>
        <v>0</v>
      </c>
      <c r="CH162" s="433">
        <f t="shared" si="33"/>
        <v>0</v>
      </c>
      <c r="CI162" s="433">
        <f t="shared" si="34"/>
        <v>0</v>
      </c>
      <c r="CJ162" s="433">
        <f t="shared" si="35"/>
        <v>0</v>
      </c>
      <c r="CK162" s="433">
        <f t="shared" si="36"/>
        <v>0</v>
      </c>
      <c r="CL162" s="433">
        <f t="shared" si="37"/>
        <v>0</v>
      </c>
      <c r="CM162" s="433">
        <f t="shared" si="38"/>
        <v>0</v>
      </c>
      <c r="CN162" s="433">
        <f t="shared" si="39"/>
        <v>0</v>
      </c>
      <c r="CO162" s="433">
        <f t="shared" si="40"/>
        <v>0</v>
      </c>
      <c r="CP162" s="433">
        <f t="shared" si="41"/>
        <v>0</v>
      </c>
      <c r="CQ162" s="433">
        <f t="shared" si="42"/>
        <v>3379.7640000000001</v>
      </c>
      <c r="CR162" s="433">
        <f t="shared" si="43"/>
        <v>0</v>
      </c>
      <c r="CS162" s="433">
        <f t="shared" si="44"/>
        <v>0</v>
      </c>
      <c r="CT162" s="21"/>
    </row>
    <row r="163" spans="3:98" ht="24.75" customHeight="1" collapsed="1">
      <c r="C163" s="415" t="s">
        <v>695</v>
      </c>
      <c r="D163" s="427">
        <v>0</v>
      </c>
      <c r="E163" s="427">
        <v>0</v>
      </c>
      <c r="F163" s="427">
        <v>0</v>
      </c>
      <c r="G163" s="427">
        <v>0</v>
      </c>
      <c r="H163" s="427">
        <v>0</v>
      </c>
      <c r="I163" s="427">
        <v>0</v>
      </c>
      <c r="J163" s="427">
        <v>0</v>
      </c>
      <c r="K163" s="427">
        <v>0</v>
      </c>
      <c r="L163" s="427">
        <v>0</v>
      </c>
      <c r="M163" s="427">
        <v>0</v>
      </c>
      <c r="N163" s="427">
        <v>0</v>
      </c>
      <c r="O163" s="427">
        <v>0</v>
      </c>
      <c r="P163" s="427">
        <v>0</v>
      </c>
      <c r="Q163" s="427">
        <v>0</v>
      </c>
      <c r="R163" s="427">
        <v>0</v>
      </c>
      <c r="S163" s="427">
        <v>0</v>
      </c>
      <c r="T163" s="427">
        <v>0</v>
      </c>
      <c r="U163" s="427">
        <v>0</v>
      </c>
      <c r="V163" s="427">
        <v>0</v>
      </c>
      <c r="W163" s="427">
        <v>0</v>
      </c>
      <c r="X163" s="427">
        <v>0</v>
      </c>
      <c r="Y163" s="427">
        <v>0</v>
      </c>
      <c r="Z163" s="427">
        <v>0</v>
      </c>
      <c r="AA163" s="427">
        <v>0</v>
      </c>
      <c r="AB163" s="427">
        <v>0</v>
      </c>
      <c r="AC163" s="427">
        <v>0</v>
      </c>
      <c r="AD163" s="427">
        <v>0</v>
      </c>
      <c r="AE163" s="427">
        <v>0</v>
      </c>
      <c r="AF163" s="427">
        <v>0</v>
      </c>
      <c r="AG163" s="427">
        <v>0</v>
      </c>
      <c r="AH163" s="427">
        <v>0</v>
      </c>
      <c r="AI163" s="427">
        <v>0</v>
      </c>
      <c r="AJ163" s="427">
        <v>0</v>
      </c>
      <c r="AK163" s="427">
        <v>0</v>
      </c>
      <c r="AL163" s="427">
        <v>0</v>
      </c>
      <c r="AM163" s="427">
        <v>0</v>
      </c>
      <c r="AN163" s="427">
        <v>0</v>
      </c>
      <c r="AO163" s="427">
        <v>0</v>
      </c>
      <c r="AP163" s="427">
        <v>0</v>
      </c>
      <c r="AQ163" s="427">
        <v>0</v>
      </c>
      <c r="AR163" s="427">
        <v>0</v>
      </c>
      <c r="AS163" s="427">
        <v>0</v>
      </c>
      <c r="AT163" s="427">
        <v>0</v>
      </c>
      <c r="AU163" s="427">
        <v>0</v>
      </c>
      <c r="AV163" s="427">
        <v>0</v>
      </c>
      <c r="AW163" s="427">
        <v>0</v>
      </c>
      <c r="AX163" s="427">
        <v>0</v>
      </c>
      <c r="AY163" s="427">
        <v>0</v>
      </c>
      <c r="AZ163" s="427">
        <v>0</v>
      </c>
      <c r="BA163" s="427">
        <v>0</v>
      </c>
      <c r="BB163" s="427">
        <v>0</v>
      </c>
      <c r="BC163" s="427">
        <v>0</v>
      </c>
      <c r="BD163" s="427">
        <v>0</v>
      </c>
      <c r="BE163" s="427">
        <v>0</v>
      </c>
      <c r="BF163" s="427">
        <v>0</v>
      </c>
      <c r="BG163" s="427">
        <v>0</v>
      </c>
      <c r="BH163" s="427">
        <v>0</v>
      </c>
      <c r="BI163" s="427">
        <v>0</v>
      </c>
      <c r="BJ163" s="427">
        <v>0</v>
      </c>
      <c r="BK163" s="427">
        <v>0</v>
      </c>
      <c r="BL163" s="427">
        <v>0</v>
      </c>
      <c r="BM163" s="427">
        <v>1426.1790000000001</v>
      </c>
      <c r="BN163" s="427">
        <v>1973.585</v>
      </c>
      <c r="BO163" s="427">
        <v>0</v>
      </c>
      <c r="BP163" s="427">
        <v>3399.7640000000001</v>
      </c>
      <c r="BQ163" s="427">
        <v>129.4</v>
      </c>
      <c r="BR163" s="427">
        <v>-150</v>
      </c>
      <c r="BS163" s="427">
        <v>0</v>
      </c>
      <c r="BT163" s="427">
        <v>20.483000000000001</v>
      </c>
      <c r="BU163" s="427">
        <v>-0.11700000000000001</v>
      </c>
      <c r="BV163" s="427">
        <v>-20.481999999999999</v>
      </c>
      <c r="BW163" s="427">
        <v>-45.469000000000001</v>
      </c>
      <c r="BX163" s="427">
        <v>-177.19499999999999</v>
      </c>
      <c r="BY163" s="427">
        <v>0</v>
      </c>
      <c r="BZ163" s="427">
        <v>0</v>
      </c>
      <c r="CC163" s="21"/>
      <c r="CD163" s="415" t="s">
        <v>695</v>
      </c>
      <c r="CE163" s="433">
        <f t="shared" si="30"/>
        <v>0</v>
      </c>
      <c r="CF163" s="433">
        <f t="shared" si="31"/>
        <v>0</v>
      </c>
      <c r="CG163" s="433">
        <f t="shared" si="32"/>
        <v>0</v>
      </c>
      <c r="CH163" s="433">
        <f t="shared" si="33"/>
        <v>0</v>
      </c>
      <c r="CI163" s="433">
        <f t="shared" si="34"/>
        <v>0</v>
      </c>
      <c r="CJ163" s="433">
        <f t="shared" si="35"/>
        <v>0</v>
      </c>
      <c r="CK163" s="433">
        <f t="shared" si="36"/>
        <v>0</v>
      </c>
      <c r="CL163" s="433">
        <f t="shared" si="37"/>
        <v>0</v>
      </c>
      <c r="CM163" s="433">
        <f t="shared" si="38"/>
        <v>0</v>
      </c>
      <c r="CN163" s="433">
        <f t="shared" si="39"/>
        <v>0</v>
      </c>
      <c r="CO163" s="433">
        <f t="shared" si="40"/>
        <v>0</v>
      </c>
      <c r="CP163" s="433">
        <f t="shared" si="41"/>
        <v>0</v>
      </c>
      <c r="CQ163" s="433">
        <f t="shared" si="42"/>
        <v>3399.7640000000001</v>
      </c>
      <c r="CR163" s="433">
        <f t="shared" si="43"/>
        <v>-0.11700000000000001</v>
      </c>
      <c r="CS163" s="433">
        <f t="shared" si="44"/>
        <v>0</v>
      </c>
      <c r="CT163" s="21"/>
    </row>
    <row r="164" spans="3:98" ht="24.75" hidden="1" customHeight="1" outlineLevel="1" collapsed="1">
      <c r="C164" s="424" t="s">
        <v>703</v>
      </c>
      <c r="D164" s="427">
        <v>0</v>
      </c>
      <c r="E164" s="427">
        <v>0</v>
      </c>
      <c r="F164" s="427">
        <v>0</v>
      </c>
      <c r="G164" s="427">
        <v>0</v>
      </c>
      <c r="H164" s="427">
        <v>0</v>
      </c>
      <c r="I164" s="427">
        <v>0</v>
      </c>
      <c r="J164" s="427">
        <v>0</v>
      </c>
      <c r="K164" s="427">
        <v>0</v>
      </c>
      <c r="L164" s="427">
        <v>0</v>
      </c>
      <c r="M164" s="427">
        <v>0</v>
      </c>
      <c r="N164" s="427">
        <v>0</v>
      </c>
      <c r="O164" s="427">
        <v>0</v>
      </c>
      <c r="P164" s="427">
        <v>0</v>
      </c>
      <c r="Q164" s="427">
        <v>0</v>
      </c>
      <c r="R164" s="427">
        <v>0</v>
      </c>
      <c r="S164" s="427">
        <v>0</v>
      </c>
      <c r="T164" s="427">
        <v>0</v>
      </c>
      <c r="U164" s="427">
        <v>0</v>
      </c>
      <c r="V164" s="427">
        <v>0</v>
      </c>
      <c r="W164" s="427">
        <v>0</v>
      </c>
      <c r="X164" s="427">
        <v>0</v>
      </c>
      <c r="Y164" s="427">
        <v>0</v>
      </c>
      <c r="Z164" s="427">
        <v>0</v>
      </c>
      <c r="AA164" s="427">
        <v>0</v>
      </c>
      <c r="AB164" s="427">
        <v>0</v>
      </c>
      <c r="AC164" s="427">
        <v>0</v>
      </c>
      <c r="AD164" s="427">
        <v>0</v>
      </c>
      <c r="AE164" s="427">
        <v>0</v>
      </c>
      <c r="AF164" s="427">
        <v>0</v>
      </c>
      <c r="AG164" s="427">
        <v>0</v>
      </c>
      <c r="AH164" s="427">
        <v>0</v>
      </c>
      <c r="AI164" s="427">
        <v>0</v>
      </c>
      <c r="AJ164" s="427">
        <v>0</v>
      </c>
      <c r="AK164" s="427">
        <v>0</v>
      </c>
      <c r="AL164" s="427">
        <v>0</v>
      </c>
      <c r="AM164" s="427">
        <v>0</v>
      </c>
      <c r="AN164" s="427">
        <v>0</v>
      </c>
      <c r="AO164" s="427">
        <v>0</v>
      </c>
      <c r="AP164" s="427">
        <v>0</v>
      </c>
      <c r="AQ164" s="427">
        <v>0</v>
      </c>
      <c r="AR164" s="427">
        <v>0</v>
      </c>
      <c r="AS164" s="427">
        <v>0</v>
      </c>
      <c r="AT164" s="427">
        <v>0</v>
      </c>
      <c r="AU164" s="427">
        <v>0</v>
      </c>
      <c r="AV164" s="427">
        <v>0</v>
      </c>
      <c r="AW164" s="427">
        <v>0</v>
      </c>
      <c r="AX164" s="427">
        <v>0</v>
      </c>
      <c r="AY164" s="427">
        <v>0</v>
      </c>
      <c r="AZ164" s="427">
        <v>0</v>
      </c>
      <c r="BA164" s="427">
        <v>0</v>
      </c>
      <c r="BB164" s="427">
        <v>0</v>
      </c>
      <c r="BC164" s="427">
        <v>0</v>
      </c>
      <c r="BD164" s="427">
        <v>0</v>
      </c>
      <c r="BE164" s="427">
        <v>0</v>
      </c>
      <c r="BF164" s="427">
        <v>0</v>
      </c>
      <c r="BG164" s="427">
        <v>0</v>
      </c>
      <c r="BH164" s="427">
        <v>0</v>
      </c>
      <c r="BI164" s="427">
        <v>0</v>
      </c>
      <c r="BJ164" s="427">
        <v>0</v>
      </c>
      <c r="BK164" s="427">
        <v>0</v>
      </c>
      <c r="BL164" s="427">
        <v>0</v>
      </c>
      <c r="BM164" s="427">
        <v>0</v>
      </c>
      <c r="BN164" s="427">
        <v>0</v>
      </c>
      <c r="BO164" s="427">
        <v>0</v>
      </c>
      <c r="BP164" s="427">
        <v>0</v>
      </c>
      <c r="BQ164" s="427">
        <v>0</v>
      </c>
      <c r="BR164" s="427">
        <v>0</v>
      </c>
      <c r="BS164" s="427">
        <v>0</v>
      </c>
      <c r="BT164" s="427">
        <v>0</v>
      </c>
      <c r="BU164" s="427">
        <v>0</v>
      </c>
      <c r="BV164" s="427">
        <v>0</v>
      </c>
      <c r="BW164" s="427">
        <v>0</v>
      </c>
      <c r="BX164" s="427">
        <v>0</v>
      </c>
      <c r="BY164" s="427">
        <v>0</v>
      </c>
      <c r="BZ164" s="427">
        <v>0</v>
      </c>
      <c r="CC164" s="21"/>
      <c r="CD164" s="424" t="s">
        <v>703</v>
      </c>
      <c r="CE164" s="433">
        <f t="shared" si="30"/>
        <v>0</v>
      </c>
      <c r="CF164" s="433">
        <f t="shared" si="31"/>
        <v>0</v>
      </c>
      <c r="CG164" s="433">
        <f t="shared" si="32"/>
        <v>0</v>
      </c>
      <c r="CH164" s="433">
        <f t="shared" si="33"/>
        <v>0</v>
      </c>
      <c r="CI164" s="433">
        <f t="shared" si="34"/>
        <v>0</v>
      </c>
      <c r="CJ164" s="433">
        <f t="shared" si="35"/>
        <v>0</v>
      </c>
      <c r="CK164" s="433">
        <f t="shared" si="36"/>
        <v>0</v>
      </c>
      <c r="CL164" s="433">
        <f t="shared" si="37"/>
        <v>0</v>
      </c>
      <c r="CM164" s="433">
        <f t="shared" si="38"/>
        <v>0</v>
      </c>
      <c r="CN164" s="433">
        <f t="shared" si="39"/>
        <v>0</v>
      </c>
      <c r="CO164" s="433">
        <f t="shared" si="40"/>
        <v>0</v>
      </c>
      <c r="CP164" s="433">
        <f t="shared" si="41"/>
        <v>0</v>
      </c>
      <c r="CQ164" s="433">
        <f t="shared" si="42"/>
        <v>0</v>
      </c>
      <c r="CR164" s="433">
        <f t="shared" si="43"/>
        <v>0</v>
      </c>
      <c r="CS164" s="433">
        <f t="shared" si="44"/>
        <v>0</v>
      </c>
      <c r="CT164" s="21"/>
    </row>
    <row r="165" spans="3:98" ht="24.75" hidden="1" customHeight="1" outlineLevel="1">
      <c r="C165" s="424" t="s">
        <v>704</v>
      </c>
      <c r="D165" s="427">
        <v>0</v>
      </c>
      <c r="E165" s="427">
        <v>0</v>
      </c>
      <c r="F165" s="427">
        <v>0</v>
      </c>
      <c r="G165" s="427">
        <v>0</v>
      </c>
      <c r="H165" s="427">
        <v>0</v>
      </c>
      <c r="I165" s="427">
        <v>0</v>
      </c>
      <c r="J165" s="427">
        <v>0</v>
      </c>
      <c r="K165" s="427">
        <v>0</v>
      </c>
      <c r="L165" s="427">
        <v>0</v>
      </c>
      <c r="M165" s="427">
        <v>0</v>
      </c>
      <c r="N165" s="427">
        <v>0</v>
      </c>
      <c r="O165" s="427">
        <v>0</v>
      </c>
      <c r="P165" s="427">
        <v>0</v>
      </c>
      <c r="Q165" s="427">
        <v>0</v>
      </c>
      <c r="R165" s="427">
        <v>0</v>
      </c>
      <c r="S165" s="427">
        <v>0</v>
      </c>
      <c r="T165" s="427">
        <v>0</v>
      </c>
      <c r="U165" s="427">
        <v>0</v>
      </c>
      <c r="V165" s="427">
        <v>0</v>
      </c>
      <c r="W165" s="427">
        <v>0</v>
      </c>
      <c r="X165" s="427">
        <v>0</v>
      </c>
      <c r="Y165" s="427">
        <v>0</v>
      </c>
      <c r="Z165" s="427">
        <v>0</v>
      </c>
      <c r="AA165" s="427">
        <v>0</v>
      </c>
      <c r="AB165" s="427">
        <v>0</v>
      </c>
      <c r="AC165" s="427">
        <v>0</v>
      </c>
      <c r="AD165" s="427">
        <v>0</v>
      </c>
      <c r="AE165" s="427">
        <v>0</v>
      </c>
      <c r="AF165" s="427">
        <v>0</v>
      </c>
      <c r="AG165" s="427">
        <v>0</v>
      </c>
      <c r="AH165" s="427">
        <v>0</v>
      </c>
      <c r="AI165" s="427">
        <v>0</v>
      </c>
      <c r="AJ165" s="427">
        <v>0</v>
      </c>
      <c r="AK165" s="427">
        <v>0</v>
      </c>
      <c r="AL165" s="427">
        <v>0</v>
      </c>
      <c r="AM165" s="427">
        <v>0</v>
      </c>
      <c r="AN165" s="427">
        <v>0</v>
      </c>
      <c r="AO165" s="427">
        <v>0</v>
      </c>
      <c r="AP165" s="427">
        <v>0</v>
      </c>
      <c r="AQ165" s="427">
        <v>0</v>
      </c>
      <c r="AR165" s="427">
        <v>0</v>
      </c>
      <c r="AS165" s="427">
        <v>0</v>
      </c>
      <c r="AT165" s="427">
        <v>0</v>
      </c>
      <c r="AU165" s="427">
        <v>0</v>
      </c>
      <c r="AV165" s="427">
        <v>0</v>
      </c>
      <c r="AW165" s="427">
        <v>0</v>
      </c>
      <c r="AX165" s="427">
        <v>0</v>
      </c>
      <c r="AY165" s="427">
        <v>0</v>
      </c>
      <c r="AZ165" s="427">
        <v>0</v>
      </c>
      <c r="BA165" s="427">
        <v>0</v>
      </c>
      <c r="BB165" s="427">
        <v>0</v>
      </c>
      <c r="BC165" s="427">
        <v>0</v>
      </c>
      <c r="BD165" s="427">
        <v>0</v>
      </c>
      <c r="BE165" s="427">
        <v>0</v>
      </c>
      <c r="BF165" s="427">
        <v>0</v>
      </c>
      <c r="BG165" s="427">
        <v>0</v>
      </c>
      <c r="BH165" s="427">
        <v>0</v>
      </c>
      <c r="BI165" s="427">
        <v>0</v>
      </c>
      <c r="BJ165" s="427">
        <v>0</v>
      </c>
      <c r="BK165" s="427">
        <v>0</v>
      </c>
      <c r="BL165" s="427">
        <v>0</v>
      </c>
      <c r="BM165" s="427">
        <v>0</v>
      </c>
      <c r="BN165" s="427">
        <v>0</v>
      </c>
      <c r="BO165" s="427">
        <v>0</v>
      </c>
      <c r="BP165" s="427">
        <v>0</v>
      </c>
      <c r="BQ165" s="427">
        <v>0</v>
      </c>
      <c r="BR165" s="427">
        <v>0</v>
      </c>
      <c r="BS165" s="427">
        <v>0</v>
      </c>
      <c r="BT165" s="427">
        <v>0</v>
      </c>
      <c r="BU165" s="427">
        <v>0</v>
      </c>
      <c r="BV165" s="427">
        <v>0</v>
      </c>
      <c r="BW165" s="427">
        <v>0</v>
      </c>
      <c r="BX165" s="427">
        <v>0</v>
      </c>
      <c r="BY165" s="427">
        <v>0</v>
      </c>
      <c r="BZ165" s="427">
        <v>0</v>
      </c>
      <c r="CC165" s="21"/>
      <c r="CD165" s="424" t="s">
        <v>704</v>
      </c>
      <c r="CE165" s="433">
        <f t="shared" si="30"/>
        <v>0</v>
      </c>
      <c r="CF165" s="433">
        <f t="shared" si="31"/>
        <v>0</v>
      </c>
      <c r="CG165" s="433">
        <f t="shared" si="32"/>
        <v>0</v>
      </c>
      <c r="CH165" s="433">
        <f t="shared" si="33"/>
        <v>0</v>
      </c>
      <c r="CI165" s="433">
        <f t="shared" si="34"/>
        <v>0</v>
      </c>
      <c r="CJ165" s="433">
        <f t="shared" si="35"/>
        <v>0</v>
      </c>
      <c r="CK165" s="433">
        <f t="shared" si="36"/>
        <v>0</v>
      </c>
      <c r="CL165" s="433">
        <f t="shared" si="37"/>
        <v>0</v>
      </c>
      <c r="CM165" s="433">
        <f t="shared" si="38"/>
        <v>0</v>
      </c>
      <c r="CN165" s="433">
        <f t="shared" si="39"/>
        <v>0</v>
      </c>
      <c r="CO165" s="433">
        <f t="shared" si="40"/>
        <v>0</v>
      </c>
      <c r="CP165" s="433">
        <f t="shared" si="41"/>
        <v>0</v>
      </c>
      <c r="CQ165" s="433">
        <f t="shared" si="42"/>
        <v>0</v>
      </c>
      <c r="CR165" s="433">
        <f t="shared" si="43"/>
        <v>0</v>
      </c>
      <c r="CS165" s="433">
        <f t="shared" si="44"/>
        <v>0</v>
      </c>
      <c r="CT165" s="21"/>
    </row>
    <row r="166" spans="3:98" ht="24.75" customHeight="1" collapsed="1">
      <c r="C166" s="415" t="s">
        <v>702</v>
      </c>
      <c r="D166" s="416">
        <v>0</v>
      </c>
      <c r="E166" s="416">
        <v>0</v>
      </c>
      <c r="F166" s="416">
        <v>0</v>
      </c>
      <c r="G166" s="416">
        <v>0</v>
      </c>
      <c r="H166" s="427">
        <v>0</v>
      </c>
      <c r="I166" s="416">
        <v>0</v>
      </c>
      <c r="J166" s="416">
        <v>0</v>
      </c>
      <c r="K166" s="416">
        <v>0</v>
      </c>
      <c r="L166" s="416">
        <v>0</v>
      </c>
      <c r="M166" s="416">
        <v>0</v>
      </c>
      <c r="N166" s="416">
        <v>0</v>
      </c>
      <c r="O166" s="416">
        <v>0</v>
      </c>
      <c r="P166" s="416">
        <v>0</v>
      </c>
      <c r="Q166" s="416">
        <v>0</v>
      </c>
      <c r="R166" s="416">
        <v>0</v>
      </c>
      <c r="S166" s="416">
        <v>0</v>
      </c>
      <c r="T166" s="416">
        <v>0</v>
      </c>
      <c r="U166" s="416">
        <v>0</v>
      </c>
      <c r="V166" s="416">
        <v>0</v>
      </c>
      <c r="W166" s="416">
        <v>0</v>
      </c>
      <c r="X166" s="416">
        <v>0</v>
      </c>
      <c r="Y166" s="416">
        <v>0</v>
      </c>
      <c r="Z166" s="416">
        <v>0</v>
      </c>
      <c r="AA166" s="416">
        <v>0</v>
      </c>
      <c r="AB166" s="416">
        <v>0</v>
      </c>
      <c r="AC166" s="416">
        <v>0</v>
      </c>
      <c r="AD166" s="416">
        <v>0</v>
      </c>
      <c r="AE166" s="416">
        <v>0</v>
      </c>
      <c r="AF166" s="416">
        <v>0</v>
      </c>
      <c r="AG166" s="416">
        <v>0</v>
      </c>
      <c r="AH166" s="416">
        <v>0</v>
      </c>
      <c r="AI166" s="416">
        <v>0</v>
      </c>
      <c r="AJ166" s="416">
        <v>0</v>
      </c>
      <c r="AK166" s="416">
        <v>0</v>
      </c>
      <c r="AL166" s="416">
        <v>0</v>
      </c>
      <c r="AM166" s="416">
        <v>0</v>
      </c>
      <c r="AN166" s="416">
        <v>0</v>
      </c>
      <c r="AO166" s="416">
        <v>0</v>
      </c>
      <c r="AP166" s="416">
        <v>0</v>
      </c>
      <c r="AQ166" s="416">
        <v>0</v>
      </c>
      <c r="AR166" s="416">
        <v>0</v>
      </c>
      <c r="AS166" s="416">
        <v>0</v>
      </c>
      <c r="AT166" s="416">
        <v>0</v>
      </c>
      <c r="AU166" s="416">
        <v>0</v>
      </c>
      <c r="AV166" s="416">
        <v>0</v>
      </c>
      <c r="AW166" s="416">
        <v>0</v>
      </c>
      <c r="AX166" s="416">
        <v>0</v>
      </c>
      <c r="AY166" s="416">
        <v>0</v>
      </c>
      <c r="AZ166" s="416">
        <v>0</v>
      </c>
      <c r="BA166" s="416">
        <v>0</v>
      </c>
      <c r="BB166" s="416">
        <v>0</v>
      </c>
      <c r="BC166" s="416">
        <v>0</v>
      </c>
      <c r="BD166" s="416">
        <v>0</v>
      </c>
      <c r="BE166" s="416">
        <v>0</v>
      </c>
      <c r="BF166" s="416">
        <v>0</v>
      </c>
      <c r="BG166" s="416">
        <v>0</v>
      </c>
      <c r="BH166" s="416">
        <v>0</v>
      </c>
      <c r="BI166" s="416">
        <v>0</v>
      </c>
      <c r="BJ166" s="416">
        <v>0</v>
      </c>
      <c r="BK166" s="416">
        <v>0</v>
      </c>
      <c r="BL166" s="416">
        <v>0</v>
      </c>
      <c r="BM166" s="416">
        <v>0</v>
      </c>
      <c r="BN166" s="416">
        <v>0</v>
      </c>
      <c r="BO166" s="416">
        <v>0</v>
      </c>
      <c r="BP166" s="416">
        <v>0</v>
      </c>
      <c r="BQ166" s="416">
        <v>0</v>
      </c>
      <c r="BR166" s="416">
        <v>0</v>
      </c>
      <c r="BS166" s="416">
        <v>0</v>
      </c>
      <c r="BT166" s="416">
        <v>0</v>
      </c>
      <c r="BU166" s="416">
        <v>0</v>
      </c>
      <c r="BV166" s="416">
        <v>0</v>
      </c>
      <c r="BW166" s="416">
        <v>0</v>
      </c>
      <c r="BX166" s="416">
        <v>0</v>
      </c>
      <c r="BY166" s="416">
        <v>0</v>
      </c>
      <c r="BZ166" s="416">
        <v>0</v>
      </c>
      <c r="CC166" s="21"/>
      <c r="CD166" s="415" t="s">
        <v>702</v>
      </c>
      <c r="CE166" s="433">
        <f t="shared" si="30"/>
        <v>0</v>
      </c>
      <c r="CF166" s="433">
        <f t="shared" si="31"/>
        <v>0</v>
      </c>
      <c r="CG166" s="433">
        <f t="shared" si="32"/>
        <v>0</v>
      </c>
      <c r="CH166" s="433">
        <f t="shared" si="33"/>
        <v>0</v>
      </c>
      <c r="CI166" s="433">
        <f t="shared" si="34"/>
        <v>0</v>
      </c>
      <c r="CJ166" s="433">
        <f t="shared" si="35"/>
        <v>0</v>
      </c>
      <c r="CK166" s="433">
        <f t="shared" si="36"/>
        <v>0</v>
      </c>
      <c r="CL166" s="433">
        <f t="shared" si="37"/>
        <v>0</v>
      </c>
      <c r="CM166" s="433">
        <f t="shared" si="38"/>
        <v>0</v>
      </c>
      <c r="CN166" s="433">
        <f t="shared" si="39"/>
        <v>0</v>
      </c>
      <c r="CO166" s="433">
        <f t="shared" si="40"/>
        <v>0</v>
      </c>
      <c r="CP166" s="433">
        <f t="shared" si="41"/>
        <v>0</v>
      </c>
      <c r="CQ166" s="433">
        <f t="shared" si="42"/>
        <v>0</v>
      </c>
      <c r="CR166" s="433">
        <f t="shared" si="43"/>
        <v>0</v>
      </c>
      <c r="CS166" s="433">
        <f t="shared" si="44"/>
        <v>0</v>
      </c>
      <c r="CT166" s="21"/>
    </row>
    <row r="167" spans="3:98" ht="24.75" hidden="1" customHeight="1" outlineLevel="1">
      <c r="C167" s="424" t="s">
        <v>706</v>
      </c>
      <c r="D167" s="416">
        <v>0</v>
      </c>
      <c r="E167" s="416">
        <v>0</v>
      </c>
      <c r="F167" s="416">
        <v>0</v>
      </c>
      <c r="G167" s="416">
        <v>0</v>
      </c>
      <c r="H167" s="427">
        <v>0</v>
      </c>
      <c r="I167" s="416">
        <v>0</v>
      </c>
      <c r="J167" s="416">
        <v>0</v>
      </c>
      <c r="K167" s="416">
        <v>0</v>
      </c>
      <c r="L167" s="416">
        <v>0</v>
      </c>
      <c r="M167" s="416">
        <v>0</v>
      </c>
      <c r="N167" s="416">
        <v>0</v>
      </c>
      <c r="O167" s="416">
        <v>0</v>
      </c>
      <c r="P167" s="416">
        <v>0</v>
      </c>
      <c r="Q167" s="416">
        <v>0</v>
      </c>
      <c r="R167" s="416">
        <v>0</v>
      </c>
      <c r="S167" s="416">
        <v>0</v>
      </c>
      <c r="T167" s="416">
        <v>0</v>
      </c>
      <c r="U167" s="416">
        <v>0</v>
      </c>
      <c r="V167" s="416">
        <v>0</v>
      </c>
      <c r="W167" s="416">
        <v>0</v>
      </c>
      <c r="X167" s="416">
        <v>0</v>
      </c>
      <c r="Y167" s="416">
        <v>0</v>
      </c>
      <c r="Z167" s="416">
        <v>0</v>
      </c>
      <c r="AA167" s="416">
        <v>0</v>
      </c>
      <c r="AB167" s="416">
        <v>0</v>
      </c>
      <c r="AC167" s="416">
        <v>0</v>
      </c>
      <c r="AD167" s="416">
        <v>0</v>
      </c>
      <c r="AE167" s="416">
        <v>0</v>
      </c>
      <c r="AF167" s="416">
        <v>0</v>
      </c>
      <c r="AG167" s="416">
        <v>0</v>
      </c>
      <c r="AH167" s="416">
        <v>0</v>
      </c>
      <c r="AI167" s="416">
        <v>0</v>
      </c>
      <c r="AJ167" s="416">
        <v>0</v>
      </c>
      <c r="AK167" s="416">
        <v>0</v>
      </c>
      <c r="AL167" s="416">
        <v>0</v>
      </c>
      <c r="AM167" s="416">
        <v>0</v>
      </c>
      <c r="AN167" s="416">
        <v>0</v>
      </c>
      <c r="AO167" s="416">
        <v>0</v>
      </c>
      <c r="AP167" s="416">
        <v>0</v>
      </c>
      <c r="AQ167" s="416">
        <v>0</v>
      </c>
      <c r="AR167" s="416">
        <v>0</v>
      </c>
      <c r="AS167" s="416">
        <v>0</v>
      </c>
      <c r="AT167" s="416">
        <v>0</v>
      </c>
      <c r="AU167" s="416">
        <v>0</v>
      </c>
      <c r="AV167" s="416">
        <v>0</v>
      </c>
      <c r="AW167" s="416">
        <v>0</v>
      </c>
      <c r="AX167" s="416">
        <v>0</v>
      </c>
      <c r="AY167" s="416">
        <v>0</v>
      </c>
      <c r="AZ167" s="416">
        <v>0</v>
      </c>
      <c r="BA167" s="416">
        <v>0</v>
      </c>
      <c r="BB167" s="416">
        <v>0</v>
      </c>
      <c r="BC167" s="416">
        <v>0</v>
      </c>
      <c r="BD167" s="416">
        <v>0</v>
      </c>
      <c r="BE167" s="416">
        <v>0</v>
      </c>
      <c r="BF167" s="416">
        <v>0</v>
      </c>
      <c r="BG167" s="416">
        <v>0</v>
      </c>
      <c r="BH167" s="416">
        <v>0</v>
      </c>
      <c r="BI167" s="416">
        <v>0</v>
      </c>
      <c r="BJ167" s="416">
        <v>0</v>
      </c>
      <c r="BK167" s="416">
        <v>0</v>
      </c>
      <c r="BL167" s="416">
        <v>0</v>
      </c>
      <c r="BM167" s="416">
        <v>0</v>
      </c>
      <c r="BN167" s="416">
        <v>0</v>
      </c>
      <c r="BO167" s="416">
        <v>0</v>
      </c>
      <c r="BP167" s="416">
        <v>0</v>
      </c>
      <c r="BQ167" s="416">
        <v>0</v>
      </c>
      <c r="BR167" s="416">
        <v>0</v>
      </c>
      <c r="BS167" s="416">
        <v>0</v>
      </c>
      <c r="BT167" s="416">
        <v>0</v>
      </c>
      <c r="BU167" s="416">
        <v>0</v>
      </c>
      <c r="BV167" s="416">
        <v>0</v>
      </c>
      <c r="BW167" s="416">
        <v>0</v>
      </c>
      <c r="BX167" s="416">
        <v>0</v>
      </c>
      <c r="BY167" s="416">
        <v>0</v>
      </c>
      <c r="BZ167" s="416">
        <v>0</v>
      </c>
      <c r="CC167" s="21"/>
      <c r="CD167" s="424" t="s">
        <v>706</v>
      </c>
      <c r="CE167" s="433">
        <f t="shared" si="30"/>
        <v>0</v>
      </c>
      <c r="CF167" s="433">
        <f t="shared" si="31"/>
        <v>0</v>
      </c>
      <c r="CG167" s="433">
        <f t="shared" si="32"/>
        <v>0</v>
      </c>
      <c r="CH167" s="433">
        <f t="shared" si="33"/>
        <v>0</v>
      </c>
      <c r="CI167" s="433">
        <f t="shared" si="34"/>
        <v>0</v>
      </c>
      <c r="CJ167" s="433">
        <f t="shared" si="35"/>
        <v>0</v>
      </c>
      <c r="CK167" s="433">
        <f t="shared" si="36"/>
        <v>0</v>
      </c>
      <c r="CL167" s="433">
        <f t="shared" si="37"/>
        <v>0</v>
      </c>
      <c r="CM167" s="433">
        <f t="shared" si="38"/>
        <v>0</v>
      </c>
      <c r="CN167" s="433">
        <f t="shared" si="39"/>
        <v>0</v>
      </c>
      <c r="CO167" s="433">
        <f t="shared" si="40"/>
        <v>0</v>
      </c>
      <c r="CP167" s="433">
        <f t="shared" si="41"/>
        <v>0</v>
      </c>
      <c r="CQ167" s="433">
        <f t="shared" si="42"/>
        <v>0</v>
      </c>
      <c r="CR167" s="433">
        <f t="shared" si="43"/>
        <v>0</v>
      </c>
      <c r="CS167" s="433">
        <f t="shared" si="44"/>
        <v>0</v>
      </c>
      <c r="CT167" s="21"/>
    </row>
    <row r="168" spans="3:98" ht="24.75" hidden="1" customHeight="1" outlineLevel="1">
      <c r="C168" s="424" t="s">
        <v>707</v>
      </c>
      <c r="D168" s="416">
        <v>0</v>
      </c>
      <c r="E168" s="416">
        <v>0</v>
      </c>
      <c r="F168" s="416">
        <v>0</v>
      </c>
      <c r="G168" s="416">
        <v>0</v>
      </c>
      <c r="H168" s="427">
        <v>0</v>
      </c>
      <c r="I168" s="416">
        <v>0</v>
      </c>
      <c r="J168" s="416">
        <v>0</v>
      </c>
      <c r="K168" s="416">
        <v>0</v>
      </c>
      <c r="L168" s="416">
        <v>0</v>
      </c>
      <c r="M168" s="416">
        <v>0</v>
      </c>
      <c r="N168" s="416">
        <v>0</v>
      </c>
      <c r="O168" s="416">
        <v>0</v>
      </c>
      <c r="P168" s="416">
        <v>0</v>
      </c>
      <c r="Q168" s="416">
        <v>0</v>
      </c>
      <c r="R168" s="416">
        <v>0</v>
      </c>
      <c r="S168" s="416">
        <v>0</v>
      </c>
      <c r="T168" s="416">
        <v>0</v>
      </c>
      <c r="U168" s="416">
        <v>0</v>
      </c>
      <c r="V168" s="416">
        <v>0</v>
      </c>
      <c r="W168" s="416">
        <v>0</v>
      </c>
      <c r="X168" s="416">
        <v>0</v>
      </c>
      <c r="Y168" s="416">
        <v>0</v>
      </c>
      <c r="Z168" s="416">
        <v>0</v>
      </c>
      <c r="AA168" s="416">
        <v>0</v>
      </c>
      <c r="AB168" s="416">
        <v>0</v>
      </c>
      <c r="AC168" s="416">
        <v>0</v>
      </c>
      <c r="AD168" s="416">
        <v>0</v>
      </c>
      <c r="AE168" s="416">
        <v>0</v>
      </c>
      <c r="AF168" s="416">
        <v>0</v>
      </c>
      <c r="AG168" s="416">
        <v>0</v>
      </c>
      <c r="AH168" s="416">
        <v>0</v>
      </c>
      <c r="AI168" s="416">
        <v>0</v>
      </c>
      <c r="AJ168" s="416">
        <v>0</v>
      </c>
      <c r="AK168" s="416">
        <v>0</v>
      </c>
      <c r="AL168" s="416">
        <v>0</v>
      </c>
      <c r="AM168" s="416">
        <v>0</v>
      </c>
      <c r="AN168" s="416">
        <v>0</v>
      </c>
      <c r="AO168" s="416">
        <v>0</v>
      </c>
      <c r="AP168" s="416">
        <v>0</v>
      </c>
      <c r="AQ168" s="416">
        <v>0</v>
      </c>
      <c r="AR168" s="416">
        <v>0</v>
      </c>
      <c r="AS168" s="416">
        <v>0</v>
      </c>
      <c r="AT168" s="416">
        <v>0</v>
      </c>
      <c r="AU168" s="416">
        <v>0</v>
      </c>
      <c r="AV168" s="416">
        <v>0</v>
      </c>
      <c r="AW168" s="416">
        <v>0</v>
      </c>
      <c r="AX168" s="416">
        <v>0</v>
      </c>
      <c r="AY168" s="416">
        <v>0</v>
      </c>
      <c r="AZ168" s="416">
        <v>0</v>
      </c>
      <c r="BA168" s="416">
        <v>0</v>
      </c>
      <c r="BB168" s="416">
        <v>0</v>
      </c>
      <c r="BC168" s="416">
        <v>0</v>
      </c>
      <c r="BD168" s="416">
        <v>0</v>
      </c>
      <c r="BE168" s="416">
        <v>0</v>
      </c>
      <c r="BF168" s="416">
        <v>0</v>
      </c>
      <c r="BG168" s="416">
        <v>0</v>
      </c>
      <c r="BH168" s="416">
        <v>0</v>
      </c>
      <c r="BI168" s="416">
        <v>0</v>
      </c>
      <c r="BJ168" s="416">
        <v>0</v>
      </c>
      <c r="BK168" s="416">
        <v>0</v>
      </c>
      <c r="BL168" s="416">
        <v>0</v>
      </c>
      <c r="BM168" s="416">
        <v>0</v>
      </c>
      <c r="BN168" s="416">
        <v>0</v>
      </c>
      <c r="BO168" s="416">
        <v>0</v>
      </c>
      <c r="BP168" s="416">
        <v>0</v>
      </c>
      <c r="BQ168" s="416">
        <v>0</v>
      </c>
      <c r="BR168" s="416">
        <v>0</v>
      </c>
      <c r="BS168" s="416">
        <v>0</v>
      </c>
      <c r="BT168" s="416">
        <v>0</v>
      </c>
      <c r="BU168" s="416">
        <v>0</v>
      </c>
      <c r="BV168" s="416">
        <v>0</v>
      </c>
      <c r="BW168" s="416">
        <v>0</v>
      </c>
      <c r="BX168" s="416">
        <v>0</v>
      </c>
      <c r="BY168" s="416">
        <v>0</v>
      </c>
      <c r="BZ168" s="416">
        <v>0</v>
      </c>
      <c r="CC168" s="21"/>
      <c r="CD168" s="424" t="s">
        <v>707</v>
      </c>
      <c r="CE168" s="433">
        <f t="shared" si="30"/>
        <v>0</v>
      </c>
      <c r="CF168" s="433">
        <f t="shared" si="31"/>
        <v>0</v>
      </c>
      <c r="CG168" s="433">
        <f t="shared" si="32"/>
        <v>0</v>
      </c>
      <c r="CH168" s="433">
        <f t="shared" si="33"/>
        <v>0</v>
      </c>
      <c r="CI168" s="433">
        <f t="shared" si="34"/>
        <v>0</v>
      </c>
      <c r="CJ168" s="433">
        <f t="shared" si="35"/>
        <v>0</v>
      </c>
      <c r="CK168" s="433">
        <f t="shared" si="36"/>
        <v>0</v>
      </c>
      <c r="CL168" s="433">
        <f t="shared" si="37"/>
        <v>0</v>
      </c>
      <c r="CM168" s="433">
        <f t="shared" si="38"/>
        <v>0</v>
      </c>
      <c r="CN168" s="433">
        <f t="shared" si="39"/>
        <v>0</v>
      </c>
      <c r="CO168" s="433">
        <f t="shared" si="40"/>
        <v>0</v>
      </c>
      <c r="CP168" s="433">
        <f t="shared" si="41"/>
        <v>0</v>
      </c>
      <c r="CQ168" s="433">
        <f t="shared" si="42"/>
        <v>0</v>
      </c>
      <c r="CR168" s="433">
        <f t="shared" si="43"/>
        <v>0</v>
      </c>
      <c r="CS168" s="433">
        <f t="shared" si="44"/>
        <v>0</v>
      </c>
      <c r="CT168" s="21"/>
    </row>
    <row r="169" spans="3:98" ht="24.75" hidden="1" customHeight="1" outlineLevel="1">
      <c r="C169" s="424" t="s">
        <v>708</v>
      </c>
      <c r="D169" s="416">
        <v>0</v>
      </c>
      <c r="E169" s="416">
        <v>0</v>
      </c>
      <c r="F169" s="416">
        <v>0</v>
      </c>
      <c r="G169" s="416">
        <v>0</v>
      </c>
      <c r="H169" s="427">
        <v>0</v>
      </c>
      <c r="I169" s="416">
        <v>0</v>
      </c>
      <c r="J169" s="416">
        <v>0</v>
      </c>
      <c r="K169" s="416">
        <v>0</v>
      </c>
      <c r="L169" s="416">
        <v>0</v>
      </c>
      <c r="M169" s="416">
        <v>0</v>
      </c>
      <c r="N169" s="416">
        <v>0</v>
      </c>
      <c r="O169" s="416">
        <v>0</v>
      </c>
      <c r="P169" s="416">
        <v>0</v>
      </c>
      <c r="Q169" s="416">
        <v>0</v>
      </c>
      <c r="R169" s="416">
        <v>0</v>
      </c>
      <c r="S169" s="416">
        <v>0</v>
      </c>
      <c r="T169" s="416">
        <v>0</v>
      </c>
      <c r="U169" s="416">
        <v>0</v>
      </c>
      <c r="V169" s="416">
        <v>0</v>
      </c>
      <c r="W169" s="416">
        <v>0</v>
      </c>
      <c r="X169" s="416">
        <v>0</v>
      </c>
      <c r="Y169" s="416">
        <v>0</v>
      </c>
      <c r="Z169" s="416">
        <v>0</v>
      </c>
      <c r="AA169" s="416">
        <v>0</v>
      </c>
      <c r="AB169" s="416">
        <v>0</v>
      </c>
      <c r="AC169" s="416">
        <v>0</v>
      </c>
      <c r="AD169" s="416">
        <v>0</v>
      </c>
      <c r="AE169" s="416">
        <v>0</v>
      </c>
      <c r="AF169" s="416">
        <v>0</v>
      </c>
      <c r="AG169" s="416">
        <v>0</v>
      </c>
      <c r="AH169" s="416">
        <v>0</v>
      </c>
      <c r="AI169" s="416">
        <v>0</v>
      </c>
      <c r="AJ169" s="416">
        <v>0</v>
      </c>
      <c r="AK169" s="416">
        <v>0</v>
      </c>
      <c r="AL169" s="416">
        <v>0</v>
      </c>
      <c r="AM169" s="416">
        <v>0</v>
      </c>
      <c r="AN169" s="416">
        <v>0</v>
      </c>
      <c r="AO169" s="416">
        <v>0</v>
      </c>
      <c r="AP169" s="416">
        <v>0</v>
      </c>
      <c r="AQ169" s="416">
        <v>0</v>
      </c>
      <c r="AR169" s="416">
        <v>0</v>
      </c>
      <c r="AS169" s="416">
        <v>0</v>
      </c>
      <c r="AT169" s="416">
        <v>0</v>
      </c>
      <c r="AU169" s="416">
        <v>0</v>
      </c>
      <c r="AV169" s="416">
        <v>0</v>
      </c>
      <c r="AW169" s="416">
        <v>0</v>
      </c>
      <c r="AX169" s="416">
        <v>0</v>
      </c>
      <c r="AY169" s="416">
        <v>0</v>
      </c>
      <c r="AZ169" s="416">
        <v>0</v>
      </c>
      <c r="BA169" s="416">
        <v>0</v>
      </c>
      <c r="BB169" s="416">
        <v>0</v>
      </c>
      <c r="BC169" s="416">
        <v>0</v>
      </c>
      <c r="BD169" s="416">
        <v>0</v>
      </c>
      <c r="BE169" s="416">
        <v>0</v>
      </c>
      <c r="BF169" s="416">
        <v>0</v>
      </c>
      <c r="BG169" s="416">
        <v>0</v>
      </c>
      <c r="BH169" s="416">
        <v>0</v>
      </c>
      <c r="BI169" s="416">
        <v>0</v>
      </c>
      <c r="BJ169" s="416">
        <v>0</v>
      </c>
      <c r="BK169" s="416">
        <v>0</v>
      </c>
      <c r="BL169" s="416">
        <v>0</v>
      </c>
      <c r="BM169" s="416">
        <v>0</v>
      </c>
      <c r="BN169" s="416">
        <v>0</v>
      </c>
      <c r="BO169" s="416">
        <v>0</v>
      </c>
      <c r="BP169" s="416">
        <v>0</v>
      </c>
      <c r="BQ169" s="416">
        <v>0</v>
      </c>
      <c r="BR169" s="416">
        <v>0</v>
      </c>
      <c r="BS169" s="416">
        <v>0</v>
      </c>
      <c r="BT169" s="416">
        <v>0</v>
      </c>
      <c r="BU169" s="416">
        <v>0</v>
      </c>
      <c r="BV169" s="416">
        <v>0</v>
      </c>
      <c r="BW169" s="416">
        <v>0</v>
      </c>
      <c r="BX169" s="416">
        <v>0</v>
      </c>
      <c r="BY169" s="416">
        <v>0</v>
      </c>
      <c r="BZ169" s="416">
        <v>0</v>
      </c>
      <c r="CC169" s="21"/>
      <c r="CD169" s="424" t="s">
        <v>708</v>
      </c>
      <c r="CE169" s="433">
        <f t="shared" si="30"/>
        <v>0</v>
      </c>
      <c r="CF169" s="433">
        <f t="shared" si="31"/>
        <v>0</v>
      </c>
      <c r="CG169" s="433">
        <f t="shared" si="32"/>
        <v>0</v>
      </c>
      <c r="CH169" s="433">
        <f t="shared" si="33"/>
        <v>0</v>
      </c>
      <c r="CI169" s="433">
        <f t="shared" si="34"/>
        <v>0</v>
      </c>
      <c r="CJ169" s="433">
        <f t="shared" si="35"/>
        <v>0</v>
      </c>
      <c r="CK169" s="433">
        <f t="shared" si="36"/>
        <v>0</v>
      </c>
      <c r="CL169" s="433">
        <f t="shared" si="37"/>
        <v>0</v>
      </c>
      <c r="CM169" s="433">
        <f t="shared" si="38"/>
        <v>0</v>
      </c>
      <c r="CN169" s="433">
        <f t="shared" si="39"/>
        <v>0</v>
      </c>
      <c r="CO169" s="433">
        <f t="shared" si="40"/>
        <v>0</v>
      </c>
      <c r="CP169" s="433">
        <f t="shared" si="41"/>
        <v>0</v>
      </c>
      <c r="CQ169" s="433">
        <f t="shared" si="42"/>
        <v>0</v>
      </c>
      <c r="CR169" s="433">
        <f t="shared" si="43"/>
        <v>0</v>
      </c>
      <c r="CS169" s="433">
        <f t="shared" si="44"/>
        <v>0</v>
      </c>
      <c r="CT169" s="21"/>
    </row>
    <row r="170" spans="3:98" ht="24.75" hidden="1" customHeight="1" outlineLevel="1">
      <c r="C170" s="424" t="s">
        <v>709</v>
      </c>
      <c r="D170" s="416">
        <v>0</v>
      </c>
      <c r="E170" s="416">
        <v>0</v>
      </c>
      <c r="F170" s="416">
        <v>0</v>
      </c>
      <c r="G170" s="416">
        <v>0</v>
      </c>
      <c r="H170" s="427">
        <v>0</v>
      </c>
      <c r="I170" s="416">
        <v>0</v>
      </c>
      <c r="J170" s="416">
        <v>0</v>
      </c>
      <c r="K170" s="416">
        <v>0</v>
      </c>
      <c r="L170" s="416">
        <v>0</v>
      </c>
      <c r="M170" s="416">
        <v>0</v>
      </c>
      <c r="N170" s="416">
        <v>0</v>
      </c>
      <c r="O170" s="416">
        <v>0</v>
      </c>
      <c r="P170" s="416">
        <v>0</v>
      </c>
      <c r="Q170" s="416">
        <v>0</v>
      </c>
      <c r="R170" s="416">
        <v>0</v>
      </c>
      <c r="S170" s="416">
        <v>0</v>
      </c>
      <c r="T170" s="416">
        <v>0</v>
      </c>
      <c r="U170" s="416">
        <v>0</v>
      </c>
      <c r="V170" s="416">
        <v>0</v>
      </c>
      <c r="W170" s="416">
        <v>0</v>
      </c>
      <c r="X170" s="416">
        <v>0</v>
      </c>
      <c r="Y170" s="416">
        <v>0</v>
      </c>
      <c r="Z170" s="416">
        <v>0</v>
      </c>
      <c r="AA170" s="416">
        <v>0</v>
      </c>
      <c r="AB170" s="416">
        <v>0</v>
      </c>
      <c r="AC170" s="416">
        <v>0</v>
      </c>
      <c r="AD170" s="416">
        <v>0</v>
      </c>
      <c r="AE170" s="416">
        <v>0</v>
      </c>
      <c r="AF170" s="416">
        <v>0</v>
      </c>
      <c r="AG170" s="416">
        <v>0</v>
      </c>
      <c r="AH170" s="416">
        <v>0</v>
      </c>
      <c r="AI170" s="416">
        <v>0</v>
      </c>
      <c r="AJ170" s="416">
        <v>0</v>
      </c>
      <c r="AK170" s="416">
        <v>0</v>
      </c>
      <c r="AL170" s="416">
        <v>0</v>
      </c>
      <c r="AM170" s="416">
        <v>0</v>
      </c>
      <c r="AN170" s="416">
        <v>0</v>
      </c>
      <c r="AO170" s="416">
        <v>0</v>
      </c>
      <c r="AP170" s="416">
        <v>0</v>
      </c>
      <c r="AQ170" s="416">
        <v>0</v>
      </c>
      <c r="AR170" s="416">
        <v>0</v>
      </c>
      <c r="AS170" s="416">
        <v>0</v>
      </c>
      <c r="AT170" s="416">
        <v>0</v>
      </c>
      <c r="AU170" s="416">
        <v>0</v>
      </c>
      <c r="AV170" s="416">
        <v>0</v>
      </c>
      <c r="AW170" s="416">
        <v>0</v>
      </c>
      <c r="AX170" s="416">
        <v>0</v>
      </c>
      <c r="AY170" s="416">
        <v>0</v>
      </c>
      <c r="AZ170" s="416">
        <v>0</v>
      </c>
      <c r="BA170" s="416">
        <v>0</v>
      </c>
      <c r="BB170" s="416">
        <v>0</v>
      </c>
      <c r="BC170" s="416">
        <v>0</v>
      </c>
      <c r="BD170" s="416">
        <v>0</v>
      </c>
      <c r="BE170" s="416">
        <v>0</v>
      </c>
      <c r="BF170" s="416">
        <v>0</v>
      </c>
      <c r="BG170" s="416">
        <v>0</v>
      </c>
      <c r="BH170" s="416">
        <v>0</v>
      </c>
      <c r="BI170" s="416">
        <v>0</v>
      </c>
      <c r="BJ170" s="416">
        <v>0</v>
      </c>
      <c r="BK170" s="416">
        <v>0</v>
      </c>
      <c r="BL170" s="416">
        <v>0</v>
      </c>
      <c r="BM170" s="416">
        <v>0</v>
      </c>
      <c r="BN170" s="416">
        <v>0</v>
      </c>
      <c r="BO170" s="416">
        <v>0</v>
      </c>
      <c r="BP170" s="416">
        <v>0</v>
      </c>
      <c r="BQ170" s="416">
        <v>0</v>
      </c>
      <c r="BR170" s="416">
        <v>0</v>
      </c>
      <c r="BS170" s="416">
        <v>0</v>
      </c>
      <c r="BT170" s="416">
        <v>0</v>
      </c>
      <c r="BU170" s="416">
        <v>0</v>
      </c>
      <c r="BV170" s="416">
        <v>0</v>
      </c>
      <c r="BW170" s="416">
        <v>0</v>
      </c>
      <c r="BX170" s="416">
        <v>0</v>
      </c>
      <c r="BY170" s="416">
        <v>0</v>
      </c>
      <c r="BZ170" s="416">
        <v>0</v>
      </c>
      <c r="CC170" s="21"/>
      <c r="CD170" s="424" t="s">
        <v>709</v>
      </c>
      <c r="CE170" s="433">
        <f t="shared" si="30"/>
        <v>0</v>
      </c>
      <c r="CF170" s="433">
        <f t="shared" si="31"/>
        <v>0</v>
      </c>
      <c r="CG170" s="433">
        <f t="shared" si="32"/>
        <v>0</v>
      </c>
      <c r="CH170" s="433">
        <f t="shared" si="33"/>
        <v>0</v>
      </c>
      <c r="CI170" s="433">
        <f t="shared" si="34"/>
        <v>0</v>
      </c>
      <c r="CJ170" s="433">
        <f t="shared" si="35"/>
        <v>0</v>
      </c>
      <c r="CK170" s="433">
        <f t="shared" si="36"/>
        <v>0</v>
      </c>
      <c r="CL170" s="433">
        <f t="shared" si="37"/>
        <v>0</v>
      </c>
      <c r="CM170" s="433">
        <f t="shared" si="38"/>
        <v>0</v>
      </c>
      <c r="CN170" s="433">
        <f t="shared" si="39"/>
        <v>0</v>
      </c>
      <c r="CO170" s="433">
        <f t="shared" si="40"/>
        <v>0</v>
      </c>
      <c r="CP170" s="433">
        <f t="shared" si="41"/>
        <v>0</v>
      </c>
      <c r="CQ170" s="433">
        <f t="shared" si="42"/>
        <v>0</v>
      </c>
      <c r="CR170" s="433">
        <f t="shared" si="43"/>
        <v>0</v>
      </c>
      <c r="CS170" s="433">
        <f t="shared" si="44"/>
        <v>0</v>
      </c>
      <c r="CT170" s="21"/>
    </row>
    <row r="171" spans="3:98" ht="24.75" customHeight="1" collapsed="1">
      <c r="C171" s="415" t="s">
        <v>705</v>
      </c>
      <c r="D171" s="416">
        <v>0</v>
      </c>
      <c r="E171" s="416">
        <v>0</v>
      </c>
      <c r="F171" s="416">
        <v>0</v>
      </c>
      <c r="G171" s="416">
        <v>0</v>
      </c>
      <c r="H171" s="427">
        <v>0</v>
      </c>
      <c r="I171" s="416">
        <v>0</v>
      </c>
      <c r="J171" s="416">
        <v>0</v>
      </c>
      <c r="K171" s="416">
        <v>0</v>
      </c>
      <c r="L171" s="416">
        <v>0</v>
      </c>
      <c r="M171" s="416">
        <v>0</v>
      </c>
      <c r="N171" s="416">
        <v>0</v>
      </c>
      <c r="O171" s="416">
        <v>0</v>
      </c>
      <c r="P171" s="416">
        <v>0</v>
      </c>
      <c r="Q171" s="416">
        <v>0</v>
      </c>
      <c r="R171" s="416">
        <v>0</v>
      </c>
      <c r="S171" s="416">
        <v>0</v>
      </c>
      <c r="T171" s="416">
        <v>0</v>
      </c>
      <c r="U171" s="416">
        <v>0</v>
      </c>
      <c r="V171" s="416">
        <v>0</v>
      </c>
      <c r="W171" s="416">
        <v>0</v>
      </c>
      <c r="X171" s="416">
        <v>0</v>
      </c>
      <c r="Y171" s="416">
        <v>0</v>
      </c>
      <c r="Z171" s="416">
        <v>0</v>
      </c>
      <c r="AA171" s="416">
        <v>0</v>
      </c>
      <c r="AB171" s="416">
        <v>0</v>
      </c>
      <c r="AC171" s="416">
        <v>0</v>
      </c>
      <c r="AD171" s="416">
        <v>0</v>
      </c>
      <c r="AE171" s="416">
        <v>0</v>
      </c>
      <c r="AF171" s="416">
        <v>0</v>
      </c>
      <c r="AG171" s="416">
        <v>0</v>
      </c>
      <c r="AH171" s="416">
        <v>0</v>
      </c>
      <c r="AI171" s="416">
        <v>0</v>
      </c>
      <c r="AJ171" s="416">
        <v>0</v>
      </c>
      <c r="AK171" s="416">
        <v>0</v>
      </c>
      <c r="AL171" s="416">
        <v>0</v>
      </c>
      <c r="AM171" s="416">
        <v>0</v>
      </c>
      <c r="AN171" s="416">
        <v>0</v>
      </c>
      <c r="AO171" s="416">
        <v>0</v>
      </c>
      <c r="AP171" s="416">
        <v>0</v>
      </c>
      <c r="AQ171" s="416">
        <v>0</v>
      </c>
      <c r="AR171" s="416">
        <v>0</v>
      </c>
      <c r="AS171" s="416">
        <v>0</v>
      </c>
      <c r="AT171" s="416">
        <v>0</v>
      </c>
      <c r="AU171" s="416">
        <v>0</v>
      </c>
      <c r="AV171" s="416">
        <v>0</v>
      </c>
      <c r="AW171" s="416">
        <v>0</v>
      </c>
      <c r="AX171" s="416">
        <v>0</v>
      </c>
      <c r="AY171" s="416">
        <v>0</v>
      </c>
      <c r="AZ171" s="416">
        <v>0</v>
      </c>
      <c r="BA171" s="416">
        <v>0</v>
      </c>
      <c r="BB171" s="416">
        <v>0</v>
      </c>
      <c r="BC171" s="416">
        <v>0</v>
      </c>
      <c r="BD171" s="416">
        <v>0</v>
      </c>
      <c r="BE171" s="416">
        <v>0</v>
      </c>
      <c r="BF171" s="416">
        <v>0</v>
      </c>
      <c r="BG171" s="416">
        <v>0</v>
      </c>
      <c r="BH171" s="416">
        <v>0</v>
      </c>
      <c r="BI171" s="416">
        <v>0</v>
      </c>
      <c r="BJ171" s="416">
        <v>0</v>
      </c>
      <c r="BK171" s="416">
        <v>0</v>
      </c>
      <c r="BL171" s="416">
        <v>0</v>
      </c>
      <c r="BM171" s="416">
        <v>0</v>
      </c>
      <c r="BN171" s="416">
        <v>0</v>
      </c>
      <c r="BO171" s="416">
        <v>0</v>
      </c>
      <c r="BP171" s="416">
        <v>0</v>
      </c>
      <c r="BQ171" s="416">
        <v>0</v>
      </c>
      <c r="BR171" s="416">
        <v>0</v>
      </c>
      <c r="BS171" s="416">
        <v>0</v>
      </c>
      <c r="BT171" s="416">
        <v>0</v>
      </c>
      <c r="BU171" s="416">
        <v>0</v>
      </c>
      <c r="BV171" s="416">
        <v>0</v>
      </c>
      <c r="BW171" s="416">
        <v>0</v>
      </c>
      <c r="BX171" s="416">
        <v>0</v>
      </c>
      <c r="BY171" s="416">
        <v>0</v>
      </c>
      <c r="BZ171" s="416">
        <v>0</v>
      </c>
      <c r="CC171" s="21"/>
      <c r="CD171" s="415" t="s">
        <v>705</v>
      </c>
      <c r="CE171" s="433">
        <f t="shared" si="30"/>
        <v>0</v>
      </c>
      <c r="CF171" s="433">
        <f t="shared" si="31"/>
        <v>0</v>
      </c>
      <c r="CG171" s="433">
        <f t="shared" si="32"/>
        <v>0</v>
      </c>
      <c r="CH171" s="433">
        <f t="shared" si="33"/>
        <v>0</v>
      </c>
      <c r="CI171" s="433">
        <f t="shared" si="34"/>
        <v>0</v>
      </c>
      <c r="CJ171" s="433">
        <f t="shared" si="35"/>
        <v>0</v>
      </c>
      <c r="CK171" s="433">
        <f t="shared" si="36"/>
        <v>0</v>
      </c>
      <c r="CL171" s="433">
        <f t="shared" si="37"/>
        <v>0</v>
      </c>
      <c r="CM171" s="433">
        <f t="shared" si="38"/>
        <v>0</v>
      </c>
      <c r="CN171" s="433">
        <f t="shared" si="39"/>
        <v>0</v>
      </c>
      <c r="CO171" s="433">
        <f t="shared" si="40"/>
        <v>0</v>
      </c>
      <c r="CP171" s="433">
        <f t="shared" si="41"/>
        <v>0</v>
      </c>
      <c r="CQ171" s="433">
        <f t="shared" si="42"/>
        <v>0</v>
      </c>
      <c r="CR171" s="433">
        <f t="shared" si="43"/>
        <v>0</v>
      </c>
      <c r="CS171" s="433">
        <f t="shared" si="44"/>
        <v>0</v>
      </c>
      <c r="CT171" s="21"/>
    </row>
    <row r="172" spans="3:98" ht="24.75" customHeight="1">
      <c r="C172" s="415" t="s">
        <v>710</v>
      </c>
      <c r="D172" s="416">
        <v>0</v>
      </c>
      <c r="E172" s="416">
        <v>0</v>
      </c>
      <c r="F172" s="416">
        <v>0</v>
      </c>
      <c r="G172" s="416">
        <v>0</v>
      </c>
      <c r="H172" s="427">
        <v>0</v>
      </c>
      <c r="I172" s="416">
        <v>0</v>
      </c>
      <c r="J172" s="416">
        <v>0</v>
      </c>
      <c r="K172" s="416">
        <v>0</v>
      </c>
      <c r="L172" s="416">
        <v>0</v>
      </c>
      <c r="M172" s="416">
        <v>0</v>
      </c>
      <c r="N172" s="416">
        <v>0</v>
      </c>
      <c r="O172" s="416">
        <v>0</v>
      </c>
      <c r="P172" s="416">
        <v>0</v>
      </c>
      <c r="Q172" s="416">
        <v>0</v>
      </c>
      <c r="R172" s="416">
        <v>0</v>
      </c>
      <c r="S172" s="416">
        <v>0</v>
      </c>
      <c r="T172" s="416">
        <v>0</v>
      </c>
      <c r="U172" s="416">
        <v>0</v>
      </c>
      <c r="V172" s="416">
        <v>0</v>
      </c>
      <c r="W172" s="416">
        <v>0</v>
      </c>
      <c r="X172" s="416">
        <v>0</v>
      </c>
      <c r="Y172" s="416">
        <v>0</v>
      </c>
      <c r="Z172" s="416">
        <v>0</v>
      </c>
      <c r="AA172" s="416">
        <v>0</v>
      </c>
      <c r="AB172" s="416">
        <v>0</v>
      </c>
      <c r="AC172" s="416">
        <v>0</v>
      </c>
      <c r="AD172" s="416">
        <v>0</v>
      </c>
      <c r="AE172" s="416">
        <v>0</v>
      </c>
      <c r="AF172" s="416">
        <v>0</v>
      </c>
      <c r="AG172" s="416">
        <v>0</v>
      </c>
      <c r="AH172" s="416">
        <v>0</v>
      </c>
      <c r="AI172" s="416">
        <v>0</v>
      </c>
      <c r="AJ172" s="416">
        <v>0</v>
      </c>
      <c r="AK172" s="416">
        <v>0</v>
      </c>
      <c r="AL172" s="416">
        <v>0</v>
      </c>
      <c r="AM172" s="416">
        <v>0</v>
      </c>
      <c r="AN172" s="416">
        <v>0</v>
      </c>
      <c r="AO172" s="416">
        <v>0</v>
      </c>
      <c r="AP172" s="416">
        <v>0</v>
      </c>
      <c r="AQ172" s="416">
        <v>0</v>
      </c>
      <c r="AR172" s="416">
        <v>0</v>
      </c>
      <c r="AS172" s="416">
        <v>0</v>
      </c>
      <c r="AT172" s="416">
        <v>0</v>
      </c>
      <c r="AU172" s="416">
        <v>0</v>
      </c>
      <c r="AV172" s="416">
        <v>0</v>
      </c>
      <c r="AW172" s="416">
        <v>0</v>
      </c>
      <c r="AX172" s="416">
        <v>0</v>
      </c>
      <c r="AY172" s="416">
        <v>0</v>
      </c>
      <c r="AZ172" s="416">
        <v>0</v>
      </c>
      <c r="BA172" s="416">
        <v>0</v>
      </c>
      <c r="BB172" s="416">
        <v>0</v>
      </c>
      <c r="BC172" s="416">
        <v>0</v>
      </c>
      <c r="BD172" s="416">
        <v>0</v>
      </c>
      <c r="BE172" s="416">
        <v>0</v>
      </c>
      <c r="BF172" s="416">
        <v>0</v>
      </c>
      <c r="BG172" s="416">
        <v>0</v>
      </c>
      <c r="BH172" s="416">
        <v>0</v>
      </c>
      <c r="BI172" s="416">
        <v>0</v>
      </c>
      <c r="BJ172" s="416">
        <v>0</v>
      </c>
      <c r="BK172" s="416">
        <v>0</v>
      </c>
      <c r="BL172" s="416">
        <v>0</v>
      </c>
      <c r="BM172" s="416">
        <v>0</v>
      </c>
      <c r="BN172" s="416">
        <v>0</v>
      </c>
      <c r="BO172" s="416">
        <v>0</v>
      </c>
      <c r="BP172" s="416">
        <v>0</v>
      </c>
      <c r="BQ172" s="416">
        <v>0</v>
      </c>
      <c r="BR172" s="416">
        <v>0</v>
      </c>
      <c r="BS172" s="416">
        <v>0</v>
      </c>
      <c r="BT172" s="416">
        <v>0</v>
      </c>
      <c r="BU172" s="416">
        <v>0</v>
      </c>
      <c r="BV172" s="416">
        <v>0</v>
      </c>
      <c r="BW172" s="416">
        <v>0</v>
      </c>
      <c r="BX172" s="416">
        <v>0</v>
      </c>
      <c r="BY172" s="416">
        <v>0</v>
      </c>
      <c r="BZ172" s="416">
        <v>0</v>
      </c>
      <c r="CC172" s="21"/>
      <c r="CD172" s="415" t="s">
        <v>710</v>
      </c>
      <c r="CE172" s="433">
        <f t="shared" si="30"/>
        <v>0</v>
      </c>
      <c r="CF172" s="433">
        <f t="shared" si="31"/>
        <v>0</v>
      </c>
      <c r="CG172" s="433">
        <f t="shared" si="32"/>
        <v>0</v>
      </c>
      <c r="CH172" s="433">
        <f t="shared" si="33"/>
        <v>0</v>
      </c>
      <c r="CI172" s="433">
        <f t="shared" si="34"/>
        <v>0</v>
      </c>
      <c r="CJ172" s="433">
        <f t="shared" si="35"/>
        <v>0</v>
      </c>
      <c r="CK172" s="433">
        <f t="shared" si="36"/>
        <v>0</v>
      </c>
      <c r="CL172" s="433">
        <f t="shared" si="37"/>
        <v>0</v>
      </c>
      <c r="CM172" s="433">
        <f t="shared" si="38"/>
        <v>0</v>
      </c>
      <c r="CN172" s="433">
        <f t="shared" si="39"/>
        <v>0</v>
      </c>
      <c r="CO172" s="433">
        <f t="shared" si="40"/>
        <v>0</v>
      </c>
      <c r="CP172" s="433">
        <f t="shared" si="41"/>
        <v>0</v>
      </c>
      <c r="CQ172" s="433">
        <f t="shared" si="42"/>
        <v>0</v>
      </c>
      <c r="CR172" s="433">
        <f t="shared" si="43"/>
        <v>0</v>
      </c>
      <c r="CS172" s="433">
        <f t="shared" si="44"/>
        <v>0</v>
      </c>
      <c r="CT172" s="21"/>
    </row>
    <row r="173" spans="3:98" ht="24.75" hidden="1" customHeight="1" outlineLevel="1" collapsed="1">
      <c r="C173" s="424" t="s">
        <v>712</v>
      </c>
      <c r="D173" s="416">
        <v>0</v>
      </c>
      <c r="E173" s="416">
        <v>0</v>
      </c>
      <c r="F173" s="416">
        <v>0</v>
      </c>
      <c r="G173" s="416">
        <v>0</v>
      </c>
      <c r="H173" s="427">
        <v>0</v>
      </c>
      <c r="I173" s="416">
        <v>0</v>
      </c>
      <c r="J173" s="416">
        <v>0</v>
      </c>
      <c r="K173" s="416">
        <v>0</v>
      </c>
      <c r="L173" s="416">
        <v>0</v>
      </c>
      <c r="M173" s="416">
        <v>0</v>
      </c>
      <c r="N173" s="416">
        <v>0</v>
      </c>
      <c r="O173" s="416">
        <v>0</v>
      </c>
      <c r="P173" s="416">
        <v>0</v>
      </c>
      <c r="Q173" s="416">
        <v>0</v>
      </c>
      <c r="R173" s="416">
        <v>0</v>
      </c>
      <c r="S173" s="416">
        <v>0</v>
      </c>
      <c r="T173" s="416">
        <v>0</v>
      </c>
      <c r="U173" s="416">
        <v>0</v>
      </c>
      <c r="V173" s="416">
        <v>0</v>
      </c>
      <c r="W173" s="416">
        <v>0</v>
      </c>
      <c r="X173" s="416">
        <v>0</v>
      </c>
      <c r="Y173" s="416">
        <v>0</v>
      </c>
      <c r="Z173" s="416">
        <v>0</v>
      </c>
      <c r="AA173" s="416">
        <v>0</v>
      </c>
      <c r="AB173" s="416">
        <v>0</v>
      </c>
      <c r="AC173" s="416">
        <v>0</v>
      </c>
      <c r="AD173" s="416">
        <v>0</v>
      </c>
      <c r="AE173" s="416">
        <v>0</v>
      </c>
      <c r="AF173" s="416">
        <v>0</v>
      </c>
      <c r="AG173" s="416">
        <v>0</v>
      </c>
      <c r="AH173" s="416">
        <v>0</v>
      </c>
      <c r="AI173" s="416">
        <v>0</v>
      </c>
      <c r="AJ173" s="416">
        <v>0</v>
      </c>
      <c r="AK173" s="416">
        <v>0</v>
      </c>
      <c r="AL173" s="416">
        <v>0</v>
      </c>
      <c r="AM173" s="416">
        <v>0</v>
      </c>
      <c r="AN173" s="416">
        <v>0</v>
      </c>
      <c r="AO173" s="416">
        <v>0</v>
      </c>
      <c r="AP173" s="416">
        <v>0</v>
      </c>
      <c r="AQ173" s="416">
        <v>0</v>
      </c>
      <c r="AR173" s="416">
        <v>0</v>
      </c>
      <c r="AS173" s="416">
        <v>0</v>
      </c>
      <c r="AT173" s="416">
        <v>0</v>
      </c>
      <c r="AU173" s="416">
        <v>0</v>
      </c>
      <c r="AV173" s="416">
        <v>0</v>
      </c>
      <c r="AW173" s="416">
        <v>0</v>
      </c>
      <c r="AX173" s="416">
        <v>0</v>
      </c>
      <c r="AY173" s="416">
        <v>0</v>
      </c>
      <c r="AZ173" s="416">
        <v>0</v>
      </c>
      <c r="BA173" s="416">
        <v>0</v>
      </c>
      <c r="BB173" s="416">
        <v>0</v>
      </c>
      <c r="BC173" s="416">
        <v>0</v>
      </c>
      <c r="BD173" s="416">
        <v>0</v>
      </c>
      <c r="BE173" s="416">
        <v>0</v>
      </c>
      <c r="BF173" s="416">
        <v>0</v>
      </c>
      <c r="BG173" s="416">
        <v>0</v>
      </c>
      <c r="BH173" s="416">
        <v>0</v>
      </c>
      <c r="BI173" s="416">
        <v>0</v>
      </c>
      <c r="BJ173" s="416">
        <v>0</v>
      </c>
      <c r="BK173" s="416">
        <v>0</v>
      </c>
      <c r="BL173" s="416">
        <v>0</v>
      </c>
      <c r="BM173" s="416">
        <v>0</v>
      </c>
      <c r="BN173" s="416">
        <v>0</v>
      </c>
      <c r="BO173" s="416">
        <v>0</v>
      </c>
      <c r="BP173" s="416">
        <v>0</v>
      </c>
      <c r="BQ173" s="416">
        <v>0</v>
      </c>
      <c r="BR173" s="416">
        <v>0</v>
      </c>
      <c r="BS173" s="416">
        <v>0</v>
      </c>
      <c r="BT173" s="416">
        <v>0</v>
      </c>
      <c r="BU173" s="416">
        <v>0</v>
      </c>
      <c r="BV173" s="416">
        <v>0</v>
      </c>
      <c r="BW173" s="416">
        <v>0</v>
      </c>
      <c r="BX173" s="416">
        <v>0</v>
      </c>
      <c r="BY173" s="416">
        <v>0</v>
      </c>
      <c r="BZ173" s="416">
        <v>0</v>
      </c>
      <c r="CC173" s="21"/>
      <c r="CD173" s="424" t="s">
        <v>712</v>
      </c>
      <c r="CE173" s="433">
        <f t="shared" si="30"/>
        <v>0</v>
      </c>
      <c r="CF173" s="433">
        <f t="shared" si="31"/>
        <v>0</v>
      </c>
      <c r="CG173" s="433">
        <f t="shared" si="32"/>
        <v>0</v>
      </c>
      <c r="CH173" s="433">
        <f t="shared" si="33"/>
        <v>0</v>
      </c>
      <c r="CI173" s="433">
        <f t="shared" si="34"/>
        <v>0</v>
      </c>
      <c r="CJ173" s="433">
        <f t="shared" si="35"/>
        <v>0</v>
      </c>
      <c r="CK173" s="433">
        <f t="shared" si="36"/>
        <v>0</v>
      </c>
      <c r="CL173" s="433">
        <f t="shared" si="37"/>
        <v>0</v>
      </c>
      <c r="CM173" s="433">
        <f t="shared" si="38"/>
        <v>0</v>
      </c>
      <c r="CN173" s="433">
        <f t="shared" si="39"/>
        <v>0</v>
      </c>
      <c r="CO173" s="433">
        <f t="shared" si="40"/>
        <v>0</v>
      </c>
      <c r="CP173" s="433">
        <f t="shared" si="41"/>
        <v>0</v>
      </c>
      <c r="CQ173" s="433">
        <f t="shared" si="42"/>
        <v>0</v>
      </c>
      <c r="CR173" s="433">
        <f t="shared" si="43"/>
        <v>0</v>
      </c>
      <c r="CS173" s="433">
        <f t="shared" si="44"/>
        <v>0</v>
      </c>
      <c r="CT173" s="21"/>
    </row>
    <row r="174" spans="3:98" ht="24.75" hidden="1" customHeight="1" outlineLevel="1">
      <c r="C174" s="424" t="s">
        <v>713</v>
      </c>
      <c r="D174" s="416">
        <v>0</v>
      </c>
      <c r="E174" s="416">
        <v>0</v>
      </c>
      <c r="F174" s="416">
        <v>0</v>
      </c>
      <c r="G174" s="416">
        <v>0</v>
      </c>
      <c r="H174" s="416">
        <v>0</v>
      </c>
      <c r="I174" s="416">
        <v>0</v>
      </c>
      <c r="J174" s="416">
        <v>0</v>
      </c>
      <c r="K174" s="416">
        <v>0</v>
      </c>
      <c r="L174" s="416">
        <v>0</v>
      </c>
      <c r="M174" s="416">
        <v>0</v>
      </c>
      <c r="N174" s="416">
        <v>0</v>
      </c>
      <c r="O174" s="416">
        <v>0</v>
      </c>
      <c r="P174" s="416">
        <v>0</v>
      </c>
      <c r="Q174" s="416">
        <v>0</v>
      </c>
      <c r="R174" s="416">
        <v>0</v>
      </c>
      <c r="S174" s="416">
        <v>0</v>
      </c>
      <c r="T174" s="416">
        <v>0</v>
      </c>
      <c r="U174" s="416">
        <v>0</v>
      </c>
      <c r="V174" s="416">
        <v>0</v>
      </c>
      <c r="W174" s="416">
        <v>0</v>
      </c>
      <c r="X174" s="416">
        <v>0</v>
      </c>
      <c r="Y174" s="416">
        <v>0</v>
      </c>
      <c r="Z174" s="416">
        <v>0</v>
      </c>
      <c r="AA174" s="416">
        <v>0</v>
      </c>
      <c r="AB174" s="416">
        <v>0</v>
      </c>
      <c r="AC174" s="416">
        <v>0</v>
      </c>
      <c r="AD174" s="416">
        <v>0</v>
      </c>
      <c r="AE174" s="416">
        <v>0</v>
      </c>
      <c r="AF174" s="416">
        <v>0</v>
      </c>
      <c r="AG174" s="416">
        <v>0</v>
      </c>
      <c r="AH174" s="416">
        <v>0</v>
      </c>
      <c r="AI174" s="416">
        <v>0</v>
      </c>
      <c r="AJ174" s="416">
        <v>0</v>
      </c>
      <c r="AK174" s="416">
        <v>0</v>
      </c>
      <c r="AL174" s="416">
        <v>0</v>
      </c>
      <c r="AM174" s="416">
        <v>0</v>
      </c>
      <c r="AN174" s="416">
        <v>0</v>
      </c>
      <c r="AO174" s="416">
        <v>0</v>
      </c>
      <c r="AP174" s="416">
        <v>0</v>
      </c>
      <c r="AQ174" s="416">
        <v>0</v>
      </c>
      <c r="AR174" s="416">
        <v>0</v>
      </c>
      <c r="AS174" s="416">
        <v>0</v>
      </c>
      <c r="AT174" s="416">
        <v>0</v>
      </c>
      <c r="AU174" s="416">
        <v>0</v>
      </c>
      <c r="AV174" s="416">
        <v>0</v>
      </c>
      <c r="AW174" s="416">
        <v>0</v>
      </c>
      <c r="AX174" s="416">
        <v>0</v>
      </c>
      <c r="AY174" s="416">
        <v>0</v>
      </c>
      <c r="AZ174" s="416">
        <v>0</v>
      </c>
      <c r="BA174" s="416">
        <v>0</v>
      </c>
      <c r="BB174" s="416">
        <v>0</v>
      </c>
      <c r="BC174" s="416">
        <v>0</v>
      </c>
      <c r="BD174" s="416">
        <v>0</v>
      </c>
      <c r="BE174" s="416">
        <v>0</v>
      </c>
      <c r="BF174" s="416">
        <v>0</v>
      </c>
      <c r="BG174" s="416">
        <v>0</v>
      </c>
      <c r="BH174" s="416">
        <v>0</v>
      </c>
      <c r="BI174" s="416">
        <v>0</v>
      </c>
      <c r="BJ174" s="416">
        <v>0</v>
      </c>
      <c r="BK174" s="416">
        <v>0</v>
      </c>
      <c r="BL174" s="416">
        <v>0</v>
      </c>
      <c r="BM174" s="416">
        <v>0</v>
      </c>
      <c r="BN174" s="416">
        <v>0</v>
      </c>
      <c r="BO174" s="416">
        <v>0</v>
      </c>
      <c r="BP174" s="416">
        <v>0</v>
      </c>
      <c r="BQ174" s="416">
        <v>0</v>
      </c>
      <c r="BR174" s="416">
        <v>0</v>
      </c>
      <c r="BS174" s="416">
        <v>0</v>
      </c>
      <c r="BT174" s="416">
        <v>0</v>
      </c>
      <c r="BU174" s="416">
        <v>0</v>
      </c>
      <c r="BV174" s="416">
        <v>0</v>
      </c>
      <c r="BW174" s="416">
        <v>0</v>
      </c>
      <c r="BX174" s="416">
        <v>0</v>
      </c>
      <c r="BY174" s="416">
        <v>0</v>
      </c>
      <c r="BZ174" s="416">
        <v>0</v>
      </c>
      <c r="CC174" s="21"/>
      <c r="CD174" s="424" t="s">
        <v>713</v>
      </c>
      <c r="CE174" s="433">
        <f t="shared" si="30"/>
        <v>0</v>
      </c>
      <c r="CF174" s="433">
        <f t="shared" si="31"/>
        <v>0</v>
      </c>
      <c r="CG174" s="433">
        <f t="shared" si="32"/>
        <v>0</v>
      </c>
      <c r="CH174" s="433">
        <f t="shared" si="33"/>
        <v>0</v>
      </c>
      <c r="CI174" s="433">
        <f t="shared" si="34"/>
        <v>0</v>
      </c>
      <c r="CJ174" s="433">
        <f t="shared" si="35"/>
        <v>0</v>
      </c>
      <c r="CK174" s="433">
        <f t="shared" si="36"/>
        <v>0</v>
      </c>
      <c r="CL174" s="433">
        <f t="shared" si="37"/>
        <v>0</v>
      </c>
      <c r="CM174" s="433">
        <f t="shared" si="38"/>
        <v>0</v>
      </c>
      <c r="CN174" s="433">
        <f t="shared" si="39"/>
        <v>0</v>
      </c>
      <c r="CO174" s="433">
        <f t="shared" si="40"/>
        <v>0</v>
      </c>
      <c r="CP174" s="433">
        <f t="shared" si="41"/>
        <v>0</v>
      </c>
      <c r="CQ174" s="433">
        <f t="shared" si="42"/>
        <v>0</v>
      </c>
      <c r="CR174" s="433">
        <f t="shared" si="43"/>
        <v>0</v>
      </c>
      <c r="CS174" s="433">
        <f t="shared" si="44"/>
        <v>0</v>
      </c>
      <c r="CT174" s="21"/>
    </row>
    <row r="175" spans="3:98" ht="24.75" customHeight="1" collapsed="1">
      <c r="C175" s="415" t="s">
        <v>711</v>
      </c>
      <c r="D175" s="416">
        <v>0</v>
      </c>
      <c r="E175" s="416">
        <v>0</v>
      </c>
      <c r="F175" s="416">
        <v>0</v>
      </c>
      <c r="G175" s="416">
        <v>0</v>
      </c>
      <c r="H175" s="416">
        <v>0</v>
      </c>
      <c r="I175" s="416">
        <v>0</v>
      </c>
      <c r="J175" s="416">
        <v>0</v>
      </c>
      <c r="K175" s="416">
        <v>0</v>
      </c>
      <c r="L175" s="416">
        <v>0</v>
      </c>
      <c r="M175" s="416">
        <v>0</v>
      </c>
      <c r="N175" s="416">
        <v>0</v>
      </c>
      <c r="O175" s="416">
        <v>0</v>
      </c>
      <c r="P175" s="416">
        <v>0</v>
      </c>
      <c r="Q175" s="416">
        <v>0</v>
      </c>
      <c r="R175" s="416">
        <v>0</v>
      </c>
      <c r="S175" s="416">
        <v>0</v>
      </c>
      <c r="T175" s="416">
        <v>0</v>
      </c>
      <c r="U175" s="416">
        <v>0</v>
      </c>
      <c r="V175" s="416">
        <v>0</v>
      </c>
      <c r="W175" s="416">
        <v>0</v>
      </c>
      <c r="X175" s="416">
        <v>0</v>
      </c>
      <c r="Y175" s="416">
        <v>0</v>
      </c>
      <c r="Z175" s="416">
        <v>0</v>
      </c>
      <c r="AA175" s="416">
        <v>0</v>
      </c>
      <c r="AB175" s="416">
        <v>0</v>
      </c>
      <c r="AC175" s="416">
        <v>0</v>
      </c>
      <c r="AD175" s="416">
        <v>0</v>
      </c>
      <c r="AE175" s="416">
        <v>0</v>
      </c>
      <c r="AF175" s="416">
        <v>0</v>
      </c>
      <c r="AG175" s="416">
        <v>0</v>
      </c>
      <c r="AH175" s="416">
        <v>0</v>
      </c>
      <c r="AI175" s="416">
        <v>0</v>
      </c>
      <c r="AJ175" s="416">
        <v>0</v>
      </c>
      <c r="AK175" s="416">
        <v>0</v>
      </c>
      <c r="AL175" s="416">
        <v>0</v>
      </c>
      <c r="AM175" s="416">
        <v>0</v>
      </c>
      <c r="AN175" s="416">
        <v>0</v>
      </c>
      <c r="AO175" s="416">
        <v>0</v>
      </c>
      <c r="AP175" s="416">
        <v>0</v>
      </c>
      <c r="AQ175" s="416">
        <v>0</v>
      </c>
      <c r="AR175" s="416">
        <v>0</v>
      </c>
      <c r="AS175" s="416">
        <v>0</v>
      </c>
      <c r="AT175" s="416">
        <v>0</v>
      </c>
      <c r="AU175" s="416">
        <v>0</v>
      </c>
      <c r="AV175" s="416">
        <v>0</v>
      </c>
      <c r="AW175" s="416">
        <v>0</v>
      </c>
      <c r="AX175" s="416">
        <v>0</v>
      </c>
      <c r="AY175" s="416">
        <v>0</v>
      </c>
      <c r="AZ175" s="416">
        <v>0</v>
      </c>
      <c r="BA175" s="416">
        <v>0</v>
      </c>
      <c r="BB175" s="416">
        <v>0</v>
      </c>
      <c r="BC175" s="416">
        <v>0</v>
      </c>
      <c r="BD175" s="416">
        <v>0</v>
      </c>
      <c r="BE175" s="416">
        <v>0</v>
      </c>
      <c r="BF175" s="416">
        <v>0</v>
      </c>
      <c r="BG175" s="416">
        <v>0</v>
      </c>
      <c r="BH175" s="416">
        <v>0</v>
      </c>
      <c r="BI175" s="416">
        <v>0</v>
      </c>
      <c r="BJ175" s="416">
        <v>0</v>
      </c>
      <c r="BK175" s="416">
        <v>0</v>
      </c>
      <c r="BL175" s="416">
        <v>0</v>
      </c>
      <c r="BM175" s="416">
        <v>0</v>
      </c>
      <c r="BN175" s="416">
        <v>0</v>
      </c>
      <c r="BO175" s="416">
        <v>0</v>
      </c>
      <c r="BP175" s="416">
        <v>0</v>
      </c>
      <c r="BQ175" s="416">
        <v>0</v>
      </c>
      <c r="BR175" s="416">
        <v>0</v>
      </c>
      <c r="BS175" s="416">
        <v>0</v>
      </c>
      <c r="BT175" s="416">
        <v>0</v>
      </c>
      <c r="BU175" s="416">
        <v>0</v>
      </c>
      <c r="BV175" s="416">
        <v>0</v>
      </c>
      <c r="BW175" s="416">
        <v>0</v>
      </c>
      <c r="BX175" s="416">
        <v>0</v>
      </c>
      <c r="BY175" s="416">
        <v>0</v>
      </c>
      <c r="BZ175" s="416">
        <v>0</v>
      </c>
      <c r="CC175" s="21"/>
      <c r="CD175" s="415" t="s">
        <v>711</v>
      </c>
      <c r="CE175" s="433">
        <f t="shared" si="30"/>
        <v>0</v>
      </c>
      <c r="CF175" s="433">
        <f t="shared" si="31"/>
        <v>0</v>
      </c>
      <c r="CG175" s="433">
        <f t="shared" si="32"/>
        <v>0</v>
      </c>
      <c r="CH175" s="433">
        <f t="shared" si="33"/>
        <v>0</v>
      </c>
      <c r="CI175" s="433">
        <f t="shared" si="34"/>
        <v>0</v>
      </c>
      <c r="CJ175" s="433">
        <f t="shared" si="35"/>
        <v>0</v>
      </c>
      <c r="CK175" s="433">
        <f t="shared" si="36"/>
        <v>0</v>
      </c>
      <c r="CL175" s="433">
        <f t="shared" si="37"/>
        <v>0</v>
      </c>
      <c r="CM175" s="433">
        <f t="shared" si="38"/>
        <v>0</v>
      </c>
      <c r="CN175" s="433">
        <f t="shared" si="39"/>
        <v>0</v>
      </c>
      <c r="CO175" s="433">
        <f t="shared" si="40"/>
        <v>0</v>
      </c>
      <c r="CP175" s="433">
        <f t="shared" si="41"/>
        <v>0</v>
      </c>
      <c r="CQ175" s="433">
        <f t="shared" si="42"/>
        <v>0</v>
      </c>
      <c r="CR175" s="433">
        <f t="shared" si="43"/>
        <v>0</v>
      </c>
      <c r="CS175" s="433">
        <f t="shared" si="44"/>
        <v>0</v>
      </c>
      <c r="CT175" s="21"/>
    </row>
    <row r="176" spans="3:98" hidden="1" outlineLevel="2">
      <c r="C176" s="426" t="s">
        <v>716</v>
      </c>
      <c r="D176" s="416">
        <v>0</v>
      </c>
      <c r="E176" s="416">
        <v>0</v>
      </c>
      <c r="F176" s="416">
        <v>0</v>
      </c>
      <c r="G176" s="416">
        <v>0</v>
      </c>
      <c r="H176" s="416">
        <v>0</v>
      </c>
      <c r="I176" s="416">
        <v>0</v>
      </c>
      <c r="J176" s="416">
        <v>0</v>
      </c>
      <c r="K176" s="416">
        <v>0</v>
      </c>
      <c r="L176" s="416">
        <v>0</v>
      </c>
      <c r="M176" s="416">
        <v>0</v>
      </c>
      <c r="N176" s="416">
        <v>0</v>
      </c>
      <c r="O176" s="416">
        <v>0</v>
      </c>
      <c r="P176" s="416">
        <v>0</v>
      </c>
      <c r="Q176" s="416">
        <v>0</v>
      </c>
      <c r="R176" s="416">
        <v>0</v>
      </c>
      <c r="S176" s="416">
        <v>0</v>
      </c>
      <c r="T176" s="416">
        <v>0</v>
      </c>
      <c r="U176" s="416">
        <v>0</v>
      </c>
      <c r="V176" s="416">
        <v>0</v>
      </c>
      <c r="W176" s="416">
        <v>0</v>
      </c>
      <c r="X176" s="416">
        <v>0</v>
      </c>
      <c r="Y176" s="416">
        <v>0</v>
      </c>
      <c r="Z176" s="416">
        <v>0</v>
      </c>
      <c r="AA176" s="416">
        <v>0</v>
      </c>
      <c r="AB176" s="416">
        <v>0</v>
      </c>
      <c r="AC176" s="416">
        <v>0</v>
      </c>
      <c r="AD176" s="416">
        <v>0</v>
      </c>
      <c r="AE176" s="416">
        <v>0</v>
      </c>
      <c r="AF176" s="416">
        <v>0</v>
      </c>
      <c r="AG176" s="416">
        <v>0</v>
      </c>
      <c r="AH176" s="416">
        <v>0</v>
      </c>
      <c r="AI176" s="416">
        <v>0</v>
      </c>
      <c r="AJ176" s="416">
        <v>0</v>
      </c>
      <c r="AK176" s="416">
        <v>0</v>
      </c>
      <c r="AL176" s="416">
        <v>0</v>
      </c>
      <c r="AM176" s="416">
        <v>0</v>
      </c>
      <c r="AN176" s="416">
        <v>0</v>
      </c>
      <c r="AO176" s="416">
        <v>0</v>
      </c>
      <c r="AP176" s="416">
        <v>0</v>
      </c>
      <c r="AQ176" s="416">
        <v>0</v>
      </c>
      <c r="AR176" s="416">
        <v>0</v>
      </c>
      <c r="AS176" s="416">
        <v>0</v>
      </c>
      <c r="AT176" s="416">
        <v>0</v>
      </c>
      <c r="AU176" s="416">
        <v>0</v>
      </c>
      <c r="AV176" s="416">
        <v>0</v>
      </c>
      <c r="AW176" s="416">
        <v>0</v>
      </c>
      <c r="AX176" s="416">
        <v>0</v>
      </c>
      <c r="AY176" s="416">
        <v>0</v>
      </c>
      <c r="AZ176" s="416">
        <v>0</v>
      </c>
      <c r="BA176" s="416">
        <v>0</v>
      </c>
      <c r="BB176" s="416">
        <v>0</v>
      </c>
      <c r="BC176" s="416">
        <v>0</v>
      </c>
      <c r="BD176" s="416">
        <v>0</v>
      </c>
      <c r="BE176" s="416">
        <v>0</v>
      </c>
      <c r="BF176" s="416">
        <v>0</v>
      </c>
      <c r="BG176" s="416">
        <v>0</v>
      </c>
      <c r="BH176" s="416">
        <v>0</v>
      </c>
      <c r="BI176" s="416">
        <v>0</v>
      </c>
      <c r="BJ176" s="416">
        <v>0</v>
      </c>
      <c r="BK176" s="416">
        <v>0</v>
      </c>
      <c r="BL176" s="416">
        <v>0</v>
      </c>
      <c r="BM176" s="416">
        <v>0</v>
      </c>
      <c r="BN176" s="416">
        <v>0</v>
      </c>
      <c r="BO176" s="416">
        <v>0</v>
      </c>
      <c r="BP176" s="416">
        <v>0</v>
      </c>
      <c r="BQ176" s="416">
        <v>0</v>
      </c>
      <c r="BR176" s="416">
        <v>0</v>
      </c>
      <c r="BS176" s="416">
        <v>0</v>
      </c>
      <c r="BT176" s="416">
        <v>0</v>
      </c>
      <c r="BU176" s="416">
        <v>0</v>
      </c>
      <c r="BV176" s="416">
        <v>0</v>
      </c>
      <c r="BW176" s="416">
        <v>0</v>
      </c>
      <c r="BX176" s="416">
        <v>0</v>
      </c>
      <c r="BY176" s="416">
        <v>0</v>
      </c>
      <c r="BZ176" s="416">
        <v>0</v>
      </c>
      <c r="CC176" s="21"/>
      <c r="CD176" s="426" t="s">
        <v>716</v>
      </c>
      <c r="CE176" s="433">
        <f t="shared" si="30"/>
        <v>0</v>
      </c>
      <c r="CF176" s="433">
        <f t="shared" si="31"/>
        <v>0</v>
      </c>
      <c r="CG176" s="433">
        <f t="shared" si="32"/>
        <v>0</v>
      </c>
      <c r="CH176" s="433">
        <f t="shared" si="33"/>
        <v>0</v>
      </c>
      <c r="CI176" s="433">
        <f t="shared" si="34"/>
        <v>0</v>
      </c>
      <c r="CJ176" s="433">
        <f t="shared" si="35"/>
        <v>0</v>
      </c>
      <c r="CK176" s="433">
        <f t="shared" si="36"/>
        <v>0</v>
      </c>
      <c r="CL176" s="433">
        <f t="shared" si="37"/>
        <v>0</v>
      </c>
      <c r="CM176" s="433">
        <f t="shared" si="38"/>
        <v>0</v>
      </c>
      <c r="CN176" s="433">
        <f t="shared" si="39"/>
        <v>0</v>
      </c>
      <c r="CO176" s="433">
        <f t="shared" si="40"/>
        <v>0</v>
      </c>
      <c r="CP176" s="433">
        <f t="shared" si="41"/>
        <v>0</v>
      </c>
      <c r="CQ176" s="433">
        <f t="shared" si="42"/>
        <v>0</v>
      </c>
      <c r="CR176" s="433">
        <f t="shared" si="43"/>
        <v>0</v>
      </c>
      <c r="CS176" s="433">
        <f t="shared" si="44"/>
        <v>0</v>
      </c>
      <c r="CT176" s="21"/>
    </row>
    <row r="177" spans="3:98" hidden="1" outlineLevel="2">
      <c r="C177" s="426" t="s">
        <v>717</v>
      </c>
      <c r="D177" s="416">
        <v>0</v>
      </c>
      <c r="E177" s="416">
        <v>0</v>
      </c>
      <c r="F177" s="416">
        <v>0</v>
      </c>
      <c r="G177" s="416">
        <v>0</v>
      </c>
      <c r="H177" s="416">
        <v>0</v>
      </c>
      <c r="I177" s="416">
        <v>0</v>
      </c>
      <c r="J177" s="416">
        <v>0</v>
      </c>
      <c r="K177" s="416">
        <v>0</v>
      </c>
      <c r="L177" s="416">
        <v>0</v>
      </c>
      <c r="M177" s="416">
        <v>0</v>
      </c>
      <c r="N177" s="416">
        <v>0</v>
      </c>
      <c r="O177" s="416">
        <v>0</v>
      </c>
      <c r="P177" s="416">
        <v>0</v>
      </c>
      <c r="Q177" s="416">
        <v>0</v>
      </c>
      <c r="R177" s="416">
        <v>0</v>
      </c>
      <c r="S177" s="416">
        <v>0</v>
      </c>
      <c r="T177" s="416">
        <v>0</v>
      </c>
      <c r="U177" s="416">
        <v>0</v>
      </c>
      <c r="V177" s="416">
        <v>0</v>
      </c>
      <c r="W177" s="416">
        <v>0</v>
      </c>
      <c r="X177" s="416">
        <v>0</v>
      </c>
      <c r="Y177" s="416">
        <v>0</v>
      </c>
      <c r="Z177" s="416">
        <v>0</v>
      </c>
      <c r="AA177" s="416">
        <v>0</v>
      </c>
      <c r="AB177" s="416">
        <v>0</v>
      </c>
      <c r="AC177" s="416">
        <v>0</v>
      </c>
      <c r="AD177" s="416">
        <v>0</v>
      </c>
      <c r="AE177" s="416">
        <v>0</v>
      </c>
      <c r="AF177" s="416">
        <v>0</v>
      </c>
      <c r="AG177" s="416">
        <v>0</v>
      </c>
      <c r="AH177" s="416">
        <v>0</v>
      </c>
      <c r="AI177" s="416">
        <v>0</v>
      </c>
      <c r="AJ177" s="416">
        <v>0</v>
      </c>
      <c r="AK177" s="416">
        <v>0</v>
      </c>
      <c r="AL177" s="416">
        <v>0</v>
      </c>
      <c r="AM177" s="416">
        <v>0</v>
      </c>
      <c r="AN177" s="416">
        <v>0</v>
      </c>
      <c r="AO177" s="416">
        <v>0</v>
      </c>
      <c r="AP177" s="416">
        <v>0</v>
      </c>
      <c r="AQ177" s="416">
        <v>0</v>
      </c>
      <c r="AR177" s="416">
        <v>0</v>
      </c>
      <c r="AS177" s="416">
        <v>0</v>
      </c>
      <c r="AT177" s="416">
        <v>0</v>
      </c>
      <c r="AU177" s="416">
        <v>0</v>
      </c>
      <c r="AV177" s="416">
        <v>0</v>
      </c>
      <c r="AW177" s="416">
        <v>0</v>
      </c>
      <c r="AX177" s="416">
        <v>0</v>
      </c>
      <c r="AY177" s="416">
        <v>0</v>
      </c>
      <c r="AZ177" s="416">
        <v>0</v>
      </c>
      <c r="BA177" s="416">
        <v>0</v>
      </c>
      <c r="BB177" s="416">
        <v>0</v>
      </c>
      <c r="BC177" s="416">
        <v>0</v>
      </c>
      <c r="BD177" s="416">
        <v>0</v>
      </c>
      <c r="BE177" s="416">
        <v>0</v>
      </c>
      <c r="BF177" s="416">
        <v>0</v>
      </c>
      <c r="BG177" s="416">
        <v>0</v>
      </c>
      <c r="BH177" s="416">
        <v>0</v>
      </c>
      <c r="BI177" s="416">
        <v>0</v>
      </c>
      <c r="BJ177" s="416">
        <v>0</v>
      </c>
      <c r="BK177" s="416">
        <v>0</v>
      </c>
      <c r="BL177" s="416">
        <v>0</v>
      </c>
      <c r="BM177" s="416">
        <v>0</v>
      </c>
      <c r="BN177" s="416">
        <v>0</v>
      </c>
      <c r="BO177" s="416">
        <v>0</v>
      </c>
      <c r="BP177" s="416">
        <v>0</v>
      </c>
      <c r="BQ177" s="416">
        <v>0</v>
      </c>
      <c r="BR177" s="416">
        <v>0</v>
      </c>
      <c r="BS177" s="416">
        <v>0</v>
      </c>
      <c r="BT177" s="416">
        <v>0</v>
      </c>
      <c r="BU177" s="416">
        <v>0</v>
      </c>
      <c r="BV177" s="416">
        <v>0</v>
      </c>
      <c r="BW177" s="416">
        <v>0</v>
      </c>
      <c r="BX177" s="416">
        <v>0</v>
      </c>
      <c r="BY177" s="416">
        <v>0</v>
      </c>
      <c r="BZ177" s="416">
        <v>0</v>
      </c>
      <c r="CC177" s="21"/>
      <c r="CD177" s="426" t="s">
        <v>717</v>
      </c>
      <c r="CE177" s="433">
        <f t="shared" si="30"/>
        <v>0</v>
      </c>
      <c r="CF177" s="433">
        <f t="shared" si="31"/>
        <v>0</v>
      </c>
      <c r="CG177" s="433">
        <f t="shared" si="32"/>
        <v>0</v>
      </c>
      <c r="CH177" s="433">
        <f t="shared" si="33"/>
        <v>0</v>
      </c>
      <c r="CI177" s="433">
        <f t="shared" si="34"/>
        <v>0</v>
      </c>
      <c r="CJ177" s="433">
        <f t="shared" si="35"/>
        <v>0</v>
      </c>
      <c r="CK177" s="433">
        <f t="shared" si="36"/>
        <v>0</v>
      </c>
      <c r="CL177" s="433">
        <f t="shared" si="37"/>
        <v>0</v>
      </c>
      <c r="CM177" s="433">
        <f t="shared" si="38"/>
        <v>0</v>
      </c>
      <c r="CN177" s="433">
        <f t="shared" si="39"/>
        <v>0</v>
      </c>
      <c r="CO177" s="433">
        <f t="shared" si="40"/>
        <v>0</v>
      </c>
      <c r="CP177" s="433">
        <f t="shared" si="41"/>
        <v>0</v>
      </c>
      <c r="CQ177" s="433">
        <f t="shared" si="42"/>
        <v>0</v>
      </c>
      <c r="CR177" s="433">
        <f t="shared" si="43"/>
        <v>0</v>
      </c>
      <c r="CS177" s="433">
        <f t="shared" si="44"/>
        <v>0</v>
      </c>
      <c r="CT177" s="21"/>
    </row>
    <row r="178" spans="3:98" hidden="1" outlineLevel="1">
      <c r="C178" s="424" t="s">
        <v>715</v>
      </c>
      <c r="D178" s="416">
        <v>0</v>
      </c>
      <c r="E178" s="416">
        <v>0</v>
      </c>
      <c r="F178" s="416">
        <v>0</v>
      </c>
      <c r="G178" s="416">
        <v>0</v>
      </c>
      <c r="H178" s="416">
        <v>0</v>
      </c>
      <c r="I178" s="416">
        <v>0</v>
      </c>
      <c r="J178" s="416">
        <v>0</v>
      </c>
      <c r="K178" s="416">
        <v>0</v>
      </c>
      <c r="L178" s="416">
        <v>0</v>
      </c>
      <c r="M178" s="416">
        <v>0</v>
      </c>
      <c r="N178" s="416">
        <v>0</v>
      </c>
      <c r="O178" s="416">
        <v>0</v>
      </c>
      <c r="P178" s="416">
        <v>0</v>
      </c>
      <c r="Q178" s="416">
        <v>0</v>
      </c>
      <c r="R178" s="416">
        <v>0</v>
      </c>
      <c r="S178" s="416">
        <v>0</v>
      </c>
      <c r="T178" s="416">
        <v>0</v>
      </c>
      <c r="U178" s="416">
        <v>0</v>
      </c>
      <c r="V178" s="416">
        <v>0</v>
      </c>
      <c r="W178" s="416">
        <v>0</v>
      </c>
      <c r="X178" s="416">
        <v>0</v>
      </c>
      <c r="Y178" s="416">
        <v>0</v>
      </c>
      <c r="Z178" s="416">
        <v>0</v>
      </c>
      <c r="AA178" s="416">
        <v>0</v>
      </c>
      <c r="AB178" s="416">
        <v>0</v>
      </c>
      <c r="AC178" s="416">
        <v>0</v>
      </c>
      <c r="AD178" s="416">
        <v>0</v>
      </c>
      <c r="AE178" s="416">
        <v>0</v>
      </c>
      <c r="AF178" s="416">
        <v>0</v>
      </c>
      <c r="AG178" s="416">
        <v>0</v>
      </c>
      <c r="AH178" s="416">
        <v>0</v>
      </c>
      <c r="AI178" s="416">
        <v>0</v>
      </c>
      <c r="AJ178" s="416">
        <v>0</v>
      </c>
      <c r="AK178" s="416">
        <v>0</v>
      </c>
      <c r="AL178" s="416">
        <v>0</v>
      </c>
      <c r="AM178" s="416">
        <v>0</v>
      </c>
      <c r="AN178" s="416">
        <v>0</v>
      </c>
      <c r="AO178" s="416">
        <v>0</v>
      </c>
      <c r="AP178" s="416">
        <v>0</v>
      </c>
      <c r="AQ178" s="416">
        <v>0</v>
      </c>
      <c r="AR178" s="416">
        <v>0</v>
      </c>
      <c r="AS178" s="416">
        <v>0</v>
      </c>
      <c r="AT178" s="416">
        <v>0</v>
      </c>
      <c r="AU178" s="416">
        <v>0</v>
      </c>
      <c r="AV178" s="416">
        <v>0</v>
      </c>
      <c r="AW178" s="416">
        <v>0</v>
      </c>
      <c r="AX178" s="416">
        <v>0</v>
      </c>
      <c r="AY178" s="416">
        <v>0</v>
      </c>
      <c r="AZ178" s="416">
        <v>0</v>
      </c>
      <c r="BA178" s="416">
        <v>0</v>
      </c>
      <c r="BB178" s="416">
        <v>0</v>
      </c>
      <c r="BC178" s="416">
        <v>0</v>
      </c>
      <c r="BD178" s="416">
        <v>0</v>
      </c>
      <c r="BE178" s="416">
        <v>0</v>
      </c>
      <c r="BF178" s="416">
        <v>0</v>
      </c>
      <c r="BG178" s="416">
        <v>0</v>
      </c>
      <c r="BH178" s="416">
        <v>0</v>
      </c>
      <c r="BI178" s="416">
        <v>0</v>
      </c>
      <c r="BJ178" s="416">
        <v>0</v>
      </c>
      <c r="BK178" s="416">
        <v>0</v>
      </c>
      <c r="BL178" s="416">
        <v>0</v>
      </c>
      <c r="BM178" s="416">
        <v>0</v>
      </c>
      <c r="BN178" s="416">
        <v>0</v>
      </c>
      <c r="BO178" s="416">
        <v>0</v>
      </c>
      <c r="BP178" s="416">
        <v>0</v>
      </c>
      <c r="BQ178" s="416">
        <v>0</v>
      </c>
      <c r="BR178" s="416">
        <v>0</v>
      </c>
      <c r="BS178" s="416">
        <v>0</v>
      </c>
      <c r="BT178" s="416">
        <v>0</v>
      </c>
      <c r="BU178" s="416">
        <v>0</v>
      </c>
      <c r="BV178" s="416">
        <v>0</v>
      </c>
      <c r="BW178" s="416">
        <v>0</v>
      </c>
      <c r="BX178" s="416">
        <v>0</v>
      </c>
      <c r="BY178" s="416">
        <v>0</v>
      </c>
      <c r="BZ178" s="416">
        <v>0</v>
      </c>
      <c r="CC178" s="21"/>
      <c r="CD178" s="424" t="s">
        <v>715</v>
      </c>
      <c r="CE178" s="433">
        <f t="shared" si="30"/>
        <v>0</v>
      </c>
      <c r="CF178" s="433">
        <f t="shared" si="31"/>
        <v>0</v>
      </c>
      <c r="CG178" s="433">
        <f t="shared" si="32"/>
        <v>0</v>
      </c>
      <c r="CH178" s="433">
        <f t="shared" si="33"/>
        <v>0</v>
      </c>
      <c r="CI178" s="433">
        <f t="shared" si="34"/>
        <v>0</v>
      </c>
      <c r="CJ178" s="433">
        <f t="shared" si="35"/>
        <v>0</v>
      </c>
      <c r="CK178" s="433">
        <f t="shared" si="36"/>
        <v>0</v>
      </c>
      <c r="CL178" s="433">
        <f t="shared" si="37"/>
        <v>0</v>
      </c>
      <c r="CM178" s="433">
        <f t="shared" si="38"/>
        <v>0</v>
      </c>
      <c r="CN178" s="433">
        <f t="shared" si="39"/>
        <v>0</v>
      </c>
      <c r="CO178" s="433">
        <f t="shared" si="40"/>
        <v>0</v>
      </c>
      <c r="CP178" s="433">
        <f t="shared" si="41"/>
        <v>0</v>
      </c>
      <c r="CQ178" s="433">
        <f t="shared" si="42"/>
        <v>0</v>
      </c>
      <c r="CR178" s="433">
        <f t="shared" si="43"/>
        <v>0</v>
      </c>
      <c r="CS178" s="433">
        <f t="shared" si="44"/>
        <v>0</v>
      </c>
      <c r="CT178" s="21"/>
    </row>
    <row r="179" spans="3:98" hidden="1" outlineLevel="1">
      <c r="C179" s="424" t="s">
        <v>718</v>
      </c>
      <c r="D179" s="416">
        <v>0</v>
      </c>
      <c r="E179" s="416">
        <v>0</v>
      </c>
      <c r="F179" s="416">
        <v>0</v>
      </c>
      <c r="G179" s="416">
        <v>0</v>
      </c>
      <c r="H179" s="416">
        <v>0</v>
      </c>
      <c r="I179" s="416">
        <v>0</v>
      </c>
      <c r="J179" s="416">
        <v>0</v>
      </c>
      <c r="K179" s="416">
        <v>0</v>
      </c>
      <c r="L179" s="416">
        <v>0</v>
      </c>
      <c r="M179" s="416">
        <v>0</v>
      </c>
      <c r="N179" s="416">
        <v>0</v>
      </c>
      <c r="O179" s="416">
        <v>0</v>
      </c>
      <c r="P179" s="416">
        <v>0</v>
      </c>
      <c r="Q179" s="416">
        <v>0</v>
      </c>
      <c r="R179" s="416">
        <v>0</v>
      </c>
      <c r="S179" s="416">
        <v>0</v>
      </c>
      <c r="T179" s="416">
        <v>0</v>
      </c>
      <c r="U179" s="416">
        <v>0</v>
      </c>
      <c r="V179" s="416">
        <v>0</v>
      </c>
      <c r="W179" s="416">
        <v>0</v>
      </c>
      <c r="X179" s="416">
        <v>0</v>
      </c>
      <c r="Y179" s="416">
        <v>0</v>
      </c>
      <c r="Z179" s="416">
        <v>0</v>
      </c>
      <c r="AA179" s="416">
        <v>0</v>
      </c>
      <c r="AB179" s="416">
        <v>0</v>
      </c>
      <c r="AC179" s="416">
        <v>0</v>
      </c>
      <c r="AD179" s="416">
        <v>0</v>
      </c>
      <c r="AE179" s="416">
        <v>0</v>
      </c>
      <c r="AF179" s="416">
        <v>0</v>
      </c>
      <c r="AG179" s="416">
        <v>0</v>
      </c>
      <c r="AH179" s="416">
        <v>0</v>
      </c>
      <c r="AI179" s="416">
        <v>0</v>
      </c>
      <c r="AJ179" s="416">
        <v>0</v>
      </c>
      <c r="AK179" s="416">
        <v>0</v>
      </c>
      <c r="AL179" s="416">
        <v>0</v>
      </c>
      <c r="AM179" s="416">
        <v>0</v>
      </c>
      <c r="AN179" s="416">
        <v>0</v>
      </c>
      <c r="AO179" s="416">
        <v>0</v>
      </c>
      <c r="AP179" s="416">
        <v>0</v>
      </c>
      <c r="AQ179" s="416">
        <v>0</v>
      </c>
      <c r="AR179" s="416">
        <v>0</v>
      </c>
      <c r="AS179" s="416">
        <v>0</v>
      </c>
      <c r="AT179" s="416">
        <v>0</v>
      </c>
      <c r="AU179" s="416">
        <v>0</v>
      </c>
      <c r="AV179" s="416">
        <v>0</v>
      </c>
      <c r="AW179" s="416">
        <v>0</v>
      </c>
      <c r="AX179" s="416">
        <v>0</v>
      </c>
      <c r="AY179" s="416">
        <v>0</v>
      </c>
      <c r="AZ179" s="416">
        <v>0</v>
      </c>
      <c r="BA179" s="416">
        <v>0</v>
      </c>
      <c r="BB179" s="416">
        <v>0</v>
      </c>
      <c r="BC179" s="416">
        <v>0</v>
      </c>
      <c r="BD179" s="416">
        <v>0</v>
      </c>
      <c r="BE179" s="416">
        <v>0</v>
      </c>
      <c r="BF179" s="416">
        <v>0</v>
      </c>
      <c r="BG179" s="416">
        <v>0</v>
      </c>
      <c r="BH179" s="416">
        <v>0</v>
      </c>
      <c r="BI179" s="416">
        <v>0</v>
      </c>
      <c r="BJ179" s="416">
        <v>0</v>
      </c>
      <c r="BK179" s="416">
        <v>0</v>
      </c>
      <c r="BL179" s="416">
        <v>0</v>
      </c>
      <c r="BM179" s="416">
        <v>0</v>
      </c>
      <c r="BN179" s="416">
        <v>0</v>
      </c>
      <c r="BO179" s="416">
        <v>0</v>
      </c>
      <c r="BP179" s="416">
        <v>0</v>
      </c>
      <c r="BQ179" s="416">
        <v>0</v>
      </c>
      <c r="BR179" s="416">
        <v>0</v>
      </c>
      <c r="BS179" s="416">
        <v>0</v>
      </c>
      <c r="BT179" s="416">
        <v>0</v>
      </c>
      <c r="BU179" s="416">
        <v>0</v>
      </c>
      <c r="BV179" s="416">
        <v>0</v>
      </c>
      <c r="BW179" s="416">
        <v>0</v>
      </c>
      <c r="BX179" s="416">
        <v>0</v>
      </c>
      <c r="BY179" s="416">
        <v>0</v>
      </c>
      <c r="BZ179" s="416">
        <v>0</v>
      </c>
      <c r="CC179" s="21"/>
      <c r="CD179" s="424" t="s">
        <v>718</v>
      </c>
      <c r="CE179" s="433">
        <f t="shared" si="30"/>
        <v>0</v>
      </c>
      <c r="CF179" s="433">
        <f t="shared" si="31"/>
        <v>0</v>
      </c>
      <c r="CG179" s="433">
        <f t="shared" si="32"/>
        <v>0</v>
      </c>
      <c r="CH179" s="433">
        <f t="shared" si="33"/>
        <v>0</v>
      </c>
      <c r="CI179" s="433">
        <f t="shared" si="34"/>
        <v>0</v>
      </c>
      <c r="CJ179" s="433">
        <f t="shared" si="35"/>
        <v>0</v>
      </c>
      <c r="CK179" s="433">
        <f t="shared" si="36"/>
        <v>0</v>
      </c>
      <c r="CL179" s="433">
        <f t="shared" si="37"/>
        <v>0</v>
      </c>
      <c r="CM179" s="433">
        <f t="shared" si="38"/>
        <v>0</v>
      </c>
      <c r="CN179" s="433">
        <f t="shared" si="39"/>
        <v>0</v>
      </c>
      <c r="CO179" s="433">
        <f t="shared" si="40"/>
        <v>0</v>
      </c>
      <c r="CP179" s="433">
        <f t="shared" si="41"/>
        <v>0</v>
      </c>
      <c r="CQ179" s="433">
        <f t="shared" si="42"/>
        <v>0</v>
      </c>
      <c r="CR179" s="433">
        <f t="shared" si="43"/>
        <v>0</v>
      </c>
      <c r="CS179" s="433">
        <f t="shared" si="44"/>
        <v>0</v>
      </c>
      <c r="CT179" s="21"/>
    </row>
    <row r="180" spans="3:98" collapsed="1">
      <c r="C180" s="415" t="s">
        <v>714</v>
      </c>
      <c r="D180" s="416">
        <v>0</v>
      </c>
      <c r="E180" s="416">
        <v>0</v>
      </c>
      <c r="F180" s="416">
        <v>0</v>
      </c>
      <c r="G180" s="416">
        <v>0</v>
      </c>
      <c r="H180" s="416">
        <v>0</v>
      </c>
      <c r="I180" s="416">
        <v>0</v>
      </c>
      <c r="J180" s="416">
        <v>0</v>
      </c>
      <c r="K180" s="416">
        <v>0</v>
      </c>
      <c r="L180" s="416">
        <v>0</v>
      </c>
      <c r="M180" s="416">
        <v>0</v>
      </c>
      <c r="N180" s="416">
        <v>0</v>
      </c>
      <c r="O180" s="416">
        <v>0</v>
      </c>
      <c r="P180" s="416">
        <v>0</v>
      </c>
      <c r="Q180" s="416">
        <v>0</v>
      </c>
      <c r="R180" s="416">
        <v>0</v>
      </c>
      <c r="S180" s="416">
        <v>0</v>
      </c>
      <c r="T180" s="416">
        <v>0</v>
      </c>
      <c r="U180" s="416">
        <v>0</v>
      </c>
      <c r="V180" s="416">
        <v>0</v>
      </c>
      <c r="W180" s="416">
        <v>0</v>
      </c>
      <c r="X180" s="416">
        <v>0</v>
      </c>
      <c r="Y180" s="416">
        <v>0</v>
      </c>
      <c r="Z180" s="416">
        <v>0</v>
      </c>
      <c r="AA180" s="416">
        <v>0</v>
      </c>
      <c r="AB180" s="416">
        <v>0</v>
      </c>
      <c r="AC180" s="416">
        <v>0</v>
      </c>
      <c r="AD180" s="416">
        <v>0</v>
      </c>
      <c r="AE180" s="416">
        <v>0</v>
      </c>
      <c r="AF180" s="416">
        <v>0</v>
      </c>
      <c r="AG180" s="416">
        <v>0</v>
      </c>
      <c r="AH180" s="416">
        <v>0</v>
      </c>
      <c r="AI180" s="416">
        <v>0</v>
      </c>
      <c r="AJ180" s="416">
        <v>0</v>
      </c>
      <c r="AK180" s="416">
        <v>0</v>
      </c>
      <c r="AL180" s="416">
        <v>0</v>
      </c>
      <c r="AM180" s="416">
        <v>0</v>
      </c>
      <c r="AN180" s="416">
        <v>0</v>
      </c>
      <c r="AO180" s="416">
        <v>0</v>
      </c>
      <c r="AP180" s="416">
        <v>0</v>
      </c>
      <c r="AQ180" s="416">
        <v>0</v>
      </c>
      <c r="AR180" s="416">
        <v>0</v>
      </c>
      <c r="AS180" s="416">
        <v>0</v>
      </c>
      <c r="AT180" s="416">
        <v>0</v>
      </c>
      <c r="AU180" s="416">
        <v>0</v>
      </c>
      <c r="AV180" s="416">
        <v>0</v>
      </c>
      <c r="AW180" s="416">
        <v>0</v>
      </c>
      <c r="AX180" s="416">
        <v>0</v>
      </c>
      <c r="AY180" s="416">
        <v>0</v>
      </c>
      <c r="AZ180" s="416">
        <v>0</v>
      </c>
      <c r="BA180" s="416">
        <v>0</v>
      </c>
      <c r="BB180" s="416">
        <v>0</v>
      </c>
      <c r="BC180" s="416">
        <v>0</v>
      </c>
      <c r="BD180" s="416">
        <v>0</v>
      </c>
      <c r="BE180" s="416">
        <v>0</v>
      </c>
      <c r="BF180" s="416">
        <v>0</v>
      </c>
      <c r="BG180" s="416">
        <v>0</v>
      </c>
      <c r="BH180" s="416">
        <v>0</v>
      </c>
      <c r="BI180" s="416">
        <v>0</v>
      </c>
      <c r="BJ180" s="416">
        <v>0</v>
      </c>
      <c r="BK180" s="416">
        <v>0</v>
      </c>
      <c r="BL180" s="416">
        <v>0</v>
      </c>
      <c r="BM180" s="416">
        <v>0</v>
      </c>
      <c r="BN180" s="416">
        <v>0</v>
      </c>
      <c r="BO180" s="416">
        <v>0</v>
      </c>
      <c r="BP180" s="416">
        <v>0</v>
      </c>
      <c r="BQ180" s="416">
        <v>0</v>
      </c>
      <c r="BR180" s="416">
        <v>0</v>
      </c>
      <c r="BS180" s="416">
        <v>0</v>
      </c>
      <c r="BT180" s="416">
        <v>0</v>
      </c>
      <c r="BU180" s="416">
        <v>0</v>
      </c>
      <c r="BV180" s="416">
        <v>0</v>
      </c>
      <c r="BW180" s="416">
        <v>0</v>
      </c>
      <c r="BX180" s="416">
        <v>0</v>
      </c>
      <c r="BY180" s="416">
        <v>0</v>
      </c>
      <c r="BZ180" s="416">
        <v>0</v>
      </c>
      <c r="CC180" s="21"/>
      <c r="CD180" s="415" t="s">
        <v>714</v>
      </c>
      <c r="CE180" s="433">
        <f t="shared" si="30"/>
        <v>0</v>
      </c>
      <c r="CF180" s="433">
        <f t="shared" si="31"/>
        <v>0</v>
      </c>
      <c r="CG180" s="433">
        <f t="shared" si="32"/>
        <v>0</v>
      </c>
      <c r="CH180" s="433">
        <f t="shared" si="33"/>
        <v>0</v>
      </c>
      <c r="CI180" s="433">
        <f t="shared" si="34"/>
        <v>0</v>
      </c>
      <c r="CJ180" s="433">
        <f t="shared" si="35"/>
        <v>0</v>
      </c>
      <c r="CK180" s="433">
        <f t="shared" si="36"/>
        <v>0</v>
      </c>
      <c r="CL180" s="433">
        <f t="shared" si="37"/>
        <v>0</v>
      </c>
      <c r="CM180" s="433">
        <f t="shared" si="38"/>
        <v>0</v>
      </c>
      <c r="CN180" s="433">
        <f t="shared" si="39"/>
        <v>0</v>
      </c>
      <c r="CO180" s="433">
        <f t="shared" si="40"/>
        <v>0</v>
      </c>
      <c r="CP180" s="433">
        <f t="shared" si="41"/>
        <v>0</v>
      </c>
      <c r="CQ180" s="433">
        <f t="shared" si="42"/>
        <v>0</v>
      </c>
      <c r="CR180" s="433">
        <f t="shared" si="43"/>
        <v>0</v>
      </c>
      <c r="CS180" s="433">
        <f t="shared" si="44"/>
        <v>0</v>
      </c>
      <c r="CT180" s="21"/>
    </row>
    <row r="181" spans="3:98">
      <c r="C181" s="415" t="s">
        <v>719</v>
      </c>
      <c r="D181" s="416">
        <v>0</v>
      </c>
      <c r="E181" s="416">
        <v>0</v>
      </c>
      <c r="F181" s="416">
        <v>0</v>
      </c>
      <c r="G181" s="416">
        <v>0</v>
      </c>
      <c r="H181" s="416">
        <v>0</v>
      </c>
      <c r="I181" s="416">
        <v>0</v>
      </c>
      <c r="J181" s="416">
        <v>0</v>
      </c>
      <c r="K181" s="416">
        <v>0</v>
      </c>
      <c r="L181" s="416">
        <v>0</v>
      </c>
      <c r="M181" s="416">
        <v>0</v>
      </c>
      <c r="N181" s="416">
        <v>0</v>
      </c>
      <c r="O181" s="416">
        <v>0</v>
      </c>
      <c r="P181" s="416">
        <v>0</v>
      </c>
      <c r="Q181" s="416">
        <v>0</v>
      </c>
      <c r="R181" s="416">
        <v>0</v>
      </c>
      <c r="S181" s="416">
        <v>0</v>
      </c>
      <c r="T181" s="416">
        <v>0</v>
      </c>
      <c r="U181" s="416">
        <v>0</v>
      </c>
      <c r="V181" s="416">
        <v>0</v>
      </c>
      <c r="W181" s="416">
        <v>0</v>
      </c>
      <c r="X181" s="416">
        <v>0</v>
      </c>
      <c r="Y181" s="416">
        <v>0</v>
      </c>
      <c r="Z181" s="416">
        <v>0</v>
      </c>
      <c r="AA181" s="416">
        <v>0</v>
      </c>
      <c r="AB181" s="416">
        <v>0</v>
      </c>
      <c r="AC181" s="416">
        <v>0</v>
      </c>
      <c r="AD181" s="416">
        <v>0</v>
      </c>
      <c r="AE181" s="416">
        <v>0</v>
      </c>
      <c r="AF181" s="416">
        <v>0</v>
      </c>
      <c r="AG181" s="416">
        <v>0</v>
      </c>
      <c r="AH181" s="416">
        <v>0</v>
      </c>
      <c r="AI181" s="416">
        <v>0</v>
      </c>
      <c r="AJ181" s="416">
        <v>0</v>
      </c>
      <c r="AK181" s="416">
        <v>0</v>
      </c>
      <c r="AL181" s="416">
        <v>0</v>
      </c>
      <c r="AM181" s="416">
        <v>0</v>
      </c>
      <c r="AN181" s="416">
        <v>0</v>
      </c>
      <c r="AO181" s="416">
        <v>0</v>
      </c>
      <c r="AP181" s="416">
        <v>0</v>
      </c>
      <c r="AQ181" s="416">
        <v>0</v>
      </c>
      <c r="AR181" s="416">
        <v>0</v>
      </c>
      <c r="AS181" s="416">
        <v>0</v>
      </c>
      <c r="AT181" s="416">
        <v>0</v>
      </c>
      <c r="AU181" s="416">
        <v>0</v>
      </c>
      <c r="AV181" s="416">
        <v>0</v>
      </c>
      <c r="AW181" s="416">
        <v>0</v>
      </c>
      <c r="AX181" s="416">
        <v>0</v>
      </c>
      <c r="AY181" s="416">
        <v>0</v>
      </c>
      <c r="AZ181" s="416">
        <v>0</v>
      </c>
      <c r="BA181" s="416">
        <v>0</v>
      </c>
      <c r="BB181" s="416">
        <v>0</v>
      </c>
      <c r="BC181" s="416">
        <v>0</v>
      </c>
      <c r="BD181" s="416">
        <v>0</v>
      </c>
      <c r="BE181" s="416">
        <v>0</v>
      </c>
      <c r="BF181" s="416">
        <v>0</v>
      </c>
      <c r="BG181" s="416">
        <v>0</v>
      </c>
      <c r="BH181" s="416">
        <v>0</v>
      </c>
      <c r="BI181" s="416">
        <v>0</v>
      </c>
      <c r="BJ181" s="416">
        <v>0</v>
      </c>
      <c r="BK181" s="416">
        <v>0</v>
      </c>
      <c r="BL181" s="416">
        <v>0</v>
      </c>
      <c r="BM181" s="416">
        <v>0</v>
      </c>
      <c r="BN181" s="416">
        <v>0</v>
      </c>
      <c r="BO181" s="416">
        <v>0</v>
      </c>
      <c r="BP181" s="416">
        <v>0</v>
      </c>
      <c r="BQ181" s="416">
        <v>0</v>
      </c>
      <c r="BR181" s="416">
        <v>0</v>
      </c>
      <c r="BS181" s="416">
        <v>0</v>
      </c>
      <c r="BT181" s="416">
        <v>0</v>
      </c>
      <c r="BU181" s="416">
        <v>0</v>
      </c>
      <c r="BV181" s="416">
        <v>0</v>
      </c>
      <c r="BW181" s="416">
        <v>0</v>
      </c>
      <c r="BX181" s="416">
        <v>0</v>
      </c>
      <c r="BY181" s="416">
        <v>0</v>
      </c>
      <c r="BZ181" s="416">
        <v>0</v>
      </c>
      <c r="CC181" s="21"/>
      <c r="CD181" s="415" t="s">
        <v>719</v>
      </c>
      <c r="CE181" s="433">
        <f t="shared" si="30"/>
        <v>0</v>
      </c>
      <c r="CF181" s="433">
        <f t="shared" si="31"/>
        <v>0</v>
      </c>
      <c r="CG181" s="433">
        <f t="shared" si="32"/>
        <v>0</v>
      </c>
      <c r="CH181" s="433">
        <f t="shared" si="33"/>
        <v>0</v>
      </c>
      <c r="CI181" s="433">
        <f t="shared" si="34"/>
        <v>0</v>
      </c>
      <c r="CJ181" s="433">
        <f t="shared" si="35"/>
        <v>0</v>
      </c>
      <c r="CK181" s="433">
        <f t="shared" si="36"/>
        <v>0</v>
      </c>
      <c r="CL181" s="433">
        <f t="shared" si="37"/>
        <v>0</v>
      </c>
      <c r="CM181" s="433">
        <f t="shared" si="38"/>
        <v>0</v>
      </c>
      <c r="CN181" s="433">
        <f t="shared" si="39"/>
        <v>0</v>
      </c>
      <c r="CO181" s="433">
        <f t="shared" si="40"/>
        <v>0</v>
      </c>
      <c r="CP181" s="433">
        <f t="shared" si="41"/>
        <v>0</v>
      </c>
      <c r="CQ181" s="433">
        <f t="shared" si="42"/>
        <v>0</v>
      </c>
      <c r="CR181" s="433">
        <f t="shared" si="43"/>
        <v>0</v>
      </c>
      <c r="CS181" s="433">
        <f t="shared" si="44"/>
        <v>0</v>
      </c>
      <c r="CT181" s="21"/>
    </row>
    <row r="182" spans="3:98">
      <c r="C182" s="415" t="s">
        <v>720</v>
      </c>
      <c r="D182" s="416">
        <v>0</v>
      </c>
      <c r="E182" s="416">
        <v>0</v>
      </c>
      <c r="F182" s="416">
        <v>0</v>
      </c>
      <c r="G182" s="416">
        <v>0</v>
      </c>
      <c r="H182" s="416">
        <v>0</v>
      </c>
      <c r="I182" s="416">
        <v>0</v>
      </c>
      <c r="J182" s="416">
        <v>0</v>
      </c>
      <c r="K182" s="416">
        <v>0</v>
      </c>
      <c r="L182" s="416">
        <v>0</v>
      </c>
      <c r="M182" s="416">
        <v>0</v>
      </c>
      <c r="N182" s="416">
        <v>0</v>
      </c>
      <c r="O182" s="416">
        <v>0</v>
      </c>
      <c r="P182" s="416">
        <v>0</v>
      </c>
      <c r="Q182" s="416">
        <v>0</v>
      </c>
      <c r="R182" s="416">
        <v>0</v>
      </c>
      <c r="S182" s="416">
        <v>0</v>
      </c>
      <c r="T182" s="416">
        <v>0</v>
      </c>
      <c r="U182" s="416">
        <v>0</v>
      </c>
      <c r="V182" s="416">
        <v>0</v>
      </c>
      <c r="W182" s="416">
        <v>0</v>
      </c>
      <c r="X182" s="416">
        <v>0</v>
      </c>
      <c r="Y182" s="416">
        <v>0</v>
      </c>
      <c r="Z182" s="416">
        <v>0</v>
      </c>
      <c r="AA182" s="416">
        <v>0</v>
      </c>
      <c r="AB182" s="416">
        <v>0</v>
      </c>
      <c r="AC182" s="416">
        <v>0</v>
      </c>
      <c r="AD182" s="416">
        <v>0</v>
      </c>
      <c r="AE182" s="416">
        <v>0</v>
      </c>
      <c r="AF182" s="416">
        <v>0</v>
      </c>
      <c r="AG182" s="416">
        <v>0</v>
      </c>
      <c r="AH182" s="416">
        <v>0</v>
      </c>
      <c r="AI182" s="416">
        <v>0</v>
      </c>
      <c r="AJ182" s="416">
        <v>0</v>
      </c>
      <c r="AK182" s="416">
        <v>0</v>
      </c>
      <c r="AL182" s="416">
        <v>0</v>
      </c>
      <c r="AM182" s="416">
        <v>0</v>
      </c>
      <c r="AN182" s="416">
        <v>0</v>
      </c>
      <c r="AO182" s="416">
        <v>0</v>
      </c>
      <c r="AP182" s="416">
        <v>0</v>
      </c>
      <c r="AQ182" s="416">
        <v>0</v>
      </c>
      <c r="AR182" s="416">
        <v>0</v>
      </c>
      <c r="AS182" s="416">
        <v>0</v>
      </c>
      <c r="AT182" s="416">
        <v>0</v>
      </c>
      <c r="AU182" s="416">
        <v>0</v>
      </c>
      <c r="AV182" s="416">
        <v>0</v>
      </c>
      <c r="AW182" s="416">
        <v>0</v>
      </c>
      <c r="AX182" s="416">
        <v>0</v>
      </c>
      <c r="AY182" s="416">
        <v>0</v>
      </c>
      <c r="AZ182" s="416">
        <v>0</v>
      </c>
      <c r="BA182" s="416">
        <v>0</v>
      </c>
      <c r="BB182" s="416">
        <v>0</v>
      </c>
      <c r="BC182" s="416">
        <v>0</v>
      </c>
      <c r="BD182" s="416">
        <v>0</v>
      </c>
      <c r="BE182" s="416">
        <v>0</v>
      </c>
      <c r="BF182" s="416">
        <v>0</v>
      </c>
      <c r="BG182" s="416">
        <v>0</v>
      </c>
      <c r="BH182" s="416">
        <v>0</v>
      </c>
      <c r="BI182" s="416">
        <v>0</v>
      </c>
      <c r="BJ182" s="416">
        <v>0</v>
      </c>
      <c r="BK182" s="416">
        <v>0</v>
      </c>
      <c r="BL182" s="416">
        <v>0</v>
      </c>
      <c r="BM182" s="416">
        <v>0</v>
      </c>
      <c r="BN182" s="416">
        <v>0</v>
      </c>
      <c r="BO182" s="416">
        <v>0</v>
      </c>
      <c r="BP182" s="416">
        <v>0</v>
      </c>
      <c r="BQ182" s="416">
        <v>0</v>
      </c>
      <c r="BR182" s="416">
        <v>0</v>
      </c>
      <c r="BS182" s="416">
        <v>0</v>
      </c>
      <c r="BT182" s="416">
        <v>0</v>
      </c>
      <c r="BU182" s="416">
        <v>0</v>
      </c>
      <c r="BV182" s="416">
        <v>0</v>
      </c>
      <c r="BW182" s="416">
        <v>0</v>
      </c>
      <c r="BX182" s="416">
        <v>0</v>
      </c>
      <c r="BY182" s="416">
        <v>0</v>
      </c>
      <c r="BZ182" s="416">
        <v>0</v>
      </c>
      <c r="CC182" s="21"/>
      <c r="CD182" s="415" t="s">
        <v>720</v>
      </c>
      <c r="CE182" s="433">
        <f t="shared" si="30"/>
        <v>0</v>
      </c>
      <c r="CF182" s="433">
        <f t="shared" si="31"/>
        <v>0</v>
      </c>
      <c r="CG182" s="433">
        <f t="shared" si="32"/>
        <v>0</v>
      </c>
      <c r="CH182" s="433">
        <f t="shared" si="33"/>
        <v>0</v>
      </c>
      <c r="CI182" s="433">
        <f t="shared" si="34"/>
        <v>0</v>
      </c>
      <c r="CJ182" s="433">
        <f t="shared" si="35"/>
        <v>0</v>
      </c>
      <c r="CK182" s="433">
        <f t="shared" si="36"/>
        <v>0</v>
      </c>
      <c r="CL182" s="433">
        <f t="shared" si="37"/>
        <v>0</v>
      </c>
      <c r="CM182" s="433">
        <f t="shared" si="38"/>
        <v>0</v>
      </c>
      <c r="CN182" s="433">
        <f t="shared" si="39"/>
        <v>0</v>
      </c>
      <c r="CO182" s="433">
        <f t="shared" si="40"/>
        <v>0</v>
      </c>
      <c r="CP182" s="433">
        <f t="shared" si="41"/>
        <v>0</v>
      </c>
      <c r="CQ182" s="433">
        <f t="shared" si="42"/>
        <v>0</v>
      </c>
      <c r="CR182" s="433">
        <f t="shared" si="43"/>
        <v>0</v>
      </c>
      <c r="CS182" s="433">
        <f t="shared" si="44"/>
        <v>0</v>
      </c>
      <c r="CT182" s="21"/>
    </row>
    <row r="183" spans="3:98">
      <c r="C183" s="415" t="s">
        <v>721</v>
      </c>
      <c r="D183" s="416">
        <v>0</v>
      </c>
      <c r="E183" s="416">
        <v>0</v>
      </c>
      <c r="F183" s="416">
        <v>0</v>
      </c>
      <c r="G183" s="416">
        <v>0</v>
      </c>
      <c r="H183" s="416">
        <v>0</v>
      </c>
      <c r="I183" s="416">
        <v>0</v>
      </c>
      <c r="J183" s="416">
        <v>0</v>
      </c>
      <c r="K183" s="416">
        <v>0</v>
      </c>
      <c r="L183" s="416">
        <v>0</v>
      </c>
      <c r="M183" s="416">
        <v>0</v>
      </c>
      <c r="N183" s="416">
        <v>0</v>
      </c>
      <c r="O183" s="416">
        <v>0</v>
      </c>
      <c r="P183" s="416">
        <v>0</v>
      </c>
      <c r="Q183" s="416">
        <v>0</v>
      </c>
      <c r="R183" s="416">
        <v>0</v>
      </c>
      <c r="S183" s="416">
        <v>0</v>
      </c>
      <c r="T183" s="416">
        <v>0</v>
      </c>
      <c r="U183" s="416">
        <v>0</v>
      </c>
      <c r="V183" s="416">
        <v>0</v>
      </c>
      <c r="W183" s="416">
        <v>0</v>
      </c>
      <c r="X183" s="416">
        <v>0</v>
      </c>
      <c r="Y183" s="416">
        <v>0</v>
      </c>
      <c r="Z183" s="416">
        <v>0</v>
      </c>
      <c r="AA183" s="416">
        <v>0</v>
      </c>
      <c r="AB183" s="416">
        <v>0</v>
      </c>
      <c r="AC183" s="416">
        <v>0</v>
      </c>
      <c r="AD183" s="416">
        <v>0</v>
      </c>
      <c r="AE183" s="416">
        <v>0</v>
      </c>
      <c r="AF183" s="416">
        <v>0</v>
      </c>
      <c r="AG183" s="416">
        <v>0</v>
      </c>
      <c r="AH183" s="416">
        <v>0</v>
      </c>
      <c r="AI183" s="416">
        <v>0</v>
      </c>
      <c r="AJ183" s="416">
        <v>0</v>
      </c>
      <c r="AK183" s="416">
        <v>0</v>
      </c>
      <c r="AL183" s="416">
        <v>0</v>
      </c>
      <c r="AM183" s="416">
        <v>0</v>
      </c>
      <c r="AN183" s="416">
        <v>0</v>
      </c>
      <c r="AO183" s="416">
        <v>0</v>
      </c>
      <c r="AP183" s="416">
        <v>0</v>
      </c>
      <c r="AQ183" s="416">
        <v>0</v>
      </c>
      <c r="AR183" s="416">
        <v>0</v>
      </c>
      <c r="AS183" s="416">
        <v>0</v>
      </c>
      <c r="AT183" s="416">
        <v>0</v>
      </c>
      <c r="AU183" s="416">
        <v>0</v>
      </c>
      <c r="AV183" s="416">
        <v>0</v>
      </c>
      <c r="AW183" s="416">
        <v>0</v>
      </c>
      <c r="AX183" s="416">
        <v>0</v>
      </c>
      <c r="AY183" s="416">
        <v>0</v>
      </c>
      <c r="AZ183" s="416">
        <v>0</v>
      </c>
      <c r="BA183" s="416">
        <v>0</v>
      </c>
      <c r="BB183" s="416">
        <v>0</v>
      </c>
      <c r="BC183" s="416">
        <v>0</v>
      </c>
      <c r="BD183" s="416">
        <v>0</v>
      </c>
      <c r="BE183" s="416">
        <v>0</v>
      </c>
      <c r="BF183" s="416">
        <v>4.3529999999999998</v>
      </c>
      <c r="BG183" s="416">
        <v>0.432</v>
      </c>
      <c r="BH183" s="416">
        <v>0.26300000000000001</v>
      </c>
      <c r="BI183" s="416">
        <v>1.276</v>
      </c>
      <c r="BJ183" s="416">
        <v>18.760000000000002</v>
      </c>
      <c r="BK183" s="416">
        <v>20.731000000000002</v>
      </c>
      <c r="BL183" s="416">
        <v>59.82</v>
      </c>
      <c r="BM183" s="416">
        <v>90.477999999999994</v>
      </c>
      <c r="BN183" s="416">
        <v>36.616</v>
      </c>
      <c r="BO183" s="416">
        <v>50.472000000000001</v>
      </c>
      <c r="BP183" s="416">
        <v>237.386</v>
      </c>
      <c r="BQ183" s="416">
        <v>25.866</v>
      </c>
      <c r="BR183" s="416">
        <v>18.030999999999999</v>
      </c>
      <c r="BS183" s="416">
        <v>13.145</v>
      </c>
      <c r="BT183" s="416">
        <v>15.303000000000001</v>
      </c>
      <c r="BU183" s="416">
        <v>72.344999999999999</v>
      </c>
      <c r="BV183" s="416">
        <v>13.435</v>
      </c>
      <c r="BW183" s="416">
        <v>12.199</v>
      </c>
      <c r="BX183" s="416">
        <v>16.273</v>
      </c>
      <c r="BY183" s="416">
        <v>0</v>
      </c>
      <c r="BZ183" s="416">
        <v>0</v>
      </c>
      <c r="CC183" s="21"/>
      <c r="CD183" s="415" t="s">
        <v>721</v>
      </c>
      <c r="CE183" s="433">
        <f t="shared" si="30"/>
        <v>0</v>
      </c>
      <c r="CF183" s="433">
        <f t="shared" si="31"/>
        <v>0</v>
      </c>
      <c r="CG183" s="433">
        <f t="shared" si="32"/>
        <v>0</v>
      </c>
      <c r="CH183" s="433">
        <f t="shared" si="33"/>
        <v>0</v>
      </c>
      <c r="CI183" s="433">
        <f t="shared" si="34"/>
        <v>0</v>
      </c>
      <c r="CJ183" s="433">
        <f t="shared" si="35"/>
        <v>0</v>
      </c>
      <c r="CK183" s="433">
        <f t="shared" si="36"/>
        <v>0</v>
      </c>
      <c r="CL183" s="433">
        <f t="shared" si="37"/>
        <v>0</v>
      </c>
      <c r="CM183" s="433">
        <f t="shared" si="38"/>
        <v>0</v>
      </c>
      <c r="CN183" s="433">
        <f t="shared" si="39"/>
        <v>0</v>
      </c>
      <c r="CO183" s="433">
        <f t="shared" si="40"/>
        <v>4.3529999999999998</v>
      </c>
      <c r="CP183" s="433">
        <f t="shared" si="41"/>
        <v>20.731000000000002</v>
      </c>
      <c r="CQ183" s="433">
        <f t="shared" si="42"/>
        <v>237.386</v>
      </c>
      <c r="CR183" s="433">
        <f t="shared" si="43"/>
        <v>72.344999999999999</v>
      </c>
      <c r="CS183" s="433">
        <f t="shared" si="44"/>
        <v>0</v>
      </c>
      <c r="CT183" s="21"/>
    </row>
    <row r="184" spans="3:98">
      <c r="C184" s="415" t="s">
        <v>96</v>
      </c>
      <c r="D184" s="416">
        <v>0</v>
      </c>
      <c r="E184" s="416">
        <v>0</v>
      </c>
      <c r="F184" s="416">
        <v>0</v>
      </c>
      <c r="G184" s="416">
        <v>0</v>
      </c>
      <c r="H184" s="416">
        <v>0</v>
      </c>
      <c r="I184" s="416">
        <v>0</v>
      </c>
      <c r="J184" s="416">
        <v>0</v>
      </c>
      <c r="K184" s="416">
        <v>0</v>
      </c>
      <c r="L184" s="416">
        <v>0</v>
      </c>
      <c r="M184" s="416">
        <v>0</v>
      </c>
      <c r="N184" s="416">
        <v>0</v>
      </c>
      <c r="O184" s="416">
        <v>0</v>
      </c>
      <c r="P184" s="416">
        <v>0</v>
      </c>
      <c r="Q184" s="416">
        <v>0</v>
      </c>
      <c r="R184" s="416">
        <v>0</v>
      </c>
      <c r="S184" s="416">
        <v>0</v>
      </c>
      <c r="T184" s="416">
        <v>0</v>
      </c>
      <c r="U184" s="416">
        <v>0</v>
      </c>
      <c r="V184" s="416">
        <v>0</v>
      </c>
      <c r="W184" s="416">
        <v>0</v>
      </c>
      <c r="X184" s="416">
        <v>0</v>
      </c>
      <c r="Y184" s="416">
        <v>0</v>
      </c>
      <c r="Z184" s="416">
        <v>0</v>
      </c>
      <c r="AA184" s="416">
        <v>0</v>
      </c>
      <c r="AB184" s="416">
        <v>0</v>
      </c>
      <c r="AC184" s="416">
        <v>0</v>
      </c>
      <c r="AD184" s="416">
        <v>0</v>
      </c>
      <c r="AE184" s="416">
        <v>0</v>
      </c>
      <c r="AF184" s="416">
        <v>0</v>
      </c>
      <c r="AG184" s="416">
        <v>0</v>
      </c>
      <c r="AH184" s="416">
        <v>0</v>
      </c>
      <c r="AI184" s="416">
        <v>0</v>
      </c>
      <c r="AJ184" s="416">
        <v>0</v>
      </c>
      <c r="AK184" s="416">
        <v>0</v>
      </c>
      <c r="AL184" s="416">
        <v>0</v>
      </c>
      <c r="AM184" s="416">
        <v>0</v>
      </c>
      <c r="AN184" s="416">
        <v>0</v>
      </c>
      <c r="AO184" s="416">
        <v>0</v>
      </c>
      <c r="AP184" s="416">
        <v>0</v>
      </c>
      <c r="AQ184" s="416">
        <v>0</v>
      </c>
      <c r="AR184" s="416">
        <v>0</v>
      </c>
      <c r="AS184" s="416">
        <v>0</v>
      </c>
      <c r="AT184" s="416">
        <v>0</v>
      </c>
      <c r="AU184" s="416">
        <v>0</v>
      </c>
      <c r="AV184" s="416">
        <v>0</v>
      </c>
      <c r="AW184" s="416">
        <v>0</v>
      </c>
      <c r="AX184" s="416">
        <v>0</v>
      </c>
      <c r="AY184" s="416">
        <v>0</v>
      </c>
      <c r="AZ184" s="416">
        <v>0</v>
      </c>
      <c r="BA184" s="416">
        <v>0</v>
      </c>
      <c r="BB184" s="416">
        <v>0</v>
      </c>
      <c r="BC184" s="416">
        <v>0</v>
      </c>
      <c r="BD184" s="416">
        <v>0</v>
      </c>
      <c r="BE184" s="416">
        <v>0</v>
      </c>
      <c r="BF184" s="416">
        <v>-20.957999999999998</v>
      </c>
      <c r="BG184" s="416">
        <v>0</v>
      </c>
      <c r="BH184" s="416">
        <v>0</v>
      </c>
      <c r="BI184" s="416">
        <v>1.93</v>
      </c>
      <c r="BJ184" s="416">
        <v>-1.93</v>
      </c>
      <c r="BK184" s="416">
        <v>-1.93</v>
      </c>
      <c r="BL184" s="416">
        <v>0</v>
      </c>
      <c r="BM184" s="416">
        <v>-141.80099999999999</v>
      </c>
      <c r="BN184" s="416">
        <v>-51.466000000000001</v>
      </c>
      <c r="BO184" s="416">
        <v>6532.201</v>
      </c>
      <c r="BP184" s="416">
        <v>6338.9340000000002</v>
      </c>
      <c r="BQ184" s="416">
        <v>-880.59</v>
      </c>
      <c r="BR184" s="416">
        <v>-2750.1509999999998</v>
      </c>
      <c r="BS184" s="416">
        <v>-611.61900000000003</v>
      </c>
      <c r="BT184" s="416">
        <v>-1668.386</v>
      </c>
      <c r="BU184" s="416">
        <v>-5910.7460000000001</v>
      </c>
      <c r="BV184" s="416">
        <v>467.17599999999999</v>
      </c>
      <c r="BW184" s="416">
        <v>-1569.1220000000001</v>
      </c>
      <c r="BX184" s="416">
        <v>-430.94299999999998</v>
      </c>
      <c r="BY184" s="416">
        <v>0</v>
      </c>
      <c r="BZ184" s="416">
        <v>0</v>
      </c>
      <c r="CC184" s="21"/>
      <c r="CD184" s="415" t="s">
        <v>96</v>
      </c>
      <c r="CE184" s="433">
        <f t="shared" si="30"/>
        <v>0</v>
      </c>
      <c r="CF184" s="433">
        <f t="shared" si="31"/>
        <v>0</v>
      </c>
      <c r="CG184" s="433">
        <f t="shared" si="32"/>
        <v>0</v>
      </c>
      <c r="CH184" s="433">
        <f t="shared" si="33"/>
        <v>0</v>
      </c>
      <c r="CI184" s="433">
        <f t="shared" si="34"/>
        <v>0</v>
      </c>
      <c r="CJ184" s="433">
        <f t="shared" si="35"/>
        <v>0</v>
      </c>
      <c r="CK184" s="433">
        <f t="shared" si="36"/>
        <v>0</v>
      </c>
      <c r="CL184" s="433">
        <f t="shared" si="37"/>
        <v>0</v>
      </c>
      <c r="CM184" s="433">
        <f t="shared" si="38"/>
        <v>0</v>
      </c>
      <c r="CN184" s="433">
        <f t="shared" si="39"/>
        <v>0</v>
      </c>
      <c r="CO184" s="433">
        <f t="shared" si="40"/>
        <v>-20.957999999999998</v>
      </c>
      <c r="CP184" s="433">
        <f t="shared" si="41"/>
        <v>-1.93</v>
      </c>
      <c r="CQ184" s="433">
        <f t="shared" si="42"/>
        <v>6338.9340000000002</v>
      </c>
      <c r="CR184" s="433">
        <f t="shared" si="43"/>
        <v>-5910.7460000000001</v>
      </c>
      <c r="CS184" s="433">
        <f t="shared" si="44"/>
        <v>0</v>
      </c>
      <c r="CT184" s="21"/>
    </row>
    <row r="185" spans="3:98" ht="15">
      <c r="C185" s="435" t="s">
        <v>688</v>
      </c>
      <c r="D185" s="422">
        <v>0</v>
      </c>
      <c r="E185" s="422">
        <v>0</v>
      </c>
      <c r="F185" s="422">
        <v>0</v>
      </c>
      <c r="G185" s="422">
        <v>0</v>
      </c>
      <c r="H185" s="422">
        <v>0</v>
      </c>
      <c r="I185" s="422">
        <v>0</v>
      </c>
      <c r="J185" s="422">
        <v>0</v>
      </c>
      <c r="K185" s="422">
        <v>0</v>
      </c>
      <c r="L185" s="422">
        <v>0</v>
      </c>
      <c r="M185" s="422">
        <v>0</v>
      </c>
      <c r="N185" s="422">
        <v>0</v>
      </c>
      <c r="O185" s="422">
        <v>0</v>
      </c>
      <c r="P185" s="422">
        <v>0</v>
      </c>
      <c r="Q185" s="422">
        <v>0</v>
      </c>
      <c r="R185" s="422">
        <v>0</v>
      </c>
      <c r="S185" s="422">
        <v>0</v>
      </c>
      <c r="T185" s="422">
        <v>0</v>
      </c>
      <c r="U185" s="422">
        <v>0</v>
      </c>
      <c r="V185" s="422">
        <v>0</v>
      </c>
      <c r="W185" s="422">
        <v>0</v>
      </c>
      <c r="X185" s="422">
        <v>0</v>
      </c>
      <c r="Y185" s="422">
        <v>0</v>
      </c>
      <c r="Z185" s="422">
        <v>0</v>
      </c>
      <c r="AA185" s="422">
        <v>0</v>
      </c>
      <c r="AB185" s="422">
        <v>0</v>
      </c>
      <c r="AC185" s="422">
        <v>0</v>
      </c>
      <c r="AD185" s="422">
        <v>0</v>
      </c>
      <c r="AE185" s="422">
        <v>0</v>
      </c>
      <c r="AF185" s="422">
        <v>0</v>
      </c>
      <c r="AG185" s="422">
        <v>0</v>
      </c>
      <c r="AH185" s="422">
        <v>0</v>
      </c>
      <c r="AI185" s="422">
        <v>0</v>
      </c>
      <c r="AJ185" s="422">
        <v>0</v>
      </c>
      <c r="AK185" s="422">
        <v>0</v>
      </c>
      <c r="AL185" s="422">
        <v>0</v>
      </c>
      <c r="AM185" s="422">
        <v>0</v>
      </c>
      <c r="AN185" s="422">
        <v>0</v>
      </c>
      <c r="AO185" s="422">
        <v>0</v>
      </c>
      <c r="AP185" s="422">
        <v>0</v>
      </c>
      <c r="AQ185" s="422">
        <v>0</v>
      </c>
      <c r="AR185" s="422">
        <v>0</v>
      </c>
      <c r="AS185" s="422">
        <v>0</v>
      </c>
      <c r="AT185" s="422">
        <v>0</v>
      </c>
      <c r="AU185" s="422">
        <v>0</v>
      </c>
      <c r="AV185" s="422">
        <v>0</v>
      </c>
      <c r="AW185" s="422">
        <v>0</v>
      </c>
      <c r="AX185" s="422">
        <v>0</v>
      </c>
      <c r="AY185" s="422">
        <v>0</v>
      </c>
      <c r="AZ185" s="422">
        <v>0</v>
      </c>
      <c r="BA185" s="422">
        <v>0</v>
      </c>
      <c r="BB185" s="422">
        <v>0</v>
      </c>
      <c r="BC185" s="422">
        <v>0</v>
      </c>
      <c r="BD185" s="422">
        <v>0</v>
      </c>
      <c r="BE185" s="422">
        <v>0</v>
      </c>
      <c r="BF185" s="422">
        <v>-16.605</v>
      </c>
      <c r="BG185" s="422">
        <v>0.432</v>
      </c>
      <c r="BH185" s="422">
        <v>-1.667</v>
      </c>
      <c r="BI185" s="422">
        <v>3.206</v>
      </c>
      <c r="BJ185" s="422">
        <v>16.829999999999998</v>
      </c>
      <c r="BK185" s="422">
        <v>18.800999999999998</v>
      </c>
      <c r="BL185" s="422">
        <v>59.82</v>
      </c>
      <c r="BM185" s="422">
        <v>1374.856</v>
      </c>
      <c r="BN185" s="422">
        <v>1958.7349999999999</v>
      </c>
      <c r="BO185" s="422">
        <v>6582.6729999999998</v>
      </c>
      <c r="BP185" s="422">
        <v>9976.0840000000007</v>
      </c>
      <c r="BQ185" s="422">
        <v>-725.32399999999996</v>
      </c>
      <c r="BR185" s="422">
        <v>-2882.12</v>
      </c>
      <c r="BS185" s="422">
        <v>-598.47400000000005</v>
      </c>
      <c r="BT185" s="422">
        <v>-1632.6</v>
      </c>
      <c r="BU185" s="422">
        <v>-5838.518</v>
      </c>
      <c r="BV185" s="422">
        <v>460.12900000000002</v>
      </c>
      <c r="BW185" s="422">
        <v>-1602.3920000000001</v>
      </c>
      <c r="BX185" s="422">
        <v>-591.86500000000001</v>
      </c>
      <c r="BY185" s="422">
        <v>0</v>
      </c>
      <c r="BZ185" s="422">
        <v>0</v>
      </c>
      <c r="CC185" s="21"/>
      <c r="CD185" s="435" t="s">
        <v>688</v>
      </c>
      <c r="CE185" s="436">
        <f t="shared" si="30"/>
        <v>0</v>
      </c>
      <c r="CF185" s="436">
        <f t="shared" si="31"/>
        <v>0</v>
      </c>
      <c r="CG185" s="436">
        <f t="shared" si="32"/>
        <v>0</v>
      </c>
      <c r="CH185" s="436">
        <f t="shared" si="33"/>
        <v>0</v>
      </c>
      <c r="CI185" s="436">
        <f t="shared" si="34"/>
        <v>0</v>
      </c>
      <c r="CJ185" s="436">
        <f t="shared" si="35"/>
        <v>0</v>
      </c>
      <c r="CK185" s="436">
        <f t="shared" si="36"/>
        <v>0</v>
      </c>
      <c r="CL185" s="436">
        <f t="shared" si="37"/>
        <v>0</v>
      </c>
      <c r="CM185" s="436">
        <f t="shared" si="38"/>
        <v>0</v>
      </c>
      <c r="CN185" s="436">
        <f t="shared" si="39"/>
        <v>0</v>
      </c>
      <c r="CO185" s="436">
        <f t="shared" si="40"/>
        <v>-16.605</v>
      </c>
      <c r="CP185" s="436">
        <f t="shared" si="41"/>
        <v>18.800999999999998</v>
      </c>
      <c r="CQ185" s="436">
        <f t="shared" si="42"/>
        <v>9976.0840000000007</v>
      </c>
      <c r="CR185" s="436">
        <f t="shared" si="43"/>
        <v>-5838.518</v>
      </c>
      <c r="CS185" s="436">
        <f t="shared" si="44"/>
        <v>0</v>
      </c>
      <c r="CT185" s="21"/>
    </row>
    <row r="186" spans="3:98" ht="4.5" customHeight="1">
      <c r="D186" s="416">
        <v>0</v>
      </c>
      <c r="E186" s="416">
        <v>0</v>
      </c>
      <c r="F186" s="416">
        <v>0</v>
      </c>
      <c r="G186" s="416">
        <v>0</v>
      </c>
      <c r="H186" s="416">
        <v>0</v>
      </c>
      <c r="I186" s="416">
        <v>0</v>
      </c>
      <c r="J186" s="416">
        <v>0</v>
      </c>
      <c r="K186" s="416">
        <v>0</v>
      </c>
      <c r="L186" s="416">
        <v>0</v>
      </c>
      <c r="M186" s="416">
        <v>0</v>
      </c>
      <c r="N186" s="416">
        <v>0</v>
      </c>
      <c r="O186" s="416">
        <v>0</v>
      </c>
      <c r="P186" s="416">
        <v>0</v>
      </c>
      <c r="Q186" s="416">
        <v>0</v>
      </c>
      <c r="R186" s="416">
        <v>0</v>
      </c>
      <c r="S186" s="416">
        <v>0</v>
      </c>
      <c r="T186" s="416">
        <v>0</v>
      </c>
      <c r="U186" s="416">
        <v>0</v>
      </c>
      <c r="V186" s="416">
        <v>0</v>
      </c>
      <c r="W186" s="416">
        <v>0</v>
      </c>
      <c r="X186" s="416">
        <v>0</v>
      </c>
      <c r="Y186" s="416">
        <v>0</v>
      </c>
      <c r="Z186" s="416">
        <v>0</v>
      </c>
      <c r="AA186" s="416">
        <v>0</v>
      </c>
      <c r="AB186" s="416">
        <v>0</v>
      </c>
      <c r="AC186" s="416">
        <v>0</v>
      </c>
      <c r="AD186" s="416">
        <v>0</v>
      </c>
      <c r="AE186" s="416">
        <v>0</v>
      </c>
      <c r="AF186" s="416">
        <v>0</v>
      </c>
      <c r="AG186" s="416">
        <v>0</v>
      </c>
      <c r="AH186" s="416">
        <v>0</v>
      </c>
      <c r="AI186" s="416">
        <v>0</v>
      </c>
      <c r="AJ186" s="416">
        <v>0</v>
      </c>
      <c r="AK186" s="416">
        <v>0</v>
      </c>
      <c r="AL186" s="416">
        <v>0</v>
      </c>
      <c r="AM186" s="416">
        <v>0</v>
      </c>
      <c r="AN186" s="416">
        <v>0</v>
      </c>
      <c r="AO186" s="416">
        <v>0</v>
      </c>
      <c r="AP186" s="416">
        <v>0</v>
      </c>
      <c r="AQ186" s="416">
        <v>0</v>
      </c>
      <c r="AR186" s="416">
        <v>0</v>
      </c>
      <c r="AS186" s="416">
        <v>0</v>
      </c>
      <c r="AT186" s="416">
        <v>0</v>
      </c>
      <c r="AU186" s="416">
        <v>0</v>
      </c>
      <c r="AV186" s="416">
        <v>0</v>
      </c>
      <c r="AW186" s="416">
        <v>0</v>
      </c>
      <c r="AX186" s="416">
        <v>0</v>
      </c>
      <c r="AY186" s="416">
        <v>0</v>
      </c>
      <c r="AZ186" s="416">
        <v>0</v>
      </c>
      <c r="BA186" s="416">
        <v>0</v>
      </c>
      <c r="BB186" s="416">
        <v>0</v>
      </c>
      <c r="BC186" s="416">
        <v>0</v>
      </c>
      <c r="BD186" s="416">
        <v>0</v>
      </c>
      <c r="BE186" s="416">
        <v>0</v>
      </c>
      <c r="BF186" s="416">
        <v>0</v>
      </c>
      <c r="BG186" s="416">
        <v>0</v>
      </c>
      <c r="BH186" s="416">
        <v>0</v>
      </c>
      <c r="BI186" s="416">
        <v>0</v>
      </c>
      <c r="BJ186" s="416">
        <v>0</v>
      </c>
      <c r="BK186" s="416">
        <v>0</v>
      </c>
      <c r="BL186" s="416">
        <v>0</v>
      </c>
      <c r="BM186" s="416">
        <v>0</v>
      </c>
      <c r="BN186" s="416">
        <v>0</v>
      </c>
      <c r="BO186" s="416">
        <v>0</v>
      </c>
      <c r="BP186" s="416">
        <v>0</v>
      </c>
      <c r="BQ186" s="416">
        <v>0</v>
      </c>
      <c r="BR186" s="416">
        <v>0</v>
      </c>
      <c r="BS186" s="416">
        <v>0</v>
      </c>
      <c r="BT186" s="416">
        <v>0</v>
      </c>
      <c r="BU186" s="416">
        <v>0</v>
      </c>
      <c r="BV186" s="416">
        <v>0</v>
      </c>
      <c r="BW186" s="416">
        <v>0</v>
      </c>
      <c r="BX186" s="416">
        <v>0</v>
      </c>
      <c r="BY186" s="416">
        <v>0</v>
      </c>
      <c r="BZ186" s="416">
        <v>0</v>
      </c>
      <c r="CC186" s="21"/>
      <c r="CD186" s="58"/>
      <c r="CE186" s="433"/>
      <c r="CF186" s="433"/>
      <c r="CG186" s="433"/>
      <c r="CH186" s="433"/>
      <c r="CI186" s="433"/>
      <c r="CJ186" s="433"/>
      <c r="CK186" s="433"/>
      <c r="CL186" s="433"/>
      <c r="CM186" s="433"/>
      <c r="CN186" s="433"/>
      <c r="CO186" s="433"/>
      <c r="CP186" s="433"/>
      <c r="CQ186" s="433"/>
      <c r="CR186" s="433"/>
      <c r="CS186" s="433"/>
      <c r="CT186" s="21"/>
    </row>
    <row r="187" spans="3:98" ht="15">
      <c r="C187" s="435" t="s">
        <v>722</v>
      </c>
      <c r="D187" s="422">
        <v>0</v>
      </c>
      <c r="E187" s="422">
        <v>0</v>
      </c>
      <c r="F187" s="422">
        <v>0</v>
      </c>
      <c r="G187" s="422">
        <v>0</v>
      </c>
      <c r="H187" s="422">
        <v>0</v>
      </c>
      <c r="I187" s="422">
        <v>0</v>
      </c>
      <c r="J187" s="422">
        <v>0</v>
      </c>
      <c r="K187" s="422">
        <v>0</v>
      </c>
      <c r="L187" s="422">
        <v>0</v>
      </c>
      <c r="M187" s="422">
        <v>0</v>
      </c>
      <c r="N187" s="422">
        <v>0</v>
      </c>
      <c r="O187" s="422">
        <v>0</v>
      </c>
      <c r="P187" s="422">
        <v>0</v>
      </c>
      <c r="Q187" s="422">
        <v>0</v>
      </c>
      <c r="R187" s="422">
        <v>0</v>
      </c>
      <c r="S187" s="422">
        <v>0</v>
      </c>
      <c r="T187" s="422">
        <v>0</v>
      </c>
      <c r="U187" s="422">
        <v>0</v>
      </c>
      <c r="V187" s="422">
        <v>0</v>
      </c>
      <c r="W187" s="422">
        <v>0</v>
      </c>
      <c r="X187" s="422">
        <v>0</v>
      </c>
      <c r="Y187" s="422">
        <v>0</v>
      </c>
      <c r="Z187" s="422">
        <v>0</v>
      </c>
      <c r="AA187" s="422">
        <v>0</v>
      </c>
      <c r="AB187" s="422">
        <v>0</v>
      </c>
      <c r="AC187" s="422">
        <v>0</v>
      </c>
      <c r="AD187" s="422">
        <v>0</v>
      </c>
      <c r="AE187" s="422">
        <v>0</v>
      </c>
      <c r="AF187" s="422">
        <v>0</v>
      </c>
      <c r="AG187" s="422">
        <v>0</v>
      </c>
      <c r="AH187" s="422">
        <v>0</v>
      </c>
      <c r="AI187" s="422">
        <v>0</v>
      </c>
      <c r="AJ187" s="422">
        <v>0</v>
      </c>
      <c r="AK187" s="422">
        <v>0</v>
      </c>
      <c r="AL187" s="422">
        <v>0</v>
      </c>
      <c r="AM187" s="422">
        <v>0</v>
      </c>
      <c r="AN187" s="422">
        <v>0</v>
      </c>
      <c r="AO187" s="422">
        <v>0</v>
      </c>
      <c r="AP187" s="422">
        <v>0</v>
      </c>
      <c r="AQ187" s="422">
        <v>0</v>
      </c>
      <c r="AR187" s="422">
        <v>0</v>
      </c>
      <c r="AS187" s="422">
        <v>0</v>
      </c>
      <c r="AT187" s="422">
        <v>0</v>
      </c>
      <c r="AU187" s="422">
        <v>0</v>
      </c>
      <c r="AV187" s="422">
        <v>0</v>
      </c>
      <c r="AW187" s="422">
        <v>0</v>
      </c>
      <c r="AX187" s="422">
        <v>0</v>
      </c>
      <c r="AY187" s="422">
        <v>0</v>
      </c>
      <c r="AZ187" s="422">
        <v>0</v>
      </c>
      <c r="BA187" s="422">
        <v>0</v>
      </c>
      <c r="BB187" s="422">
        <v>0</v>
      </c>
      <c r="BC187" s="422">
        <v>0</v>
      </c>
      <c r="BD187" s="422">
        <v>0</v>
      </c>
      <c r="BE187" s="422">
        <v>0</v>
      </c>
      <c r="BF187" s="422">
        <v>0</v>
      </c>
      <c r="BG187" s="422">
        <v>0</v>
      </c>
      <c r="BH187" s="422">
        <v>0</v>
      </c>
      <c r="BI187" s="422">
        <v>0</v>
      </c>
      <c r="BJ187" s="422">
        <v>0</v>
      </c>
      <c r="BK187" s="422">
        <v>0</v>
      </c>
      <c r="BL187" s="422">
        <v>0</v>
      </c>
      <c r="BM187" s="422">
        <v>0</v>
      </c>
      <c r="BN187" s="422">
        <v>0</v>
      </c>
      <c r="BO187" s="422">
        <v>0</v>
      </c>
      <c r="BP187" s="422">
        <v>0</v>
      </c>
      <c r="BQ187" s="422">
        <v>0</v>
      </c>
      <c r="BR187" s="422">
        <v>0</v>
      </c>
      <c r="BS187" s="422">
        <v>0</v>
      </c>
      <c r="BT187" s="422">
        <v>0</v>
      </c>
      <c r="BU187" s="422">
        <v>0</v>
      </c>
      <c r="BV187" s="422">
        <v>0</v>
      </c>
      <c r="BW187" s="422">
        <v>0</v>
      </c>
      <c r="BX187" s="422">
        <v>0</v>
      </c>
      <c r="BY187" s="422">
        <v>0</v>
      </c>
      <c r="BZ187" s="422">
        <v>0</v>
      </c>
      <c r="CC187" s="21"/>
      <c r="CD187" s="435" t="s">
        <v>722</v>
      </c>
      <c r="CE187" s="436">
        <f t="shared" si="30"/>
        <v>0</v>
      </c>
      <c r="CF187" s="436">
        <f t="shared" si="31"/>
        <v>0</v>
      </c>
      <c r="CG187" s="436">
        <f t="shared" si="32"/>
        <v>0</v>
      </c>
      <c r="CH187" s="436">
        <f t="shared" si="33"/>
        <v>0</v>
      </c>
      <c r="CI187" s="436">
        <f t="shared" si="34"/>
        <v>0</v>
      </c>
      <c r="CJ187" s="436">
        <f t="shared" si="35"/>
        <v>0</v>
      </c>
      <c r="CK187" s="436">
        <f t="shared" si="36"/>
        <v>0</v>
      </c>
      <c r="CL187" s="436">
        <f t="shared" si="37"/>
        <v>0</v>
      </c>
      <c r="CM187" s="436">
        <f t="shared" si="38"/>
        <v>0</v>
      </c>
      <c r="CN187" s="436">
        <f t="shared" si="39"/>
        <v>0</v>
      </c>
      <c r="CO187" s="436">
        <f t="shared" si="40"/>
        <v>0</v>
      </c>
      <c r="CP187" s="436">
        <f t="shared" si="41"/>
        <v>0</v>
      </c>
      <c r="CQ187" s="436">
        <f t="shared" si="42"/>
        <v>0</v>
      </c>
      <c r="CR187" s="436">
        <f t="shared" si="43"/>
        <v>0</v>
      </c>
      <c r="CS187" s="436">
        <f t="shared" si="44"/>
        <v>0</v>
      </c>
      <c r="CT187" s="21"/>
    </row>
    <row r="188" spans="3:98" ht="4.5" customHeight="1">
      <c r="D188" s="416">
        <v>0</v>
      </c>
      <c r="E188" s="416">
        <v>0</v>
      </c>
      <c r="F188" s="416">
        <v>0</v>
      </c>
      <c r="G188" s="416">
        <v>0</v>
      </c>
      <c r="H188" s="416">
        <v>0</v>
      </c>
      <c r="I188" s="416">
        <v>0</v>
      </c>
      <c r="J188" s="416">
        <v>0</v>
      </c>
      <c r="K188" s="416">
        <v>0</v>
      </c>
      <c r="L188" s="416">
        <v>0</v>
      </c>
      <c r="M188" s="416">
        <v>0</v>
      </c>
      <c r="N188" s="416">
        <v>0</v>
      </c>
      <c r="O188" s="416">
        <v>0</v>
      </c>
      <c r="P188" s="416">
        <v>0</v>
      </c>
      <c r="Q188" s="416">
        <v>0</v>
      </c>
      <c r="R188" s="416">
        <v>0</v>
      </c>
      <c r="S188" s="416">
        <v>0</v>
      </c>
      <c r="T188" s="416">
        <v>0</v>
      </c>
      <c r="U188" s="416">
        <v>0</v>
      </c>
      <c r="V188" s="416">
        <v>0</v>
      </c>
      <c r="W188" s="416">
        <v>0</v>
      </c>
      <c r="X188" s="416">
        <v>0</v>
      </c>
      <c r="Y188" s="416">
        <v>0</v>
      </c>
      <c r="Z188" s="416">
        <v>0</v>
      </c>
      <c r="AA188" s="416">
        <v>0</v>
      </c>
      <c r="AB188" s="416">
        <v>0</v>
      </c>
      <c r="AC188" s="416">
        <v>0</v>
      </c>
      <c r="AD188" s="416">
        <v>0</v>
      </c>
      <c r="AE188" s="416">
        <v>0</v>
      </c>
      <c r="AF188" s="416">
        <v>0</v>
      </c>
      <c r="AG188" s="416">
        <v>0</v>
      </c>
      <c r="AH188" s="416">
        <v>0</v>
      </c>
      <c r="AI188" s="416">
        <v>0</v>
      </c>
      <c r="AJ188" s="416">
        <v>0</v>
      </c>
      <c r="AK188" s="416">
        <v>0</v>
      </c>
      <c r="AL188" s="416">
        <v>0</v>
      </c>
      <c r="AM188" s="416">
        <v>0</v>
      </c>
      <c r="AN188" s="416">
        <v>0</v>
      </c>
      <c r="AO188" s="416">
        <v>0</v>
      </c>
      <c r="AP188" s="416">
        <v>0</v>
      </c>
      <c r="AQ188" s="416">
        <v>0</v>
      </c>
      <c r="AR188" s="416">
        <v>0</v>
      </c>
      <c r="AS188" s="416">
        <v>0</v>
      </c>
      <c r="AT188" s="416">
        <v>0</v>
      </c>
      <c r="AU188" s="416">
        <v>0</v>
      </c>
      <c r="AV188" s="416">
        <v>0</v>
      </c>
      <c r="AW188" s="416">
        <v>0</v>
      </c>
      <c r="AX188" s="416">
        <v>0</v>
      </c>
      <c r="AY188" s="416">
        <v>0</v>
      </c>
      <c r="AZ188" s="416">
        <v>0</v>
      </c>
      <c r="BA188" s="416">
        <v>0</v>
      </c>
      <c r="BB188" s="416">
        <v>0</v>
      </c>
      <c r="BC188" s="416">
        <v>0</v>
      </c>
      <c r="BD188" s="416">
        <v>0</v>
      </c>
      <c r="BE188" s="416">
        <v>0</v>
      </c>
      <c r="BF188" s="416">
        <v>0</v>
      </c>
      <c r="BG188" s="416">
        <v>0</v>
      </c>
      <c r="BH188" s="416">
        <v>0</v>
      </c>
      <c r="BI188" s="416">
        <v>0</v>
      </c>
      <c r="BJ188" s="416">
        <v>0</v>
      </c>
      <c r="BK188" s="416">
        <v>0</v>
      </c>
      <c r="BL188" s="416">
        <v>0</v>
      </c>
      <c r="BM188" s="416">
        <v>0</v>
      </c>
      <c r="BN188" s="416">
        <v>0</v>
      </c>
      <c r="BO188" s="416">
        <v>0</v>
      </c>
      <c r="BP188" s="416">
        <v>0</v>
      </c>
      <c r="BQ188" s="416">
        <v>0</v>
      </c>
      <c r="BR188" s="416">
        <v>0</v>
      </c>
      <c r="BS188" s="416">
        <v>0</v>
      </c>
      <c r="BT188" s="416">
        <v>0</v>
      </c>
      <c r="BU188" s="416">
        <v>0</v>
      </c>
      <c r="BV188" s="416">
        <v>0</v>
      </c>
      <c r="BW188" s="416">
        <v>0</v>
      </c>
      <c r="BX188" s="416">
        <v>0</v>
      </c>
      <c r="BY188" s="416">
        <v>0</v>
      </c>
      <c r="BZ188" s="416">
        <v>0</v>
      </c>
      <c r="CC188" s="21"/>
      <c r="CD188" s="58"/>
      <c r="CE188" s="433"/>
      <c r="CF188" s="433"/>
      <c r="CG188" s="433"/>
      <c r="CH188" s="433"/>
      <c r="CI188" s="433"/>
      <c r="CJ188" s="433"/>
      <c r="CK188" s="433"/>
      <c r="CL188" s="433"/>
      <c r="CM188" s="433"/>
      <c r="CN188" s="433"/>
      <c r="CO188" s="433"/>
      <c r="CP188" s="433"/>
      <c r="CQ188" s="433"/>
      <c r="CR188" s="433"/>
      <c r="CS188" s="433"/>
      <c r="CT188" s="21"/>
    </row>
    <row r="189" spans="3:98" ht="15">
      <c r="C189" s="421" t="s">
        <v>687</v>
      </c>
      <c r="D189" s="422">
        <v>0</v>
      </c>
      <c r="E189" s="422">
        <v>0</v>
      </c>
      <c r="F189" s="422">
        <v>0</v>
      </c>
      <c r="G189" s="422">
        <v>0</v>
      </c>
      <c r="H189" s="422">
        <v>0</v>
      </c>
      <c r="I189" s="422">
        <v>0</v>
      </c>
      <c r="J189" s="422">
        <v>0</v>
      </c>
      <c r="K189" s="422">
        <v>0</v>
      </c>
      <c r="L189" s="422">
        <v>0</v>
      </c>
      <c r="M189" s="422">
        <v>0</v>
      </c>
      <c r="N189" s="422">
        <v>0</v>
      </c>
      <c r="O189" s="422">
        <v>0</v>
      </c>
      <c r="P189" s="422">
        <v>0</v>
      </c>
      <c r="Q189" s="422">
        <v>0</v>
      </c>
      <c r="R189" s="422">
        <v>0</v>
      </c>
      <c r="S189" s="422">
        <v>0</v>
      </c>
      <c r="T189" s="422">
        <v>0</v>
      </c>
      <c r="U189" s="422">
        <v>0</v>
      </c>
      <c r="V189" s="422">
        <v>0</v>
      </c>
      <c r="W189" s="422">
        <v>0</v>
      </c>
      <c r="X189" s="422">
        <v>0</v>
      </c>
      <c r="Y189" s="422">
        <v>0</v>
      </c>
      <c r="Z189" s="422">
        <v>0</v>
      </c>
      <c r="AA189" s="422">
        <v>0</v>
      </c>
      <c r="AB189" s="422">
        <v>0</v>
      </c>
      <c r="AC189" s="422">
        <v>0</v>
      </c>
      <c r="AD189" s="422">
        <v>0</v>
      </c>
      <c r="AE189" s="422">
        <v>0</v>
      </c>
      <c r="AF189" s="422">
        <v>0</v>
      </c>
      <c r="AG189" s="422">
        <v>0</v>
      </c>
      <c r="AH189" s="422">
        <v>0</v>
      </c>
      <c r="AI189" s="422">
        <v>0</v>
      </c>
      <c r="AJ189" s="422">
        <v>0</v>
      </c>
      <c r="AK189" s="422">
        <v>0</v>
      </c>
      <c r="AL189" s="422">
        <v>0</v>
      </c>
      <c r="AM189" s="422">
        <v>0</v>
      </c>
      <c r="AN189" s="422">
        <v>0</v>
      </c>
      <c r="AO189" s="422">
        <v>0</v>
      </c>
      <c r="AP189" s="422">
        <v>0</v>
      </c>
      <c r="AQ189" s="422">
        <v>0</v>
      </c>
      <c r="AR189" s="422">
        <v>0</v>
      </c>
      <c r="AS189" s="422">
        <v>0</v>
      </c>
      <c r="AT189" s="422">
        <v>0</v>
      </c>
      <c r="AU189" s="422">
        <v>0</v>
      </c>
      <c r="AV189" s="422">
        <v>0</v>
      </c>
      <c r="AW189" s="422">
        <v>0</v>
      </c>
      <c r="AX189" s="422">
        <v>0</v>
      </c>
      <c r="AY189" s="422">
        <v>0</v>
      </c>
      <c r="AZ189" s="422">
        <v>0</v>
      </c>
      <c r="BA189" s="422">
        <v>0</v>
      </c>
      <c r="BB189" s="422">
        <v>0</v>
      </c>
      <c r="BC189" s="422">
        <v>0</v>
      </c>
      <c r="BD189" s="422">
        <v>0</v>
      </c>
      <c r="BE189" s="422">
        <v>0</v>
      </c>
      <c r="BF189" s="422">
        <v>-16.605</v>
      </c>
      <c r="BG189" s="422">
        <v>0.432</v>
      </c>
      <c r="BH189" s="422">
        <v>-1.667</v>
      </c>
      <c r="BI189" s="422">
        <v>3.206</v>
      </c>
      <c r="BJ189" s="422">
        <v>16.829999999999998</v>
      </c>
      <c r="BK189" s="422">
        <v>18.800999999999998</v>
      </c>
      <c r="BL189" s="422">
        <v>59.82</v>
      </c>
      <c r="BM189" s="422">
        <v>1374.856</v>
      </c>
      <c r="BN189" s="422">
        <v>1958.7349999999999</v>
      </c>
      <c r="BO189" s="422">
        <v>6582.6729999999998</v>
      </c>
      <c r="BP189" s="422">
        <v>9976.0840000000007</v>
      </c>
      <c r="BQ189" s="422">
        <v>-725.32399999999996</v>
      </c>
      <c r="BR189" s="422">
        <v>-2882.12</v>
      </c>
      <c r="BS189" s="422">
        <v>-598.47400000000005</v>
      </c>
      <c r="BT189" s="422">
        <v>-1632.6</v>
      </c>
      <c r="BU189" s="422">
        <v>-5838.518</v>
      </c>
      <c r="BV189" s="422">
        <v>460.12900000000002</v>
      </c>
      <c r="BW189" s="422">
        <v>-1602.3920000000001</v>
      </c>
      <c r="BX189" s="422">
        <v>-591.86500000000001</v>
      </c>
      <c r="BY189" s="422">
        <v>0</v>
      </c>
      <c r="BZ189" s="422">
        <v>0</v>
      </c>
      <c r="CC189" s="21"/>
      <c r="CD189" s="421" t="s">
        <v>687</v>
      </c>
      <c r="CE189" s="436">
        <f t="shared" si="30"/>
        <v>0</v>
      </c>
      <c r="CF189" s="436">
        <f t="shared" si="31"/>
        <v>0</v>
      </c>
      <c r="CG189" s="436">
        <f t="shared" si="32"/>
        <v>0</v>
      </c>
      <c r="CH189" s="436">
        <f t="shared" si="33"/>
        <v>0</v>
      </c>
      <c r="CI189" s="436">
        <f t="shared" si="34"/>
        <v>0</v>
      </c>
      <c r="CJ189" s="436">
        <f t="shared" si="35"/>
        <v>0</v>
      </c>
      <c r="CK189" s="436">
        <f t="shared" si="36"/>
        <v>0</v>
      </c>
      <c r="CL189" s="436">
        <f t="shared" si="37"/>
        <v>0</v>
      </c>
      <c r="CM189" s="436">
        <f t="shared" si="38"/>
        <v>0</v>
      </c>
      <c r="CN189" s="436">
        <f t="shared" si="39"/>
        <v>0</v>
      </c>
      <c r="CO189" s="436">
        <f t="shared" si="40"/>
        <v>-16.605</v>
      </c>
      <c r="CP189" s="436">
        <f t="shared" si="41"/>
        <v>18.800999999999998</v>
      </c>
      <c r="CQ189" s="436">
        <f t="shared" si="42"/>
        <v>9976.0840000000007</v>
      </c>
      <c r="CR189" s="436">
        <f t="shared" si="43"/>
        <v>-5838.518</v>
      </c>
      <c r="CS189" s="436">
        <f t="shared" si="44"/>
        <v>0</v>
      </c>
      <c r="CT189" s="21"/>
    </row>
    <row r="190" spans="3:98">
      <c r="D190" s="416"/>
      <c r="E190" s="416"/>
      <c r="F190" s="416"/>
      <c r="G190" s="416"/>
      <c r="H190" s="416"/>
      <c r="I190" s="416"/>
      <c r="J190" s="416"/>
      <c r="K190" s="416"/>
      <c r="L190" s="416"/>
      <c r="M190" s="416"/>
      <c r="N190" s="416"/>
      <c r="O190" s="416"/>
      <c r="P190" s="416"/>
      <c r="Q190" s="416"/>
      <c r="R190" s="416"/>
      <c r="S190" s="416"/>
      <c r="T190" s="416"/>
      <c r="U190" s="416"/>
      <c r="V190" s="416"/>
      <c r="W190" s="416"/>
      <c r="X190" s="416"/>
      <c r="Y190" s="416"/>
      <c r="Z190" s="416"/>
      <c r="AA190" s="416"/>
      <c r="AB190" s="416"/>
      <c r="AC190" s="416"/>
      <c r="AD190" s="416"/>
      <c r="AE190" s="416"/>
      <c r="AF190" s="416"/>
      <c r="AG190" s="416"/>
      <c r="AH190" s="416"/>
      <c r="AI190" s="416"/>
      <c r="AJ190" s="416"/>
      <c r="AK190" s="416"/>
      <c r="AL190" s="416"/>
      <c r="AM190" s="416"/>
      <c r="AN190" s="416"/>
      <c r="AO190" s="416"/>
      <c r="AP190" s="416"/>
      <c r="AQ190" s="416"/>
      <c r="AR190" s="416"/>
      <c r="AS190" s="416"/>
      <c r="AT190" s="416"/>
      <c r="AU190" s="416"/>
      <c r="AV190" s="416"/>
      <c r="AW190" s="416"/>
      <c r="AX190" s="416"/>
      <c r="AY190" s="416"/>
      <c r="AZ190" s="416"/>
      <c r="BA190" s="416"/>
      <c r="BB190" s="416"/>
      <c r="BC190" s="416"/>
      <c r="BD190" s="416"/>
      <c r="BE190" s="416"/>
      <c r="BF190" s="416"/>
      <c r="BG190" s="416"/>
      <c r="BH190" s="416"/>
      <c r="BI190" s="416"/>
      <c r="BJ190" s="416"/>
      <c r="BK190" s="416"/>
      <c r="BL190" s="416"/>
      <c r="BM190" s="416"/>
      <c r="BN190" s="416"/>
      <c r="BO190" s="416"/>
      <c r="BP190" s="416"/>
      <c r="BQ190" s="416"/>
      <c r="BR190" s="416"/>
      <c r="BS190" s="416"/>
      <c r="BT190" s="416"/>
      <c r="BU190" s="416"/>
      <c r="BV190" s="416"/>
      <c r="BW190" s="416"/>
      <c r="BX190" s="416"/>
      <c r="BY190" s="416"/>
      <c r="BZ190" s="416"/>
      <c r="CC190" s="21"/>
      <c r="CD190" s="58"/>
      <c r="CE190" s="433"/>
      <c r="CF190" s="433"/>
      <c r="CG190" s="433"/>
      <c r="CH190" s="433"/>
      <c r="CI190" s="433"/>
      <c r="CJ190" s="433"/>
      <c r="CK190" s="433"/>
      <c r="CL190" s="433"/>
      <c r="CM190" s="433"/>
      <c r="CN190" s="433"/>
      <c r="CO190" s="433"/>
      <c r="CP190" s="433"/>
      <c r="CQ190" s="433"/>
      <c r="CR190" s="433"/>
      <c r="CS190" s="433"/>
      <c r="CT190" s="21"/>
    </row>
    <row r="191" spans="3:98">
      <c r="C191" s="417" t="s">
        <v>723</v>
      </c>
      <c r="D191" s="416">
        <v>0</v>
      </c>
      <c r="E191" s="416">
        <v>0</v>
      </c>
      <c r="F191" s="416">
        <v>0</v>
      </c>
      <c r="G191" s="416">
        <v>0</v>
      </c>
      <c r="H191" s="416">
        <v>0</v>
      </c>
      <c r="I191" s="416">
        <v>0</v>
      </c>
      <c r="J191" s="416">
        <v>0</v>
      </c>
      <c r="K191" s="416">
        <v>0</v>
      </c>
      <c r="L191" s="416">
        <v>0</v>
      </c>
      <c r="M191" s="416">
        <v>0</v>
      </c>
      <c r="N191" s="416">
        <v>0</v>
      </c>
      <c r="O191" s="416">
        <v>0</v>
      </c>
      <c r="P191" s="416">
        <v>0</v>
      </c>
      <c r="Q191" s="416">
        <v>0</v>
      </c>
      <c r="R191" s="416">
        <v>0</v>
      </c>
      <c r="S191" s="416">
        <v>0</v>
      </c>
      <c r="T191" s="416">
        <v>0</v>
      </c>
      <c r="U191" s="416">
        <v>0</v>
      </c>
      <c r="V191" s="416">
        <v>0</v>
      </c>
      <c r="W191" s="416">
        <v>0</v>
      </c>
      <c r="X191" s="416">
        <v>0</v>
      </c>
      <c r="Y191" s="416">
        <v>0</v>
      </c>
      <c r="Z191" s="416">
        <v>0</v>
      </c>
      <c r="AA191" s="416">
        <v>0</v>
      </c>
      <c r="AB191" s="416">
        <v>0</v>
      </c>
      <c r="AC191" s="416">
        <v>0</v>
      </c>
      <c r="AD191" s="416">
        <v>0</v>
      </c>
      <c r="AE191" s="416">
        <v>0</v>
      </c>
      <c r="AF191" s="416">
        <v>0</v>
      </c>
      <c r="AG191" s="416">
        <v>0</v>
      </c>
      <c r="AH191" s="416">
        <v>0</v>
      </c>
      <c r="AI191" s="416">
        <v>0</v>
      </c>
      <c r="AJ191" s="416">
        <v>0</v>
      </c>
      <c r="AK191" s="416">
        <v>0</v>
      </c>
      <c r="AL191" s="416">
        <v>0</v>
      </c>
      <c r="AM191" s="416">
        <v>0</v>
      </c>
      <c r="AN191" s="416">
        <v>0</v>
      </c>
      <c r="AO191" s="416">
        <v>0</v>
      </c>
      <c r="AP191" s="416">
        <v>0</v>
      </c>
      <c r="AQ191" s="416">
        <v>0</v>
      </c>
      <c r="AR191" s="416">
        <v>0</v>
      </c>
      <c r="AS191" s="416">
        <v>0</v>
      </c>
      <c r="AT191" s="416">
        <v>0</v>
      </c>
      <c r="AU191" s="416">
        <v>0</v>
      </c>
      <c r="AV191" s="416">
        <v>0</v>
      </c>
      <c r="AW191" s="416">
        <v>0</v>
      </c>
      <c r="AX191" s="416">
        <v>0</v>
      </c>
      <c r="AY191" s="416">
        <v>0</v>
      </c>
      <c r="AZ191" s="416">
        <v>0</v>
      </c>
      <c r="BA191" s="416">
        <v>0</v>
      </c>
      <c r="BB191" s="416">
        <v>0</v>
      </c>
      <c r="BC191" s="416">
        <v>0</v>
      </c>
      <c r="BD191" s="416">
        <v>0</v>
      </c>
      <c r="BE191" s="416">
        <v>0</v>
      </c>
      <c r="BF191" s="416">
        <v>0</v>
      </c>
      <c r="BG191" s="416">
        <v>0</v>
      </c>
      <c r="BH191" s="416">
        <v>0</v>
      </c>
      <c r="BI191" s="416">
        <v>0</v>
      </c>
      <c r="BJ191" s="416">
        <v>0</v>
      </c>
      <c r="BK191" s="416">
        <v>0</v>
      </c>
      <c r="BL191" s="416">
        <v>0</v>
      </c>
      <c r="BM191" s="416">
        <v>0</v>
      </c>
      <c r="BN191" s="416">
        <v>0</v>
      </c>
      <c r="BO191" s="416">
        <v>0</v>
      </c>
      <c r="BP191" s="416">
        <v>0</v>
      </c>
      <c r="BQ191" s="416">
        <v>0</v>
      </c>
      <c r="BR191" s="416">
        <v>0</v>
      </c>
      <c r="BS191" s="416">
        <v>0</v>
      </c>
      <c r="BT191" s="416">
        <v>0</v>
      </c>
      <c r="BU191" s="416">
        <v>0</v>
      </c>
      <c r="BV191" s="416">
        <v>0</v>
      </c>
      <c r="BW191" s="416">
        <v>0</v>
      </c>
      <c r="BX191" s="416">
        <v>0</v>
      </c>
      <c r="BY191" s="416">
        <v>0</v>
      </c>
      <c r="BZ191" s="416">
        <v>0</v>
      </c>
      <c r="CC191" s="21"/>
      <c r="CD191" s="417" t="s">
        <v>723</v>
      </c>
      <c r="CE191" s="433">
        <f t="shared" si="30"/>
        <v>0</v>
      </c>
      <c r="CF191" s="433">
        <f t="shared" si="31"/>
        <v>0</v>
      </c>
      <c r="CG191" s="433">
        <f t="shared" si="32"/>
        <v>0</v>
      </c>
      <c r="CH191" s="433">
        <f t="shared" si="33"/>
        <v>0</v>
      </c>
      <c r="CI191" s="433">
        <f t="shared" si="34"/>
        <v>0</v>
      </c>
      <c r="CJ191" s="433">
        <f t="shared" si="35"/>
        <v>0</v>
      </c>
      <c r="CK191" s="433">
        <f t="shared" si="36"/>
        <v>0</v>
      </c>
      <c r="CL191" s="433">
        <f t="shared" si="37"/>
        <v>0</v>
      </c>
      <c r="CM191" s="433">
        <f t="shared" si="38"/>
        <v>0</v>
      </c>
      <c r="CN191" s="433">
        <f t="shared" si="39"/>
        <v>0</v>
      </c>
      <c r="CO191" s="433">
        <f t="shared" si="40"/>
        <v>0</v>
      </c>
      <c r="CP191" s="433">
        <f t="shared" si="41"/>
        <v>0</v>
      </c>
      <c r="CQ191" s="433">
        <f t="shared" si="42"/>
        <v>0</v>
      </c>
      <c r="CR191" s="433">
        <f t="shared" si="43"/>
        <v>0</v>
      </c>
      <c r="CS191" s="433">
        <f t="shared" si="44"/>
        <v>0</v>
      </c>
      <c r="CT191" s="21"/>
    </row>
    <row r="192" spans="3:98">
      <c r="C192" s="417" t="s">
        <v>724</v>
      </c>
      <c r="D192" s="416">
        <v>0</v>
      </c>
      <c r="E192" s="416">
        <v>0</v>
      </c>
      <c r="F192" s="416">
        <v>0</v>
      </c>
      <c r="G192" s="416">
        <v>0</v>
      </c>
      <c r="H192" s="416">
        <v>0</v>
      </c>
      <c r="I192" s="416">
        <v>0</v>
      </c>
      <c r="J192" s="416">
        <v>0</v>
      </c>
      <c r="K192" s="416">
        <v>0</v>
      </c>
      <c r="L192" s="416">
        <v>0</v>
      </c>
      <c r="M192" s="416">
        <v>0</v>
      </c>
      <c r="N192" s="416">
        <v>0</v>
      </c>
      <c r="O192" s="416">
        <v>0</v>
      </c>
      <c r="P192" s="416">
        <v>0</v>
      </c>
      <c r="Q192" s="416">
        <v>0</v>
      </c>
      <c r="R192" s="416">
        <v>0</v>
      </c>
      <c r="S192" s="416">
        <v>0</v>
      </c>
      <c r="T192" s="416">
        <v>0</v>
      </c>
      <c r="U192" s="416">
        <v>0</v>
      </c>
      <c r="V192" s="416">
        <v>0</v>
      </c>
      <c r="W192" s="416">
        <v>0</v>
      </c>
      <c r="X192" s="416">
        <v>0</v>
      </c>
      <c r="Y192" s="416">
        <v>0</v>
      </c>
      <c r="Z192" s="416">
        <v>0</v>
      </c>
      <c r="AA192" s="416">
        <v>0</v>
      </c>
      <c r="AB192" s="416">
        <v>0</v>
      </c>
      <c r="AC192" s="416">
        <v>0</v>
      </c>
      <c r="AD192" s="416">
        <v>0</v>
      </c>
      <c r="AE192" s="416">
        <v>0</v>
      </c>
      <c r="AF192" s="416">
        <v>0</v>
      </c>
      <c r="AG192" s="416">
        <v>0</v>
      </c>
      <c r="AH192" s="416">
        <v>0</v>
      </c>
      <c r="AI192" s="416">
        <v>0</v>
      </c>
      <c r="AJ192" s="416">
        <v>0</v>
      </c>
      <c r="AK192" s="416">
        <v>0</v>
      </c>
      <c r="AL192" s="416">
        <v>0</v>
      </c>
      <c r="AM192" s="416">
        <v>0</v>
      </c>
      <c r="AN192" s="416">
        <v>0</v>
      </c>
      <c r="AO192" s="416">
        <v>0</v>
      </c>
      <c r="AP192" s="416">
        <v>0</v>
      </c>
      <c r="AQ192" s="416">
        <v>0</v>
      </c>
      <c r="AR192" s="416">
        <v>0</v>
      </c>
      <c r="AS192" s="416">
        <v>0</v>
      </c>
      <c r="AT192" s="416">
        <v>0</v>
      </c>
      <c r="AU192" s="416">
        <v>0</v>
      </c>
      <c r="AV192" s="416">
        <v>0</v>
      </c>
      <c r="AW192" s="416">
        <v>0</v>
      </c>
      <c r="AX192" s="416">
        <v>0</v>
      </c>
      <c r="AY192" s="416">
        <v>0</v>
      </c>
      <c r="AZ192" s="416">
        <v>0</v>
      </c>
      <c r="BA192" s="416">
        <v>0</v>
      </c>
      <c r="BB192" s="416">
        <v>0</v>
      </c>
      <c r="BC192" s="416">
        <v>0</v>
      </c>
      <c r="BD192" s="416">
        <v>0</v>
      </c>
      <c r="BE192" s="416">
        <v>0</v>
      </c>
      <c r="BF192" s="416">
        <v>0</v>
      </c>
      <c r="BG192" s="416">
        <v>0</v>
      </c>
      <c r="BH192" s="416">
        <v>0</v>
      </c>
      <c r="BI192" s="416">
        <v>0</v>
      </c>
      <c r="BJ192" s="416">
        <v>0</v>
      </c>
      <c r="BK192" s="416">
        <v>0</v>
      </c>
      <c r="BL192" s="416">
        <v>0</v>
      </c>
      <c r="BM192" s="416">
        <v>0</v>
      </c>
      <c r="BN192" s="416">
        <v>0</v>
      </c>
      <c r="BO192" s="416">
        <v>0</v>
      </c>
      <c r="BP192" s="416">
        <v>0</v>
      </c>
      <c r="BQ192" s="416">
        <v>0</v>
      </c>
      <c r="BR192" s="416">
        <v>0</v>
      </c>
      <c r="BS192" s="416">
        <v>0</v>
      </c>
      <c r="BT192" s="416">
        <v>0</v>
      </c>
      <c r="BU192" s="416">
        <v>0</v>
      </c>
      <c r="BV192" s="416">
        <v>0</v>
      </c>
      <c r="BW192" s="416">
        <v>0</v>
      </c>
      <c r="BX192" s="416">
        <v>0</v>
      </c>
      <c r="BY192" s="416">
        <v>0</v>
      </c>
      <c r="BZ192" s="416">
        <v>0</v>
      </c>
      <c r="CC192" s="21"/>
      <c r="CD192" s="417" t="s">
        <v>724</v>
      </c>
      <c r="CE192" s="433">
        <f t="shared" si="30"/>
        <v>0</v>
      </c>
      <c r="CF192" s="433">
        <f t="shared" si="31"/>
        <v>0</v>
      </c>
      <c r="CG192" s="433">
        <f t="shared" si="32"/>
        <v>0</v>
      </c>
      <c r="CH192" s="433">
        <f t="shared" si="33"/>
        <v>0</v>
      </c>
      <c r="CI192" s="433">
        <f t="shared" si="34"/>
        <v>0</v>
      </c>
      <c r="CJ192" s="433">
        <f t="shared" si="35"/>
        <v>0</v>
      </c>
      <c r="CK192" s="433">
        <f t="shared" si="36"/>
        <v>0</v>
      </c>
      <c r="CL192" s="433">
        <f t="shared" si="37"/>
        <v>0</v>
      </c>
      <c r="CM192" s="433">
        <f t="shared" si="38"/>
        <v>0</v>
      </c>
      <c r="CN192" s="433">
        <f t="shared" si="39"/>
        <v>0</v>
      </c>
      <c r="CO192" s="433">
        <f t="shared" si="40"/>
        <v>0</v>
      </c>
      <c r="CP192" s="433">
        <f t="shared" si="41"/>
        <v>0</v>
      </c>
      <c r="CQ192" s="433">
        <f t="shared" si="42"/>
        <v>0</v>
      </c>
      <c r="CR192" s="433">
        <f t="shared" si="43"/>
        <v>0</v>
      </c>
      <c r="CS192" s="433">
        <f t="shared" si="44"/>
        <v>0</v>
      </c>
      <c r="CT192" s="21"/>
    </row>
    <row r="193" spans="3:98" ht="4.5" customHeight="1">
      <c r="D193" s="416">
        <v>0</v>
      </c>
      <c r="E193" s="416">
        <v>0</v>
      </c>
      <c r="F193" s="416">
        <v>0</v>
      </c>
      <c r="G193" s="416">
        <v>0</v>
      </c>
      <c r="H193" s="416">
        <v>0</v>
      </c>
      <c r="I193" s="416">
        <v>0</v>
      </c>
      <c r="J193" s="416">
        <v>0</v>
      </c>
      <c r="K193" s="416">
        <v>0</v>
      </c>
      <c r="L193" s="416">
        <v>0</v>
      </c>
      <c r="M193" s="416">
        <v>0</v>
      </c>
      <c r="N193" s="416">
        <v>0</v>
      </c>
      <c r="O193" s="416">
        <v>0</v>
      </c>
      <c r="P193" s="416">
        <v>0</v>
      </c>
      <c r="Q193" s="416">
        <v>0</v>
      </c>
      <c r="R193" s="416">
        <v>0</v>
      </c>
      <c r="S193" s="416">
        <v>0</v>
      </c>
      <c r="T193" s="416">
        <v>0</v>
      </c>
      <c r="U193" s="416">
        <v>0</v>
      </c>
      <c r="V193" s="416">
        <v>0</v>
      </c>
      <c r="W193" s="416">
        <v>0</v>
      </c>
      <c r="X193" s="416">
        <v>0</v>
      </c>
      <c r="Y193" s="416">
        <v>0</v>
      </c>
      <c r="Z193" s="416">
        <v>0</v>
      </c>
      <c r="AA193" s="416">
        <v>0</v>
      </c>
      <c r="AB193" s="416">
        <v>0</v>
      </c>
      <c r="AC193" s="416">
        <v>0</v>
      </c>
      <c r="AD193" s="416">
        <v>0</v>
      </c>
      <c r="AE193" s="416">
        <v>0</v>
      </c>
      <c r="AF193" s="416">
        <v>0</v>
      </c>
      <c r="AG193" s="416">
        <v>0</v>
      </c>
      <c r="AH193" s="416">
        <v>0</v>
      </c>
      <c r="AI193" s="416">
        <v>0</v>
      </c>
      <c r="AJ193" s="416">
        <v>0</v>
      </c>
      <c r="AK193" s="416">
        <v>0</v>
      </c>
      <c r="AL193" s="416">
        <v>0</v>
      </c>
      <c r="AM193" s="416">
        <v>0</v>
      </c>
      <c r="AN193" s="416">
        <v>0</v>
      </c>
      <c r="AO193" s="416">
        <v>0</v>
      </c>
      <c r="AP193" s="416">
        <v>0</v>
      </c>
      <c r="AQ193" s="416">
        <v>0</v>
      </c>
      <c r="AR193" s="416">
        <v>0</v>
      </c>
      <c r="AS193" s="416">
        <v>0</v>
      </c>
      <c r="AT193" s="416">
        <v>0</v>
      </c>
      <c r="AU193" s="416">
        <v>0</v>
      </c>
      <c r="AV193" s="416">
        <v>0</v>
      </c>
      <c r="AW193" s="416">
        <v>0</v>
      </c>
      <c r="AX193" s="416">
        <v>0</v>
      </c>
      <c r="AY193" s="416">
        <v>0</v>
      </c>
      <c r="AZ193" s="416">
        <v>0</v>
      </c>
      <c r="BA193" s="416">
        <v>0</v>
      </c>
      <c r="BB193" s="416">
        <v>0</v>
      </c>
      <c r="BC193" s="416">
        <v>0</v>
      </c>
      <c r="BD193" s="416">
        <v>0</v>
      </c>
      <c r="BE193" s="416">
        <v>0</v>
      </c>
      <c r="BF193" s="416">
        <v>0</v>
      </c>
      <c r="BG193" s="416">
        <v>0</v>
      </c>
      <c r="BH193" s="416">
        <v>0</v>
      </c>
      <c r="BI193" s="416">
        <v>0</v>
      </c>
      <c r="BJ193" s="416">
        <v>0</v>
      </c>
      <c r="BK193" s="416">
        <v>0</v>
      </c>
      <c r="BL193" s="416">
        <v>0</v>
      </c>
      <c r="BM193" s="416">
        <v>0</v>
      </c>
      <c r="BN193" s="416">
        <v>0</v>
      </c>
      <c r="BO193" s="416">
        <v>0</v>
      </c>
      <c r="BP193" s="416">
        <v>0</v>
      </c>
      <c r="BQ193" s="416">
        <v>0</v>
      </c>
      <c r="BR193" s="416">
        <v>0</v>
      </c>
      <c r="BS193" s="416">
        <v>0</v>
      </c>
      <c r="BT193" s="416">
        <v>0</v>
      </c>
      <c r="BU193" s="416">
        <v>0</v>
      </c>
      <c r="BV193" s="416">
        <v>0</v>
      </c>
      <c r="BW193" s="416">
        <v>0</v>
      </c>
      <c r="BX193" s="416">
        <v>0</v>
      </c>
      <c r="BY193" s="416">
        <v>0</v>
      </c>
      <c r="BZ193" s="416">
        <v>0</v>
      </c>
      <c r="CC193" s="21"/>
      <c r="CD193" s="58"/>
      <c r="CE193" s="433">
        <f t="shared" si="30"/>
        <v>0</v>
      </c>
      <c r="CF193" s="433">
        <f t="shared" si="31"/>
        <v>0</v>
      </c>
      <c r="CG193" s="433">
        <f t="shared" si="32"/>
        <v>0</v>
      </c>
      <c r="CH193" s="433">
        <f t="shared" si="33"/>
        <v>0</v>
      </c>
      <c r="CI193" s="433">
        <f t="shared" si="34"/>
        <v>0</v>
      </c>
      <c r="CJ193" s="433">
        <f t="shared" si="35"/>
        <v>0</v>
      </c>
      <c r="CK193" s="433">
        <f t="shared" si="36"/>
        <v>0</v>
      </c>
      <c r="CL193" s="433">
        <f t="shared" si="37"/>
        <v>0</v>
      </c>
      <c r="CM193" s="433">
        <f t="shared" si="38"/>
        <v>0</v>
      </c>
      <c r="CN193" s="433">
        <f t="shared" si="39"/>
        <v>0</v>
      </c>
      <c r="CO193" s="433">
        <f t="shared" si="40"/>
        <v>0</v>
      </c>
      <c r="CP193" s="433">
        <f t="shared" si="41"/>
        <v>0</v>
      </c>
      <c r="CQ193" s="433">
        <f t="shared" si="42"/>
        <v>0</v>
      </c>
      <c r="CR193" s="433">
        <f t="shared" si="43"/>
        <v>0</v>
      </c>
      <c r="CS193" s="433">
        <f t="shared" si="44"/>
        <v>0</v>
      </c>
      <c r="CT193" s="21"/>
    </row>
    <row r="194" spans="3:98">
      <c r="C194" s="417" t="s">
        <v>726</v>
      </c>
      <c r="D194" s="416">
        <v>0</v>
      </c>
      <c r="E194" s="416">
        <v>0</v>
      </c>
      <c r="F194" s="416">
        <v>0</v>
      </c>
      <c r="G194" s="416">
        <v>0</v>
      </c>
      <c r="H194" s="416">
        <v>0</v>
      </c>
      <c r="I194" s="416">
        <v>0</v>
      </c>
      <c r="J194" s="416">
        <v>0</v>
      </c>
      <c r="K194" s="416">
        <v>0</v>
      </c>
      <c r="L194" s="416">
        <v>0</v>
      </c>
      <c r="M194" s="416">
        <v>0</v>
      </c>
      <c r="N194" s="416">
        <v>0</v>
      </c>
      <c r="O194" s="416">
        <v>0</v>
      </c>
      <c r="P194" s="416">
        <v>0</v>
      </c>
      <c r="Q194" s="416">
        <v>0</v>
      </c>
      <c r="R194" s="416">
        <v>0</v>
      </c>
      <c r="S194" s="416">
        <v>0</v>
      </c>
      <c r="T194" s="416">
        <v>0</v>
      </c>
      <c r="U194" s="416">
        <v>0</v>
      </c>
      <c r="V194" s="416">
        <v>0</v>
      </c>
      <c r="W194" s="416">
        <v>0</v>
      </c>
      <c r="X194" s="416">
        <v>0</v>
      </c>
      <c r="Y194" s="416">
        <v>0</v>
      </c>
      <c r="Z194" s="416">
        <v>0</v>
      </c>
      <c r="AA194" s="416">
        <v>0</v>
      </c>
      <c r="AB194" s="416">
        <v>0</v>
      </c>
      <c r="AC194" s="416">
        <v>0</v>
      </c>
      <c r="AD194" s="416">
        <v>0</v>
      </c>
      <c r="AE194" s="416">
        <v>0</v>
      </c>
      <c r="AF194" s="416">
        <v>0</v>
      </c>
      <c r="AG194" s="416">
        <v>0</v>
      </c>
      <c r="AH194" s="416">
        <v>0</v>
      </c>
      <c r="AI194" s="416">
        <v>0</v>
      </c>
      <c r="AJ194" s="416">
        <v>0</v>
      </c>
      <c r="AK194" s="416">
        <v>0</v>
      </c>
      <c r="AL194" s="416">
        <v>0</v>
      </c>
      <c r="AM194" s="416">
        <v>0</v>
      </c>
      <c r="AN194" s="416">
        <v>0</v>
      </c>
      <c r="AO194" s="416">
        <v>0</v>
      </c>
      <c r="AP194" s="416">
        <v>0</v>
      </c>
      <c r="AQ194" s="416">
        <v>0</v>
      </c>
      <c r="AR194" s="416">
        <v>0</v>
      </c>
      <c r="AS194" s="416">
        <v>0</v>
      </c>
      <c r="AT194" s="416">
        <v>0</v>
      </c>
      <c r="AU194" s="416">
        <v>0</v>
      </c>
      <c r="AV194" s="416">
        <v>0</v>
      </c>
      <c r="AW194" s="416">
        <v>0</v>
      </c>
      <c r="AX194" s="416">
        <v>0</v>
      </c>
      <c r="AY194" s="416">
        <v>0</v>
      </c>
      <c r="AZ194" s="416">
        <v>0</v>
      </c>
      <c r="BA194" s="416">
        <v>0</v>
      </c>
      <c r="BB194" s="416">
        <v>0</v>
      </c>
      <c r="BC194" s="416">
        <v>0</v>
      </c>
      <c r="BD194" s="416">
        <v>0</v>
      </c>
      <c r="BE194" s="416">
        <v>0</v>
      </c>
      <c r="BF194" s="416">
        <v>-202.55199999999999</v>
      </c>
      <c r="BG194" s="416">
        <v>465.19099999999997</v>
      </c>
      <c r="BH194" s="416">
        <v>171.76599999999999</v>
      </c>
      <c r="BI194" s="416">
        <v>240.70400000000001</v>
      </c>
      <c r="BJ194" s="416">
        <v>2196.0320000000002</v>
      </c>
      <c r="BK194" s="416">
        <v>3073.6930000000002</v>
      </c>
      <c r="BL194" s="416">
        <v>3433.6750000000002</v>
      </c>
      <c r="BM194" s="416">
        <v>5057.9170000000004</v>
      </c>
      <c r="BN194" s="416">
        <v>1994.115</v>
      </c>
      <c r="BO194" s="416">
        <v>2403.8090000000002</v>
      </c>
      <c r="BP194" s="416">
        <v>12889.516</v>
      </c>
      <c r="BQ194" s="416">
        <v>-1508.271</v>
      </c>
      <c r="BR194" s="416">
        <v>-3160.2809999999999</v>
      </c>
      <c r="BS194" s="416">
        <v>-1015.047</v>
      </c>
      <c r="BT194" s="416">
        <v>-2404.16</v>
      </c>
      <c r="BU194" s="416">
        <v>-8087.759</v>
      </c>
      <c r="BV194" s="416">
        <v>897.12699999999995</v>
      </c>
      <c r="BW194" s="416">
        <v>-1437.942</v>
      </c>
      <c r="BX194" s="416">
        <v>-350.29300000000001</v>
      </c>
      <c r="BY194" s="416">
        <v>0</v>
      </c>
      <c r="BZ194" s="416">
        <v>0</v>
      </c>
      <c r="CC194" s="21"/>
      <c r="CD194" s="417" t="s">
        <v>726</v>
      </c>
      <c r="CE194" s="433">
        <f t="shared" si="30"/>
        <v>0</v>
      </c>
      <c r="CF194" s="433">
        <f t="shared" si="31"/>
        <v>0</v>
      </c>
      <c r="CG194" s="433">
        <f t="shared" si="32"/>
        <v>0</v>
      </c>
      <c r="CH194" s="433">
        <f t="shared" si="33"/>
        <v>0</v>
      </c>
      <c r="CI194" s="433">
        <f t="shared" si="34"/>
        <v>0</v>
      </c>
      <c r="CJ194" s="433">
        <f t="shared" si="35"/>
        <v>0</v>
      </c>
      <c r="CK194" s="433">
        <f t="shared" si="36"/>
        <v>0</v>
      </c>
      <c r="CL194" s="433">
        <f t="shared" si="37"/>
        <v>0</v>
      </c>
      <c r="CM194" s="433">
        <f t="shared" si="38"/>
        <v>0</v>
      </c>
      <c r="CN194" s="433">
        <f t="shared" si="39"/>
        <v>0</v>
      </c>
      <c r="CO194" s="433">
        <f t="shared" si="40"/>
        <v>-202.55199999999999</v>
      </c>
      <c r="CP194" s="433">
        <f t="shared" si="41"/>
        <v>3073.6930000000002</v>
      </c>
      <c r="CQ194" s="433">
        <f t="shared" si="42"/>
        <v>12889.516</v>
      </c>
      <c r="CR194" s="433">
        <f t="shared" si="43"/>
        <v>-8087.759</v>
      </c>
      <c r="CS194" s="433">
        <f t="shared" si="44"/>
        <v>0</v>
      </c>
      <c r="CT194" s="21"/>
    </row>
    <row r="195" spans="3:98">
      <c r="C195" s="417" t="s">
        <v>727</v>
      </c>
      <c r="D195" s="416">
        <v>0</v>
      </c>
      <c r="E195" s="416">
        <v>0</v>
      </c>
      <c r="F195" s="416">
        <v>0</v>
      </c>
      <c r="G195" s="416">
        <v>0</v>
      </c>
      <c r="H195" s="416">
        <v>0</v>
      </c>
      <c r="I195" s="416">
        <v>0</v>
      </c>
      <c r="J195" s="416">
        <v>0</v>
      </c>
      <c r="K195" s="416">
        <v>0</v>
      </c>
      <c r="L195" s="416">
        <v>0</v>
      </c>
      <c r="M195" s="416">
        <v>0</v>
      </c>
      <c r="N195" s="416">
        <v>0</v>
      </c>
      <c r="O195" s="416">
        <v>0</v>
      </c>
      <c r="P195" s="416">
        <v>0</v>
      </c>
      <c r="Q195" s="416">
        <v>0</v>
      </c>
      <c r="R195" s="416">
        <v>0</v>
      </c>
      <c r="S195" s="416">
        <v>0</v>
      </c>
      <c r="T195" s="416">
        <v>0</v>
      </c>
      <c r="U195" s="416">
        <v>0</v>
      </c>
      <c r="V195" s="416">
        <v>0</v>
      </c>
      <c r="W195" s="416">
        <v>0</v>
      </c>
      <c r="X195" s="416">
        <v>0</v>
      </c>
      <c r="Y195" s="416">
        <v>0</v>
      </c>
      <c r="Z195" s="416">
        <v>0</v>
      </c>
      <c r="AA195" s="416">
        <v>0</v>
      </c>
      <c r="AB195" s="416">
        <v>0</v>
      </c>
      <c r="AC195" s="416">
        <v>0</v>
      </c>
      <c r="AD195" s="416">
        <v>0</v>
      </c>
      <c r="AE195" s="416">
        <v>0</v>
      </c>
      <c r="AF195" s="416">
        <v>0</v>
      </c>
      <c r="AG195" s="416">
        <v>0</v>
      </c>
      <c r="AH195" s="416">
        <v>0</v>
      </c>
      <c r="AI195" s="416">
        <v>0</v>
      </c>
      <c r="AJ195" s="416">
        <v>0</v>
      </c>
      <c r="AK195" s="416">
        <v>0</v>
      </c>
      <c r="AL195" s="416">
        <v>0</v>
      </c>
      <c r="AM195" s="416">
        <v>0</v>
      </c>
      <c r="AN195" s="416">
        <v>0</v>
      </c>
      <c r="AO195" s="416">
        <v>0</v>
      </c>
      <c r="AP195" s="416">
        <v>0</v>
      </c>
      <c r="AQ195" s="416">
        <v>0</v>
      </c>
      <c r="AR195" s="416">
        <v>0</v>
      </c>
      <c r="AS195" s="416">
        <v>0</v>
      </c>
      <c r="AT195" s="416">
        <v>0</v>
      </c>
      <c r="AU195" s="416">
        <v>0</v>
      </c>
      <c r="AV195" s="416">
        <v>0</v>
      </c>
      <c r="AW195" s="416">
        <v>0</v>
      </c>
      <c r="AX195" s="416">
        <v>0</v>
      </c>
      <c r="AY195" s="416">
        <v>0</v>
      </c>
      <c r="AZ195" s="416">
        <v>0</v>
      </c>
      <c r="BA195" s="416">
        <v>0</v>
      </c>
      <c r="BB195" s="416">
        <v>0</v>
      </c>
      <c r="BC195" s="416">
        <v>0</v>
      </c>
      <c r="BD195" s="416">
        <v>0</v>
      </c>
      <c r="BE195" s="416">
        <v>0</v>
      </c>
      <c r="BF195" s="416">
        <v>-0.17</v>
      </c>
      <c r="BG195" s="416">
        <v>-10.875</v>
      </c>
      <c r="BH195" s="416">
        <v>6.9420000000000002</v>
      </c>
      <c r="BI195" s="416">
        <v>-14.185</v>
      </c>
      <c r="BJ195" s="416">
        <v>16.036999999999999</v>
      </c>
      <c r="BK195" s="416">
        <v>-2.081</v>
      </c>
      <c r="BL195" s="416">
        <v>16.231000000000002</v>
      </c>
      <c r="BM195" s="416">
        <v>-5.2160000000000002</v>
      </c>
      <c r="BN195" s="416">
        <v>-12.125999999999999</v>
      </c>
      <c r="BO195" s="416">
        <v>-63.771999999999998</v>
      </c>
      <c r="BP195" s="416">
        <v>-64.882999999999996</v>
      </c>
      <c r="BQ195" s="416">
        <v>-5.5069999999999997</v>
      </c>
      <c r="BR195" s="416">
        <v>-114.425</v>
      </c>
      <c r="BS195" s="416">
        <v>-256.32900000000001</v>
      </c>
      <c r="BT195" s="416">
        <v>213.00399999999999</v>
      </c>
      <c r="BU195" s="416">
        <v>-163.25700000000001</v>
      </c>
      <c r="BV195" s="416">
        <v>11.377000000000001</v>
      </c>
      <c r="BW195" s="416">
        <v>-15.747</v>
      </c>
      <c r="BX195" s="416">
        <v>-22.983000000000001</v>
      </c>
      <c r="BY195" s="416">
        <v>0</v>
      </c>
      <c r="BZ195" s="416">
        <v>0</v>
      </c>
      <c r="CC195" s="21"/>
      <c r="CD195" s="417" t="s">
        <v>727</v>
      </c>
      <c r="CE195" s="433">
        <f t="shared" si="30"/>
        <v>0</v>
      </c>
      <c r="CF195" s="433">
        <f t="shared" si="31"/>
        <v>0</v>
      </c>
      <c r="CG195" s="433">
        <f t="shared" si="32"/>
        <v>0</v>
      </c>
      <c r="CH195" s="433">
        <f t="shared" si="33"/>
        <v>0</v>
      </c>
      <c r="CI195" s="433">
        <f t="shared" si="34"/>
        <v>0</v>
      </c>
      <c r="CJ195" s="433">
        <f t="shared" si="35"/>
        <v>0</v>
      </c>
      <c r="CK195" s="433">
        <f t="shared" si="36"/>
        <v>0</v>
      </c>
      <c r="CL195" s="433">
        <f t="shared" si="37"/>
        <v>0</v>
      </c>
      <c r="CM195" s="433">
        <f t="shared" si="38"/>
        <v>0</v>
      </c>
      <c r="CN195" s="433">
        <f t="shared" si="39"/>
        <v>0</v>
      </c>
      <c r="CO195" s="433">
        <f t="shared" si="40"/>
        <v>-0.17</v>
      </c>
      <c r="CP195" s="433">
        <f t="shared" si="41"/>
        <v>-2.081</v>
      </c>
      <c r="CQ195" s="433">
        <f t="shared" si="42"/>
        <v>-64.882999999999996</v>
      </c>
      <c r="CR195" s="433">
        <f t="shared" si="43"/>
        <v>-163.25700000000001</v>
      </c>
      <c r="CS195" s="433">
        <f t="shared" si="44"/>
        <v>0</v>
      </c>
      <c r="CT195" s="21"/>
    </row>
    <row r="196" spans="3:98">
      <c r="C196" s="417" t="s">
        <v>728</v>
      </c>
      <c r="D196" s="416">
        <v>0</v>
      </c>
      <c r="E196" s="416">
        <v>0</v>
      </c>
      <c r="F196" s="416">
        <v>0</v>
      </c>
      <c r="G196" s="416">
        <v>0</v>
      </c>
      <c r="H196" s="416">
        <v>0</v>
      </c>
      <c r="I196" s="416">
        <v>0</v>
      </c>
      <c r="J196" s="416">
        <v>0</v>
      </c>
      <c r="K196" s="416">
        <v>0</v>
      </c>
      <c r="L196" s="416">
        <v>0</v>
      </c>
      <c r="M196" s="416">
        <v>0</v>
      </c>
      <c r="N196" s="416">
        <v>0</v>
      </c>
      <c r="O196" s="416">
        <v>0</v>
      </c>
      <c r="P196" s="416">
        <v>0</v>
      </c>
      <c r="Q196" s="416">
        <v>0</v>
      </c>
      <c r="R196" s="416">
        <v>0</v>
      </c>
      <c r="S196" s="416">
        <v>0</v>
      </c>
      <c r="T196" s="416">
        <v>0</v>
      </c>
      <c r="U196" s="416">
        <v>0</v>
      </c>
      <c r="V196" s="416">
        <v>0</v>
      </c>
      <c r="W196" s="416">
        <v>0</v>
      </c>
      <c r="X196" s="416">
        <v>0</v>
      </c>
      <c r="Y196" s="416">
        <v>0</v>
      </c>
      <c r="Z196" s="416">
        <v>0</v>
      </c>
      <c r="AA196" s="416">
        <v>0</v>
      </c>
      <c r="AB196" s="416">
        <v>0</v>
      </c>
      <c r="AC196" s="416">
        <v>0</v>
      </c>
      <c r="AD196" s="416">
        <v>0</v>
      </c>
      <c r="AE196" s="416">
        <v>0</v>
      </c>
      <c r="AF196" s="416">
        <v>0</v>
      </c>
      <c r="AG196" s="416">
        <v>0</v>
      </c>
      <c r="AH196" s="416">
        <v>0</v>
      </c>
      <c r="AI196" s="416">
        <v>0</v>
      </c>
      <c r="AJ196" s="416">
        <v>0</v>
      </c>
      <c r="AK196" s="416">
        <v>0</v>
      </c>
      <c r="AL196" s="416">
        <v>0</v>
      </c>
      <c r="AM196" s="416">
        <v>0</v>
      </c>
      <c r="AN196" s="416">
        <v>0</v>
      </c>
      <c r="AO196" s="416">
        <v>0</v>
      </c>
      <c r="AP196" s="416">
        <v>0</v>
      </c>
      <c r="AQ196" s="416">
        <v>0</v>
      </c>
      <c r="AR196" s="416">
        <v>0</v>
      </c>
      <c r="AS196" s="416">
        <v>0</v>
      </c>
      <c r="AT196" s="416">
        <v>0</v>
      </c>
      <c r="AU196" s="416">
        <v>0</v>
      </c>
      <c r="AV196" s="416">
        <v>0</v>
      </c>
      <c r="AW196" s="416">
        <v>0</v>
      </c>
      <c r="AX196" s="416">
        <v>0</v>
      </c>
      <c r="AY196" s="416">
        <v>0</v>
      </c>
      <c r="AZ196" s="416">
        <v>0</v>
      </c>
      <c r="BA196" s="416">
        <v>0</v>
      </c>
      <c r="BB196" s="416">
        <v>0</v>
      </c>
      <c r="BC196" s="416">
        <v>0</v>
      </c>
      <c r="BD196" s="416">
        <v>0</v>
      </c>
      <c r="BE196" s="416">
        <v>0</v>
      </c>
      <c r="BF196" s="416">
        <v>0</v>
      </c>
      <c r="BG196" s="416">
        <v>0</v>
      </c>
      <c r="BH196" s="416">
        <v>0</v>
      </c>
      <c r="BI196" s="416">
        <v>0</v>
      </c>
      <c r="BJ196" s="416">
        <v>0</v>
      </c>
      <c r="BK196" s="416">
        <v>0</v>
      </c>
      <c r="BL196" s="416">
        <v>0</v>
      </c>
      <c r="BM196" s="416">
        <v>0</v>
      </c>
      <c r="BN196" s="416">
        <v>0</v>
      </c>
      <c r="BO196" s="416">
        <v>0</v>
      </c>
      <c r="BP196" s="416">
        <v>0</v>
      </c>
      <c r="BQ196" s="416">
        <v>0</v>
      </c>
      <c r="BR196" s="416">
        <v>0</v>
      </c>
      <c r="BS196" s="416">
        <v>0</v>
      </c>
      <c r="BT196" s="416">
        <v>0</v>
      </c>
      <c r="BU196" s="416">
        <v>0</v>
      </c>
      <c r="BV196" s="416">
        <v>0</v>
      </c>
      <c r="BW196" s="416">
        <v>0</v>
      </c>
      <c r="BX196" s="416">
        <v>0</v>
      </c>
      <c r="BY196" s="416">
        <v>0</v>
      </c>
      <c r="BZ196" s="416">
        <v>0</v>
      </c>
      <c r="CC196" s="21"/>
      <c r="CD196" s="417" t="s">
        <v>728</v>
      </c>
      <c r="CE196" s="433">
        <f t="shared" si="30"/>
        <v>0</v>
      </c>
      <c r="CF196" s="433">
        <f t="shared" si="31"/>
        <v>0</v>
      </c>
      <c r="CG196" s="433">
        <f t="shared" si="32"/>
        <v>0</v>
      </c>
      <c r="CH196" s="433">
        <f t="shared" si="33"/>
        <v>0</v>
      </c>
      <c r="CI196" s="433">
        <f t="shared" si="34"/>
        <v>0</v>
      </c>
      <c r="CJ196" s="433">
        <f t="shared" si="35"/>
        <v>0</v>
      </c>
      <c r="CK196" s="433">
        <f t="shared" si="36"/>
        <v>0</v>
      </c>
      <c r="CL196" s="433">
        <f t="shared" si="37"/>
        <v>0</v>
      </c>
      <c r="CM196" s="433">
        <f t="shared" si="38"/>
        <v>0</v>
      </c>
      <c r="CN196" s="433">
        <f t="shared" si="39"/>
        <v>0</v>
      </c>
      <c r="CO196" s="433">
        <f t="shared" si="40"/>
        <v>0</v>
      </c>
      <c r="CP196" s="433">
        <f t="shared" si="41"/>
        <v>0</v>
      </c>
      <c r="CQ196" s="433">
        <f t="shared" si="42"/>
        <v>0</v>
      </c>
      <c r="CR196" s="433">
        <f t="shared" si="43"/>
        <v>0</v>
      </c>
      <c r="CS196" s="433">
        <f t="shared" si="44"/>
        <v>0</v>
      </c>
      <c r="CT196" s="21"/>
    </row>
    <row r="197" spans="3:98">
      <c r="C197" s="417" t="s">
        <v>729</v>
      </c>
      <c r="D197" s="416">
        <v>0</v>
      </c>
      <c r="E197" s="416">
        <v>0</v>
      </c>
      <c r="F197" s="416">
        <v>0</v>
      </c>
      <c r="G197" s="416">
        <v>0</v>
      </c>
      <c r="H197" s="416">
        <v>0</v>
      </c>
      <c r="I197" s="416">
        <v>0</v>
      </c>
      <c r="J197" s="416">
        <v>0</v>
      </c>
      <c r="K197" s="416">
        <v>0</v>
      </c>
      <c r="L197" s="416">
        <v>0</v>
      </c>
      <c r="M197" s="416">
        <v>0</v>
      </c>
      <c r="N197" s="416">
        <v>0</v>
      </c>
      <c r="O197" s="416">
        <v>0</v>
      </c>
      <c r="P197" s="416">
        <v>0</v>
      </c>
      <c r="Q197" s="416">
        <v>0</v>
      </c>
      <c r="R197" s="416">
        <v>0</v>
      </c>
      <c r="S197" s="416">
        <v>0</v>
      </c>
      <c r="T197" s="416">
        <v>0</v>
      </c>
      <c r="U197" s="416">
        <v>0</v>
      </c>
      <c r="V197" s="416">
        <v>0</v>
      </c>
      <c r="W197" s="416">
        <v>0</v>
      </c>
      <c r="X197" s="416">
        <v>0</v>
      </c>
      <c r="Y197" s="416">
        <v>0</v>
      </c>
      <c r="Z197" s="416">
        <v>0</v>
      </c>
      <c r="AA197" s="416">
        <v>0</v>
      </c>
      <c r="AB197" s="416">
        <v>0</v>
      </c>
      <c r="AC197" s="416">
        <v>0</v>
      </c>
      <c r="AD197" s="416">
        <v>0</v>
      </c>
      <c r="AE197" s="416">
        <v>0</v>
      </c>
      <c r="AF197" s="416">
        <v>0</v>
      </c>
      <c r="AG197" s="416">
        <v>0</v>
      </c>
      <c r="AH197" s="416">
        <v>0</v>
      </c>
      <c r="AI197" s="416">
        <v>0</v>
      </c>
      <c r="AJ197" s="416">
        <v>0</v>
      </c>
      <c r="AK197" s="416">
        <v>0</v>
      </c>
      <c r="AL197" s="416">
        <v>0</v>
      </c>
      <c r="AM197" s="416">
        <v>0</v>
      </c>
      <c r="AN197" s="416">
        <v>0</v>
      </c>
      <c r="AO197" s="416">
        <v>0</v>
      </c>
      <c r="AP197" s="416">
        <v>0</v>
      </c>
      <c r="AQ197" s="416">
        <v>0</v>
      </c>
      <c r="AR197" s="416">
        <v>0</v>
      </c>
      <c r="AS197" s="416">
        <v>0</v>
      </c>
      <c r="AT197" s="416">
        <v>0</v>
      </c>
      <c r="AU197" s="416">
        <v>0</v>
      </c>
      <c r="AV197" s="416">
        <v>0</v>
      </c>
      <c r="AW197" s="416">
        <v>0</v>
      </c>
      <c r="AX197" s="416">
        <v>0</v>
      </c>
      <c r="AY197" s="416">
        <v>0</v>
      </c>
      <c r="AZ197" s="416">
        <v>0</v>
      </c>
      <c r="BA197" s="416">
        <v>0</v>
      </c>
      <c r="BB197" s="416">
        <v>0</v>
      </c>
      <c r="BC197" s="416">
        <v>0</v>
      </c>
      <c r="BD197" s="416">
        <v>0</v>
      </c>
      <c r="BE197" s="416">
        <v>0</v>
      </c>
      <c r="BF197" s="416">
        <v>1987.1389999999999</v>
      </c>
      <c r="BG197" s="416">
        <v>1784.4169999999999</v>
      </c>
      <c r="BH197" s="416">
        <v>2238.7330000000002</v>
      </c>
      <c r="BI197" s="416">
        <v>2417.4409999999998</v>
      </c>
      <c r="BJ197" s="416">
        <v>2643.96</v>
      </c>
      <c r="BK197" s="416">
        <v>1784.4169999999999</v>
      </c>
      <c r="BL197" s="416">
        <v>4856.0290000000005</v>
      </c>
      <c r="BM197" s="416">
        <v>8305.9349999999995</v>
      </c>
      <c r="BN197" s="416">
        <v>13358.636</v>
      </c>
      <c r="BO197" s="416">
        <v>15340.625</v>
      </c>
      <c r="BP197" s="416">
        <v>4856.0290000000005</v>
      </c>
      <c r="BQ197" s="416">
        <v>17680.662</v>
      </c>
      <c r="BR197" s="416">
        <v>16166.884</v>
      </c>
      <c r="BS197" s="416">
        <v>12892.178</v>
      </c>
      <c r="BT197" s="416">
        <v>11620.802</v>
      </c>
      <c r="BU197" s="416">
        <v>17680.662</v>
      </c>
      <c r="BV197" s="416">
        <v>9429.6460000000006</v>
      </c>
      <c r="BW197" s="416">
        <v>10338.15</v>
      </c>
      <c r="BX197" s="416">
        <v>8884.4609999999993</v>
      </c>
      <c r="BY197" s="416">
        <v>0</v>
      </c>
      <c r="BZ197" s="416">
        <v>0</v>
      </c>
      <c r="CC197" s="21"/>
      <c r="CD197" s="417" t="s">
        <v>729</v>
      </c>
      <c r="CE197" s="433">
        <f t="shared" si="30"/>
        <v>0</v>
      </c>
      <c r="CF197" s="433">
        <f t="shared" si="31"/>
        <v>0</v>
      </c>
      <c r="CG197" s="433">
        <f t="shared" si="32"/>
        <v>0</v>
      </c>
      <c r="CH197" s="433">
        <f t="shared" si="33"/>
        <v>0</v>
      </c>
      <c r="CI197" s="433">
        <f t="shared" si="34"/>
        <v>0</v>
      </c>
      <c r="CJ197" s="433">
        <f t="shared" si="35"/>
        <v>0</v>
      </c>
      <c r="CK197" s="433">
        <f t="shared" si="36"/>
        <v>0</v>
      </c>
      <c r="CL197" s="433">
        <f t="shared" si="37"/>
        <v>0</v>
      </c>
      <c r="CM197" s="433">
        <f t="shared" si="38"/>
        <v>0</v>
      </c>
      <c r="CN197" s="433">
        <f t="shared" si="39"/>
        <v>0</v>
      </c>
      <c r="CO197" s="433">
        <f t="shared" si="40"/>
        <v>1987.1389999999999</v>
      </c>
      <c r="CP197" s="433">
        <f t="shared" si="41"/>
        <v>1784.4169999999999</v>
      </c>
      <c r="CQ197" s="433">
        <f t="shared" si="42"/>
        <v>4856.0290000000005</v>
      </c>
      <c r="CR197" s="433">
        <f t="shared" si="43"/>
        <v>17680.662</v>
      </c>
      <c r="CS197" s="433">
        <f t="shared" si="44"/>
        <v>0</v>
      </c>
      <c r="CT197" s="21"/>
    </row>
    <row r="198" spans="3:98" ht="15">
      <c r="C198" s="421" t="s">
        <v>725</v>
      </c>
      <c r="D198" s="422">
        <v>0</v>
      </c>
      <c r="E198" s="422">
        <v>0</v>
      </c>
      <c r="F198" s="422">
        <v>0</v>
      </c>
      <c r="G198" s="422">
        <v>0</v>
      </c>
      <c r="H198" s="422">
        <v>0</v>
      </c>
      <c r="I198" s="422">
        <v>0</v>
      </c>
      <c r="J198" s="422">
        <v>0</v>
      </c>
      <c r="K198" s="422">
        <v>0</v>
      </c>
      <c r="L198" s="422">
        <v>0</v>
      </c>
      <c r="M198" s="422">
        <v>0</v>
      </c>
      <c r="N198" s="422">
        <v>0</v>
      </c>
      <c r="O198" s="422">
        <v>0</v>
      </c>
      <c r="P198" s="422">
        <v>0</v>
      </c>
      <c r="Q198" s="422">
        <v>0</v>
      </c>
      <c r="R198" s="422">
        <v>0</v>
      </c>
      <c r="S198" s="422">
        <v>0</v>
      </c>
      <c r="T198" s="422">
        <v>0</v>
      </c>
      <c r="U198" s="422">
        <v>0</v>
      </c>
      <c r="V198" s="422">
        <v>0</v>
      </c>
      <c r="W198" s="422">
        <v>0</v>
      </c>
      <c r="X198" s="422">
        <v>0</v>
      </c>
      <c r="Y198" s="422">
        <v>0</v>
      </c>
      <c r="Z198" s="422">
        <v>0</v>
      </c>
      <c r="AA198" s="422">
        <v>0</v>
      </c>
      <c r="AB198" s="422">
        <v>0</v>
      </c>
      <c r="AC198" s="422">
        <v>0</v>
      </c>
      <c r="AD198" s="422">
        <v>0</v>
      </c>
      <c r="AE198" s="422">
        <v>0</v>
      </c>
      <c r="AF198" s="422">
        <v>0</v>
      </c>
      <c r="AG198" s="422">
        <v>0</v>
      </c>
      <c r="AH198" s="422">
        <v>0</v>
      </c>
      <c r="AI198" s="422">
        <v>0</v>
      </c>
      <c r="AJ198" s="422">
        <v>0</v>
      </c>
      <c r="AK198" s="422">
        <v>0</v>
      </c>
      <c r="AL198" s="422">
        <v>0</v>
      </c>
      <c r="AM198" s="422">
        <v>0</v>
      </c>
      <c r="AN198" s="422">
        <v>0</v>
      </c>
      <c r="AO198" s="422">
        <v>0</v>
      </c>
      <c r="AP198" s="422">
        <v>0</v>
      </c>
      <c r="AQ198" s="422">
        <v>0</v>
      </c>
      <c r="AR198" s="422">
        <v>0</v>
      </c>
      <c r="AS198" s="422">
        <v>0</v>
      </c>
      <c r="AT198" s="422">
        <v>0</v>
      </c>
      <c r="AU198" s="422">
        <v>0</v>
      </c>
      <c r="AV198" s="422">
        <v>0</v>
      </c>
      <c r="AW198" s="422">
        <v>0</v>
      </c>
      <c r="AX198" s="422">
        <v>0</v>
      </c>
      <c r="AY198" s="422">
        <v>0</v>
      </c>
      <c r="AZ198" s="422">
        <v>0</v>
      </c>
      <c r="BA198" s="422">
        <v>0</v>
      </c>
      <c r="BB198" s="422">
        <v>0</v>
      </c>
      <c r="BC198" s="422">
        <v>0</v>
      </c>
      <c r="BD198" s="422">
        <v>0</v>
      </c>
      <c r="BE198" s="422">
        <v>0</v>
      </c>
      <c r="BF198" s="422">
        <v>1784.4169999999999</v>
      </c>
      <c r="BG198" s="422">
        <v>2238.7330000000002</v>
      </c>
      <c r="BH198" s="422">
        <v>2417.4409999999998</v>
      </c>
      <c r="BI198" s="422">
        <v>2643.96</v>
      </c>
      <c r="BJ198" s="422">
        <v>4856.0290000000005</v>
      </c>
      <c r="BK198" s="422">
        <v>4856.0290000000005</v>
      </c>
      <c r="BL198" s="422">
        <v>8305.9349999999995</v>
      </c>
      <c r="BM198" s="422">
        <v>13358.636</v>
      </c>
      <c r="BN198" s="422">
        <v>15340.625</v>
      </c>
      <c r="BO198" s="422">
        <v>17680.662</v>
      </c>
      <c r="BP198" s="422">
        <v>17680.662</v>
      </c>
      <c r="BQ198" s="422">
        <v>16166.884</v>
      </c>
      <c r="BR198" s="422">
        <v>12892.178</v>
      </c>
      <c r="BS198" s="422">
        <v>11620.802</v>
      </c>
      <c r="BT198" s="422">
        <v>9429.6460000000006</v>
      </c>
      <c r="BU198" s="422">
        <v>9429.6460000000006</v>
      </c>
      <c r="BV198" s="422">
        <v>10338.15</v>
      </c>
      <c r="BW198" s="422">
        <v>8884.4609999999993</v>
      </c>
      <c r="BX198" s="422">
        <v>8511.1849999999995</v>
      </c>
      <c r="BY198" s="422">
        <v>0</v>
      </c>
      <c r="BZ198" s="422">
        <v>0</v>
      </c>
      <c r="CC198" s="21"/>
      <c r="CD198" s="421" t="s">
        <v>725</v>
      </c>
      <c r="CE198" s="436">
        <f t="shared" si="30"/>
        <v>0</v>
      </c>
      <c r="CF198" s="436">
        <f t="shared" si="31"/>
        <v>0</v>
      </c>
      <c r="CG198" s="436">
        <f t="shared" si="32"/>
        <v>0</v>
      </c>
      <c r="CH198" s="436">
        <f t="shared" si="33"/>
        <v>0</v>
      </c>
      <c r="CI198" s="436">
        <f t="shared" si="34"/>
        <v>0</v>
      </c>
      <c r="CJ198" s="436">
        <f t="shared" si="35"/>
        <v>0</v>
      </c>
      <c r="CK198" s="436">
        <f t="shared" si="36"/>
        <v>0</v>
      </c>
      <c r="CL198" s="436">
        <f t="shared" si="37"/>
        <v>0</v>
      </c>
      <c r="CM198" s="436">
        <f t="shared" si="38"/>
        <v>0</v>
      </c>
      <c r="CN198" s="436">
        <f t="shared" si="39"/>
        <v>0</v>
      </c>
      <c r="CO198" s="436">
        <f t="shared" si="40"/>
        <v>1784.4169999999999</v>
      </c>
      <c r="CP198" s="436">
        <f t="shared" si="41"/>
        <v>4856.0290000000005</v>
      </c>
      <c r="CQ198" s="436">
        <f t="shared" si="42"/>
        <v>17680.662</v>
      </c>
      <c r="CR198" s="436">
        <f t="shared" si="43"/>
        <v>9429.6460000000006</v>
      </c>
      <c r="CS198" s="436">
        <f t="shared" si="44"/>
        <v>0</v>
      </c>
      <c r="CT198" s="21"/>
    </row>
    <row r="199" spans="3:98">
      <c r="D199" s="416"/>
      <c r="E199" s="416"/>
      <c r="F199" s="416"/>
      <c r="G199" s="416"/>
      <c r="H199" s="416"/>
      <c r="I199" s="416"/>
      <c r="J199" s="416"/>
      <c r="K199" s="416"/>
      <c r="L199" s="416"/>
      <c r="M199" s="416"/>
      <c r="N199" s="416"/>
      <c r="O199" s="416"/>
      <c r="P199" s="416"/>
      <c r="Q199" s="416"/>
      <c r="R199" s="416"/>
      <c r="S199" s="416"/>
      <c r="T199" s="416"/>
      <c r="U199" s="416"/>
      <c r="V199" s="416"/>
      <c r="W199" s="416"/>
      <c r="X199" s="416"/>
      <c r="Y199" s="416"/>
      <c r="Z199" s="416"/>
      <c r="AA199" s="416"/>
      <c r="AB199" s="416"/>
      <c r="AC199" s="416"/>
      <c r="AD199" s="416"/>
      <c r="AE199" s="416"/>
      <c r="AF199" s="416"/>
      <c r="AG199" s="416"/>
      <c r="AH199" s="416"/>
      <c r="AI199" s="416"/>
      <c r="AJ199" s="416"/>
      <c r="AK199" s="416"/>
      <c r="AL199" s="416"/>
      <c r="AM199" s="416"/>
      <c r="AN199" s="416"/>
      <c r="AO199" s="416"/>
      <c r="AP199" s="416"/>
      <c r="AQ199" s="416"/>
      <c r="AR199" s="416"/>
      <c r="AS199" s="416"/>
      <c r="AT199" s="416"/>
      <c r="AU199" s="416"/>
      <c r="AV199" s="416"/>
      <c r="AW199" s="416"/>
      <c r="AX199" s="416"/>
      <c r="AY199" s="416"/>
      <c r="AZ199" s="416"/>
      <c r="BA199" s="416"/>
      <c r="BB199" s="416"/>
      <c r="BC199" s="416"/>
      <c r="BD199" s="416"/>
      <c r="BE199" s="416"/>
      <c r="BF199" s="416"/>
      <c r="BG199" s="416"/>
      <c r="BH199" s="416"/>
      <c r="BI199" s="416"/>
      <c r="BJ199" s="416"/>
      <c r="BK199" s="416"/>
      <c r="BL199" s="416"/>
      <c r="BM199" s="416"/>
      <c r="BN199" s="416"/>
      <c r="BO199" s="416"/>
      <c r="BP199" s="416"/>
      <c r="BQ199" s="416"/>
      <c r="BR199" s="416"/>
      <c r="BS199" s="416"/>
      <c r="BT199" s="416"/>
      <c r="BU199" s="416"/>
      <c r="BV199" s="416"/>
      <c r="BW199" s="416"/>
      <c r="BX199" s="416"/>
      <c r="BY199" s="416"/>
      <c r="BZ199" s="416"/>
      <c r="CC199" s="21"/>
      <c r="CD199" s="58"/>
      <c r="CE199" s="433"/>
      <c r="CF199" s="433"/>
      <c r="CG199" s="433"/>
      <c r="CH199" s="433"/>
      <c r="CI199" s="433"/>
      <c r="CJ199" s="433"/>
      <c r="CK199" s="433"/>
      <c r="CL199" s="433"/>
      <c r="CM199" s="433"/>
      <c r="CN199" s="433"/>
      <c r="CO199" s="433"/>
      <c r="CP199" s="433"/>
      <c r="CQ199" s="433"/>
      <c r="CR199" s="433"/>
      <c r="CS199" s="433"/>
      <c r="CT199" s="21"/>
    </row>
    <row r="200" spans="3:98">
      <c r="C200" s="107" t="s">
        <v>3254</v>
      </c>
      <c r="D200" s="416"/>
      <c r="E200" s="416"/>
      <c r="F200" s="416"/>
      <c r="G200" s="416"/>
      <c r="H200" s="416"/>
      <c r="I200" s="416"/>
      <c r="J200" s="416"/>
      <c r="K200" s="416"/>
      <c r="L200" s="416"/>
      <c r="M200" s="416"/>
      <c r="N200" s="416"/>
      <c r="O200" s="416"/>
      <c r="P200" s="416"/>
      <c r="Q200" s="416"/>
      <c r="R200" s="416"/>
      <c r="S200" s="416"/>
      <c r="T200" s="416"/>
      <c r="U200" s="416"/>
      <c r="V200" s="416"/>
      <c r="W200" s="416"/>
      <c r="X200" s="416"/>
      <c r="Y200" s="416"/>
      <c r="Z200" s="416"/>
      <c r="AA200" s="416"/>
      <c r="AB200" s="416"/>
      <c r="AC200" s="416"/>
      <c r="AD200" s="416"/>
      <c r="AE200" s="416"/>
      <c r="AF200" s="416"/>
      <c r="AG200" s="416"/>
      <c r="AH200" s="416"/>
      <c r="AI200" s="416"/>
      <c r="AJ200" s="416"/>
      <c r="AK200" s="416"/>
      <c r="AL200" s="416"/>
      <c r="AM200" s="416"/>
      <c r="AN200" s="416"/>
      <c r="AO200" s="416"/>
      <c r="AP200" s="416"/>
      <c r="AQ200" s="416"/>
      <c r="AR200" s="416"/>
      <c r="AS200" s="416"/>
      <c r="AT200" s="416"/>
      <c r="AU200" s="416"/>
      <c r="AV200" s="416"/>
      <c r="AW200" s="416"/>
      <c r="AX200" s="416"/>
      <c r="AY200" s="416"/>
      <c r="AZ200" s="416"/>
      <c r="BA200" s="416"/>
      <c r="BB200" s="416"/>
      <c r="BC200" s="416"/>
      <c r="BD200" s="416"/>
      <c r="BE200" s="416"/>
      <c r="BF200" s="416"/>
      <c r="BG200" s="416"/>
      <c r="BH200" s="416"/>
      <c r="BI200" s="416"/>
      <c r="BJ200" s="416"/>
      <c r="BK200" s="416"/>
      <c r="BL200" s="416"/>
      <c r="BM200" s="416"/>
      <c r="BN200" s="416"/>
      <c r="BO200" s="416"/>
      <c r="BP200" s="416"/>
      <c r="BQ200" s="416"/>
      <c r="BR200" s="416"/>
      <c r="BS200" s="416"/>
      <c r="BT200" s="416"/>
      <c r="BU200" s="416"/>
      <c r="BV200" s="416"/>
      <c r="BW200" s="416"/>
      <c r="BX200" s="416"/>
      <c r="BY200" s="416"/>
      <c r="BZ200" s="416"/>
      <c r="CC200" s="21"/>
      <c r="CD200" s="107" t="s">
        <v>3254</v>
      </c>
      <c r="CE200" s="433"/>
      <c r="CF200" s="433"/>
      <c r="CG200" s="433"/>
      <c r="CH200" s="433"/>
      <c r="CI200" s="433"/>
      <c r="CJ200" s="433"/>
      <c r="CK200" s="433"/>
      <c r="CL200" s="433"/>
      <c r="CM200" s="433"/>
      <c r="CN200" s="433"/>
      <c r="CO200" s="433"/>
      <c r="CP200" s="433"/>
      <c r="CQ200" s="433"/>
      <c r="CR200" s="433"/>
      <c r="CS200" s="433"/>
      <c r="CT200" s="21"/>
    </row>
    <row r="201" spans="3:98" ht="4.5" customHeight="1">
      <c r="D201" s="416">
        <v>0</v>
      </c>
      <c r="E201" s="416">
        <v>0</v>
      </c>
      <c r="F201" s="416">
        <v>0</v>
      </c>
      <c r="G201" s="416">
        <v>0</v>
      </c>
      <c r="H201" s="416">
        <v>0</v>
      </c>
      <c r="I201" s="416">
        <v>0</v>
      </c>
      <c r="J201" s="416">
        <v>0</v>
      </c>
      <c r="K201" s="416">
        <v>0</v>
      </c>
      <c r="L201" s="416">
        <v>0</v>
      </c>
      <c r="M201" s="416">
        <v>0</v>
      </c>
      <c r="N201" s="416">
        <v>0</v>
      </c>
      <c r="O201" s="416">
        <v>0</v>
      </c>
      <c r="P201" s="416">
        <v>0</v>
      </c>
      <c r="Q201" s="416">
        <v>0</v>
      </c>
      <c r="R201" s="416">
        <v>0</v>
      </c>
      <c r="S201" s="416">
        <v>0</v>
      </c>
      <c r="T201" s="416">
        <v>0</v>
      </c>
      <c r="U201" s="416">
        <v>0</v>
      </c>
      <c r="V201" s="416">
        <v>0</v>
      </c>
      <c r="W201" s="416">
        <v>0</v>
      </c>
      <c r="X201" s="416">
        <v>0</v>
      </c>
      <c r="Y201" s="416">
        <v>0</v>
      </c>
      <c r="Z201" s="416">
        <v>0</v>
      </c>
      <c r="AA201" s="416">
        <v>0</v>
      </c>
      <c r="AB201" s="416">
        <v>0</v>
      </c>
      <c r="AC201" s="416">
        <v>0</v>
      </c>
      <c r="AD201" s="416">
        <v>0</v>
      </c>
      <c r="AE201" s="416">
        <v>0</v>
      </c>
      <c r="AF201" s="416">
        <v>0</v>
      </c>
      <c r="AG201" s="416">
        <v>0</v>
      </c>
      <c r="AH201" s="416">
        <v>0</v>
      </c>
      <c r="AI201" s="416">
        <v>0</v>
      </c>
      <c r="AJ201" s="416">
        <v>0</v>
      </c>
      <c r="AK201" s="416">
        <v>0</v>
      </c>
      <c r="AL201" s="416">
        <v>0</v>
      </c>
      <c r="AM201" s="416">
        <v>0</v>
      </c>
      <c r="AN201" s="416">
        <v>0</v>
      </c>
      <c r="AO201" s="416">
        <v>0</v>
      </c>
      <c r="AP201" s="416">
        <v>0</v>
      </c>
      <c r="AQ201" s="416">
        <v>0</v>
      </c>
      <c r="AR201" s="416">
        <v>0</v>
      </c>
      <c r="AS201" s="416">
        <v>0</v>
      </c>
      <c r="AT201" s="416">
        <v>0</v>
      </c>
      <c r="AU201" s="416">
        <v>0</v>
      </c>
      <c r="AV201" s="416">
        <v>0</v>
      </c>
      <c r="AW201" s="416">
        <v>0</v>
      </c>
      <c r="AX201" s="416">
        <v>0</v>
      </c>
      <c r="AY201" s="416">
        <v>0</v>
      </c>
      <c r="AZ201" s="416">
        <v>0</v>
      </c>
      <c r="BA201" s="416">
        <v>0</v>
      </c>
      <c r="BB201" s="416">
        <v>0</v>
      </c>
      <c r="BC201" s="416">
        <v>0</v>
      </c>
      <c r="BD201" s="416">
        <v>0</v>
      </c>
      <c r="BE201" s="416">
        <v>0</v>
      </c>
      <c r="BF201" s="416">
        <v>0</v>
      </c>
      <c r="BG201" s="416">
        <v>0</v>
      </c>
      <c r="BH201" s="416">
        <v>0</v>
      </c>
      <c r="BI201" s="416">
        <v>0</v>
      </c>
      <c r="BJ201" s="416">
        <v>0</v>
      </c>
      <c r="BK201" s="416">
        <v>0</v>
      </c>
      <c r="BL201" s="416">
        <v>0</v>
      </c>
      <c r="BM201" s="416">
        <v>0</v>
      </c>
      <c r="BN201" s="416">
        <v>0</v>
      </c>
      <c r="BO201" s="416">
        <v>0</v>
      </c>
      <c r="BP201" s="416">
        <v>0</v>
      </c>
      <c r="BQ201" s="416">
        <v>0</v>
      </c>
      <c r="BR201" s="416">
        <v>0</v>
      </c>
      <c r="BS201" s="416">
        <v>0</v>
      </c>
      <c r="BT201" s="416">
        <v>0</v>
      </c>
      <c r="BU201" s="416">
        <v>0</v>
      </c>
      <c r="BV201" s="416">
        <v>0</v>
      </c>
      <c r="BW201" s="416">
        <v>0</v>
      </c>
      <c r="BX201" s="416">
        <v>0</v>
      </c>
      <c r="BY201" s="416">
        <v>0</v>
      </c>
      <c r="BZ201" s="416">
        <v>0</v>
      </c>
      <c r="CC201" s="21"/>
      <c r="CD201" s="58"/>
      <c r="CE201" s="433"/>
      <c r="CF201" s="433"/>
      <c r="CG201" s="433"/>
      <c r="CH201" s="433"/>
      <c r="CI201" s="433"/>
      <c r="CJ201" s="433"/>
      <c r="CK201" s="433"/>
      <c r="CL201" s="433"/>
      <c r="CM201" s="433"/>
      <c r="CN201" s="433"/>
      <c r="CO201" s="433"/>
      <c r="CP201" s="433"/>
      <c r="CQ201" s="433"/>
      <c r="CR201" s="433"/>
      <c r="CS201" s="433"/>
      <c r="CT201" s="21"/>
    </row>
    <row r="202" spans="3:98">
      <c r="C202" s="417" t="s">
        <v>730</v>
      </c>
      <c r="D202" s="416">
        <v>0</v>
      </c>
      <c r="E202" s="416">
        <v>0</v>
      </c>
      <c r="F202" s="416">
        <v>0</v>
      </c>
      <c r="G202" s="416">
        <v>0</v>
      </c>
      <c r="H202" s="416">
        <v>0</v>
      </c>
      <c r="I202" s="416">
        <v>0</v>
      </c>
      <c r="J202" s="416">
        <v>0</v>
      </c>
      <c r="K202" s="416">
        <v>0</v>
      </c>
      <c r="L202" s="416">
        <v>0</v>
      </c>
      <c r="M202" s="416">
        <v>0</v>
      </c>
      <c r="N202" s="416">
        <v>0</v>
      </c>
      <c r="O202" s="416">
        <v>0</v>
      </c>
      <c r="P202" s="416">
        <v>0</v>
      </c>
      <c r="Q202" s="416">
        <v>0</v>
      </c>
      <c r="R202" s="416">
        <v>0</v>
      </c>
      <c r="S202" s="416">
        <v>0</v>
      </c>
      <c r="T202" s="416">
        <v>0</v>
      </c>
      <c r="U202" s="416">
        <v>0</v>
      </c>
      <c r="V202" s="416">
        <v>0</v>
      </c>
      <c r="W202" s="416">
        <v>0</v>
      </c>
      <c r="X202" s="416">
        <v>0</v>
      </c>
      <c r="Y202" s="416">
        <v>0</v>
      </c>
      <c r="Z202" s="416">
        <v>0</v>
      </c>
      <c r="AA202" s="416">
        <v>0</v>
      </c>
      <c r="AB202" s="416">
        <v>0</v>
      </c>
      <c r="AC202" s="416">
        <v>0</v>
      </c>
      <c r="AD202" s="416">
        <v>0</v>
      </c>
      <c r="AE202" s="416">
        <v>0</v>
      </c>
      <c r="AF202" s="416">
        <v>0</v>
      </c>
      <c r="AG202" s="416">
        <v>0</v>
      </c>
      <c r="AH202" s="416">
        <v>0</v>
      </c>
      <c r="AI202" s="416">
        <v>0</v>
      </c>
      <c r="AJ202" s="416">
        <v>0</v>
      </c>
      <c r="AK202" s="416">
        <v>0</v>
      </c>
      <c r="AL202" s="416">
        <v>0</v>
      </c>
      <c r="AM202" s="416">
        <v>0</v>
      </c>
      <c r="AN202" s="416">
        <v>0</v>
      </c>
      <c r="AO202" s="416">
        <v>0</v>
      </c>
      <c r="AP202" s="416">
        <v>0</v>
      </c>
      <c r="AQ202" s="416">
        <v>0</v>
      </c>
      <c r="AR202" s="416">
        <v>0</v>
      </c>
      <c r="AS202" s="416">
        <v>0</v>
      </c>
      <c r="AT202" s="416">
        <v>0</v>
      </c>
      <c r="AU202" s="416">
        <v>0</v>
      </c>
      <c r="AV202" s="416">
        <v>0</v>
      </c>
      <c r="AW202" s="416">
        <v>0</v>
      </c>
      <c r="AX202" s="416">
        <v>0</v>
      </c>
      <c r="AY202" s="416">
        <v>0</v>
      </c>
      <c r="AZ202" s="416">
        <v>0</v>
      </c>
      <c r="BA202" s="416">
        <v>0</v>
      </c>
      <c r="BB202" s="416">
        <v>0</v>
      </c>
      <c r="BC202" s="416">
        <v>0</v>
      </c>
      <c r="BD202" s="416">
        <v>0</v>
      </c>
      <c r="BE202" s="416">
        <v>0</v>
      </c>
      <c r="BF202" s="416">
        <v>-202.55199999999999</v>
      </c>
      <c r="BG202" s="416">
        <v>465.19099999999997</v>
      </c>
      <c r="BH202" s="416">
        <v>171.76599999999999</v>
      </c>
      <c r="BI202" s="416">
        <v>240.70400000000001</v>
      </c>
      <c r="BJ202" s="416">
        <v>2196.0320000000002</v>
      </c>
      <c r="BK202" s="416">
        <v>3073.6930000000002</v>
      </c>
      <c r="BL202" s="416">
        <v>3433.6750000000002</v>
      </c>
      <c r="BM202" s="416">
        <v>5057.9170000000004</v>
      </c>
      <c r="BN202" s="416">
        <v>1994.115</v>
      </c>
      <c r="BO202" s="416">
        <v>2403.8090000000002</v>
      </c>
      <c r="BP202" s="416">
        <v>12889.516</v>
      </c>
      <c r="BQ202" s="416">
        <v>-1508.271</v>
      </c>
      <c r="BR202" s="416">
        <v>-3160.2809999999999</v>
      </c>
      <c r="BS202" s="416">
        <v>-1015.047</v>
      </c>
      <c r="BT202" s="416">
        <v>-2404.16</v>
      </c>
      <c r="BU202" s="416">
        <v>-8087.759</v>
      </c>
      <c r="BV202" s="416">
        <v>897.12699999999995</v>
      </c>
      <c r="BW202" s="416">
        <v>-1437.942</v>
      </c>
      <c r="BX202" s="416">
        <v>-350.29300000000001</v>
      </c>
      <c r="BY202" s="416">
        <v>0</v>
      </c>
      <c r="BZ202" s="416">
        <v>0</v>
      </c>
      <c r="CC202" s="21"/>
      <c r="CD202" s="417" t="s">
        <v>730</v>
      </c>
      <c r="CE202" s="433">
        <f t="shared" ref="CE202:CE218" si="45">H202</f>
        <v>0</v>
      </c>
      <c r="CF202" s="433">
        <f t="shared" ref="CF202:CF218" si="46">M202</f>
        <v>0</v>
      </c>
      <c r="CG202" s="433">
        <f t="shared" ref="CG202:CG218" si="47">R202</f>
        <v>0</v>
      </c>
      <c r="CH202" s="433">
        <f t="shared" ref="CH202:CH218" si="48">W202</f>
        <v>0</v>
      </c>
      <c r="CI202" s="433">
        <f t="shared" ref="CI202:CI218" si="49">AB202</f>
        <v>0</v>
      </c>
      <c r="CJ202" s="433">
        <f t="shared" ref="CJ202:CJ218" si="50">AG202</f>
        <v>0</v>
      </c>
      <c r="CK202" s="433">
        <f t="shared" ref="CK202:CK218" si="51">AL202</f>
        <v>0</v>
      </c>
      <c r="CL202" s="433">
        <f t="shared" ref="CL202:CL218" si="52">AQ202</f>
        <v>0</v>
      </c>
      <c r="CM202" s="433">
        <f t="shared" ref="CM202:CM218" si="53">AV202</f>
        <v>0</v>
      </c>
      <c r="CN202" s="433">
        <f t="shared" ref="CN202:CN218" si="54">BA202</f>
        <v>0</v>
      </c>
      <c r="CO202" s="433">
        <f t="shared" ref="CO202:CO218" si="55">BF202</f>
        <v>-202.55199999999999</v>
      </c>
      <c r="CP202" s="433">
        <f t="shared" ref="CP202:CP218" si="56">BK202</f>
        <v>3073.6930000000002</v>
      </c>
      <c r="CQ202" s="433">
        <f t="shared" ref="CQ202:CQ218" si="57">BP202</f>
        <v>12889.516</v>
      </c>
      <c r="CR202" s="433">
        <f t="shared" ref="CR202:CR218" si="58">BU202</f>
        <v>-8087.759</v>
      </c>
      <c r="CS202" s="433">
        <f t="shared" ref="CS202:CS218" si="59">BZ202</f>
        <v>0</v>
      </c>
      <c r="CT202" s="21"/>
    </row>
    <row r="203" spans="3:98">
      <c r="C203" s="417" t="s">
        <v>731</v>
      </c>
      <c r="D203" s="416">
        <v>0</v>
      </c>
      <c r="E203" s="416">
        <v>0</v>
      </c>
      <c r="F203" s="416">
        <v>0</v>
      </c>
      <c r="G203" s="416">
        <v>0</v>
      </c>
      <c r="H203" s="416">
        <v>0</v>
      </c>
      <c r="I203" s="416">
        <v>0</v>
      </c>
      <c r="J203" s="416">
        <v>0</v>
      </c>
      <c r="K203" s="416">
        <v>0</v>
      </c>
      <c r="L203" s="416">
        <v>0</v>
      </c>
      <c r="M203" s="416">
        <v>0</v>
      </c>
      <c r="N203" s="416">
        <v>0</v>
      </c>
      <c r="O203" s="416">
        <v>0</v>
      </c>
      <c r="P203" s="416">
        <v>0</v>
      </c>
      <c r="Q203" s="416">
        <v>0</v>
      </c>
      <c r="R203" s="416">
        <v>0</v>
      </c>
      <c r="S203" s="416">
        <v>0</v>
      </c>
      <c r="T203" s="416">
        <v>0</v>
      </c>
      <c r="U203" s="416">
        <v>0</v>
      </c>
      <c r="V203" s="416">
        <v>0</v>
      </c>
      <c r="W203" s="416">
        <v>0</v>
      </c>
      <c r="X203" s="416">
        <v>0</v>
      </c>
      <c r="Y203" s="416">
        <v>0</v>
      </c>
      <c r="Z203" s="416">
        <v>0</v>
      </c>
      <c r="AA203" s="416">
        <v>0</v>
      </c>
      <c r="AB203" s="416">
        <v>0</v>
      </c>
      <c r="AC203" s="416">
        <v>0</v>
      </c>
      <c r="AD203" s="416">
        <v>0</v>
      </c>
      <c r="AE203" s="416">
        <v>0</v>
      </c>
      <c r="AF203" s="416">
        <v>0</v>
      </c>
      <c r="AG203" s="416">
        <v>0</v>
      </c>
      <c r="AH203" s="416">
        <v>0</v>
      </c>
      <c r="AI203" s="416">
        <v>0</v>
      </c>
      <c r="AJ203" s="416">
        <v>0</v>
      </c>
      <c r="AK203" s="416">
        <v>0</v>
      </c>
      <c r="AL203" s="416">
        <v>0</v>
      </c>
      <c r="AM203" s="416">
        <v>0</v>
      </c>
      <c r="AN203" s="416">
        <v>0</v>
      </c>
      <c r="AO203" s="416">
        <v>0</v>
      </c>
      <c r="AP203" s="416">
        <v>0</v>
      </c>
      <c r="AQ203" s="416">
        <v>0</v>
      </c>
      <c r="AR203" s="416">
        <v>0</v>
      </c>
      <c r="AS203" s="416">
        <v>0</v>
      </c>
      <c r="AT203" s="416">
        <v>0</v>
      </c>
      <c r="AU203" s="416">
        <v>0</v>
      </c>
      <c r="AV203" s="416">
        <v>0</v>
      </c>
      <c r="AW203" s="416">
        <v>0</v>
      </c>
      <c r="AX203" s="416">
        <v>0</v>
      </c>
      <c r="AY203" s="416">
        <v>0</v>
      </c>
      <c r="AZ203" s="416">
        <v>0</v>
      </c>
      <c r="BA203" s="416">
        <v>0</v>
      </c>
      <c r="BB203" s="416">
        <v>0</v>
      </c>
      <c r="BC203" s="416">
        <v>0</v>
      </c>
      <c r="BD203" s="416">
        <v>0</v>
      </c>
      <c r="BE203" s="416">
        <v>0</v>
      </c>
      <c r="BF203" s="416">
        <v>-2.165</v>
      </c>
      <c r="BG203" s="416">
        <v>-0.55000000000000004</v>
      </c>
      <c r="BH203" s="416">
        <v>-1.5149999999999999</v>
      </c>
      <c r="BI203" s="416">
        <v>-19.558</v>
      </c>
      <c r="BJ203" s="416">
        <v>-40.436999999999998</v>
      </c>
      <c r="BK203" s="416">
        <v>-62.06</v>
      </c>
      <c r="BL203" s="416">
        <v>0</v>
      </c>
      <c r="BM203" s="416">
        <v>-51.503999999999998</v>
      </c>
      <c r="BN203" s="416">
        <v>-1.9219999999999999</v>
      </c>
      <c r="BO203" s="416">
        <v>-15.188000000000001</v>
      </c>
      <c r="BP203" s="416">
        <v>-68.614000000000004</v>
      </c>
      <c r="BQ203" s="416">
        <v>-1.98</v>
      </c>
      <c r="BR203" s="416">
        <v>-8.0220000000000002</v>
      </c>
      <c r="BS203" s="416">
        <v>-7.76</v>
      </c>
      <c r="BT203" s="416">
        <v>-18.126000000000001</v>
      </c>
      <c r="BU203" s="416">
        <v>-35.887999999999998</v>
      </c>
      <c r="BV203" s="416">
        <v>-5.3220000000000001</v>
      </c>
      <c r="BW203" s="416">
        <v>-5.3470000000000004</v>
      </c>
      <c r="BX203" s="416">
        <v>-9.0069999999999997</v>
      </c>
      <c r="BY203" s="416">
        <v>0</v>
      </c>
      <c r="BZ203" s="416">
        <v>0</v>
      </c>
      <c r="CC203" s="21"/>
      <c r="CD203" s="417" t="s">
        <v>731</v>
      </c>
      <c r="CE203" s="433">
        <f t="shared" si="45"/>
        <v>0</v>
      </c>
      <c r="CF203" s="433">
        <f t="shared" si="46"/>
        <v>0</v>
      </c>
      <c r="CG203" s="433">
        <f t="shared" si="47"/>
        <v>0</v>
      </c>
      <c r="CH203" s="433">
        <f t="shared" si="48"/>
        <v>0</v>
      </c>
      <c r="CI203" s="433">
        <f t="shared" si="49"/>
        <v>0</v>
      </c>
      <c r="CJ203" s="433">
        <f t="shared" si="50"/>
        <v>0</v>
      </c>
      <c r="CK203" s="433">
        <f t="shared" si="51"/>
        <v>0</v>
      </c>
      <c r="CL203" s="433">
        <f t="shared" si="52"/>
        <v>0</v>
      </c>
      <c r="CM203" s="433">
        <f t="shared" si="53"/>
        <v>0</v>
      </c>
      <c r="CN203" s="433">
        <f t="shared" si="54"/>
        <v>0</v>
      </c>
      <c r="CO203" s="433">
        <f t="shared" si="55"/>
        <v>-2.165</v>
      </c>
      <c r="CP203" s="433">
        <f t="shared" si="56"/>
        <v>-62.06</v>
      </c>
      <c r="CQ203" s="433">
        <f t="shared" si="57"/>
        <v>-68.614000000000004</v>
      </c>
      <c r="CR203" s="433">
        <f t="shared" si="58"/>
        <v>-35.887999999999998</v>
      </c>
      <c r="CS203" s="433">
        <f t="shared" si="59"/>
        <v>0</v>
      </c>
      <c r="CT203" s="21"/>
    </row>
    <row r="204" spans="3:98">
      <c r="C204" s="417" t="s">
        <v>732</v>
      </c>
      <c r="D204" s="416">
        <v>0</v>
      </c>
      <c r="E204" s="416">
        <v>0</v>
      </c>
      <c r="F204" s="416">
        <v>0</v>
      </c>
      <c r="G204" s="416">
        <v>0</v>
      </c>
      <c r="H204" s="416">
        <v>0</v>
      </c>
      <c r="I204" s="416">
        <v>0</v>
      </c>
      <c r="J204" s="416">
        <v>0</v>
      </c>
      <c r="K204" s="416">
        <v>0</v>
      </c>
      <c r="L204" s="416">
        <v>0</v>
      </c>
      <c r="M204" s="416">
        <v>0</v>
      </c>
      <c r="N204" s="416">
        <v>0</v>
      </c>
      <c r="O204" s="416">
        <v>0</v>
      </c>
      <c r="P204" s="416">
        <v>0</v>
      </c>
      <c r="Q204" s="416">
        <v>0</v>
      </c>
      <c r="R204" s="416">
        <v>0</v>
      </c>
      <c r="S204" s="416">
        <v>0</v>
      </c>
      <c r="T204" s="416">
        <v>0</v>
      </c>
      <c r="U204" s="416">
        <v>0</v>
      </c>
      <c r="V204" s="416">
        <v>0</v>
      </c>
      <c r="W204" s="416">
        <v>0</v>
      </c>
      <c r="X204" s="416">
        <v>0</v>
      </c>
      <c r="Y204" s="416">
        <v>0</v>
      </c>
      <c r="Z204" s="416">
        <v>0</v>
      </c>
      <c r="AA204" s="416">
        <v>0</v>
      </c>
      <c r="AB204" s="416">
        <v>0</v>
      </c>
      <c r="AC204" s="416">
        <v>0</v>
      </c>
      <c r="AD204" s="416">
        <v>0</v>
      </c>
      <c r="AE204" s="416">
        <v>0</v>
      </c>
      <c r="AF204" s="416">
        <v>0</v>
      </c>
      <c r="AG204" s="416">
        <v>0</v>
      </c>
      <c r="AH204" s="416">
        <v>0</v>
      </c>
      <c r="AI204" s="416">
        <v>0</v>
      </c>
      <c r="AJ204" s="416">
        <v>0</v>
      </c>
      <c r="AK204" s="416">
        <v>0</v>
      </c>
      <c r="AL204" s="416">
        <v>0</v>
      </c>
      <c r="AM204" s="416">
        <v>0</v>
      </c>
      <c r="AN204" s="416">
        <v>0</v>
      </c>
      <c r="AO204" s="416">
        <v>0</v>
      </c>
      <c r="AP204" s="416">
        <v>0</v>
      </c>
      <c r="AQ204" s="416">
        <v>0</v>
      </c>
      <c r="AR204" s="416">
        <v>0</v>
      </c>
      <c r="AS204" s="416">
        <v>0</v>
      </c>
      <c r="AT204" s="416">
        <v>0</v>
      </c>
      <c r="AU204" s="416">
        <v>0</v>
      </c>
      <c r="AV204" s="416">
        <v>0</v>
      </c>
      <c r="AW204" s="416">
        <v>0</v>
      </c>
      <c r="AX204" s="416">
        <v>0</v>
      </c>
      <c r="AY204" s="416">
        <v>0</v>
      </c>
      <c r="AZ204" s="416">
        <v>0</v>
      </c>
      <c r="BA204" s="416">
        <v>0</v>
      </c>
      <c r="BB204" s="416">
        <v>0</v>
      </c>
      <c r="BC204" s="416">
        <v>0</v>
      </c>
      <c r="BD204" s="416">
        <v>0</v>
      </c>
      <c r="BE204" s="416">
        <v>0</v>
      </c>
      <c r="BF204" s="416">
        <v>0</v>
      </c>
      <c r="BG204" s="416">
        <v>0</v>
      </c>
      <c r="BH204" s="416">
        <v>0</v>
      </c>
      <c r="BI204" s="416">
        <v>0</v>
      </c>
      <c r="BJ204" s="416">
        <v>0</v>
      </c>
      <c r="BK204" s="416">
        <v>0</v>
      </c>
      <c r="BL204" s="416">
        <v>0</v>
      </c>
      <c r="BM204" s="416">
        <v>0</v>
      </c>
      <c r="BN204" s="416">
        <v>0</v>
      </c>
      <c r="BO204" s="416">
        <v>0</v>
      </c>
      <c r="BP204" s="416">
        <v>0</v>
      </c>
      <c r="BQ204" s="416">
        <v>0</v>
      </c>
      <c r="BR204" s="416">
        <v>0</v>
      </c>
      <c r="BS204" s="416">
        <v>0</v>
      </c>
      <c r="BT204" s="416">
        <v>0</v>
      </c>
      <c r="BU204" s="416">
        <v>0</v>
      </c>
      <c r="BV204" s="416">
        <v>0</v>
      </c>
      <c r="BW204" s="416">
        <v>0</v>
      </c>
      <c r="BX204" s="416">
        <v>0</v>
      </c>
      <c r="BY204" s="416">
        <v>0</v>
      </c>
      <c r="BZ204" s="416">
        <v>0</v>
      </c>
      <c r="CC204" s="21"/>
      <c r="CD204" s="417" t="s">
        <v>732</v>
      </c>
      <c r="CE204" s="433">
        <f t="shared" si="45"/>
        <v>0</v>
      </c>
      <c r="CF204" s="433">
        <f t="shared" si="46"/>
        <v>0</v>
      </c>
      <c r="CG204" s="433">
        <f t="shared" si="47"/>
        <v>0</v>
      </c>
      <c r="CH204" s="433">
        <f t="shared" si="48"/>
        <v>0</v>
      </c>
      <c r="CI204" s="433">
        <f t="shared" si="49"/>
        <v>0</v>
      </c>
      <c r="CJ204" s="433">
        <f t="shared" si="50"/>
        <v>0</v>
      </c>
      <c r="CK204" s="433">
        <f t="shared" si="51"/>
        <v>0</v>
      </c>
      <c r="CL204" s="433">
        <f t="shared" si="52"/>
        <v>0</v>
      </c>
      <c r="CM204" s="433">
        <f t="shared" si="53"/>
        <v>0</v>
      </c>
      <c r="CN204" s="433">
        <f t="shared" si="54"/>
        <v>0</v>
      </c>
      <c r="CO204" s="433">
        <f t="shared" si="55"/>
        <v>0</v>
      </c>
      <c r="CP204" s="433">
        <f t="shared" si="56"/>
        <v>0</v>
      </c>
      <c r="CQ204" s="433">
        <f t="shared" si="57"/>
        <v>0</v>
      </c>
      <c r="CR204" s="433">
        <f t="shared" si="58"/>
        <v>0</v>
      </c>
      <c r="CS204" s="433">
        <f t="shared" si="59"/>
        <v>0</v>
      </c>
      <c r="CT204" s="21"/>
    </row>
    <row r="205" spans="3:98">
      <c r="C205" s="417" t="s">
        <v>733</v>
      </c>
      <c r="D205" s="416">
        <v>0</v>
      </c>
      <c r="E205" s="416">
        <v>0</v>
      </c>
      <c r="F205" s="416">
        <v>0</v>
      </c>
      <c r="G205" s="416">
        <v>0</v>
      </c>
      <c r="H205" s="416">
        <v>0</v>
      </c>
      <c r="I205" s="416">
        <v>0</v>
      </c>
      <c r="J205" s="416">
        <v>0</v>
      </c>
      <c r="K205" s="416">
        <v>0</v>
      </c>
      <c r="L205" s="416">
        <v>0</v>
      </c>
      <c r="M205" s="416">
        <v>0</v>
      </c>
      <c r="N205" s="416">
        <v>0</v>
      </c>
      <c r="O205" s="416">
        <v>0</v>
      </c>
      <c r="P205" s="416">
        <v>0</v>
      </c>
      <c r="Q205" s="416">
        <v>0</v>
      </c>
      <c r="R205" s="416">
        <v>0</v>
      </c>
      <c r="S205" s="416">
        <v>0</v>
      </c>
      <c r="T205" s="416">
        <v>0</v>
      </c>
      <c r="U205" s="416">
        <v>0</v>
      </c>
      <c r="V205" s="416">
        <v>0</v>
      </c>
      <c r="W205" s="416">
        <v>0</v>
      </c>
      <c r="X205" s="416">
        <v>0</v>
      </c>
      <c r="Y205" s="416">
        <v>0</v>
      </c>
      <c r="Z205" s="416">
        <v>0</v>
      </c>
      <c r="AA205" s="416">
        <v>0</v>
      </c>
      <c r="AB205" s="416">
        <v>0</v>
      </c>
      <c r="AC205" s="416">
        <v>0</v>
      </c>
      <c r="AD205" s="416">
        <v>0</v>
      </c>
      <c r="AE205" s="416">
        <v>0</v>
      </c>
      <c r="AF205" s="416">
        <v>0</v>
      </c>
      <c r="AG205" s="416">
        <v>0</v>
      </c>
      <c r="AH205" s="416">
        <v>0</v>
      </c>
      <c r="AI205" s="416">
        <v>0</v>
      </c>
      <c r="AJ205" s="416">
        <v>0</v>
      </c>
      <c r="AK205" s="416">
        <v>0</v>
      </c>
      <c r="AL205" s="416">
        <v>0</v>
      </c>
      <c r="AM205" s="416">
        <v>0</v>
      </c>
      <c r="AN205" s="416">
        <v>0</v>
      </c>
      <c r="AO205" s="416">
        <v>0</v>
      </c>
      <c r="AP205" s="416">
        <v>0</v>
      </c>
      <c r="AQ205" s="416">
        <v>0</v>
      </c>
      <c r="AR205" s="416">
        <v>0</v>
      </c>
      <c r="AS205" s="416">
        <v>0</v>
      </c>
      <c r="AT205" s="416">
        <v>0</v>
      </c>
      <c r="AU205" s="416">
        <v>0</v>
      </c>
      <c r="AV205" s="416">
        <v>0</v>
      </c>
      <c r="AW205" s="416">
        <v>0</v>
      </c>
      <c r="AX205" s="416">
        <v>0</v>
      </c>
      <c r="AY205" s="416">
        <v>0</v>
      </c>
      <c r="AZ205" s="416">
        <v>0</v>
      </c>
      <c r="BA205" s="416">
        <v>0</v>
      </c>
      <c r="BB205" s="416">
        <v>0</v>
      </c>
      <c r="BC205" s="416">
        <v>0</v>
      </c>
      <c r="BD205" s="416">
        <v>0</v>
      </c>
      <c r="BE205" s="416">
        <v>0</v>
      </c>
      <c r="BF205" s="416">
        <v>0</v>
      </c>
      <c r="BG205" s="416">
        <v>0</v>
      </c>
      <c r="BH205" s="416">
        <v>0</v>
      </c>
      <c r="BI205" s="416">
        <v>0</v>
      </c>
      <c r="BJ205" s="416">
        <v>0</v>
      </c>
      <c r="BK205" s="416">
        <v>0</v>
      </c>
      <c r="BL205" s="416">
        <v>0</v>
      </c>
      <c r="BM205" s="416">
        <v>0</v>
      </c>
      <c r="BN205" s="416">
        <v>0</v>
      </c>
      <c r="BO205" s="416">
        <v>-3.7930000000000001</v>
      </c>
      <c r="BP205" s="416">
        <v>-3.7930000000000001</v>
      </c>
      <c r="BQ205" s="416">
        <v>-0.19</v>
      </c>
      <c r="BR205" s="416">
        <v>-43.44</v>
      </c>
      <c r="BS205" s="416">
        <v>0</v>
      </c>
      <c r="BT205" s="416">
        <v>-38.768999999999998</v>
      </c>
      <c r="BU205" s="416">
        <v>-82.399000000000001</v>
      </c>
      <c r="BV205" s="416">
        <v>-7.3999999999999996E-2</v>
      </c>
      <c r="BW205" s="416">
        <v>-38.61</v>
      </c>
      <c r="BX205" s="416">
        <v>-4.2290000000000001</v>
      </c>
      <c r="BY205" s="416">
        <v>0</v>
      </c>
      <c r="BZ205" s="416">
        <v>0</v>
      </c>
      <c r="CC205" s="21"/>
      <c r="CD205" s="417" t="s">
        <v>733</v>
      </c>
      <c r="CE205" s="433">
        <f t="shared" si="45"/>
        <v>0</v>
      </c>
      <c r="CF205" s="433">
        <f t="shared" si="46"/>
        <v>0</v>
      </c>
      <c r="CG205" s="433">
        <f t="shared" si="47"/>
        <v>0</v>
      </c>
      <c r="CH205" s="433">
        <f t="shared" si="48"/>
        <v>0</v>
      </c>
      <c r="CI205" s="433">
        <f t="shared" si="49"/>
        <v>0</v>
      </c>
      <c r="CJ205" s="433">
        <f t="shared" si="50"/>
        <v>0</v>
      </c>
      <c r="CK205" s="433">
        <f t="shared" si="51"/>
        <v>0</v>
      </c>
      <c r="CL205" s="433">
        <f t="shared" si="52"/>
        <v>0</v>
      </c>
      <c r="CM205" s="433">
        <f t="shared" si="53"/>
        <v>0</v>
      </c>
      <c r="CN205" s="433">
        <f t="shared" si="54"/>
        <v>0</v>
      </c>
      <c r="CO205" s="433">
        <f t="shared" si="55"/>
        <v>0</v>
      </c>
      <c r="CP205" s="433">
        <f t="shared" si="56"/>
        <v>0</v>
      </c>
      <c r="CQ205" s="433">
        <f t="shared" si="57"/>
        <v>-3.7930000000000001</v>
      </c>
      <c r="CR205" s="433">
        <f t="shared" si="58"/>
        <v>-82.399000000000001</v>
      </c>
      <c r="CS205" s="433">
        <f t="shared" si="59"/>
        <v>0</v>
      </c>
      <c r="CT205" s="21"/>
    </row>
    <row r="206" spans="3:98">
      <c r="C206" s="417" t="s">
        <v>734</v>
      </c>
      <c r="D206" s="416">
        <v>0</v>
      </c>
      <c r="E206" s="416">
        <v>0</v>
      </c>
      <c r="F206" s="416">
        <v>0</v>
      </c>
      <c r="G206" s="416">
        <v>0</v>
      </c>
      <c r="H206" s="416">
        <v>0</v>
      </c>
      <c r="I206" s="416">
        <v>0</v>
      </c>
      <c r="J206" s="416">
        <v>0</v>
      </c>
      <c r="K206" s="416">
        <v>0</v>
      </c>
      <c r="L206" s="416">
        <v>0</v>
      </c>
      <c r="M206" s="416">
        <v>0</v>
      </c>
      <c r="N206" s="416">
        <v>0</v>
      </c>
      <c r="O206" s="416">
        <v>0</v>
      </c>
      <c r="P206" s="416">
        <v>0</v>
      </c>
      <c r="Q206" s="416">
        <v>0</v>
      </c>
      <c r="R206" s="416">
        <v>0</v>
      </c>
      <c r="S206" s="416">
        <v>0</v>
      </c>
      <c r="T206" s="416">
        <v>0</v>
      </c>
      <c r="U206" s="416">
        <v>0</v>
      </c>
      <c r="V206" s="416">
        <v>0</v>
      </c>
      <c r="W206" s="416">
        <v>0</v>
      </c>
      <c r="X206" s="416">
        <v>0</v>
      </c>
      <c r="Y206" s="416">
        <v>0</v>
      </c>
      <c r="Z206" s="416">
        <v>0</v>
      </c>
      <c r="AA206" s="416">
        <v>0</v>
      </c>
      <c r="AB206" s="416">
        <v>0</v>
      </c>
      <c r="AC206" s="416">
        <v>0</v>
      </c>
      <c r="AD206" s="416">
        <v>0</v>
      </c>
      <c r="AE206" s="416">
        <v>0</v>
      </c>
      <c r="AF206" s="416">
        <v>0</v>
      </c>
      <c r="AG206" s="416">
        <v>0</v>
      </c>
      <c r="AH206" s="416">
        <v>0</v>
      </c>
      <c r="AI206" s="416">
        <v>0</v>
      </c>
      <c r="AJ206" s="416">
        <v>0</v>
      </c>
      <c r="AK206" s="416">
        <v>0</v>
      </c>
      <c r="AL206" s="416">
        <v>0</v>
      </c>
      <c r="AM206" s="416">
        <v>0</v>
      </c>
      <c r="AN206" s="416">
        <v>0</v>
      </c>
      <c r="AO206" s="416">
        <v>0</v>
      </c>
      <c r="AP206" s="416">
        <v>0</v>
      </c>
      <c r="AQ206" s="416">
        <v>0</v>
      </c>
      <c r="AR206" s="416">
        <v>0</v>
      </c>
      <c r="AS206" s="416">
        <v>0</v>
      </c>
      <c r="AT206" s="416">
        <v>0</v>
      </c>
      <c r="AU206" s="416">
        <v>0</v>
      </c>
      <c r="AV206" s="416">
        <v>0</v>
      </c>
      <c r="AW206" s="416">
        <v>0</v>
      </c>
      <c r="AX206" s="416">
        <v>0</v>
      </c>
      <c r="AY206" s="416">
        <v>0</v>
      </c>
      <c r="AZ206" s="416">
        <v>0</v>
      </c>
      <c r="BA206" s="416">
        <v>0</v>
      </c>
      <c r="BB206" s="416">
        <v>0</v>
      </c>
      <c r="BC206" s="416">
        <v>0</v>
      </c>
      <c r="BD206" s="416">
        <v>0</v>
      </c>
      <c r="BE206" s="416">
        <v>0</v>
      </c>
      <c r="BF206" s="416">
        <v>0</v>
      </c>
      <c r="BG206" s="416">
        <v>0</v>
      </c>
      <c r="BH206" s="416">
        <v>0</v>
      </c>
      <c r="BI206" s="416">
        <v>0</v>
      </c>
      <c r="BJ206" s="416">
        <v>0</v>
      </c>
      <c r="BK206" s="416">
        <v>0</v>
      </c>
      <c r="BL206" s="416">
        <v>0</v>
      </c>
      <c r="BM206" s="416">
        <v>0</v>
      </c>
      <c r="BN206" s="416">
        <v>0</v>
      </c>
      <c r="BO206" s="416">
        <v>0</v>
      </c>
      <c r="BP206" s="416">
        <v>0</v>
      </c>
      <c r="BQ206" s="416">
        <v>0</v>
      </c>
      <c r="BR206" s="416">
        <v>0</v>
      </c>
      <c r="BS206" s="416">
        <v>0</v>
      </c>
      <c r="BT206" s="416">
        <v>0</v>
      </c>
      <c r="BU206" s="416">
        <v>0</v>
      </c>
      <c r="BV206" s="416">
        <v>0</v>
      </c>
      <c r="BW206" s="416">
        <v>0</v>
      </c>
      <c r="BX206" s="416">
        <v>0</v>
      </c>
      <c r="BY206" s="416">
        <v>0</v>
      </c>
      <c r="BZ206" s="416">
        <v>0</v>
      </c>
      <c r="CC206" s="21"/>
      <c r="CD206" s="417" t="s">
        <v>734</v>
      </c>
      <c r="CE206" s="433">
        <f t="shared" si="45"/>
        <v>0</v>
      </c>
      <c r="CF206" s="433">
        <f t="shared" si="46"/>
        <v>0</v>
      </c>
      <c r="CG206" s="433">
        <f t="shared" si="47"/>
        <v>0</v>
      </c>
      <c r="CH206" s="433">
        <f t="shared" si="48"/>
        <v>0</v>
      </c>
      <c r="CI206" s="433">
        <f t="shared" si="49"/>
        <v>0</v>
      </c>
      <c r="CJ206" s="433">
        <f t="shared" si="50"/>
        <v>0</v>
      </c>
      <c r="CK206" s="433">
        <f t="shared" si="51"/>
        <v>0</v>
      </c>
      <c r="CL206" s="433">
        <f t="shared" si="52"/>
        <v>0</v>
      </c>
      <c r="CM206" s="433">
        <f t="shared" si="53"/>
        <v>0</v>
      </c>
      <c r="CN206" s="433">
        <f t="shared" si="54"/>
        <v>0</v>
      </c>
      <c r="CO206" s="433">
        <f t="shared" si="55"/>
        <v>0</v>
      </c>
      <c r="CP206" s="433">
        <f t="shared" si="56"/>
        <v>0</v>
      </c>
      <c r="CQ206" s="433">
        <f t="shared" si="57"/>
        <v>0</v>
      </c>
      <c r="CR206" s="433">
        <f t="shared" si="58"/>
        <v>0</v>
      </c>
      <c r="CS206" s="433">
        <f t="shared" si="59"/>
        <v>0</v>
      </c>
      <c r="CT206" s="21"/>
    </row>
    <row r="207" spans="3:98">
      <c r="C207" s="417" t="s">
        <v>735</v>
      </c>
      <c r="D207" s="416">
        <v>0</v>
      </c>
      <c r="E207" s="416">
        <v>0</v>
      </c>
      <c r="F207" s="416">
        <v>0</v>
      </c>
      <c r="G207" s="416">
        <v>0</v>
      </c>
      <c r="H207" s="416">
        <v>0</v>
      </c>
      <c r="I207" s="416">
        <v>0</v>
      </c>
      <c r="J207" s="416">
        <v>0</v>
      </c>
      <c r="K207" s="416">
        <v>0</v>
      </c>
      <c r="L207" s="416">
        <v>0</v>
      </c>
      <c r="M207" s="416">
        <v>0</v>
      </c>
      <c r="N207" s="416">
        <v>0</v>
      </c>
      <c r="O207" s="416">
        <v>0</v>
      </c>
      <c r="P207" s="416">
        <v>0</v>
      </c>
      <c r="Q207" s="416">
        <v>0</v>
      </c>
      <c r="R207" s="416">
        <v>0</v>
      </c>
      <c r="S207" s="416">
        <v>0</v>
      </c>
      <c r="T207" s="416">
        <v>0</v>
      </c>
      <c r="U207" s="416">
        <v>0</v>
      </c>
      <c r="V207" s="416">
        <v>0</v>
      </c>
      <c r="W207" s="416">
        <v>0</v>
      </c>
      <c r="X207" s="416">
        <v>0</v>
      </c>
      <c r="Y207" s="416">
        <v>0</v>
      </c>
      <c r="Z207" s="416">
        <v>0</v>
      </c>
      <c r="AA207" s="416">
        <v>0</v>
      </c>
      <c r="AB207" s="416">
        <v>0</v>
      </c>
      <c r="AC207" s="416">
        <v>0</v>
      </c>
      <c r="AD207" s="416">
        <v>0</v>
      </c>
      <c r="AE207" s="416">
        <v>0</v>
      </c>
      <c r="AF207" s="416">
        <v>0</v>
      </c>
      <c r="AG207" s="416">
        <v>0</v>
      </c>
      <c r="AH207" s="416">
        <v>0</v>
      </c>
      <c r="AI207" s="416">
        <v>0</v>
      </c>
      <c r="AJ207" s="416">
        <v>0</v>
      </c>
      <c r="AK207" s="416">
        <v>0</v>
      </c>
      <c r="AL207" s="416">
        <v>0</v>
      </c>
      <c r="AM207" s="416">
        <v>0</v>
      </c>
      <c r="AN207" s="416">
        <v>0</v>
      </c>
      <c r="AO207" s="416">
        <v>0</v>
      </c>
      <c r="AP207" s="416">
        <v>0</v>
      </c>
      <c r="AQ207" s="416">
        <v>0</v>
      </c>
      <c r="AR207" s="416">
        <v>0</v>
      </c>
      <c r="AS207" s="416">
        <v>0</v>
      </c>
      <c r="AT207" s="416">
        <v>0</v>
      </c>
      <c r="AU207" s="416">
        <v>0</v>
      </c>
      <c r="AV207" s="416">
        <v>0</v>
      </c>
      <c r="AW207" s="416">
        <v>0</v>
      </c>
      <c r="AX207" s="416">
        <v>0</v>
      </c>
      <c r="AY207" s="416">
        <v>0</v>
      </c>
      <c r="AZ207" s="416">
        <v>0</v>
      </c>
      <c r="BA207" s="416">
        <v>0</v>
      </c>
      <c r="BB207" s="416">
        <v>0</v>
      </c>
      <c r="BC207" s="416">
        <v>0</v>
      </c>
      <c r="BD207" s="416">
        <v>0</v>
      </c>
      <c r="BE207" s="416">
        <v>0</v>
      </c>
      <c r="BF207" s="416">
        <v>0</v>
      </c>
      <c r="BG207" s="416">
        <v>0</v>
      </c>
      <c r="BH207" s="416">
        <v>0</v>
      </c>
      <c r="BI207" s="416">
        <v>0</v>
      </c>
      <c r="BJ207" s="416">
        <v>0</v>
      </c>
      <c r="BK207" s="416">
        <v>0</v>
      </c>
      <c r="BL207" s="416">
        <v>0</v>
      </c>
      <c r="BM207" s="416">
        <v>0</v>
      </c>
      <c r="BN207" s="416">
        <v>0</v>
      </c>
      <c r="BO207" s="416">
        <v>0</v>
      </c>
      <c r="BP207" s="416">
        <v>0</v>
      </c>
      <c r="BQ207" s="416">
        <v>0</v>
      </c>
      <c r="BR207" s="416">
        <v>0</v>
      </c>
      <c r="BS207" s="416">
        <v>0</v>
      </c>
      <c r="BT207" s="416">
        <v>0</v>
      </c>
      <c r="BU207" s="416">
        <v>0</v>
      </c>
      <c r="BV207" s="416">
        <v>0</v>
      </c>
      <c r="BW207" s="416">
        <v>0</v>
      </c>
      <c r="BX207" s="416">
        <v>0</v>
      </c>
      <c r="BY207" s="416">
        <v>0</v>
      </c>
      <c r="BZ207" s="416">
        <v>0</v>
      </c>
      <c r="CC207" s="21"/>
      <c r="CD207" s="417" t="s">
        <v>735</v>
      </c>
      <c r="CE207" s="433">
        <f t="shared" si="45"/>
        <v>0</v>
      </c>
      <c r="CF207" s="433">
        <f t="shared" si="46"/>
        <v>0</v>
      </c>
      <c r="CG207" s="433">
        <f t="shared" si="47"/>
        <v>0</v>
      </c>
      <c r="CH207" s="433">
        <f t="shared" si="48"/>
        <v>0</v>
      </c>
      <c r="CI207" s="433">
        <f t="shared" si="49"/>
        <v>0</v>
      </c>
      <c r="CJ207" s="433">
        <f t="shared" si="50"/>
        <v>0</v>
      </c>
      <c r="CK207" s="433">
        <f t="shared" si="51"/>
        <v>0</v>
      </c>
      <c r="CL207" s="433">
        <f t="shared" si="52"/>
        <v>0</v>
      </c>
      <c r="CM207" s="433">
        <f t="shared" si="53"/>
        <v>0</v>
      </c>
      <c r="CN207" s="433">
        <f t="shared" si="54"/>
        <v>0</v>
      </c>
      <c r="CO207" s="433">
        <f t="shared" si="55"/>
        <v>0</v>
      </c>
      <c r="CP207" s="433">
        <f t="shared" si="56"/>
        <v>0</v>
      </c>
      <c r="CQ207" s="433">
        <f t="shared" si="57"/>
        <v>0</v>
      </c>
      <c r="CR207" s="433">
        <f t="shared" si="58"/>
        <v>0</v>
      </c>
      <c r="CS207" s="433">
        <f t="shared" si="59"/>
        <v>0</v>
      </c>
      <c r="CT207" s="21"/>
    </row>
    <row r="208" spans="3:98">
      <c r="D208" s="416"/>
      <c r="E208" s="416"/>
      <c r="F208" s="416"/>
      <c r="G208" s="416"/>
      <c r="H208" s="416"/>
      <c r="I208" s="416"/>
      <c r="J208" s="416"/>
      <c r="K208" s="416"/>
      <c r="L208" s="416"/>
      <c r="M208" s="416"/>
      <c r="N208" s="416"/>
      <c r="O208" s="416"/>
      <c r="P208" s="416"/>
      <c r="Q208" s="416"/>
      <c r="R208" s="416"/>
      <c r="S208" s="416"/>
      <c r="T208" s="416"/>
      <c r="U208" s="416"/>
      <c r="V208" s="416"/>
      <c r="W208" s="416"/>
      <c r="X208" s="416"/>
      <c r="Y208" s="416"/>
      <c r="Z208" s="416"/>
      <c r="AA208" s="416"/>
      <c r="AB208" s="416"/>
      <c r="AC208" s="416"/>
      <c r="AD208" s="416"/>
      <c r="AE208" s="416"/>
      <c r="AF208" s="416"/>
      <c r="AG208" s="416"/>
      <c r="AH208" s="416"/>
      <c r="AI208" s="416"/>
      <c r="AJ208" s="416"/>
      <c r="AK208" s="416"/>
      <c r="AL208" s="416"/>
      <c r="AM208" s="416"/>
      <c r="AN208" s="416"/>
      <c r="AO208" s="416"/>
      <c r="AP208" s="416"/>
      <c r="AQ208" s="416"/>
      <c r="AR208" s="416"/>
      <c r="AS208" s="416"/>
      <c r="AT208" s="416"/>
      <c r="AU208" s="416"/>
      <c r="AV208" s="416"/>
      <c r="AW208" s="416"/>
      <c r="AX208" s="416"/>
      <c r="AY208" s="416"/>
      <c r="AZ208" s="416"/>
      <c r="BA208" s="416"/>
      <c r="BB208" s="416"/>
      <c r="BC208" s="416"/>
      <c r="BD208" s="416"/>
      <c r="BE208" s="416"/>
      <c r="BF208" s="416"/>
      <c r="BG208" s="416"/>
      <c r="BH208" s="416"/>
      <c r="BI208" s="416"/>
      <c r="BJ208" s="416"/>
      <c r="BK208" s="416"/>
      <c r="BL208" s="416"/>
      <c r="BM208" s="416"/>
      <c r="BN208" s="416"/>
      <c r="BO208" s="416"/>
      <c r="BP208" s="416"/>
      <c r="BQ208" s="416"/>
      <c r="BR208" s="416"/>
      <c r="BS208" s="416"/>
      <c r="BT208" s="416"/>
      <c r="BU208" s="416"/>
      <c r="BV208" s="416"/>
      <c r="BW208" s="416"/>
      <c r="BX208" s="416"/>
      <c r="BY208" s="416"/>
      <c r="BZ208" s="416"/>
      <c r="CC208" s="21"/>
      <c r="CD208" s="58"/>
      <c r="CE208" s="433"/>
      <c r="CF208" s="433"/>
      <c r="CG208" s="433"/>
      <c r="CH208" s="433"/>
      <c r="CI208" s="433"/>
      <c r="CJ208" s="433"/>
      <c r="CK208" s="433"/>
      <c r="CL208" s="433"/>
      <c r="CM208" s="433"/>
      <c r="CN208" s="433"/>
      <c r="CO208" s="433"/>
      <c r="CP208" s="433"/>
      <c r="CQ208" s="433"/>
      <c r="CR208" s="433"/>
      <c r="CS208" s="433"/>
      <c r="CT208" s="21"/>
    </row>
    <row r="209" spans="3:98">
      <c r="C209" s="107" t="s">
        <v>3255</v>
      </c>
      <c r="D209" s="416"/>
      <c r="E209" s="416"/>
      <c r="F209" s="416"/>
      <c r="G209" s="416"/>
      <c r="H209" s="416"/>
      <c r="I209" s="416"/>
      <c r="J209" s="416"/>
      <c r="K209" s="416"/>
      <c r="L209" s="416"/>
      <c r="M209" s="416"/>
      <c r="N209" s="416"/>
      <c r="O209" s="416"/>
      <c r="P209" s="416"/>
      <c r="Q209" s="416"/>
      <c r="R209" s="416"/>
      <c r="S209" s="416"/>
      <c r="T209" s="416"/>
      <c r="U209" s="416"/>
      <c r="V209" s="416"/>
      <c r="W209" s="416"/>
      <c r="X209" s="416"/>
      <c r="Y209" s="416"/>
      <c r="Z209" s="416"/>
      <c r="AA209" s="416"/>
      <c r="AB209" s="416"/>
      <c r="AC209" s="416"/>
      <c r="AD209" s="416"/>
      <c r="AE209" s="416"/>
      <c r="AF209" s="416"/>
      <c r="AG209" s="416"/>
      <c r="AH209" s="416"/>
      <c r="AI209" s="416"/>
      <c r="AJ209" s="416"/>
      <c r="AK209" s="416"/>
      <c r="AL209" s="416"/>
      <c r="AM209" s="416"/>
      <c r="AN209" s="416"/>
      <c r="AO209" s="416"/>
      <c r="AP209" s="416"/>
      <c r="AQ209" s="416"/>
      <c r="AR209" s="416"/>
      <c r="AS209" s="416"/>
      <c r="AT209" s="416"/>
      <c r="AU209" s="416"/>
      <c r="AV209" s="416"/>
      <c r="AW209" s="416"/>
      <c r="AX209" s="416"/>
      <c r="AY209" s="416"/>
      <c r="AZ209" s="416"/>
      <c r="BA209" s="416"/>
      <c r="BB209" s="416"/>
      <c r="BC209" s="416"/>
      <c r="BD209" s="416"/>
      <c r="BE209" s="416"/>
      <c r="BF209" s="416"/>
      <c r="BG209" s="416"/>
      <c r="BH209" s="416"/>
      <c r="BI209" s="416"/>
      <c r="BJ209" s="416"/>
      <c r="BK209" s="416"/>
      <c r="BL209" s="416"/>
      <c r="BM209" s="416"/>
      <c r="BN209" s="416"/>
      <c r="BO209" s="416"/>
      <c r="BP209" s="416"/>
      <c r="BQ209" s="416"/>
      <c r="BR209" s="416"/>
      <c r="BS209" s="416"/>
      <c r="BT209" s="416"/>
      <c r="BU209" s="416"/>
      <c r="BV209" s="416"/>
      <c r="BW209" s="416"/>
      <c r="BX209" s="416"/>
      <c r="BY209" s="416"/>
      <c r="BZ209" s="416"/>
      <c r="CC209" s="21"/>
      <c r="CD209" s="107" t="s">
        <v>3255</v>
      </c>
      <c r="CE209" s="433"/>
      <c r="CF209" s="433"/>
      <c r="CG209" s="433"/>
      <c r="CH209" s="433"/>
      <c r="CI209" s="433"/>
      <c r="CJ209" s="433"/>
      <c r="CK209" s="433"/>
      <c r="CL209" s="433"/>
      <c r="CM209" s="433"/>
      <c r="CN209" s="433"/>
      <c r="CO209" s="433"/>
      <c r="CP209" s="433"/>
      <c r="CQ209" s="433"/>
      <c r="CR209" s="433"/>
      <c r="CS209" s="433"/>
      <c r="CT209" s="21"/>
    </row>
    <row r="210" spans="3:98" ht="4.5" customHeight="1">
      <c r="D210" s="416">
        <v>0</v>
      </c>
      <c r="E210" s="416">
        <v>0</v>
      </c>
      <c r="F210" s="416">
        <v>0</v>
      </c>
      <c r="G210" s="416">
        <v>0</v>
      </c>
      <c r="H210" s="416">
        <v>0</v>
      </c>
      <c r="I210" s="416">
        <v>0</v>
      </c>
      <c r="J210" s="416">
        <v>0</v>
      </c>
      <c r="K210" s="416">
        <v>0</v>
      </c>
      <c r="L210" s="416">
        <v>0</v>
      </c>
      <c r="M210" s="416">
        <v>0</v>
      </c>
      <c r="N210" s="416">
        <v>0</v>
      </c>
      <c r="O210" s="416">
        <v>0</v>
      </c>
      <c r="P210" s="416">
        <v>0</v>
      </c>
      <c r="Q210" s="416">
        <v>0</v>
      </c>
      <c r="R210" s="416">
        <v>0</v>
      </c>
      <c r="S210" s="416">
        <v>0</v>
      </c>
      <c r="T210" s="416">
        <v>0</v>
      </c>
      <c r="U210" s="416">
        <v>0</v>
      </c>
      <c r="V210" s="416">
        <v>0</v>
      </c>
      <c r="W210" s="416">
        <v>0</v>
      </c>
      <c r="X210" s="416">
        <v>0</v>
      </c>
      <c r="Y210" s="416">
        <v>0</v>
      </c>
      <c r="Z210" s="416">
        <v>0</v>
      </c>
      <c r="AA210" s="416">
        <v>0</v>
      </c>
      <c r="AB210" s="416">
        <v>0</v>
      </c>
      <c r="AC210" s="416">
        <v>0</v>
      </c>
      <c r="AD210" s="416">
        <v>0</v>
      </c>
      <c r="AE210" s="416">
        <v>0</v>
      </c>
      <c r="AF210" s="416">
        <v>0</v>
      </c>
      <c r="AG210" s="416">
        <v>0</v>
      </c>
      <c r="AH210" s="416">
        <v>0</v>
      </c>
      <c r="AI210" s="416">
        <v>0</v>
      </c>
      <c r="AJ210" s="416">
        <v>0</v>
      </c>
      <c r="AK210" s="416">
        <v>0</v>
      </c>
      <c r="AL210" s="416">
        <v>0</v>
      </c>
      <c r="AM210" s="416">
        <v>0</v>
      </c>
      <c r="AN210" s="416">
        <v>0</v>
      </c>
      <c r="AO210" s="416">
        <v>0</v>
      </c>
      <c r="AP210" s="416">
        <v>0</v>
      </c>
      <c r="AQ210" s="416">
        <v>0</v>
      </c>
      <c r="AR210" s="416">
        <v>0</v>
      </c>
      <c r="AS210" s="416">
        <v>0</v>
      </c>
      <c r="AT210" s="416">
        <v>0</v>
      </c>
      <c r="AU210" s="416">
        <v>0</v>
      </c>
      <c r="AV210" s="416">
        <v>0</v>
      </c>
      <c r="AW210" s="416">
        <v>0</v>
      </c>
      <c r="AX210" s="416">
        <v>0</v>
      </c>
      <c r="AY210" s="416">
        <v>0</v>
      </c>
      <c r="AZ210" s="416">
        <v>0</v>
      </c>
      <c r="BA210" s="416">
        <v>0</v>
      </c>
      <c r="BB210" s="416">
        <v>0</v>
      </c>
      <c r="BC210" s="416">
        <v>0</v>
      </c>
      <c r="BD210" s="416">
        <v>0</v>
      </c>
      <c r="BE210" s="416">
        <v>0</v>
      </c>
      <c r="BF210" s="416">
        <v>0</v>
      </c>
      <c r="BG210" s="416">
        <v>0</v>
      </c>
      <c r="BH210" s="416">
        <v>0</v>
      </c>
      <c r="BI210" s="416">
        <v>0</v>
      </c>
      <c r="BJ210" s="416">
        <v>0</v>
      </c>
      <c r="BK210" s="416">
        <v>0</v>
      </c>
      <c r="BL210" s="416">
        <v>0</v>
      </c>
      <c r="BM210" s="416">
        <v>0</v>
      </c>
      <c r="BN210" s="416">
        <v>0</v>
      </c>
      <c r="BO210" s="416">
        <v>0</v>
      </c>
      <c r="BP210" s="416">
        <v>0</v>
      </c>
      <c r="BQ210" s="416">
        <v>0</v>
      </c>
      <c r="BR210" s="416">
        <v>0</v>
      </c>
      <c r="BS210" s="416">
        <v>0</v>
      </c>
      <c r="BT210" s="416">
        <v>0</v>
      </c>
      <c r="BU210" s="416">
        <v>0</v>
      </c>
      <c r="BV210" s="416">
        <v>0</v>
      </c>
      <c r="BW210" s="416">
        <v>0</v>
      </c>
      <c r="BX210" s="416">
        <v>0</v>
      </c>
      <c r="BY210" s="416">
        <v>0</v>
      </c>
      <c r="BZ210" s="416">
        <v>0</v>
      </c>
      <c r="CC210" s="21"/>
      <c r="CD210" s="58"/>
      <c r="CE210" s="433">
        <f t="shared" si="45"/>
        <v>0</v>
      </c>
      <c r="CF210" s="433">
        <f t="shared" si="46"/>
        <v>0</v>
      </c>
      <c r="CG210" s="433">
        <f t="shared" si="47"/>
        <v>0</v>
      </c>
      <c r="CH210" s="433">
        <f t="shared" si="48"/>
        <v>0</v>
      </c>
      <c r="CI210" s="433">
        <f t="shared" si="49"/>
        <v>0</v>
      </c>
      <c r="CJ210" s="433">
        <f t="shared" si="50"/>
        <v>0</v>
      </c>
      <c r="CK210" s="433">
        <f t="shared" si="51"/>
        <v>0</v>
      </c>
      <c r="CL210" s="433">
        <f t="shared" si="52"/>
        <v>0</v>
      </c>
      <c r="CM210" s="433">
        <f t="shared" si="53"/>
        <v>0</v>
      </c>
      <c r="CN210" s="433">
        <f t="shared" si="54"/>
        <v>0</v>
      </c>
      <c r="CO210" s="433">
        <f t="shared" si="55"/>
        <v>0</v>
      </c>
      <c r="CP210" s="433">
        <f t="shared" si="56"/>
        <v>0</v>
      </c>
      <c r="CQ210" s="433">
        <f t="shared" si="57"/>
        <v>0</v>
      </c>
      <c r="CR210" s="433">
        <f t="shared" si="58"/>
        <v>0</v>
      </c>
      <c r="CS210" s="433">
        <f t="shared" si="59"/>
        <v>0</v>
      </c>
      <c r="CT210" s="21"/>
    </row>
    <row r="211" spans="3:98">
      <c r="C211" s="417" t="s">
        <v>768</v>
      </c>
      <c r="D211" s="416">
        <v>0</v>
      </c>
      <c r="E211" s="416">
        <v>0</v>
      </c>
      <c r="F211" s="416">
        <v>0</v>
      </c>
      <c r="G211" s="416">
        <v>0</v>
      </c>
      <c r="H211" s="416">
        <v>0</v>
      </c>
      <c r="I211" s="416">
        <v>0</v>
      </c>
      <c r="J211" s="416">
        <v>0</v>
      </c>
      <c r="K211" s="416">
        <v>0</v>
      </c>
      <c r="L211" s="416">
        <v>0</v>
      </c>
      <c r="M211" s="416">
        <v>0</v>
      </c>
      <c r="N211" s="416">
        <v>0</v>
      </c>
      <c r="O211" s="416">
        <v>0</v>
      </c>
      <c r="P211" s="416">
        <v>0</v>
      </c>
      <c r="Q211" s="416">
        <v>0</v>
      </c>
      <c r="R211" s="416">
        <v>0</v>
      </c>
      <c r="S211" s="416">
        <v>0</v>
      </c>
      <c r="T211" s="416">
        <v>0</v>
      </c>
      <c r="U211" s="416">
        <v>0</v>
      </c>
      <c r="V211" s="416">
        <v>0</v>
      </c>
      <c r="W211" s="416">
        <v>0</v>
      </c>
      <c r="X211" s="416">
        <v>0</v>
      </c>
      <c r="Y211" s="416">
        <v>0</v>
      </c>
      <c r="Z211" s="416">
        <v>0</v>
      </c>
      <c r="AA211" s="416">
        <v>0</v>
      </c>
      <c r="AB211" s="416">
        <v>0</v>
      </c>
      <c r="AC211" s="416">
        <v>0</v>
      </c>
      <c r="AD211" s="416">
        <v>0</v>
      </c>
      <c r="AE211" s="416">
        <v>0</v>
      </c>
      <c r="AF211" s="416">
        <v>0</v>
      </c>
      <c r="AG211" s="416">
        <v>0</v>
      </c>
      <c r="AH211" s="416">
        <v>0</v>
      </c>
      <c r="AI211" s="416">
        <v>0</v>
      </c>
      <c r="AJ211" s="416">
        <v>0</v>
      </c>
      <c r="AK211" s="416">
        <v>0</v>
      </c>
      <c r="AL211" s="416">
        <v>0</v>
      </c>
      <c r="AM211" s="416">
        <v>0</v>
      </c>
      <c r="AN211" s="416">
        <v>0</v>
      </c>
      <c r="AO211" s="416">
        <v>0</v>
      </c>
      <c r="AP211" s="416">
        <v>0</v>
      </c>
      <c r="AQ211" s="416">
        <v>0</v>
      </c>
      <c r="AR211" s="416">
        <v>0</v>
      </c>
      <c r="AS211" s="416">
        <v>0</v>
      </c>
      <c r="AT211" s="416">
        <v>0</v>
      </c>
      <c r="AU211" s="416">
        <v>0</v>
      </c>
      <c r="AV211" s="416">
        <v>0</v>
      </c>
      <c r="AW211" s="416">
        <v>0</v>
      </c>
      <c r="AX211" s="416">
        <v>0</v>
      </c>
      <c r="AY211" s="416">
        <v>0</v>
      </c>
      <c r="AZ211" s="416">
        <v>0</v>
      </c>
      <c r="BA211" s="416">
        <v>0</v>
      </c>
      <c r="BB211" s="416">
        <v>0</v>
      </c>
      <c r="BC211" s="416">
        <v>0</v>
      </c>
      <c r="BD211" s="416">
        <v>0</v>
      </c>
      <c r="BE211" s="416">
        <v>0</v>
      </c>
      <c r="BF211" s="416">
        <v>0</v>
      </c>
      <c r="BG211" s="416">
        <v>0</v>
      </c>
      <c r="BH211" s="416">
        <v>0</v>
      </c>
      <c r="BI211" s="416">
        <v>0</v>
      </c>
      <c r="BJ211" s="416">
        <v>0</v>
      </c>
      <c r="BK211" s="416">
        <v>0</v>
      </c>
      <c r="BL211" s="416">
        <v>0</v>
      </c>
      <c r="BM211" s="416">
        <v>0</v>
      </c>
      <c r="BN211" s="416">
        <v>0</v>
      </c>
      <c r="BO211" s="416">
        <v>0</v>
      </c>
      <c r="BP211" s="416">
        <v>0</v>
      </c>
      <c r="BQ211" s="416">
        <v>0</v>
      </c>
      <c r="BR211" s="416">
        <v>0</v>
      </c>
      <c r="BS211" s="416">
        <v>0</v>
      </c>
      <c r="BT211" s="416">
        <v>0</v>
      </c>
      <c r="BU211" s="416">
        <v>0</v>
      </c>
      <c r="BV211" s="416">
        <v>0</v>
      </c>
      <c r="BW211" s="416">
        <v>0</v>
      </c>
      <c r="BX211" s="416">
        <v>0</v>
      </c>
      <c r="BY211" s="416">
        <v>0</v>
      </c>
      <c r="BZ211" s="416">
        <v>0</v>
      </c>
      <c r="CC211" s="21"/>
      <c r="CD211" s="417" t="s">
        <v>768</v>
      </c>
      <c r="CE211" s="433">
        <f t="shared" si="45"/>
        <v>0</v>
      </c>
      <c r="CF211" s="433">
        <f t="shared" si="46"/>
        <v>0</v>
      </c>
      <c r="CG211" s="433">
        <f t="shared" si="47"/>
        <v>0</v>
      </c>
      <c r="CH211" s="433">
        <f t="shared" si="48"/>
        <v>0</v>
      </c>
      <c r="CI211" s="433">
        <f t="shared" si="49"/>
        <v>0</v>
      </c>
      <c r="CJ211" s="433">
        <f t="shared" si="50"/>
        <v>0</v>
      </c>
      <c r="CK211" s="433">
        <f t="shared" si="51"/>
        <v>0</v>
      </c>
      <c r="CL211" s="433">
        <f t="shared" si="52"/>
        <v>0</v>
      </c>
      <c r="CM211" s="433">
        <f t="shared" si="53"/>
        <v>0</v>
      </c>
      <c r="CN211" s="433">
        <f t="shared" si="54"/>
        <v>0</v>
      </c>
      <c r="CO211" s="433">
        <f t="shared" si="55"/>
        <v>0</v>
      </c>
      <c r="CP211" s="433">
        <f t="shared" si="56"/>
        <v>0</v>
      </c>
      <c r="CQ211" s="433">
        <f t="shared" si="57"/>
        <v>0</v>
      </c>
      <c r="CR211" s="433">
        <f t="shared" si="58"/>
        <v>0</v>
      </c>
      <c r="CS211" s="433">
        <f t="shared" si="59"/>
        <v>0</v>
      </c>
      <c r="CT211" s="21"/>
    </row>
    <row r="212" spans="3:98">
      <c r="C212" s="417" t="s">
        <v>769</v>
      </c>
      <c r="D212" s="416">
        <v>0</v>
      </c>
      <c r="E212" s="416">
        <v>0</v>
      </c>
      <c r="F212" s="416">
        <v>0</v>
      </c>
      <c r="G212" s="416">
        <v>0</v>
      </c>
      <c r="H212" s="416">
        <v>0</v>
      </c>
      <c r="I212" s="416">
        <v>0</v>
      </c>
      <c r="J212" s="416">
        <v>0</v>
      </c>
      <c r="K212" s="416">
        <v>0</v>
      </c>
      <c r="L212" s="416">
        <v>0</v>
      </c>
      <c r="M212" s="416">
        <v>0</v>
      </c>
      <c r="N212" s="416">
        <v>0</v>
      </c>
      <c r="O212" s="416">
        <v>0</v>
      </c>
      <c r="P212" s="416">
        <v>0</v>
      </c>
      <c r="Q212" s="416">
        <v>0</v>
      </c>
      <c r="R212" s="416">
        <v>0</v>
      </c>
      <c r="S212" s="416">
        <v>0</v>
      </c>
      <c r="T212" s="416">
        <v>0</v>
      </c>
      <c r="U212" s="416">
        <v>0</v>
      </c>
      <c r="V212" s="416">
        <v>0</v>
      </c>
      <c r="W212" s="416">
        <v>0</v>
      </c>
      <c r="X212" s="416">
        <v>0</v>
      </c>
      <c r="Y212" s="416">
        <v>0</v>
      </c>
      <c r="Z212" s="416">
        <v>0</v>
      </c>
      <c r="AA212" s="416">
        <v>0</v>
      </c>
      <c r="AB212" s="416">
        <v>0</v>
      </c>
      <c r="AC212" s="416">
        <v>0</v>
      </c>
      <c r="AD212" s="416">
        <v>0</v>
      </c>
      <c r="AE212" s="416">
        <v>0</v>
      </c>
      <c r="AF212" s="416">
        <v>0</v>
      </c>
      <c r="AG212" s="416">
        <v>0</v>
      </c>
      <c r="AH212" s="416">
        <v>0</v>
      </c>
      <c r="AI212" s="416">
        <v>0</v>
      </c>
      <c r="AJ212" s="416">
        <v>0</v>
      </c>
      <c r="AK212" s="416">
        <v>0</v>
      </c>
      <c r="AL212" s="416">
        <v>0</v>
      </c>
      <c r="AM212" s="416">
        <v>0</v>
      </c>
      <c r="AN212" s="416">
        <v>0</v>
      </c>
      <c r="AO212" s="416">
        <v>0</v>
      </c>
      <c r="AP212" s="416">
        <v>0</v>
      </c>
      <c r="AQ212" s="416">
        <v>0</v>
      </c>
      <c r="AR212" s="416">
        <v>0</v>
      </c>
      <c r="AS212" s="416">
        <v>0</v>
      </c>
      <c r="AT212" s="416">
        <v>0</v>
      </c>
      <c r="AU212" s="416">
        <v>0</v>
      </c>
      <c r="AV212" s="416">
        <v>0</v>
      </c>
      <c r="AW212" s="416">
        <v>0</v>
      </c>
      <c r="AX212" s="416">
        <v>0</v>
      </c>
      <c r="AY212" s="416">
        <v>0</v>
      </c>
      <c r="AZ212" s="416">
        <v>0</v>
      </c>
      <c r="BA212" s="416">
        <v>0</v>
      </c>
      <c r="BB212" s="416">
        <v>0</v>
      </c>
      <c r="BC212" s="416">
        <v>0</v>
      </c>
      <c r="BD212" s="416">
        <v>0</v>
      </c>
      <c r="BE212" s="416">
        <v>0</v>
      </c>
      <c r="BF212" s="416">
        <v>0</v>
      </c>
      <c r="BG212" s="416">
        <v>0</v>
      </c>
      <c r="BH212" s="416">
        <v>0</v>
      </c>
      <c r="BI212" s="416">
        <v>0</v>
      </c>
      <c r="BJ212" s="416">
        <v>0</v>
      </c>
      <c r="BK212" s="416">
        <v>0</v>
      </c>
      <c r="BL212" s="416">
        <v>0</v>
      </c>
      <c r="BM212" s="416">
        <v>0</v>
      </c>
      <c r="BN212" s="416">
        <v>0</v>
      </c>
      <c r="BO212" s="416">
        <v>0</v>
      </c>
      <c r="BP212" s="416">
        <v>0</v>
      </c>
      <c r="BQ212" s="416">
        <v>0</v>
      </c>
      <c r="BR212" s="416">
        <v>0</v>
      </c>
      <c r="BS212" s="416">
        <v>0</v>
      </c>
      <c r="BT212" s="416">
        <v>0</v>
      </c>
      <c r="BU212" s="416">
        <v>0</v>
      </c>
      <c r="BV212" s="416">
        <v>0</v>
      </c>
      <c r="BW212" s="416">
        <v>0</v>
      </c>
      <c r="BX212" s="416">
        <v>0</v>
      </c>
      <c r="BY212" s="416">
        <v>0</v>
      </c>
      <c r="BZ212" s="416">
        <v>0</v>
      </c>
      <c r="CC212" s="21"/>
      <c r="CD212" s="417" t="s">
        <v>769</v>
      </c>
      <c r="CE212" s="433">
        <f t="shared" si="45"/>
        <v>0</v>
      </c>
      <c r="CF212" s="433">
        <f t="shared" si="46"/>
        <v>0</v>
      </c>
      <c r="CG212" s="433">
        <f t="shared" si="47"/>
        <v>0</v>
      </c>
      <c r="CH212" s="433">
        <f t="shared" si="48"/>
        <v>0</v>
      </c>
      <c r="CI212" s="433">
        <f t="shared" si="49"/>
        <v>0</v>
      </c>
      <c r="CJ212" s="433">
        <f t="shared" si="50"/>
        <v>0</v>
      </c>
      <c r="CK212" s="433">
        <f t="shared" si="51"/>
        <v>0</v>
      </c>
      <c r="CL212" s="433">
        <f t="shared" si="52"/>
        <v>0</v>
      </c>
      <c r="CM212" s="433">
        <f t="shared" si="53"/>
        <v>0</v>
      </c>
      <c r="CN212" s="433">
        <f t="shared" si="54"/>
        <v>0</v>
      </c>
      <c r="CO212" s="433">
        <f t="shared" si="55"/>
        <v>0</v>
      </c>
      <c r="CP212" s="433">
        <f t="shared" si="56"/>
        <v>0</v>
      </c>
      <c r="CQ212" s="433">
        <f t="shared" si="57"/>
        <v>0</v>
      </c>
      <c r="CR212" s="433">
        <f t="shared" si="58"/>
        <v>0</v>
      </c>
      <c r="CS212" s="433">
        <f t="shared" si="59"/>
        <v>0</v>
      </c>
      <c r="CT212" s="21"/>
    </row>
    <row r="213" spans="3:98">
      <c r="C213" s="417" t="s">
        <v>736</v>
      </c>
      <c r="D213" s="416">
        <v>0</v>
      </c>
      <c r="E213" s="416">
        <v>0</v>
      </c>
      <c r="F213" s="416">
        <v>0</v>
      </c>
      <c r="G213" s="416">
        <v>0</v>
      </c>
      <c r="H213" s="416">
        <v>0</v>
      </c>
      <c r="I213" s="416">
        <v>0</v>
      </c>
      <c r="J213" s="416">
        <v>0</v>
      </c>
      <c r="K213" s="416">
        <v>0</v>
      </c>
      <c r="L213" s="416">
        <v>0</v>
      </c>
      <c r="M213" s="416">
        <v>0</v>
      </c>
      <c r="N213" s="416">
        <v>0</v>
      </c>
      <c r="O213" s="416">
        <v>0</v>
      </c>
      <c r="P213" s="416">
        <v>0</v>
      </c>
      <c r="Q213" s="416">
        <v>0</v>
      </c>
      <c r="R213" s="416">
        <v>0</v>
      </c>
      <c r="S213" s="416">
        <v>0</v>
      </c>
      <c r="T213" s="416">
        <v>0</v>
      </c>
      <c r="U213" s="416">
        <v>0</v>
      </c>
      <c r="V213" s="416">
        <v>0</v>
      </c>
      <c r="W213" s="416">
        <v>0</v>
      </c>
      <c r="X213" s="416">
        <v>0</v>
      </c>
      <c r="Y213" s="416">
        <v>0</v>
      </c>
      <c r="Z213" s="416">
        <v>0</v>
      </c>
      <c r="AA213" s="416">
        <v>0</v>
      </c>
      <c r="AB213" s="416">
        <v>0</v>
      </c>
      <c r="AC213" s="416">
        <v>0</v>
      </c>
      <c r="AD213" s="416">
        <v>0</v>
      </c>
      <c r="AE213" s="416">
        <v>0</v>
      </c>
      <c r="AF213" s="416">
        <v>0</v>
      </c>
      <c r="AG213" s="416">
        <v>0</v>
      </c>
      <c r="AH213" s="416">
        <v>0</v>
      </c>
      <c r="AI213" s="416">
        <v>0</v>
      </c>
      <c r="AJ213" s="416">
        <v>0</v>
      </c>
      <c r="AK213" s="416">
        <v>0</v>
      </c>
      <c r="AL213" s="416">
        <v>0</v>
      </c>
      <c r="AM213" s="416">
        <v>0</v>
      </c>
      <c r="AN213" s="416">
        <v>0</v>
      </c>
      <c r="AO213" s="416">
        <v>0</v>
      </c>
      <c r="AP213" s="416">
        <v>0</v>
      </c>
      <c r="AQ213" s="416">
        <v>0</v>
      </c>
      <c r="AR213" s="416">
        <v>0</v>
      </c>
      <c r="AS213" s="416">
        <v>0</v>
      </c>
      <c r="AT213" s="416">
        <v>0</v>
      </c>
      <c r="AU213" s="416">
        <v>0</v>
      </c>
      <c r="AV213" s="416">
        <v>0</v>
      </c>
      <c r="AW213" s="416">
        <v>0</v>
      </c>
      <c r="AX213" s="416">
        <v>0</v>
      </c>
      <c r="AY213" s="416">
        <v>0</v>
      </c>
      <c r="AZ213" s="416">
        <v>0</v>
      </c>
      <c r="BA213" s="416">
        <v>0</v>
      </c>
      <c r="BB213" s="416">
        <v>0</v>
      </c>
      <c r="BC213" s="416">
        <v>0</v>
      </c>
      <c r="BD213" s="416">
        <v>0</v>
      </c>
      <c r="BE213" s="416">
        <v>0</v>
      </c>
      <c r="BF213" s="416">
        <v>0</v>
      </c>
      <c r="BG213" s="416">
        <v>0</v>
      </c>
      <c r="BH213" s="416">
        <v>0</v>
      </c>
      <c r="BI213" s="416">
        <v>0</v>
      </c>
      <c r="BJ213" s="416">
        <v>0</v>
      </c>
      <c r="BK213" s="416">
        <v>0</v>
      </c>
      <c r="BL213" s="416">
        <v>0</v>
      </c>
      <c r="BM213" s="416">
        <v>0</v>
      </c>
      <c r="BN213" s="416">
        <v>0</v>
      </c>
      <c r="BO213" s="416">
        <v>0</v>
      </c>
      <c r="BP213" s="416">
        <v>0</v>
      </c>
      <c r="BQ213" s="416">
        <v>0</v>
      </c>
      <c r="BR213" s="416">
        <v>0</v>
      </c>
      <c r="BS213" s="416">
        <v>0</v>
      </c>
      <c r="BT213" s="416">
        <v>0</v>
      </c>
      <c r="BU213" s="416">
        <v>0</v>
      </c>
      <c r="BV213" s="416">
        <v>0</v>
      </c>
      <c r="BW213" s="416">
        <v>0</v>
      </c>
      <c r="BX213" s="416">
        <v>0</v>
      </c>
      <c r="BY213" s="416">
        <v>0</v>
      </c>
      <c r="BZ213" s="416">
        <v>0</v>
      </c>
      <c r="CC213" s="21"/>
      <c r="CD213" s="417" t="s">
        <v>736</v>
      </c>
      <c r="CE213" s="433">
        <f t="shared" si="45"/>
        <v>0</v>
      </c>
      <c r="CF213" s="433">
        <f t="shared" si="46"/>
        <v>0</v>
      </c>
      <c r="CG213" s="433">
        <f t="shared" si="47"/>
        <v>0</v>
      </c>
      <c r="CH213" s="433">
        <f t="shared" si="48"/>
        <v>0</v>
      </c>
      <c r="CI213" s="433">
        <f t="shared" si="49"/>
        <v>0</v>
      </c>
      <c r="CJ213" s="433">
        <f t="shared" si="50"/>
        <v>0</v>
      </c>
      <c r="CK213" s="433">
        <f t="shared" si="51"/>
        <v>0</v>
      </c>
      <c r="CL213" s="433">
        <f t="shared" si="52"/>
        <v>0</v>
      </c>
      <c r="CM213" s="433">
        <f t="shared" si="53"/>
        <v>0</v>
      </c>
      <c r="CN213" s="433">
        <f t="shared" si="54"/>
        <v>0</v>
      </c>
      <c r="CO213" s="433">
        <f t="shared" si="55"/>
        <v>0</v>
      </c>
      <c r="CP213" s="433">
        <f t="shared" si="56"/>
        <v>0</v>
      </c>
      <c r="CQ213" s="433">
        <f t="shared" si="57"/>
        <v>0</v>
      </c>
      <c r="CR213" s="433">
        <f t="shared" si="58"/>
        <v>0</v>
      </c>
      <c r="CS213" s="433">
        <f t="shared" si="59"/>
        <v>0</v>
      </c>
      <c r="CT213" s="21"/>
    </row>
    <row r="214" spans="3:98">
      <c r="C214" s="417" t="s">
        <v>737</v>
      </c>
      <c r="D214" s="416">
        <v>0</v>
      </c>
      <c r="E214" s="416">
        <v>0</v>
      </c>
      <c r="F214" s="416">
        <v>0</v>
      </c>
      <c r="G214" s="416">
        <v>0</v>
      </c>
      <c r="H214" s="416">
        <v>0</v>
      </c>
      <c r="I214" s="416">
        <v>0</v>
      </c>
      <c r="J214" s="416">
        <v>0</v>
      </c>
      <c r="K214" s="416">
        <v>0</v>
      </c>
      <c r="L214" s="416">
        <v>0</v>
      </c>
      <c r="M214" s="416">
        <v>0</v>
      </c>
      <c r="N214" s="416">
        <v>0</v>
      </c>
      <c r="O214" s="416">
        <v>0</v>
      </c>
      <c r="P214" s="416">
        <v>0</v>
      </c>
      <c r="Q214" s="416">
        <v>0</v>
      </c>
      <c r="R214" s="416">
        <v>0</v>
      </c>
      <c r="S214" s="416">
        <v>0</v>
      </c>
      <c r="T214" s="416">
        <v>0</v>
      </c>
      <c r="U214" s="416">
        <v>0</v>
      </c>
      <c r="V214" s="416">
        <v>0</v>
      </c>
      <c r="W214" s="416">
        <v>0</v>
      </c>
      <c r="X214" s="416">
        <v>0</v>
      </c>
      <c r="Y214" s="416">
        <v>0</v>
      </c>
      <c r="Z214" s="416">
        <v>0</v>
      </c>
      <c r="AA214" s="416">
        <v>0</v>
      </c>
      <c r="AB214" s="416">
        <v>0</v>
      </c>
      <c r="AC214" s="416">
        <v>0</v>
      </c>
      <c r="AD214" s="416">
        <v>0</v>
      </c>
      <c r="AE214" s="416">
        <v>0</v>
      </c>
      <c r="AF214" s="416">
        <v>0</v>
      </c>
      <c r="AG214" s="416">
        <v>0</v>
      </c>
      <c r="AH214" s="416">
        <v>0</v>
      </c>
      <c r="AI214" s="416">
        <v>0</v>
      </c>
      <c r="AJ214" s="416">
        <v>0</v>
      </c>
      <c r="AK214" s="416">
        <v>0</v>
      </c>
      <c r="AL214" s="416">
        <v>0</v>
      </c>
      <c r="AM214" s="416">
        <v>0</v>
      </c>
      <c r="AN214" s="416">
        <v>0</v>
      </c>
      <c r="AO214" s="416">
        <v>0</v>
      </c>
      <c r="AP214" s="416">
        <v>0</v>
      </c>
      <c r="AQ214" s="416">
        <v>0</v>
      </c>
      <c r="AR214" s="416">
        <v>0</v>
      </c>
      <c r="AS214" s="416">
        <v>0</v>
      </c>
      <c r="AT214" s="416">
        <v>0</v>
      </c>
      <c r="AU214" s="416">
        <v>0</v>
      </c>
      <c r="AV214" s="416">
        <v>0</v>
      </c>
      <c r="AW214" s="416">
        <v>0</v>
      </c>
      <c r="AX214" s="416">
        <v>0</v>
      </c>
      <c r="AY214" s="416">
        <v>0</v>
      </c>
      <c r="AZ214" s="416">
        <v>0</v>
      </c>
      <c r="BA214" s="416">
        <v>0</v>
      </c>
      <c r="BB214" s="416">
        <v>0</v>
      </c>
      <c r="BC214" s="416">
        <v>0</v>
      </c>
      <c r="BD214" s="416">
        <v>0</v>
      </c>
      <c r="BE214" s="416">
        <v>0</v>
      </c>
      <c r="BF214" s="416">
        <v>0</v>
      </c>
      <c r="BG214" s="416">
        <v>0</v>
      </c>
      <c r="BH214" s="416">
        <v>0</v>
      </c>
      <c r="BI214" s="416">
        <v>0</v>
      </c>
      <c r="BJ214" s="416">
        <v>0</v>
      </c>
      <c r="BK214" s="416">
        <v>0</v>
      </c>
      <c r="BL214" s="416">
        <v>0</v>
      </c>
      <c r="BM214" s="416">
        <v>0</v>
      </c>
      <c r="BN214" s="416">
        <v>0</v>
      </c>
      <c r="BO214" s="416">
        <v>0</v>
      </c>
      <c r="BP214" s="416">
        <v>0</v>
      </c>
      <c r="BQ214" s="416">
        <v>0</v>
      </c>
      <c r="BR214" s="416">
        <v>0</v>
      </c>
      <c r="BS214" s="416">
        <v>0</v>
      </c>
      <c r="BT214" s="416">
        <v>0</v>
      </c>
      <c r="BU214" s="416">
        <v>0</v>
      </c>
      <c r="BV214" s="416">
        <v>0</v>
      </c>
      <c r="BW214" s="416">
        <v>0</v>
      </c>
      <c r="BX214" s="416">
        <v>0</v>
      </c>
      <c r="BY214" s="416">
        <v>0</v>
      </c>
      <c r="BZ214" s="416">
        <v>0</v>
      </c>
      <c r="CC214" s="21"/>
      <c r="CD214" s="417" t="s">
        <v>737</v>
      </c>
      <c r="CE214" s="433">
        <f t="shared" si="45"/>
        <v>0</v>
      </c>
      <c r="CF214" s="433">
        <f t="shared" si="46"/>
        <v>0</v>
      </c>
      <c r="CG214" s="433">
        <f t="shared" si="47"/>
        <v>0</v>
      </c>
      <c r="CH214" s="433">
        <f t="shared" si="48"/>
        <v>0</v>
      </c>
      <c r="CI214" s="433">
        <f t="shared" si="49"/>
        <v>0</v>
      </c>
      <c r="CJ214" s="433">
        <f t="shared" si="50"/>
        <v>0</v>
      </c>
      <c r="CK214" s="433">
        <f t="shared" si="51"/>
        <v>0</v>
      </c>
      <c r="CL214" s="433">
        <f t="shared" si="52"/>
        <v>0</v>
      </c>
      <c r="CM214" s="433">
        <f t="shared" si="53"/>
        <v>0</v>
      </c>
      <c r="CN214" s="433">
        <f t="shared" si="54"/>
        <v>0</v>
      </c>
      <c r="CO214" s="433">
        <f t="shared" si="55"/>
        <v>0</v>
      </c>
      <c r="CP214" s="433">
        <f t="shared" si="56"/>
        <v>0</v>
      </c>
      <c r="CQ214" s="433">
        <f t="shared" si="57"/>
        <v>0</v>
      </c>
      <c r="CR214" s="433">
        <f t="shared" si="58"/>
        <v>0</v>
      </c>
      <c r="CS214" s="433">
        <f t="shared" si="59"/>
        <v>0</v>
      </c>
      <c r="CT214" s="21"/>
    </row>
    <row r="215" spans="3:98">
      <c r="C215" s="417" t="s">
        <v>738</v>
      </c>
      <c r="D215" s="416">
        <v>0</v>
      </c>
      <c r="E215" s="416">
        <v>0</v>
      </c>
      <c r="F215" s="416">
        <v>0</v>
      </c>
      <c r="G215" s="416">
        <v>0</v>
      </c>
      <c r="H215" s="416">
        <v>0</v>
      </c>
      <c r="I215" s="416">
        <v>0</v>
      </c>
      <c r="J215" s="416">
        <v>0</v>
      </c>
      <c r="K215" s="416">
        <v>0</v>
      </c>
      <c r="L215" s="416">
        <v>0</v>
      </c>
      <c r="M215" s="416">
        <v>0</v>
      </c>
      <c r="N215" s="416">
        <v>0</v>
      </c>
      <c r="O215" s="416">
        <v>0</v>
      </c>
      <c r="P215" s="416">
        <v>0</v>
      </c>
      <c r="Q215" s="416">
        <v>0</v>
      </c>
      <c r="R215" s="416">
        <v>0</v>
      </c>
      <c r="S215" s="416">
        <v>0</v>
      </c>
      <c r="T215" s="416">
        <v>0</v>
      </c>
      <c r="U215" s="416">
        <v>0</v>
      </c>
      <c r="V215" s="416">
        <v>0</v>
      </c>
      <c r="W215" s="416">
        <v>0</v>
      </c>
      <c r="X215" s="416">
        <v>0</v>
      </c>
      <c r="Y215" s="416">
        <v>0</v>
      </c>
      <c r="Z215" s="416">
        <v>0</v>
      </c>
      <c r="AA215" s="416">
        <v>0</v>
      </c>
      <c r="AB215" s="416">
        <v>0</v>
      </c>
      <c r="AC215" s="416">
        <v>0</v>
      </c>
      <c r="AD215" s="416">
        <v>0</v>
      </c>
      <c r="AE215" s="416">
        <v>0</v>
      </c>
      <c r="AF215" s="416">
        <v>0</v>
      </c>
      <c r="AG215" s="416">
        <v>0</v>
      </c>
      <c r="AH215" s="416">
        <v>0</v>
      </c>
      <c r="AI215" s="416">
        <v>0</v>
      </c>
      <c r="AJ215" s="416">
        <v>0</v>
      </c>
      <c r="AK215" s="416">
        <v>0</v>
      </c>
      <c r="AL215" s="416">
        <v>0</v>
      </c>
      <c r="AM215" s="416">
        <v>0</v>
      </c>
      <c r="AN215" s="416">
        <v>0</v>
      </c>
      <c r="AO215" s="416">
        <v>0</v>
      </c>
      <c r="AP215" s="416">
        <v>0</v>
      </c>
      <c r="AQ215" s="416">
        <v>0</v>
      </c>
      <c r="AR215" s="416">
        <v>0</v>
      </c>
      <c r="AS215" s="416">
        <v>0</v>
      </c>
      <c r="AT215" s="416">
        <v>0</v>
      </c>
      <c r="AU215" s="416">
        <v>0</v>
      </c>
      <c r="AV215" s="416">
        <v>0</v>
      </c>
      <c r="AW215" s="416">
        <v>0</v>
      </c>
      <c r="AX215" s="416">
        <v>0</v>
      </c>
      <c r="AY215" s="416">
        <v>0</v>
      </c>
      <c r="AZ215" s="416">
        <v>0</v>
      </c>
      <c r="BA215" s="416">
        <v>0</v>
      </c>
      <c r="BB215" s="416">
        <v>0</v>
      </c>
      <c r="BC215" s="416">
        <v>0</v>
      </c>
      <c r="BD215" s="416">
        <v>0</v>
      </c>
      <c r="BE215" s="416">
        <v>0</v>
      </c>
      <c r="BF215" s="416">
        <v>0</v>
      </c>
      <c r="BG215" s="416">
        <v>0</v>
      </c>
      <c r="BH215" s="416">
        <v>0</v>
      </c>
      <c r="BI215" s="416">
        <v>0</v>
      </c>
      <c r="BJ215" s="416">
        <v>0</v>
      </c>
      <c r="BK215" s="416">
        <v>0</v>
      </c>
      <c r="BL215" s="416">
        <v>0</v>
      </c>
      <c r="BM215" s="416">
        <v>0</v>
      </c>
      <c r="BN215" s="416">
        <v>0</v>
      </c>
      <c r="BO215" s="416">
        <v>0</v>
      </c>
      <c r="BP215" s="416">
        <v>0</v>
      </c>
      <c r="BQ215" s="416">
        <v>0</v>
      </c>
      <c r="BR215" s="416">
        <v>0</v>
      </c>
      <c r="BS215" s="416">
        <v>0</v>
      </c>
      <c r="BT215" s="416">
        <v>0</v>
      </c>
      <c r="BU215" s="416">
        <v>0</v>
      </c>
      <c r="BV215" s="416">
        <v>0</v>
      </c>
      <c r="BW215" s="416">
        <v>0</v>
      </c>
      <c r="BX215" s="416">
        <v>0</v>
      </c>
      <c r="BY215" s="416">
        <v>0</v>
      </c>
      <c r="BZ215" s="416">
        <v>0</v>
      </c>
      <c r="CC215" s="21"/>
      <c r="CD215" s="417" t="s">
        <v>738</v>
      </c>
      <c r="CE215" s="433">
        <f t="shared" si="45"/>
        <v>0</v>
      </c>
      <c r="CF215" s="433">
        <f t="shared" si="46"/>
        <v>0</v>
      </c>
      <c r="CG215" s="433">
        <f t="shared" si="47"/>
        <v>0</v>
      </c>
      <c r="CH215" s="433">
        <f t="shared" si="48"/>
        <v>0</v>
      </c>
      <c r="CI215" s="433">
        <f t="shared" si="49"/>
        <v>0</v>
      </c>
      <c r="CJ215" s="433">
        <f t="shared" si="50"/>
        <v>0</v>
      </c>
      <c r="CK215" s="433">
        <f t="shared" si="51"/>
        <v>0</v>
      </c>
      <c r="CL215" s="433">
        <f t="shared" si="52"/>
        <v>0</v>
      </c>
      <c r="CM215" s="433">
        <f t="shared" si="53"/>
        <v>0</v>
      </c>
      <c r="CN215" s="433">
        <f t="shared" si="54"/>
        <v>0</v>
      </c>
      <c r="CO215" s="433">
        <f t="shared" si="55"/>
        <v>0</v>
      </c>
      <c r="CP215" s="433">
        <f t="shared" si="56"/>
        <v>0</v>
      </c>
      <c r="CQ215" s="433">
        <f t="shared" si="57"/>
        <v>0</v>
      </c>
      <c r="CR215" s="433">
        <f t="shared" si="58"/>
        <v>0</v>
      </c>
      <c r="CS215" s="433">
        <f t="shared" si="59"/>
        <v>0</v>
      </c>
      <c r="CT215" s="21"/>
    </row>
    <row r="216" spans="3:98">
      <c r="C216" s="417" t="s">
        <v>739</v>
      </c>
      <c r="D216" s="416">
        <v>0</v>
      </c>
      <c r="E216" s="416">
        <v>0</v>
      </c>
      <c r="F216" s="416">
        <v>0</v>
      </c>
      <c r="G216" s="416">
        <v>0</v>
      </c>
      <c r="H216" s="416">
        <v>0</v>
      </c>
      <c r="I216" s="416">
        <v>0</v>
      </c>
      <c r="J216" s="416">
        <v>0</v>
      </c>
      <c r="K216" s="416">
        <v>0</v>
      </c>
      <c r="L216" s="416">
        <v>0</v>
      </c>
      <c r="M216" s="416">
        <v>0</v>
      </c>
      <c r="N216" s="416">
        <v>0</v>
      </c>
      <c r="O216" s="416">
        <v>0</v>
      </c>
      <c r="P216" s="416">
        <v>0</v>
      </c>
      <c r="Q216" s="416">
        <v>0</v>
      </c>
      <c r="R216" s="416">
        <v>0</v>
      </c>
      <c r="S216" s="416">
        <v>0</v>
      </c>
      <c r="T216" s="416">
        <v>0</v>
      </c>
      <c r="U216" s="416">
        <v>0</v>
      </c>
      <c r="V216" s="416">
        <v>0</v>
      </c>
      <c r="W216" s="416">
        <v>0</v>
      </c>
      <c r="X216" s="416">
        <v>0</v>
      </c>
      <c r="Y216" s="416">
        <v>0</v>
      </c>
      <c r="Z216" s="416">
        <v>0</v>
      </c>
      <c r="AA216" s="416">
        <v>0</v>
      </c>
      <c r="AB216" s="416">
        <v>0</v>
      </c>
      <c r="AC216" s="416">
        <v>0</v>
      </c>
      <c r="AD216" s="416">
        <v>0</v>
      </c>
      <c r="AE216" s="416">
        <v>0</v>
      </c>
      <c r="AF216" s="416">
        <v>0</v>
      </c>
      <c r="AG216" s="416">
        <v>0</v>
      </c>
      <c r="AH216" s="416">
        <v>0</v>
      </c>
      <c r="AI216" s="416">
        <v>0</v>
      </c>
      <c r="AJ216" s="416">
        <v>0</v>
      </c>
      <c r="AK216" s="416">
        <v>0</v>
      </c>
      <c r="AL216" s="416">
        <v>0</v>
      </c>
      <c r="AM216" s="416">
        <v>0</v>
      </c>
      <c r="AN216" s="416">
        <v>0</v>
      </c>
      <c r="AO216" s="416">
        <v>0</v>
      </c>
      <c r="AP216" s="416">
        <v>0</v>
      </c>
      <c r="AQ216" s="416">
        <v>0</v>
      </c>
      <c r="AR216" s="416">
        <v>0</v>
      </c>
      <c r="AS216" s="416">
        <v>0</v>
      </c>
      <c r="AT216" s="416">
        <v>0</v>
      </c>
      <c r="AU216" s="416">
        <v>0</v>
      </c>
      <c r="AV216" s="416">
        <v>0</v>
      </c>
      <c r="AW216" s="416">
        <v>0</v>
      </c>
      <c r="AX216" s="416">
        <v>0</v>
      </c>
      <c r="AY216" s="416">
        <v>0</v>
      </c>
      <c r="AZ216" s="416">
        <v>0</v>
      </c>
      <c r="BA216" s="416">
        <v>0</v>
      </c>
      <c r="BB216" s="416">
        <v>0</v>
      </c>
      <c r="BC216" s="416">
        <v>0</v>
      </c>
      <c r="BD216" s="416">
        <v>0</v>
      </c>
      <c r="BE216" s="416">
        <v>0</v>
      </c>
      <c r="BF216" s="416">
        <v>0</v>
      </c>
      <c r="BG216" s="416">
        <v>0</v>
      </c>
      <c r="BH216" s="416">
        <v>0</v>
      </c>
      <c r="BI216" s="416">
        <v>0</v>
      </c>
      <c r="BJ216" s="416">
        <v>0</v>
      </c>
      <c r="BK216" s="416">
        <v>0</v>
      </c>
      <c r="BL216" s="416">
        <v>0</v>
      </c>
      <c r="BM216" s="416">
        <v>0</v>
      </c>
      <c r="BN216" s="416">
        <v>0</v>
      </c>
      <c r="BO216" s="416">
        <v>0</v>
      </c>
      <c r="BP216" s="416">
        <v>0</v>
      </c>
      <c r="BQ216" s="416">
        <v>0</v>
      </c>
      <c r="BR216" s="416">
        <v>0</v>
      </c>
      <c r="BS216" s="416">
        <v>0</v>
      </c>
      <c r="BT216" s="416">
        <v>0</v>
      </c>
      <c r="BU216" s="416">
        <v>0</v>
      </c>
      <c r="BV216" s="416">
        <v>0</v>
      </c>
      <c r="BW216" s="416">
        <v>0</v>
      </c>
      <c r="BX216" s="416">
        <v>0</v>
      </c>
      <c r="BY216" s="416">
        <v>0</v>
      </c>
      <c r="BZ216" s="416">
        <v>0</v>
      </c>
      <c r="CC216" s="21"/>
      <c r="CD216" s="417" t="s">
        <v>739</v>
      </c>
      <c r="CE216" s="433">
        <f t="shared" si="45"/>
        <v>0</v>
      </c>
      <c r="CF216" s="433">
        <f t="shared" si="46"/>
        <v>0</v>
      </c>
      <c r="CG216" s="433">
        <f t="shared" si="47"/>
        <v>0</v>
      </c>
      <c r="CH216" s="433">
        <f t="shared" si="48"/>
        <v>0</v>
      </c>
      <c r="CI216" s="433">
        <f t="shared" si="49"/>
        <v>0</v>
      </c>
      <c r="CJ216" s="433">
        <f t="shared" si="50"/>
        <v>0</v>
      </c>
      <c r="CK216" s="433">
        <f t="shared" si="51"/>
        <v>0</v>
      </c>
      <c r="CL216" s="433">
        <f t="shared" si="52"/>
        <v>0</v>
      </c>
      <c r="CM216" s="433">
        <f t="shared" si="53"/>
        <v>0</v>
      </c>
      <c r="CN216" s="433">
        <f t="shared" si="54"/>
        <v>0</v>
      </c>
      <c r="CO216" s="433">
        <f t="shared" si="55"/>
        <v>0</v>
      </c>
      <c r="CP216" s="433">
        <f t="shared" si="56"/>
        <v>0</v>
      </c>
      <c r="CQ216" s="433">
        <f t="shared" si="57"/>
        <v>0</v>
      </c>
      <c r="CR216" s="433">
        <f t="shared" si="58"/>
        <v>0</v>
      </c>
      <c r="CS216" s="433">
        <f t="shared" si="59"/>
        <v>0</v>
      </c>
      <c r="CT216" s="21"/>
    </row>
    <row r="217" spans="3:98">
      <c r="C217" s="417" t="s">
        <v>740</v>
      </c>
      <c r="D217" s="416">
        <v>0</v>
      </c>
      <c r="E217" s="416">
        <v>0</v>
      </c>
      <c r="F217" s="416">
        <v>0</v>
      </c>
      <c r="G217" s="416">
        <v>0</v>
      </c>
      <c r="H217" s="416">
        <v>0</v>
      </c>
      <c r="I217" s="416">
        <v>0</v>
      </c>
      <c r="J217" s="416">
        <v>0</v>
      </c>
      <c r="K217" s="416">
        <v>0</v>
      </c>
      <c r="L217" s="416">
        <v>0</v>
      </c>
      <c r="M217" s="416">
        <v>0</v>
      </c>
      <c r="N217" s="416">
        <v>0</v>
      </c>
      <c r="O217" s="416">
        <v>0</v>
      </c>
      <c r="P217" s="416">
        <v>0</v>
      </c>
      <c r="Q217" s="416">
        <v>0</v>
      </c>
      <c r="R217" s="416">
        <v>0</v>
      </c>
      <c r="S217" s="416">
        <v>0</v>
      </c>
      <c r="T217" s="416">
        <v>0</v>
      </c>
      <c r="U217" s="416">
        <v>0</v>
      </c>
      <c r="V217" s="416">
        <v>0</v>
      </c>
      <c r="W217" s="416">
        <v>0</v>
      </c>
      <c r="X217" s="416">
        <v>0</v>
      </c>
      <c r="Y217" s="416">
        <v>0</v>
      </c>
      <c r="Z217" s="416">
        <v>0</v>
      </c>
      <c r="AA217" s="416">
        <v>0</v>
      </c>
      <c r="AB217" s="416">
        <v>0</v>
      </c>
      <c r="AC217" s="416">
        <v>0</v>
      </c>
      <c r="AD217" s="416">
        <v>0</v>
      </c>
      <c r="AE217" s="416">
        <v>0</v>
      </c>
      <c r="AF217" s="416">
        <v>0</v>
      </c>
      <c r="AG217" s="416">
        <v>0</v>
      </c>
      <c r="AH217" s="416">
        <v>0</v>
      </c>
      <c r="AI217" s="416">
        <v>0</v>
      </c>
      <c r="AJ217" s="416">
        <v>0</v>
      </c>
      <c r="AK217" s="416">
        <v>0</v>
      </c>
      <c r="AL217" s="416">
        <v>0</v>
      </c>
      <c r="AM217" s="416">
        <v>0</v>
      </c>
      <c r="AN217" s="416">
        <v>0</v>
      </c>
      <c r="AO217" s="416">
        <v>0</v>
      </c>
      <c r="AP217" s="416">
        <v>0</v>
      </c>
      <c r="AQ217" s="416">
        <v>0</v>
      </c>
      <c r="AR217" s="416">
        <v>0</v>
      </c>
      <c r="AS217" s="416">
        <v>0</v>
      </c>
      <c r="AT217" s="416">
        <v>0</v>
      </c>
      <c r="AU217" s="416">
        <v>0</v>
      </c>
      <c r="AV217" s="416">
        <v>0</v>
      </c>
      <c r="AW217" s="416">
        <v>0</v>
      </c>
      <c r="AX217" s="416">
        <v>0</v>
      </c>
      <c r="AY217" s="416">
        <v>0</v>
      </c>
      <c r="AZ217" s="416">
        <v>0</v>
      </c>
      <c r="BA217" s="416">
        <v>0</v>
      </c>
      <c r="BB217" s="416">
        <v>0</v>
      </c>
      <c r="BC217" s="416">
        <v>0</v>
      </c>
      <c r="BD217" s="416">
        <v>0</v>
      </c>
      <c r="BE217" s="416">
        <v>0</v>
      </c>
      <c r="BF217" s="416">
        <v>0</v>
      </c>
      <c r="BG217" s="416">
        <v>0</v>
      </c>
      <c r="BH217" s="416">
        <v>0</v>
      </c>
      <c r="BI217" s="416">
        <v>0</v>
      </c>
      <c r="BJ217" s="416">
        <v>0</v>
      </c>
      <c r="BK217" s="416">
        <v>0</v>
      </c>
      <c r="BL217" s="416">
        <v>0</v>
      </c>
      <c r="BM217" s="416">
        <v>0</v>
      </c>
      <c r="BN217" s="416">
        <v>0</v>
      </c>
      <c r="BO217" s="416">
        <v>0</v>
      </c>
      <c r="BP217" s="416">
        <v>0</v>
      </c>
      <c r="BQ217" s="416">
        <v>0</v>
      </c>
      <c r="BR217" s="416">
        <v>0</v>
      </c>
      <c r="BS217" s="416">
        <v>0</v>
      </c>
      <c r="BT217" s="416">
        <v>0</v>
      </c>
      <c r="BU217" s="416">
        <v>0</v>
      </c>
      <c r="BV217" s="416">
        <v>0</v>
      </c>
      <c r="BW217" s="416">
        <v>0</v>
      </c>
      <c r="BX217" s="416">
        <v>0</v>
      </c>
      <c r="BY217" s="416">
        <v>0</v>
      </c>
      <c r="BZ217" s="416">
        <v>0</v>
      </c>
      <c r="CC217" s="21"/>
      <c r="CD217" s="417" t="s">
        <v>740</v>
      </c>
      <c r="CE217" s="433">
        <f t="shared" si="45"/>
        <v>0</v>
      </c>
      <c r="CF217" s="433">
        <f t="shared" si="46"/>
        <v>0</v>
      </c>
      <c r="CG217" s="433">
        <f t="shared" si="47"/>
        <v>0</v>
      </c>
      <c r="CH217" s="433">
        <f t="shared" si="48"/>
        <v>0</v>
      </c>
      <c r="CI217" s="433">
        <f t="shared" si="49"/>
        <v>0</v>
      </c>
      <c r="CJ217" s="433">
        <f t="shared" si="50"/>
        <v>0</v>
      </c>
      <c r="CK217" s="433">
        <f t="shared" si="51"/>
        <v>0</v>
      </c>
      <c r="CL217" s="433">
        <f t="shared" si="52"/>
        <v>0</v>
      </c>
      <c r="CM217" s="433">
        <f t="shared" si="53"/>
        <v>0</v>
      </c>
      <c r="CN217" s="433">
        <f t="shared" si="54"/>
        <v>0</v>
      </c>
      <c r="CO217" s="433">
        <f t="shared" si="55"/>
        <v>0</v>
      </c>
      <c r="CP217" s="433">
        <f t="shared" si="56"/>
        <v>0</v>
      </c>
      <c r="CQ217" s="433">
        <f t="shared" si="57"/>
        <v>0</v>
      </c>
      <c r="CR217" s="433">
        <f t="shared" si="58"/>
        <v>0</v>
      </c>
      <c r="CS217" s="433">
        <f t="shared" si="59"/>
        <v>0</v>
      </c>
      <c r="CT217" s="21"/>
    </row>
    <row r="218" spans="3:98">
      <c r="C218" s="417" t="s">
        <v>741</v>
      </c>
      <c r="D218" s="416">
        <v>0</v>
      </c>
      <c r="E218" s="416">
        <v>0</v>
      </c>
      <c r="F218" s="416">
        <v>0</v>
      </c>
      <c r="G218" s="416">
        <v>0</v>
      </c>
      <c r="H218" s="416">
        <v>0</v>
      </c>
      <c r="I218" s="416">
        <v>0</v>
      </c>
      <c r="J218" s="416">
        <v>0</v>
      </c>
      <c r="K218" s="416">
        <v>0</v>
      </c>
      <c r="L218" s="416">
        <v>0</v>
      </c>
      <c r="M218" s="416">
        <v>0</v>
      </c>
      <c r="N218" s="416">
        <v>0</v>
      </c>
      <c r="O218" s="416">
        <v>0</v>
      </c>
      <c r="P218" s="416">
        <v>0</v>
      </c>
      <c r="Q218" s="416">
        <v>0</v>
      </c>
      <c r="R218" s="416">
        <v>0</v>
      </c>
      <c r="S218" s="416">
        <v>0</v>
      </c>
      <c r="T218" s="416">
        <v>0</v>
      </c>
      <c r="U218" s="416">
        <v>0</v>
      </c>
      <c r="V218" s="416">
        <v>0</v>
      </c>
      <c r="W218" s="416">
        <v>0</v>
      </c>
      <c r="X218" s="416">
        <v>0</v>
      </c>
      <c r="Y218" s="416">
        <v>0</v>
      </c>
      <c r="Z218" s="416">
        <v>0</v>
      </c>
      <c r="AA218" s="416">
        <v>0</v>
      </c>
      <c r="AB218" s="416">
        <v>0</v>
      </c>
      <c r="AC218" s="416">
        <v>0</v>
      </c>
      <c r="AD218" s="416">
        <v>0</v>
      </c>
      <c r="AE218" s="416">
        <v>0</v>
      </c>
      <c r="AF218" s="416">
        <v>0</v>
      </c>
      <c r="AG218" s="416">
        <v>0</v>
      </c>
      <c r="AH218" s="416">
        <v>0</v>
      </c>
      <c r="AI218" s="416">
        <v>0</v>
      </c>
      <c r="AJ218" s="416">
        <v>0</v>
      </c>
      <c r="AK218" s="416">
        <v>0</v>
      </c>
      <c r="AL218" s="416">
        <v>0</v>
      </c>
      <c r="AM218" s="416">
        <v>0</v>
      </c>
      <c r="AN218" s="416">
        <v>0</v>
      </c>
      <c r="AO218" s="416">
        <v>0</v>
      </c>
      <c r="AP218" s="416">
        <v>0</v>
      </c>
      <c r="AQ218" s="416">
        <v>0</v>
      </c>
      <c r="AR218" s="416">
        <v>0</v>
      </c>
      <c r="AS218" s="416">
        <v>0</v>
      </c>
      <c r="AT218" s="416">
        <v>0</v>
      </c>
      <c r="AU218" s="416">
        <v>0</v>
      </c>
      <c r="AV218" s="416">
        <v>0</v>
      </c>
      <c r="AW218" s="416">
        <v>0</v>
      </c>
      <c r="AX218" s="416">
        <v>0</v>
      </c>
      <c r="AY218" s="416">
        <v>0</v>
      </c>
      <c r="AZ218" s="416">
        <v>0</v>
      </c>
      <c r="BA218" s="416">
        <v>0</v>
      </c>
      <c r="BB218" s="416">
        <v>0</v>
      </c>
      <c r="BC218" s="416">
        <v>0</v>
      </c>
      <c r="BD218" s="416">
        <v>0</v>
      </c>
      <c r="BE218" s="416">
        <v>0</v>
      </c>
      <c r="BF218" s="416">
        <v>0</v>
      </c>
      <c r="BG218" s="416">
        <v>0</v>
      </c>
      <c r="BH218" s="416">
        <v>0</v>
      </c>
      <c r="BI218" s="416">
        <v>0</v>
      </c>
      <c r="BJ218" s="416">
        <v>0</v>
      </c>
      <c r="BK218" s="416">
        <v>0</v>
      </c>
      <c r="BL218" s="416">
        <v>0</v>
      </c>
      <c r="BM218" s="416">
        <v>0</v>
      </c>
      <c r="BN218" s="416">
        <v>0</v>
      </c>
      <c r="BO218" s="416">
        <v>0</v>
      </c>
      <c r="BP218" s="416">
        <v>0</v>
      </c>
      <c r="BQ218" s="416">
        <v>0</v>
      </c>
      <c r="BR218" s="416">
        <v>0</v>
      </c>
      <c r="BS218" s="416">
        <v>0</v>
      </c>
      <c r="BT218" s="416">
        <v>0</v>
      </c>
      <c r="BU218" s="416">
        <v>0</v>
      </c>
      <c r="BV218" s="416">
        <v>0</v>
      </c>
      <c r="BW218" s="416">
        <v>0</v>
      </c>
      <c r="BX218" s="416">
        <v>0</v>
      </c>
      <c r="BY218" s="416">
        <v>0</v>
      </c>
      <c r="BZ218" s="416">
        <v>0</v>
      </c>
      <c r="CC218" s="21"/>
      <c r="CD218" s="417" t="s">
        <v>741</v>
      </c>
      <c r="CE218" s="433">
        <f t="shared" si="45"/>
        <v>0</v>
      </c>
      <c r="CF218" s="433">
        <f t="shared" si="46"/>
        <v>0</v>
      </c>
      <c r="CG218" s="433">
        <f t="shared" si="47"/>
        <v>0</v>
      </c>
      <c r="CH218" s="433">
        <f t="shared" si="48"/>
        <v>0</v>
      </c>
      <c r="CI218" s="433">
        <f t="shared" si="49"/>
        <v>0</v>
      </c>
      <c r="CJ218" s="433">
        <f t="shared" si="50"/>
        <v>0</v>
      </c>
      <c r="CK218" s="433">
        <f t="shared" si="51"/>
        <v>0</v>
      </c>
      <c r="CL218" s="433">
        <f t="shared" si="52"/>
        <v>0</v>
      </c>
      <c r="CM218" s="433">
        <f t="shared" si="53"/>
        <v>0</v>
      </c>
      <c r="CN218" s="433">
        <f t="shared" si="54"/>
        <v>0</v>
      </c>
      <c r="CO218" s="433">
        <f t="shared" si="55"/>
        <v>0</v>
      </c>
      <c r="CP218" s="433">
        <f t="shared" si="56"/>
        <v>0</v>
      </c>
      <c r="CQ218" s="433">
        <f t="shared" si="57"/>
        <v>0</v>
      </c>
      <c r="CR218" s="433">
        <f t="shared" si="58"/>
        <v>0</v>
      </c>
      <c r="CS218" s="433">
        <f t="shared" si="59"/>
        <v>0</v>
      </c>
      <c r="CT218" s="21"/>
    </row>
    <row r="219" spans="3:98">
      <c r="CC219" s="21"/>
      <c r="CD219" s="21"/>
      <c r="CE219" s="21"/>
      <c r="CF219" s="21"/>
      <c r="CG219" s="21"/>
      <c r="CH219" s="21"/>
      <c r="CI219" s="21"/>
      <c r="CJ219" s="21"/>
      <c r="CK219" s="21"/>
      <c r="CL219" s="21"/>
      <c r="CM219" s="21"/>
      <c r="CN219" s="21"/>
      <c r="CO219" s="21"/>
      <c r="CP219" s="21"/>
      <c r="CQ219" s="21"/>
      <c r="CR219" s="21"/>
      <c r="CS219" s="21"/>
      <c r="CT219" s="21"/>
    </row>
    <row r="220" spans="3:98">
      <c r="CC220" s="21"/>
      <c r="CD220" s="21"/>
      <c r="CE220" s="21"/>
      <c r="CF220" s="21"/>
      <c r="CG220" s="21"/>
      <c r="CH220" s="21"/>
      <c r="CI220" s="21"/>
      <c r="CJ220" s="21"/>
      <c r="CK220" s="21"/>
      <c r="CL220" s="21"/>
      <c r="CM220" s="21"/>
      <c r="CN220" s="21"/>
      <c r="CO220" s="21"/>
      <c r="CP220" s="21"/>
      <c r="CQ220" s="21"/>
      <c r="CR220" s="21"/>
      <c r="CS220" s="21"/>
      <c r="CT220" s="21"/>
    </row>
    <row r="221" spans="3:98">
      <c r="CC221" s="21"/>
      <c r="CD221" s="21"/>
      <c r="CE221" s="21"/>
      <c r="CF221" s="21"/>
      <c r="CG221" s="21"/>
      <c r="CH221" s="21"/>
      <c r="CI221" s="21"/>
      <c r="CJ221" s="21"/>
      <c r="CK221" s="21"/>
      <c r="CL221" s="21"/>
      <c r="CM221" s="21"/>
      <c r="CN221" s="21"/>
      <c r="CO221" s="21"/>
      <c r="CP221" s="21"/>
      <c r="CQ221" s="21"/>
      <c r="CR221" s="21"/>
      <c r="CS221" s="21"/>
      <c r="CT221" s="21"/>
    </row>
    <row r="222" spans="3:98">
      <c r="CC222" s="21"/>
      <c r="CD222" s="21"/>
      <c r="CE222" s="21"/>
      <c r="CF222" s="21"/>
      <c r="CG222" s="21"/>
      <c r="CH222" s="21"/>
      <c r="CI222" s="21"/>
      <c r="CJ222" s="21"/>
      <c r="CK222" s="21"/>
      <c r="CL222" s="21"/>
      <c r="CM222" s="21"/>
      <c r="CN222" s="21"/>
      <c r="CO222" s="21"/>
      <c r="CP222" s="21"/>
      <c r="CQ222" s="21"/>
      <c r="CR222" s="21"/>
      <c r="CS222" s="21"/>
      <c r="CT222" s="21"/>
    </row>
    <row r="223" spans="3:98">
      <c r="CC223" s="21"/>
      <c r="CD223" s="21"/>
      <c r="CE223" s="21"/>
      <c r="CF223" s="21"/>
      <c r="CG223" s="21"/>
      <c r="CH223" s="21"/>
      <c r="CI223" s="21"/>
      <c r="CJ223" s="21"/>
      <c r="CK223" s="21"/>
      <c r="CL223" s="21"/>
      <c r="CM223" s="21"/>
      <c r="CN223" s="21"/>
      <c r="CO223" s="21"/>
      <c r="CP223" s="21"/>
      <c r="CQ223" s="21"/>
      <c r="CR223" s="21"/>
      <c r="CS223" s="21"/>
      <c r="CT223" s="21"/>
    </row>
    <row r="224" spans="3:98">
      <c r="CC224" s="21"/>
      <c r="CD224" s="21"/>
      <c r="CE224" s="21"/>
      <c r="CF224" s="21"/>
      <c r="CG224" s="21"/>
      <c r="CH224" s="21"/>
      <c r="CI224" s="21"/>
      <c r="CJ224" s="21"/>
      <c r="CK224" s="21"/>
      <c r="CL224" s="21"/>
      <c r="CM224" s="21"/>
      <c r="CN224" s="21"/>
      <c r="CO224" s="21"/>
      <c r="CP224" s="21"/>
      <c r="CQ224" s="21"/>
      <c r="CR224" s="21"/>
      <c r="CS224" s="21"/>
      <c r="CT224" s="21"/>
    </row>
    <row r="225" spans="81:98">
      <c r="CC225" s="21"/>
      <c r="CD225" s="21"/>
      <c r="CE225" s="21"/>
      <c r="CF225" s="21"/>
      <c r="CG225" s="21"/>
      <c r="CH225" s="21"/>
      <c r="CI225" s="21"/>
      <c r="CJ225" s="21"/>
      <c r="CK225" s="21"/>
      <c r="CL225" s="21"/>
      <c r="CM225" s="21"/>
      <c r="CN225" s="21"/>
      <c r="CO225" s="21"/>
      <c r="CP225" s="21"/>
      <c r="CQ225" s="21"/>
      <c r="CR225" s="21"/>
      <c r="CS225" s="21"/>
      <c r="CT225" s="21"/>
    </row>
    <row r="226" spans="81:98">
      <c r="CC226" s="21"/>
      <c r="CD226" s="21"/>
      <c r="CE226" s="21"/>
      <c r="CF226" s="21"/>
      <c r="CG226" s="21"/>
      <c r="CH226" s="21"/>
      <c r="CI226" s="21"/>
      <c r="CJ226" s="21"/>
      <c r="CK226" s="21"/>
      <c r="CL226" s="21"/>
      <c r="CM226" s="21"/>
      <c r="CN226" s="21"/>
      <c r="CO226" s="21"/>
      <c r="CP226" s="21"/>
      <c r="CQ226" s="21"/>
      <c r="CR226" s="21"/>
      <c r="CS226" s="21"/>
      <c r="CT226" s="21"/>
    </row>
    <row r="227" spans="81:98">
      <c r="CC227" s="21"/>
      <c r="CD227" s="21"/>
      <c r="CE227" s="21"/>
      <c r="CF227" s="21"/>
      <c r="CG227" s="21"/>
      <c r="CH227" s="21"/>
      <c r="CI227" s="21"/>
      <c r="CJ227" s="21"/>
      <c r="CK227" s="21"/>
      <c r="CL227" s="21"/>
      <c r="CM227" s="21"/>
      <c r="CN227" s="21"/>
      <c r="CO227" s="21"/>
      <c r="CP227" s="21"/>
      <c r="CQ227" s="21"/>
      <c r="CR227" s="21"/>
      <c r="CS227" s="21"/>
      <c r="CT227" s="21"/>
    </row>
    <row r="228" spans="81:98">
      <c r="CC228" s="21"/>
      <c r="CD228" s="21"/>
      <c r="CE228" s="21"/>
      <c r="CF228" s="21"/>
      <c r="CG228" s="21"/>
      <c r="CH228" s="21"/>
      <c r="CI228" s="21"/>
      <c r="CJ228" s="21"/>
      <c r="CK228" s="21"/>
      <c r="CL228" s="21"/>
      <c r="CM228" s="21"/>
      <c r="CN228" s="21"/>
      <c r="CO228" s="21"/>
      <c r="CP228" s="21"/>
      <c r="CQ228" s="21"/>
      <c r="CR228" s="21"/>
      <c r="CS228" s="21"/>
      <c r="CT228" s="21"/>
    </row>
    <row r="229" spans="81:98">
      <c r="CC229" s="21"/>
      <c r="CD229" s="21"/>
      <c r="CE229" s="21"/>
      <c r="CF229" s="21"/>
      <c r="CG229" s="21"/>
      <c r="CH229" s="21"/>
      <c r="CI229" s="21"/>
      <c r="CJ229" s="21"/>
      <c r="CK229" s="21"/>
      <c r="CL229" s="21"/>
      <c r="CM229" s="21"/>
      <c r="CN229" s="21"/>
      <c r="CO229" s="21"/>
      <c r="CP229" s="21"/>
      <c r="CQ229" s="21"/>
      <c r="CR229" s="21"/>
      <c r="CS229" s="21"/>
      <c r="CT229" s="21"/>
    </row>
    <row r="230" spans="81:98">
      <c r="CC230" s="21"/>
      <c r="CD230" s="21"/>
      <c r="CE230" s="21"/>
      <c r="CF230" s="21"/>
      <c r="CG230" s="21"/>
      <c r="CH230" s="21"/>
      <c r="CI230" s="21"/>
      <c r="CJ230" s="21"/>
      <c r="CK230" s="21"/>
      <c r="CL230" s="21"/>
      <c r="CM230" s="21"/>
      <c r="CN230" s="21"/>
      <c r="CO230" s="21"/>
      <c r="CP230" s="21"/>
      <c r="CQ230" s="21"/>
      <c r="CR230" s="21"/>
      <c r="CS230" s="21"/>
      <c r="CT230" s="21"/>
    </row>
    <row r="231" spans="81:98">
      <c r="CC231" s="21"/>
      <c r="CD231" s="21"/>
      <c r="CE231" s="21"/>
      <c r="CF231" s="21"/>
      <c r="CG231" s="21"/>
      <c r="CH231" s="21"/>
      <c r="CI231" s="21"/>
      <c r="CJ231" s="21"/>
      <c r="CK231" s="21"/>
      <c r="CL231" s="21"/>
      <c r="CM231" s="21"/>
      <c r="CN231" s="21"/>
      <c r="CO231" s="21"/>
      <c r="CP231" s="21"/>
      <c r="CQ231" s="21"/>
      <c r="CR231" s="21"/>
      <c r="CS231" s="21"/>
      <c r="CT231" s="21"/>
    </row>
    <row r="232" spans="81:98">
      <c r="CC232" s="21"/>
      <c r="CD232" s="21"/>
      <c r="CE232" s="21"/>
      <c r="CF232" s="21"/>
      <c r="CG232" s="21"/>
      <c r="CH232" s="21"/>
      <c r="CI232" s="21"/>
      <c r="CJ232" s="21"/>
      <c r="CK232" s="21"/>
      <c r="CL232" s="21"/>
      <c r="CM232" s="21"/>
      <c r="CN232" s="21"/>
      <c r="CO232" s="21"/>
      <c r="CP232" s="21"/>
      <c r="CQ232" s="21"/>
      <c r="CR232" s="21"/>
      <c r="CS232" s="21"/>
      <c r="CT232" s="21"/>
    </row>
    <row r="233" spans="81:98">
      <c r="CC233" s="21"/>
      <c r="CD233" s="21"/>
      <c r="CE233" s="21"/>
      <c r="CF233" s="21"/>
      <c r="CG233" s="21"/>
      <c r="CH233" s="21"/>
      <c r="CI233" s="21"/>
      <c r="CJ233" s="21"/>
      <c r="CK233" s="21"/>
      <c r="CL233" s="21"/>
      <c r="CM233" s="21"/>
      <c r="CN233" s="21"/>
      <c r="CO233" s="21"/>
      <c r="CP233" s="21"/>
      <c r="CQ233" s="21"/>
      <c r="CR233" s="21"/>
      <c r="CS233" s="21"/>
      <c r="CT233" s="21"/>
    </row>
    <row r="234" spans="81:98">
      <c r="CC234" s="21"/>
      <c r="CD234" s="21"/>
      <c r="CE234" s="21"/>
      <c r="CF234" s="21"/>
      <c r="CG234" s="21"/>
      <c r="CH234" s="21"/>
      <c r="CI234" s="21"/>
      <c r="CJ234" s="21"/>
      <c r="CK234" s="21"/>
      <c r="CL234" s="21"/>
      <c r="CM234" s="21"/>
      <c r="CN234" s="21"/>
      <c r="CO234" s="21"/>
      <c r="CP234" s="21"/>
      <c r="CQ234" s="21"/>
      <c r="CR234" s="21"/>
      <c r="CS234" s="21"/>
      <c r="CT234" s="21"/>
    </row>
    <row r="235" spans="81:98">
      <c r="CC235" s="21"/>
      <c r="CD235" s="21"/>
      <c r="CE235" s="21"/>
      <c r="CF235" s="21"/>
      <c r="CG235" s="21"/>
      <c r="CH235" s="21"/>
      <c r="CI235" s="21"/>
      <c r="CJ235" s="21"/>
      <c r="CK235" s="21"/>
      <c r="CL235" s="21"/>
      <c r="CM235" s="21"/>
      <c r="CN235" s="21"/>
      <c r="CO235" s="21"/>
      <c r="CP235" s="21"/>
      <c r="CQ235" s="21"/>
      <c r="CR235" s="21"/>
      <c r="CS235" s="21"/>
      <c r="CT235" s="21"/>
    </row>
    <row r="236" spans="81:98">
      <c r="CC236" s="21"/>
      <c r="CD236" s="21"/>
      <c r="CE236" s="21"/>
      <c r="CF236" s="21"/>
      <c r="CG236" s="21"/>
      <c r="CH236" s="21"/>
      <c r="CI236" s="21"/>
      <c r="CJ236" s="21"/>
      <c r="CK236" s="21"/>
      <c r="CL236" s="21"/>
      <c r="CM236" s="21"/>
      <c r="CN236" s="21"/>
      <c r="CO236" s="21"/>
      <c r="CP236" s="21"/>
      <c r="CQ236" s="21"/>
      <c r="CR236" s="21"/>
      <c r="CS236" s="21"/>
      <c r="CT236" s="21"/>
    </row>
    <row r="237" spans="81:98">
      <c r="CC237" s="21"/>
      <c r="CD237" s="21"/>
      <c r="CE237" s="21"/>
      <c r="CF237" s="21"/>
      <c r="CG237" s="21"/>
      <c r="CH237" s="21"/>
      <c r="CI237" s="21"/>
      <c r="CJ237" s="21"/>
      <c r="CK237" s="21"/>
      <c r="CL237" s="21"/>
      <c r="CM237" s="21"/>
      <c r="CN237" s="21"/>
      <c r="CO237" s="21"/>
      <c r="CP237" s="21"/>
      <c r="CQ237" s="21"/>
      <c r="CR237" s="21"/>
      <c r="CS237" s="21"/>
      <c r="CT237" s="21"/>
    </row>
    <row r="238" spans="81:98">
      <c r="CC238" s="21"/>
      <c r="CD238" s="21"/>
      <c r="CE238" s="21"/>
      <c r="CF238" s="21"/>
      <c r="CG238" s="21"/>
      <c r="CH238" s="21"/>
      <c r="CI238" s="21"/>
      <c r="CJ238" s="21"/>
      <c r="CK238" s="21"/>
      <c r="CL238" s="21"/>
      <c r="CM238" s="21"/>
      <c r="CN238" s="21"/>
      <c r="CO238" s="21"/>
      <c r="CP238" s="21"/>
      <c r="CQ238" s="21"/>
      <c r="CR238" s="21"/>
      <c r="CS238" s="21"/>
      <c r="CT238" s="21"/>
    </row>
    <row r="239" spans="81:98">
      <c r="CC239" s="21"/>
      <c r="CD239" s="21"/>
      <c r="CE239" s="21"/>
      <c r="CF239" s="21"/>
      <c r="CG239" s="21"/>
      <c r="CH239" s="21"/>
      <c r="CI239" s="21"/>
      <c r="CJ239" s="21"/>
      <c r="CK239" s="21"/>
      <c r="CL239" s="21"/>
      <c r="CM239" s="21"/>
      <c r="CN239" s="21"/>
      <c r="CO239" s="21"/>
      <c r="CP239" s="21"/>
      <c r="CQ239" s="21"/>
      <c r="CR239" s="21"/>
      <c r="CS239" s="21"/>
      <c r="CT239" s="21"/>
    </row>
    <row r="240" spans="81:98">
      <c r="CC240" s="21"/>
      <c r="CD240" s="21"/>
      <c r="CE240" s="21"/>
      <c r="CF240" s="21"/>
      <c r="CG240" s="21"/>
      <c r="CH240" s="21"/>
      <c r="CI240" s="21"/>
      <c r="CJ240" s="21"/>
      <c r="CK240" s="21"/>
      <c r="CL240" s="21"/>
      <c r="CM240" s="21"/>
      <c r="CN240" s="21"/>
      <c r="CO240" s="21"/>
      <c r="CP240" s="21"/>
      <c r="CQ240" s="21"/>
      <c r="CR240" s="21"/>
      <c r="CS240" s="21"/>
      <c r="CT240" s="21"/>
    </row>
    <row r="241" spans="81:98">
      <c r="CC241" s="21"/>
      <c r="CD241" s="21"/>
      <c r="CE241" s="21"/>
      <c r="CF241" s="21"/>
      <c r="CG241" s="21"/>
      <c r="CH241" s="21"/>
      <c r="CI241" s="21"/>
      <c r="CJ241" s="21"/>
      <c r="CK241" s="21"/>
      <c r="CL241" s="21"/>
      <c r="CM241" s="21"/>
      <c r="CN241" s="21"/>
      <c r="CO241" s="21"/>
      <c r="CP241" s="21"/>
      <c r="CQ241" s="21"/>
      <c r="CR241" s="21"/>
      <c r="CS241" s="21"/>
      <c r="CT241" s="21"/>
    </row>
    <row r="242" spans="81:98">
      <c r="CC242" s="21"/>
      <c r="CD242" s="21"/>
      <c r="CE242" s="21"/>
      <c r="CF242" s="21"/>
      <c r="CG242" s="21"/>
      <c r="CH242" s="21"/>
      <c r="CI242" s="21"/>
      <c r="CJ242" s="21"/>
      <c r="CK242" s="21"/>
      <c r="CL242" s="21"/>
      <c r="CM242" s="21"/>
      <c r="CN242" s="21"/>
      <c r="CO242" s="21"/>
      <c r="CP242" s="21"/>
      <c r="CQ242" s="21"/>
      <c r="CR242" s="21"/>
      <c r="CS242" s="21"/>
      <c r="CT242" s="21"/>
    </row>
    <row r="243" spans="81:98">
      <c r="CC243" s="21"/>
      <c r="CD243" s="21"/>
      <c r="CE243" s="21"/>
      <c r="CF243" s="21"/>
      <c r="CG243" s="21"/>
      <c r="CH243" s="21"/>
      <c r="CI243" s="21"/>
      <c r="CJ243" s="21"/>
      <c r="CK243" s="21"/>
      <c r="CL243" s="21"/>
      <c r="CM243" s="21"/>
      <c r="CN243" s="21"/>
      <c r="CO243" s="21"/>
      <c r="CP243" s="21"/>
      <c r="CQ243" s="21"/>
      <c r="CR243" s="21"/>
      <c r="CS243" s="21"/>
      <c r="CT243" s="21"/>
    </row>
    <row r="244" spans="81:98">
      <c r="CC244" s="21"/>
      <c r="CD244" s="21"/>
      <c r="CE244" s="21"/>
      <c r="CF244" s="21"/>
      <c r="CG244" s="21"/>
      <c r="CH244" s="21"/>
      <c r="CI244" s="21"/>
      <c r="CJ244" s="21"/>
      <c r="CK244" s="21"/>
      <c r="CL244" s="21"/>
      <c r="CM244" s="21"/>
      <c r="CN244" s="21"/>
      <c r="CO244" s="21"/>
      <c r="CP244" s="21"/>
      <c r="CQ244" s="21"/>
      <c r="CR244" s="21"/>
      <c r="CS244" s="21"/>
      <c r="CT244" s="21"/>
    </row>
    <row r="245" spans="81:98">
      <c r="CC245" s="21"/>
      <c r="CD245" s="21"/>
      <c r="CE245" s="21"/>
      <c r="CF245" s="21"/>
      <c r="CG245" s="21"/>
      <c r="CH245" s="21"/>
      <c r="CI245" s="21"/>
      <c r="CJ245" s="21"/>
      <c r="CK245" s="21"/>
      <c r="CL245" s="21"/>
      <c r="CM245" s="21"/>
      <c r="CN245" s="21"/>
      <c r="CO245" s="21"/>
      <c r="CP245" s="21"/>
      <c r="CQ245" s="21"/>
      <c r="CR245" s="21"/>
      <c r="CS245" s="21"/>
      <c r="CT245" s="21"/>
    </row>
    <row r="246" spans="81:98">
      <c r="CC246" s="21"/>
      <c r="CD246" s="21"/>
      <c r="CE246" s="21"/>
      <c r="CF246" s="21"/>
      <c r="CG246" s="21"/>
      <c r="CH246" s="21"/>
      <c r="CI246" s="21"/>
      <c r="CJ246" s="21"/>
      <c r="CK246" s="21"/>
      <c r="CL246" s="21"/>
      <c r="CM246" s="21"/>
      <c r="CN246" s="21"/>
      <c r="CO246" s="21"/>
      <c r="CP246" s="21"/>
      <c r="CQ246" s="21"/>
      <c r="CR246" s="21"/>
      <c r="CS246" s="21"/>
      <c r="CT246" s="21"/>
    </row>
    <row r="247" spans="81:98">
      <c r="CC247" s="21"/>
      <c r="CD247" s="21"/>
      <c r="CE247" s="21"/>
      <c r="CF247" s="21"/>
      <c r="CG247" s="21"/>
      <c r="CH247" s="21"/>
      <c r="CI247" s="21"/>
      <c r="CJ247" s="21"/>
      <c r="CK247" s="21"/>
      <c r="CL247" s="21"/>
      <c r="CM247" s="21"/>
      <c r="CN247" s="21"/>
      <c r="CO247" s="21"/>
      <c r="CP247" s="21"/>
      <c r="CQ247" s="21"/>
      <c r="CR247" s="21"/>
      <c r="CS247" s="21"/>
      <c r="CT247" s="21"/>
    </row>
    <row r="248" spans="81:98">
      <c r="CC248" s="21"/>
      <c r="CD248" s="21"/>
      <c r="CE248" s="21"/>
      <c r="CF248" s="21"/>
      <c r="CG248" s="21"/>
      <c r="CH248" s="21"/>
      <c r="CI248" s="21"/>
      <c r="CJ248" s="21"/>
      <c r="CK248" s="21"/>
      <c r="CL248" s="21"/>
      <c r="CM248" s="21"/>
      <c r="CN248" s="21"/>
      <c r="CO248" s="21"/>
      <c r="CP248" s="21"/>
      <c r="CQ248" s="21"/>
      <c r="CR248" s="21"/>
      <c r="CS248" s="21"/>
      <c r="CT248" s="21"/>
    </row>
    <row r="249" spans="81:98">
      <c r="CC249" s="21"/>
      <c r="CD249" s="21"/>
      <c r="CE249" s="21"/>
      <c r="CF249" s="21"/>
      <c r="CG249" s="21"/>
      <c r="CH249" s="21"/>
      <c r="CI249" s="21"/>
      <c r="CJ249" s="21"/>
      <c r="CK249" s="21"/>
      <c r="CL249" s="21"/>
      <c r="CM249" s="21"/>
      <c r="CN249" s="21"/>
      <c r="CO249" s="21"/>
      <c r="CP249" s="21"/>
      <c r="CQ249" s="21"/>
      <c r="CR249" s="21"/>
      <c r="CS249" s="21"/>
      <c r="CT249" s="21"/>
    </row>
    <row r="250" spans="81:98">
      <c r="CC250" s="21"/>
      <c r="CD250" s="21"/>
      <c r="CE250" s="21"/>
      <c r="CF250" s="21"/>
      <c r="CG250" s="21"/>
      <c r="CH250" s="21"/>
      <c r="CI250" s="21"/>
      <c r="CJ250" s="21"/>
      <c r="CK250" s="21"/>
      <c r="CL250" s="21"/>
      <c r="CM250" s="21"/>
      <c r="CN250" s="21"/>
      <c r="CO250" s="21"/>
      <c r="CP250" s="21"/>
      <c r="CQ250" s="21"/>
      <c r="CR250" s="21"/>
      <c r="CS250" s="21"/>
      <c r="CT250" s="21"/>
    </row>
    <row r="251" spans="81:98">
      <c r="CC251" s="21"/>
      <c r="CD251" s="21"/>
      <c r="CE251" s="21"/>
      <c r="CF251" s="21"/>
      <c r="CG251" s="21"/>
      <c r="CH251" s="21"/>
      <c r="CI251" s="21"/>
      <c r="CJ251" s="21"/>
      <c r="CK251" s="21"/>
      <c r="CL251" s="21"/>
      <c r="CM251" s="21"/>
      <c r="CN251" s="21"/>
      <c r="CO251" s="21"/>
      <c r="CP251" s="21"/>
      <c r="CQ251" s="21"/>
      <c r="CR251" s="21"/>
      <c r="CS251" s="21"/>
      <c r="CT251" s="21"/>
    </row>
    <row r="252" spans="81:98">
      <c r="CC252" s="21"/>
      <c r="CD252" s="21"/>
      <c r="CE252" s="21"/>
      <c r="CF252" s="21"/>
      <c r="CG252" s="21"/>
      <c r="CH252" s="21"/>
      <c r="CI252" s="21"/>
      <c r="CJ252" s="21"/>
      <c r="CK252" s="21"/>
      <c r="CL252" s="21"/>
      <c r="CM252" s="21"/>
      <c r="CN252" s="21"/>
      <c r="CO252" s="21"/>
      <c r="CP252" s="21"/>
      <c r="CQ252" s="21"/>
      <c r="CR252" s="21"/>
      <c r="CS252" s="21"/>
      <c r="CT252" s="21"/>
    </row>
    <row r="253" spans="81:98">
      <c r="CC253" s="21"/>
      <c r="CD253" s="21"/>
      <c r="CE253" s="21"/>
      <c r="CF253" s="21"/>
      <c r="CG253" s="21"/>
      <c r="CH253" s="21"/>
      <c r="CI253" s="21"/>
      <c r="CJ253" s="21"/>
      <c r="CK253" s="21"/>
      <c r="CL253" s="21"/>
      <c r="CM253" s="21"/>
      <c r="CN253" s="21"/>
      <c r="CO253" s="21"/>
      <c r="CP253" s="21"/>
      <c r="CQ253" s="21"/>
      <c r="CR253" s="21"/>
      <c r="CS253" s="21"/>
      <c r="CT253" s="21"/>
    </row>
    <row r="254" spans="81:98">
      <c r="CC254" s="21"/>
      <c r="CD254" s="21"/>
      <c r="CE254" s="21"/>
      <c r="CF254" s="21"/>
      <c r="CG254" s="21"/>
      <c r="CH254" s="21"/>
      <c r="CI254" s="21"/>
      <c r="CJ254" s="21"/>
      <c r="CK254" s="21"/>
      <c r="CL254" s="21"/>
      <c r="CM254" s="21"/>
      <c r="CN254" s="21"/>
      <c r="CO254" s="21"/>
      <c r="CP254" s="21"/>
      <c r="CQ254" s="21"/>
      <c r="CR254" s="21"/>
      <c r="CS254" s="21"/>
      <c r="CT254" s="21"/>
    </row>
    <row r="255" spans="81:98">
      <c r="CC255" s="21"/>
      <c r="CD255" s="21"/>
      <c r="CE255" s="21"/>
      <c r="CF255" s="21"/>
      <c r="CG255" s="21"/>
      <c r="CH255" s="21"/>
      <c r="CI255" s="21"/>
      <c r="CJ255" s="21"/>
      <c r="CK255" s="21"/>
      <c r="CL255" s="21"/>
      <c r="CM255" s="21"/>
      <c r="CN255" s="21"/>
      <c r="CO255" s="21"/>
      <c r="CP255" s="21"/>
      <c r="CQ255" s="21"/>
      <c r="CR255" s="21"/>
      <c r="CS255" s="21"/>
      <c r="CT255" s="21"/>
    </row>
    <row r="256" spans="81:98">
      <c r="CC256" s="21"/>
      <c r="CD256" s="21"/>
      <c r="CE256" s="21"/>
      <c r="CF256" s="21"/>
      <c r="CG256" s="21"/>
      <c r="CH256" s="21"/>
      <c r="CI256" s="21"/>
      <c r="CJ256" s="21"/>
      <c r="CK256" s="21"/>
      <c r="CL256" s="21"/>
      <c r="CM256" s="21"/>
      <c r="CN256" s="21"/>
      <c r="CO256" s="21"/>
      <c r="CP256" s="21"/>
      <c r="CQ256" s="21"/>
      <c r="CR256" s="21"/>
      <c r="CS256" s="21"/>
      <c r="CT256" s="21"/>
    </row>
    <row r="257" spans="81:98">
      <c r="CC257" s="21"/>
      <c r="CD257" s="21"/>
      <c r="CE257" s="21"/>
      <c r="CF257" s="21"/>
      <c r="CG257" s="21"/>
      <c r="CH257" s="21"/>
      <c r="CI257" s="21"/>
      <c r="CJ257" s="21"/>
      <c r="CK257" s="21"/>
      <c r="CL257" s="21"/>
      <c r="CM257" s="21"/>
      <c r="CN257" s="21"/>
      <c r="CO257" s="21"/>
      <c r="CP257" s="21"/>
      <c r="CQ257" s="21"/>
      <c r="CR257" s="21"/>
      <c r="CS257" s="21"/>
      <c r="CT257" s="21"/>
    </row>
    <row r="258" spans="81:98">
      <c r="CC258" s="21"/>
      <c r="CD258" s="21"/>
      <c r="CE258" s="21"/>
      <c r="CF258" s="21"/>
      <c r="CG258" s="21"/>
      <c r="CH258" s="21"/>
      <c r="CI258" s="21"/>
      <c r="CJ258" s="21"/>
      <c r="CK258" s="21"/>
      <c r="CL258" s="21"/>
      <c r="CM258" s="21"/>
      <c r="CN258" s="21"/>
      <c r="CO258" s="21"/>
      <c r="CP258" s="21"/>
      <c r="CQ258" s="21"/>
      <c r="CR258" s="21"/>
      <c r="CS258" s="21"/>
      <c r="CT258" s="21"/>
    </row>
    <row r="259" spans="81:98">
      <c r="CC259" s="21"/>
      <c r="CD259" s="21"/>
      <c r="CE259" s="21"/>
      <c r="CF259" s="21"/>
      <c r="CG259" s="21"/>
      <c r="CH259" s="21"/>
      <c r="CI259" s="21"/>
      <c r="CJ259" s="21"/>
      <c r="CK259" s="21"/>
      <c r="CL259" s="21"/>
      <c r="CM259" s="21"/>
      <c r="CN259" s="21"/>
      <c r="CO259" s="21"/>
      <c r="CP259" s="21"/>
      <c r="CQ259" s="21"/>
      <c r="CR259" s="21"/>
      <c r="CS259" s="21"/>
      <c r="CT259" s="21"/>
    </row>
    <row r="260" spans="81:98">
      <c r="CC260" s="21"/>
      <c r="CD260" s="21"/>
      <c r="CE260" s="21"/>
      <c r="CF260" s="21"/>
      <c r="CG260" s="21"/>
      <c r="CH260" s="21"/>
      <c r="CI260" s="21"/>
      <c r="CJ260" s="21"/>
      <c r="CK260" s="21"/>
      <c r="CL260" s="21"/>
      <c r="CM260" s="21"/>
      <c r="CN260" s="21"/>
      <c r="CO260" s="21"/>
      <c r="CP260" s="21"/>
      <c r="CQ260" s="21"/>
      <c r="CR260" s="21"/>
      <c r="CS260" s="21"/>
      <c r="CT260" s="21"/>
    </row>
    <row r="261" spans="81:98">
      <c r="CC261" s="21"/>
      <c r="CD261" s="21"/>
      <c r="CE261" s="21"/>
      <c r="CF261" s="21"/>
      <c r="CG261" s="21"/>
      <c r="CH261" s="21"/>
      <c r="CI261" s="21"/>
      <c r="CJ261" s="21"/>
      <c r="CK261" s="21"/>
      <c r="CL261" s="21"/>
      <c r="CM261" s="21"/>
      <c r="CN261" s="21"/>
      <c r="CO261" s="21"/>
      <c r="CP261" s="21"/>
      <c r="CQ261" s="21"/>
      <c r="CR261" s="21"/>
      <c r="CS261" s="21"/>
      <c r="CT261" s="21"/>
    </row>
    <row r="262" spans="81:98">
      <c r="CC262" s="21"/>
      <c r="CD262" s="21"/>
      <c r="CE262" s="21"/>
      <c r="CF262" s="21"/>
      <c r="CG262" s="21"/>
      <c r="CH262" s="21"/>
      <c r="CI262" s="21"/>
      <c r="CJ262" s="21"/>
      <c r="CK262" s="21"/>
      <c r="CL262" s="21"/>
      <c r="CM262" s="21"/>
      <c r="CN262" s="21"/>
      <c r="CO262" s="21"/>
      <c r="CP262" s="21"/>
      <c r="CQ262" s="21"/>
      <c r="CR262" s="21"/>
      <c r="CS262" s="21"/>
      <c r="CT262" s="21"/>
    </row>
    <row r="263" spans="81:98">
      <c r="CC263" s="21"/>
      <c r="CD263" s="21"/>
      <c r="CE263" s="21"/>
      <c r="CF263" s="21"/>
      <c r="CG263" s="21"/>
      <c r="CH263" s="21"/>
      <c r="CI263" s="21"/>
      <c r="CJ263" s="21"/>
      <c r="CK263" s="21"/>
      <c r="CL263" s="21"/>
      <c r="CM263" s="21"/>
      <c r="CN263" s="21"/>
      <c r="CO263" s="21"/>
      <c r="CP263" s="21"/>
      <c r="CQ263" s="21"/>
      <c r="CR263" s="21"/>
      <c r="CS263" s="21"/>
      <c r="CT263" s="21"/>
    </row>
    <row r="264" spans="81:98">
      <c r="CC264" s="21"/>
      <c r="CD264" s="21"/>
      <c r="CE264" s="21"/>
      <c r="CF264" s="21"/>
      <c r="CG264" s="21"/>
      <c r="CH264" s="21"/>
      <c r="CI264" s="21"/>
      <c r="CJ264" s="21"/>
      <c r="CK264" s="21"/>
      <c r="CL264" s="21"/>
      <c r="CM264" s="21"/>
      <c r="CN264" s="21"/>
      <c r="CO264" s="21"/>
      <c r="CP264" s="21"/>
      <c r="CQ264" s="21"/>
      <c r="CR264" s="21"/>
      <c r="CS264" s="21"/>
      <c r="CT264" s="21"/>
    </row>
    <row r="265" spans="81:98">
      <c r="CC265" s="21"/>
      <c r="CD265" s="21"/>
      <c r="CE265" s="21"/>
      <c r="CF265" s="21"/>
      <c r="CG265" s="21"/>
      <c r="CH265" s="21"/>
      <c r="CI265" s="21"/>
      <c r="CJ265" s="21"/>
      <c r="CK265" s="21"/>
      <c r="CL265" s="21"/>
      <c r="CM265" s="21"/>
      <c r="CN265" s="21"/>
      <c r="CO265" s="21"/>
      <c r="CP265" s="21"/>
      <c r="CQ265" s="21"/>
      <c r="CR265" s="21"/>
      <c r="CS265" s="21"/>
      <c r="CT265" s="21"/>
    </row>
    <row r="266" spans="81:98">
      <c r="CC266" s="21"/>
      <c r="CD266" s="21"/>
      <c r="CE266" s="21"/>
      <c r="CF266" s="21"/>
      <c r="CG266" s="21"/>
      <c r="CH266" s="21"/>
      <c r="CI266" s="21"/>
      <c r="CJ266" s="21"/>
      <c r="CK266" s="21"/>
      <c r="CL266" s="21"/>
      <c r="CM266" s="21"/>
      <c r="CN266" s="21"/>
      <c r="CO266" s="21"/>
      <c r="CP266" s="21"/>
      <c r="CQ266" s="21"/>
      <c r="CR266" s="21"/>
      <c r="CS266" s="21"/>
      <c r="CT266" s="21"/>
    </row>
    <row r="267" spans="81:98">
      <c r="CC267" s="21"/>
      <c r="CD267" s="21"/>
      <c r="CE267" s="21"/>
      <c r="CF267" s="21"/>
      <c r="CG267" s="21"/>
      <c r="CH267" s="21"/>
      <c r="CI267" s="21"/>
      <c r="CJ267" s="21"/>
      <c r="CK267" s="21"/>
      <c r="CL267" s="21"/>
      <c r="CM267" s="21"/>
      <c r="CN267" s="21"/>
      <c r="CO267" s="21"/>
      <c r="CP267" s="21"/>
      <c r="CQ267" s="21"/>
      <c r="CR267" s="21"/>
      <c r="CS267" s="21"/>
      <c r="CT267" s="21"/>
    </row>
    <row r="268" spans="81:98">
      <c r="CC268" s="21"/>
      <c r="CD268" s="21"/>
      <c r="CE268" s="21"/>
      <c r="CF268" s="21"/>
      <c r="CG268" s="21"/>
      <c r="CH268" s="21"/>
      <c r="CI268" s="21"/>
      <c r="CJ268" s="21"/>
      <c r="CK268" s="21"/>
      <c r="CL268" s="21"/>
      <c r="CM268" s="21"/>
      <c r="CN268" s="21"/>
      <c r="CO268" s="21"/>
      <c r="CP268" s="21"/>
      <c r="CQ268" s="21"/>
      <c r="CR268" s="21"/>
      <c r="CS268" s="21"/>
      <c r="CT268" s="21"/>
    </row>
    <row r="269" spans="81:98">
      <c r="CC269" s="21"/>
      <c r="CD269" s="21"/>
      <c r="CE269" s="21"/>
      <c r="CF269" s="21"/>
      <c r="CG269" s="21"/>
      <c r="CH269" s="21"/>
      <c r="CI269" s="21"/>
      <c r="CJ269" s="21"/>
      <c r="CK269" s="21"/>
      <c r="CL269" s="21"/>
      <c r="CM269" s="21"/>
      <c r="CN269" s="21"/>
      <c r="CO269" s="21"/>
      <c r="CP269" s="21"/>
      <c r="CQ269" s="21"/>
      <c r="CR269" s="21"/>
      <c r="CS269" s="21"/>
      <c r="CT269" s="21"/>
    </row>
  </sheetData>
  <sheetProtection algorithmName="SHA-512" hashValue="w7FIXYEul8vaZSMbJXDsavAsDzaLnn4s1Jhwqfx9aw1Jj9fvzmrfE0GbnsdfsJrKeGzPHTNqZQzZ+7SPw84ifA==" saltValue="6mJuFelHHA7ur+2ZmdVHKg=="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Q146"/>
  <sheetViews>
    <sheetView showOutlineSymbols="0" topLeftCell="A2" workbookViewId="0"/>
  </sheetViews>
  <sheetFormatPr baseColWidth="10" defaultColWidth="9.1640625" defaultRowHeight="13"/>
  <cols>
    <col min="1" max="1" width="3.1640625" style="10" customWidth="1"/>
    <col min="2" max="2" width="60.5" style="10" customWidth="1"/>
    <col min="3" max="9" width="15.6640625" style="10" customWidth="1"/>
    <col min="10" max="10" width="60.5" style="10" customWidth="1"/>
    <col min="11" max="16" width="15.6640625" style="10" customWidth="1"/>
    <col min="17" max="17" width="5.6640625" style="10" customWidth="1"/>
    <col min="18" max="20" width="15.6640625" style="10" customWidth="1"/>
    <col min="21" max="28" width="25.6640625" style="10" customWidth="1"/>
    <col min="29" max="16384" width="9.1640625" style="10"/>
  </cols>
  <sheetData>
    <row r="1" spans="2:17" hidden="1"/>
    <row r="3" spans="2:17" s="110" customFormat="1" ht="45" customHeight="1">
      <c r="B3" s="141"/>
      <c r="C3" s="141"/>
      <c r="D3" s="141"/>
      <c r="E3" s="450" t="s">
        <v>48</v>
      </c>
      <c r="F3" s="267"/>
      <c r="G3" s="451"/>
      <c r="H3" s="270"/>
      <c r="I3" s="270"/>
      <c r="J3" s="270"/>
      <c r="K3" s="450" t="s">
        <v>72</v>
      </c>
      <c r="L3" s="141"/>
      <c r="M3" s="141"/>
      <c r="N3" s="141"/>
      <c r="O3" s="141"/>
      <c r="P3" s="141"/>
      <c r="Q3" s="452">
        <f>Valuation!$S$9-Control!$A$27</f>
        <v>2026</v>
      </c>
    </row>
    <row r="4" spans="2:17" ht="14" thickBot="1">
      <c r="B4" s="98"/>
      <c r="C4" s="98"/>
      <c r="D4" s="98"/>
      <c r="E4" s="453" t="s">
        <v>0</v>
      </c>
      <c r="F4" s="453" t="s">
        <v>51</v>
      </c>
      <c r="G4" s="98"/>
      <c r="H4" s="98"/>
      <c r="I4" s="98"/>
      <c r="J4" s="98"/>
      <c r="K4" s="98"/>
      <c r="L4" s="98"/>
      <c r="M4" s="98"/>
      <c r="N4" s="98"/>
      <c r="O4" s="98"/>
      <c r="P4" s="98"/>
      <c r="Q4" s="235">
        <f>Valuation!$T$9-Control!$A$27</f>
        <v>2027</v>
      </c>
    </row>
    <row r="5" spans="2:17" ht="14" thickBot="1">
      <c r="B5" s="98"/>
      <c r="C5" s="98"/>
      <c r="D5" s="98"/>
      <c r="E5" s="454" t="str">
        <f>+Valuation!V116</f>
        <v>NAS:COIN</v>
      </c>
      <c r="F5" s="455" t="e">
        <f>+Valuation!C3</f>
        <v>#NAME?</v>
      </c>
      <c r="G5" s="455"/>
      <c r="H5" s="455"/>
      <c r="I5" s="456"/>
      <c r="J5" s="202"/>
      <c r="K5" s="13" t="s">
        <v>73</v>
      </c>
      <c r="L5" s="9"/>
      <c r="M5" s="457" t="s">
        <v>50</v>
      </c>
      <c r="N5" s="98"/>
      <c r="O5" s="98"/>
      <c r="P5" s="98"/>
      <c r="Q5" s="235">
        <f>Valuation!$U$9-Control!$A$27</f>
        <v>2028</v>
      </c>
    </row>
    <row r="6" spans="2:17" ht="30.25" customHeight="1">
      <c r="B6" s="98"/>
      <c r="C6" s="98"/>
      <c r="D6" s="98"/>
      <c r="E6" s="14" t="s">
        <v>0</v>
      </c>
      <c r="F6" s="13" t="s">
        <v>859</v>
      </c>
      <c r="G6" s="9"/>
      <c r="H6" s="98"/>
      <c r="I6" s="13" t="s">
        <v>52</v>
      </c>
      <c r="J6" s="98"/>
      <c r="K6" s="458" t="s">
        <v>74</v>
      </c>
      <c r="L6" s="9"/>
      <c r="M6" s="459" t="s">
        <v>62</v>
      </c>
      <c r="N6" s="98"/>
      <c r="O6" s="98"/>
      <c r="P6" s="98"/>
      <c r="Q6" s="235"/>
    </row>
    <row r="7" spans="2:17">
      <c r="B7" s="98"/>
      <c r="C7" s="98"/>
      <c r="D7" s="235"/>
      <c r="E7" s="460" t="s">
        <v>3569</v>
      </c>
      <c r="F7" s="9"/>
      <c r="G7" s="9"/>
      <c r="H7" s="98"/>
      <c r="I7" s="461">
        <v>0.1</v>
      </c>
      <c r="J7" s="98"/>
      <c r="K7" s="459" t="s">
        <v>75</v>
      </c>
      <c r="L7" s="9"/>
      <c r="M7" s="459" t="s">
        <v>64</v>
      </c>
      <c r="N7" s="98"/>
      <c r="O7" s="462" t="e">
        <f t="array" aca="1" ref="O7:O26" ca="1">_xll.PBD(E5, "Public Comps", "v")</f>
        <v>#NAME?</v>
      </c>
      <c r="P7" s="98"/>
      <c r="Q7" s="235"/>
    </row>
    <row r="8" spans="2:17">
      <c r="B8" s="98"/>
      <c r="C8" s="98"/>
      <c r="D8" s="235"/>
      <c r="E8" s="460" t="s">
        <v>3570</v>
      </c>
      <c r="F8" s="9"/>
      <c r="G8" s="9"/>
      <c r="H8" s="98"/>
      <c r="I8" s="461">
        <v>0.1</v>
      </c>
      <c r="J8" s="98"/>
      <c r="K8" s="459" t="s">
        <v>76</v>
      </c>
      <c r="L8" s="9"/>
      <c r="M8" s="459" t="s">
        <v>65</v>
      </c>
      <c r="N8" s="98"/>
      <c r="O8" s="462" t="e">
        <f ca="1"/>
        <v>#NAME?</v>
      </c>
      <c r="P8" s="98"/>
      <c r="Q8" s="98"/>
    </row>
    <row r="9" spans="2:17">
      <c r="B9" s="98"/>
      <c r="C9" s="98"/>
      <c r="D9" s="235"/>
      <c r="E9" s="460" t="s">
        <v>3571</v>
      </c>
      <c r="F9" s="9"/>
      <c r="G9" s="203"/>
      <c r="H9" s="203"/>
      <c r="I9" s="461">
        <v>0.1</v>
      </c>
      <c r="J9" s="98"/>
      <c r="K9" s="459" t="s">
        <v>77</v>
      </c>
      <c r="L9" s="9"/>
      <c r="M9" s="459" t="s">
        <v>82</v>
      </c>
      <c r="N9" s="98"/>
      <c r="O9" s="462" t="e">
        <f ca="1"/>
        <v>#NAME?</v>
      </c>
      <c r="P9" s="98"/>
      <c r="Q9" s="98"/>
    </row>
    <row r="10" spans="2:17">
      <c r="B10" s="98"/>
      <c r="C10" s="98"/>
      <c r="D10" s="235"/>
      <c r="E10" s="460" t="s">
        <v>3572</v>
      </c>
      <c r="F10" s="9"/>
      <c r="G10" s="9"/>
      <c r="H10" s="98"/>
      <c r="I10" s="461">
        <v>0.1</v>
      </c>
      <c r="J10" s="98"/>
      <c r="K10" s="459" t="s">
        <v>78</v>
      </c>
      <c r="L10" s="9"/>
      <c r="M10" s="459" t="s">
        <v>83</v>
      </c>
      <c r="N10" s="98"/>
      <c r="O10" s="462" t="e">
        <f ca="1"/>
        <v>#NAME?</v>
      </c>
      <c r="P10" s="98"/>
      <c r="Q10" s="98"/>
    </row>
    <row r="11" spans="2:17">
      <c r="B11" s="98"/>
      <c r="C11" s="98"/>
      <c r="D11" s="235"/>
      <c r="E11" s="460" t="s">
        <v>3573</v>
      </c>
      <c r="F11" s="9"/>
      <c r="G11" s="9"/>
      <c r="H11" s="98"/>
      <c r="I11" s="461">
        <v>0.1</v>
      </c>
      <c r="J11" s="98"/>
      <c r="K11" s="459" t="s">
        <v>79</v>
      </c>
      <c r="L11" s="9"/>
      <c r="M11" s="98"/>
      <c r="N11" s="98"/>
      <c r="O11" s="462" t="e">
        <f ca="1"/>
        <v>#NAME?</v>
      </c>
      <c r="P11" s="98"/>
      <c r="Q11" s="98"/>
    </row>
    <row r="12" spans="2:17">
      <c r="B12" s="98"/>
      <c r="C12" s="98"/>
      <c r="D12" s="235"/>
      <c r="E12" s="460" t="s">
        <v>3574</v>
      </c>
      <c r="F12" s="9"/>
      <c r="G12" s="9"/>
      <c r="H12" s="98"/>
      <c r="I12" s="461">
        <v>0.1</v>
      </c>
      <c r="J12" s="98"/>
      <c r="K12" s="459" t="s">
        <v>80</v>
      </c>
      <c r="L12" s="9"/>
      <c r="M12" s="98"/>
      <c r="N12" s="98"/>
      <c r="O12" s="462" t="e">
        <f ca="1"/>
        <v>#NAME?</v>
      </c>
      <c r="P12" s="98"/>
      <c r="Q12" s="98"/>
    </row>
    <row r="13" spans="2:17">
      <c r="B13" s="98"/>
      <c r="C13" s="98"/>
      <c r="D13" s="235"/>
      <c r="E13" s="460" t="s">
        <v>3575</v>
      </c>
      <c r="F13" s="9"/>
      <c r="G13" s="9"/>
      <c r="H13" s="98"/>
      <c r="I13" s="461">
        <v>0.1</v>
      </c>
      <c r="J13" s="98"/>
      <c r="K13" s="459" t="s">
        <v>81</v>
      </c>
      <c r="L13" s="9"/>
      <c r="M13" s="98"/>
      <c r="N13" s="98"/>
      <c r="O13" s="462" t="e">
        <f ca="1"/>
        <v>#NAME?</v>
      </c>
      <c r="P13" s="98"/>
      <c r="Q13" s="98"/>
    </row>
    <row r="14" spans="2:17">
      <c r="B14" s="98"/>
      <c r="C14" s="98"/>
      <c r="D14" s="235"/>
      <c r="E14" s="460" t="s">
        <v>3576</v>
      </c>
      <c r="F14" s="9"/>
      <c r="G14" s="9"/>
      <c r="H14" s="98"/>
      <c r="I14" s="461">
        <v>0.1</v>
      </c>
      <c r="J14" s="98"/>
      <c r="K14" s="98"/>
      <c r="L14" s="98"/>
      <c r="M14" s="98"/>
      <c r="N14" s="98"/>
      <c r="O14" s="462" t="e">
        <f ca="1"/>
        <v>#NAME?</v>
      </c>
      <c r="P14" s="98"/>
      <c r="Q14" s="98"/>
    </row>
    <row r="15" spans="2:17">
      <c r="B15" s="98"/>
      <c r="C15" s="98"/>
      <c r="D15" s="235"/>
      <c r="E15" s="460" t="s">
        <v>3577</v>
      </c>
      <c r="F15" s="9"/>
      <c r="G15" s="9"/>
      <c r="H15" s="98"/>
      <c r="I15" s="461">
        <v>0.1</v>
      </c>
      <c r="J15" s="9"/>
      <c r="K15" s="9"/>
      <c r="L15" s="9"/>
      <c r="M15" s="98"/>
      <c r="N15" s="98"/>
      <c r="O15" s="462" t="e">
        <f ca="1"/>
        <v>#NAME?</v>
      </c>
      <c r="P15" s="98"/>
      <c r="Q15" s="98"/>
    </row>
    <row r="16" spans="2:17">
      <c r="B16" s="98"/>
      <c r="C16" s="98"/>
      <c r="D16" s="235"/>
      <c r="E16" s="460" t="s">
        <v>3578</v>
      </c>
      <c r="F16" s="9"/>
      <c r="G16" s="9"/>
      <c r="H16" s="98"/>
      <c r="I16" s="461">
        <v>0.1</v>
      </c>
      <c r="J16" s="9"/>
      <c r="K16" s="9"/>
      <c r="L16" s="9"/>
      <c r="M16" s="98"/>
      <c r="N16" s="98"/>
      <c r="O16" s="462" t="e">
        <f ca="1"/>
        <v>#NAME?</v>
      </c>
      <c r="P16" s="98"/>
      <c r="Q16" s="98"/>
    </row>
    <row r="17" spans="2:17" ht="19.5" customHeight="1">
      <c r="B17" s="9"/>
      <c r="C17" s="98"/>
      <c r="D17" s="98"/>
      <c r="E17" s="98"/>
      <c r="F17" s="98"/>
      <c r="G17" s="98"/>
      <c r="H17" s="98"/>
      <c r="I17" s="98"/>
      <c r="J17" s="463"/>
      <c r="K17" s="9"/>
      <c r="L17" s="9"/>
      <c r="M17" s="98"/>
      <c r="N17" s="98"/>
      <c r="O17" s="462" t="e">
        <f ca="1"/>
        <v>#NAME?</v>
      </c>
      <c r="P17" s="98"/>
      <c r="Q17" s="98"/>
    </row>
    <row r="18" spans="2:17" ht="19.5" customHeight="1">
      <c r="B18" s="9"/>
      <c r="C18" s="9"/>
      <c r="D18" s="9"/>
      <c r="E18" s="9"/>
      <c r="F18" s="9"/>
      <c r="G18" s="9"/>
      <c r="H18" s="9"/>
      <c r="I18" s="9"/>
      <c r="J18" s="9"/>
      <c r="K18" s="9"/>
      <c r="L18" s="9"/>
      <c r="M18" s="9"/>
      <c r="N18" s="9"/>
      <c r="O18" s="462" t="e">
        <f ca="1"/>
        <v>#NAME?</v>
      </c>
      <c r="P18" s="98"/>
      <c r="Q18" s="98"/>
    </row>
    <row r="19" spans="2:17" ht="19.5" customHeight="1">
      <c r="B19" s="464">
        <v>2023</v>
      </c>
      <c r="C19" s="9"/>
      <c r="D19" s="465"/>
      <c r="E19" s="98"/>
      <c r="F19" s="9"/>
      <c r="G19" s="9"/>
      <c r="H19" s="9"/>
      <c r="I19" s="465"/>
      <c r="J19" s="107"/>
      <c r="K19" s="13"/>
      <c r="L19" s="414"/>
      <c r="M19" s="9"/>
      <c r="N19" s="9"/>
      <c r="O19" s="466" t="e">
        <f ca="1"/>
        <v>#NAME?</v>
      </c>
      <c r="P19" s="98"/>
      <c r="Q19" s="98"/>
    </row>
    <row r="20" spans="2:17" ht="19.5" customHeight="1">
      <c r="B20" s="467" t="s">
        <v>1000</v>
      </c>
      <c r="C20" s="468" t="s">
        <v>3317</v>
      </c>
      <c r="D20" s="468" t="s">
        <v>3318</v>
      </c>
      <c r="E20" s="469" t="s">
        <v>3319</v>
      </c>
      <c r="F20" s="470" t="s">
        <v>3320</v>
      </c>
      <c r="G20" s="471" t="s">
        <v>3327</v>
      </c>
      <c r="H20" s="472" t="s">
        <v>793</v>
      </c>
      <c r="I20" s="473"/>
      <c r="J20" s="474" t="s">
        <v>3326</v>
      </c>
      <c r="K20" s="470" t="s">
        <v>1021</v>
      </c>
      <c r="L20" s="469" t="s">
        <v>1022</v>
      </c>
      <c r="M20" s="9"/>
      <c r="N20" s="9"/>
      <c r="O20" s="475" t="e">
        <f ca="1"/>
        <v>#NAME?</v>
      </c>
      <c r="P20" s="98"/>
      <c r="Q20" s="98"/>
    </row>
    <row r="21" spans="2:17" ht="19.5" customHeight="1">
      <c r="B21" s="9" t="s">
        <v>97</v>
      </c>
      <c r="C21" s="476" t="e">
        <v>#NAME?</v>
      </c>
      <c r="D21" s="476" t="e">
        <v>#NAME?</v>
      </c>
      <c r="E21" s="476" t="e">
        <v>#NAME?</v>
      </c>
      <c r="F21" s="476" t="e">
        <v>#NAME?</v>
      </c>
      <c r="G21" s="477" t="e">
        <v>#NAME?</v>
      </c>
      <c r="H21" s="478" t="e">
        <f>INDEX('Hidden Formulas'!$Q$50:$U$58, MATCH(B21, 'Hidden Formulas'!$Q$50:$Q$58, 0), MATCH($B$19, 'Hidden Formulas'!$Q$50:$U$50, 0))</f>
        <v>#N/A</v>
      </c>
      <c r="I21" s="479"/>
      <c r="J21" s="9" t="s">
        <v>97</v>
      </c>
      <c r="K21" s="480">
        <f>'Hidden Formulas'!R63</f>
        <v>0.41244005930474636</v>
      </c>
      <c r="L21" s="481" t="e">
        <f ca="1">'Hidden Formulas'!S63</f>
        <v>#N/A</v>
      </c>
      <c r="M21" s="9"/>
      <c r="N21" s="9"/>
      <c r="O21" s="475" t="e">
        <f ca="1"/>
        <v>#NAME?</v>
      </c>
      <c r="P21" s="98"/>
      <c r="Q21" s="98"/>
    </row>
    <row r="22" spans="2:17" ht="19.5" customHeight="1">
      <c r="B22" s="9" t="s">
        <v>3321</v>
      </c>
      <c r="C22" s="476" t="e">
        <v>#NAME?</v>
      </c>
      <c r="D22" s="476" t="e">
        <v>#NAME?</v>
      </c>
      <c r="E22" s="476" t="e">
        <v>#NAME?</v>
      </c>
      <c r="F22" s="476" t="e">
        <v>#NAME?</v>
      </c>
      <c r="G22" s="477" t="e">
        <v>#NAME?</v>
      </c>
      <c r="H22" s="478" t="e">
        <f>INDEX('Hidden Formulas'!$Q$50:$U$58, MATCH(B22, 'Hidden Formulas'!$Q$50:$Q$58, 0), MATCH($B$19, 'Hidden Formulas'!$Q$50:$U$50, 0))</f>
        <v>#N/A</v>
      </c>
      <c r="I22" s="482"/>
      <c r="J22" s="9" t="s">
        <v>3321</v>
      </c>
      <c r="K22" s="480">
        <f>'Hidden Formulas'!R64</f>
        <v>0.41244005930474636</v>
      </c>
      <c r="L22" s="480" t="e">
        <f ca="1">'Hidden Formulas'!S64</f>
        <v>#N/A</v>
      </c>
      <c r="M22" s="9"/>
      <c r="N22" s="9"/>
      <c r="O22" s="462" t="e">
        <f ca="1"/>
        <v>#NAME?</v>
      </c>
      <c r="P22" s="98"/>
      <c r="Q22" s="98"/>
    </row>
    <row r="23" spans="2:17" ht="19.5" customHeight="1">
      <c r="B23" s="9" t="s">
        <v>1003</v>
      </c>
      <c r="C23" s="476" t="e">
        <v>#NAME?</v>
      </c>
      <c r="D23" s="476" t="e">
        <v>#NAME?</v>
      </c>
      <c r="E23" s="476" t="e">
        <v>#NAME?</v>
      </c>
      <c r="F23" s="476" t="e">
        <v>#NAME?</v>
      </c>
      <c r="G23" s="477" t="e">
        <v>#NAME?</v>
      </c>
      <c r="H23" s="478" t="e">
        <f>INDEX('Hidden Formulas'!$Q$50:$U$58, MATCH(B23, 'Hidden Formulas'!$Q$50:$Q$58, 0), MATCH($B$19, 'Hidden Formulas'!$Q$50:$U$50, 0))</f>
        <v>#N/A</v>
      </c>
      <c r="I23" s="482"/>
      <c r="J23" s="9" t="s">
        <v>1003</v>
      </c>
      <c r="K23" s="480">
        <f>'Hidden Formulas'!R65</f>
        <v>4.4633792767661135E-2</v>
      </c>
      <c r="L23" s="480" t="e">
        <f ca="1">'Hidden Formulas'!S65</f>
        <v>#N/A</v>
      </c>
      <c r="M23" s="9"/>
      <c r="N23" s="9"/>
      <c r="O23" s="483" t="e">
        <f ca="1"/>
        <v>#NAME?</v>
      </c>
      <c r="P23" s="98"/>
      <c r="Q23" s="98"/>
    </row>
    <row r="24" spans="2:17" ht="19.5" customHeight="1">
      <c r="B24" s="9" t="s">
        <v>3322</v>
      </c>
      <c r="C24" s="476" t="e">
        <v>#NAME?</v>
      </c>
      <c r="D24" s="476" t="e">
        <v>#NAME?</v>
      </c>
      <c r="E24" s="476" t="e">
        <v>#NAME?</v>
      </c>
      <c r="F24" s="476" t="e">
        <v>#NAME?</v>
      </c>
      <c r="G24" s="477" t="e">
        <v>#NAME?</v>
      </c>
      <c r="H24" s="478" t="e">
        <f>INDEX('Hidden Formulas'!$Q$50:$U$58, MATCH(B24, 'Hidden Formulas'!$Q$50:$Q$58, 0), MATCH($B$19, 'Hidden Formulas'!$Q$50:$U$50, 0))</f>
        <v>#N/A</v>
      </c>
      <c r="I24" s="482"/>
      <c r="J24" s="9" t="s">
        <v>3322</v>
      </c>
      <c r="K24" s="480">
        <f>'Hidden Formulas'!R66</f>
        <v>3.3715825023814122E-2</v>
      </c>
      <c r="L24" s="480" t="e">
        <f ca="1">'Hidden Formulas'!S66</f>
        <v>#N/A</v>
      </c>
      <c r="M24" s="9"/>
      <c r="N24" s="9"/>
      <c r="O24" s="475" t="e">
        <f ca="1"/>
        <v>#NAME?</v>
      </c>
      <c r="P24" s="98"/>
      <c r="Q24" s="98"/>
    </row>
    <row r="25" spans="2:17" ht="19.5" customHeight="1">
      <c r="B25" s="9" t="s">
        <v>787</v>
      </c>
      <c r="C25" s="476" t="e">
        <v>#NAME?</v>
      </c>
      <c r="D25" s="476" t="e">
        <v>#NAME?</v>
      </c>
      <c r="E25" s="476" t="e">
        <v>#NAME?</v>
      </c>
      <c r="F25" s="476" t="e">
        <v>#NAME?</v>
      </c>
      <c r="G25" s="477" t="e">
        <v>#NAME?</v>
      </c>
      <c r="H25" s="478" t="e">
        <f>INDEX('Hidden Formulas'!$Q$50:$U$58, MATCH(B25, 'Hidden Formulas'!$Q$50:$Q$58, 0), MATCH($B$19, 'Hidden Formulas'!$Q$50:$U$50, 0))</f>
        <v>#N/A</v>
      </c>
      <c r="I25" s="482"/>
      <c r="J25" s="9" t="s">
        <v>787</v>
      </c>
      <c r="K25" s="480">
        <f>'Hidden Formulas'!R67</f>
        <v>0.2854725715716484</v>
      </c>
      <c r="L25" s="480" t="e">
        <f ca="1">'Hidden Formulas'!S67</f>
        <v>#N/A</v>
      </c>
      <c r="M25" s="9"/>
      <c r="N25" s="9"/>
      <c r="O25" s="475" t="e">
        <f ca="1"/>
        <v>#NAME?</v>
      </c>
      <c r="P25" s="98"/>
      <c r="Q25" s="98"/>
    </row>
    <row r="26" spans="2:17" ht="19.5" customHeight="1">
      <c r="B26" s="9" t="s">
        <v>3325</v>
      </c>
      <c r="C26" s="476" t="e">
        <v>#NAME?</v>
      </c>
      <c r="D26" s="476" t="e">
        <v>#NAME?</v>
      </c>
      <c r="E26" s="476" t="e">
        <v>#NAME?</v>
      </c>
      <c r="F26" s="476" t="e">
        <v>#NAME?</v>
      </c>
      <c r="G26" s="477" t="e">
        <v>#NAME?</v>
      </c>
      <c r="H26" s="478" t="e">
        <f>INDEX('Hidden Formulas'!$Q$50:$U$58, MATCH(B26, 'Hidden Formulas'!$Q$50:$Q$58, 0), MATCH($B$19, 'Hidden Formulas'!$Q$50:$U$50, 0))</f>
        <v>#N/A</v>
      </c>
      <c r="I26" s="482"/>
      <c r="J26" s="9" t="s">
        <v>3325</v>
      </c>
      <c r="K26" s="480" t="e">
        <f>'Hidden Formulas'!R70</f>
        <v>#N/A</v>
      </c>
      <c r="L26" s="480" t="e">
        <f ca="1">'Hidden Formulas'!S70</f>
        <v>#N/A</v>
      </c>
      <c r="M26" s="9"/>
      <c r="N26" s="9"/>
      <c r="O26" s="462" t="e">
        <f ca="1"/>
        <v>#NAME?</v>
      </c>
      <c r="P26" s="98"/>
      <c r="Q26" s="98"/>
    </row>
    <row r="27" spans="2:17" ht="19.5" customHeight="1">
      <c r="B27" s="9" t="s">
        <v>3323</v>
      </c>
      <c r="C27" s="476" t="e">
        <v>#NAME?</v>
      </c>
      <c r="D27" s="476" t="e">
        <v>#NAME?</v>
      </c>
      <c r="E27" s="476" t="e">
        <v>#NAME?</v>
      </c>
      <c r="F27" s="476" t="e">
        <v>#NAME?</v>
      </c>
      <c r="G27" s="477" t="e">
        <v>#NAME?</v>
      </c>
      <c r="H27" s="478" t="e">
        <f>INDEX('Hidden Formulas'!$Q$50:$U$58, MATCH(B27, 'Hidden Formulas'!$Q$50:$Q$58, 0), MATCH($B$19, 'Hidden Formulas'!$Q$50:$U$50, 0))</f>
        <v>#N/A</v>
      </c>
      <c r="I27" s="482"/>
      <c r="J27" s="9" t="s">
        <v>3323</v>
      </c>
      <c r="K27" s="480" t="e">
        <f>'Hidden Formulas'!R68</f>
        <v>#N/A</v>
      </c>
      <c r="L27" s="480" t="e">
        <f>'Hidden Formulas'!S68</f>
        <v>#N/A</v>
      </c>
      <c r="M27" s="9"/>
      <c r="N27" s="9"/>
      <c r="O27" s="483"/>
      <c r="P27" s="98"/>
      <c r="Q27" s="98"/>
    </row>
    <row r="28" spans="2:17" ht="19.5" customHeight="1">
      <c r="B28" s="9" t="s">
        <v>3324</v>
      </c>
      <c r="C28" s="476" t="e">
        <v>#NAME?</v>
      </c>
      <c r="D28" s="476" t="e">
        <v>#NAME?</v>
      </c>
      <c r="E28" s="476" t="e">
        <v>#NAME?</v>
      </c>
      <c r="F28" s="476" t="e">
        <v>#NAME?</v>
      </c>
      <c r="G28" s="477" t="e">
        <v>#NAME?</v>
      </c>
      <c r="H28" s="478" t="e">
        <f>INDEX('Hidden Formulas'!$Q$50:$U$58, MATCH(B28, 'Hidden Formulas'!$Q$50:$Q$58, 0), MATCH($B$19, 'Hidden Formulas'!$Q$50:$U$50, 0))</f>
        <v>#N/A</v>
      </c>
      <c r="I28" s="482"/>
      <c r="J28" s="9" t="s">
        <v>3324</v>
      </c>
      <c r="K28" s="480">
        <f>'Hidden Formulas'!R69</f>
        <v>4.8033804657308138E-2</v>
      </c>
      <c r="L28" s="480" t="e">
        <f ca="1">'Hidden Formulas'!S69</f>
        <v>#N/A</v>
      </c>
      <c r="M28" s="98"/>
      <c r="N28" s="203"/>
      <c r="O28" s="203"/>
      <c r="P28" s="98"/>
      <c r="Q28" s="98"/>
    </row>
    <row r="29" spans="2:17" ht="19.5" customHeight="1">
      <c r="B29" s="9"/>
      <c r="C29" s="9"/>
      <c r="D29" s="9"/>
      <c r="E29" s="9"/>
      <c r="F29" s="9"/>
      <c r="G29" s="98"/>
      <c r="H29" s="98"/>
      <c r="I29" s="98"/>
      <c r="J29" s="9"/>
      <c r="K29" s="9"/>
      <c r="L29" s="484"/>
      <c r="M29" s="98"/>
      <c r="N29" s="203"/>
      <c r="O29" s="203"/>
      <c r="P29" s="98"/>
      <c r="Q29" s="98"/>
    </row>
    <row r="30" spans="2:17" ht="45" customHeight="1">
      <c r="B30" s="463" t="s">
        <v>49</v>
      </c>
      <c r="C30" s="9"/>
      <c r="D30" s="9"/>
      <c r="E30" s="9"/>
      <c r="F30" s="9"/>
      <c r="G30" s="9"/>
      <c r="H30" s="9"/>
      <c r="I30" s="9"/>
      <c r="J30" s="463" t="s">
        <v>50</v>
      </c>
      <c r="K30" s="9"/>
      <c r="L30" s="9"/>
      <c r="M30" s="9"/>
      <c r="N30" s="9"/>
      <c r="O30" s="9"/>
      <c r="P30" s="9"/>
      <c r="Q30" s="98"/>
    </row>
    <row r="31" spans="2:17">
      <c r="B31" s="9"/>
      <c r="C31" s="9"/>
      <c r="D31" s="9"/>
      <c r="E31" s="9"/>
      <c r="F31" s="9"/>
      <c r="G31" s="9"/>
      <c r="H31" s="9"/>
      <c r="I31" s="9"/>
      <c r="J31" s="9"/>
      <c r="K31" s="9"/>
      <c r="L31" s="9"/>
      <c r="M31" s="9"/>
      <c r="N31" s="9"/>
      <c r="O31" s="9"/>
      <c r="P31" s="9"/>
      <c r="Q31" s="98"/>
    </row>
    <row r="32" spans="2:17">
      <c r="B32" s="14" t="s">
        <v>53</v>
      </c>
      <c r="C32" s="485"/>
      <c r="D32" s="485"/>
      <c r="E32" s="485"/>
      <c r="F32" s="485"/>
      <c r="G32" s="485"/>
      <c r="H32" s="485"/>
      <c r="I32" s="9"/>
      <c r="J32" s="485" t="s">
        <v>62</v>
      </c>
      <c r="K32" s="485"/>
      <c r="L32" s="485"/>
      <c r="M32" s="485"/>
      <c r="N32" s="485"/>
      <c r="O32" s="485"/>
      <c r="P32" s="485"/>
      <c r="Q32" s="98"/>
    </row>
    <row r="33" spans="2:17">
      <c r="B33" s="486" t="s">
        <v>71</v>
      </c>
      <c r="C33" s="468" t="s">
        <v>863</v>
      </c>
      <c r="D33" s="468" t="s">
        <v>864</v>
      </c>
      <c r="E33" s="468" t="s">
        <v>862</v>
      </c>
      <c r="F33" s="468" t="s">
        <v>861</v>
      </c>
      <c r="G33" s="468" t="s">
        <v>860</v>
      </c>
      <c r="H33" s="19"/>
      <c r="I33" s="9"/>
      <c r="J33" s="486" t="s">
        <v>71</v>
      </c>
      <c r="K33" s="468" t="s">
        <v>863</v>
      </c>
      <c r="L33" s="468" t="s">
        <v>864</v>
      </c>
      <c r="M33" s="468" t="s">
        <v>862</v>
      </c>
      <c r="N33" s="468" t="s">
        <v>861</v>
      </c>
      <c r="O33" s="468" t="s">
        <v>860</v>
      </c>
      <c r="P33" s="19"/>
      <c r="Q33" s="98"/>
    </row>
    <row r="34" spans="2:17">
      <c r="B34" s="487" t="s">
        <v>54</v>
      </c>
      <c r="C34" s="487" t="e">
        <f>SUMPRODUCT(C36:C45, H36:H45)</f>
        <v>#N/A</v>
      </c>
      <c r="D34" s="487">
        <f>SUMPRODUCT(D36:D45, H36:H45)</f>
        <v>11.761017824683275</v>
      </c>
      <c r="E34" s="487">
        <f>SUMPRODUCT(E36:E45, H36:H45)</f>
        <v>24.209853446875755</v>
      </c>
      <c r="F34" s="487">
        <f>SUMPRODUCT(F36:F45, H36:H45)</f>
        <v>20.721241482185338</v>
      </c>
      <c r="G34" s="487">
        <f>SUMPRODUCT(G36:G45, H36:H45)</f>
        <v>5.5736223151833322</v>
      </c>
      <c r="H34" s="9"/>
      <c r="I34" s="9"/>
      <c r="J34" s="487" t="s">
        <v>54</v>
      </c>
      <c r="K34" s="488">
        <f>SUMPRODUCT(K36:K45, $P36:$P45)</f>
        <v>0.53847471394105972</v>
      </c>
      <c r="L34" s="488">
        <f>SUMPRODUCT(L36:L45, $P36:$P45)</f>
        <v>2.6611543897149859E-2</v>
      </c>
      <c r="M34" s="488">
        <f>SUMPRODUCT(M36:M45, $P36:$P45)</f>
        <v>1.2040779422521952</v>
      </c>
      <c r="N34" s="488">
        <f>SUMPRODUCT(N36:N45, $P36:$P45)</f>
        <v>0.12753450651950179</v>
      </c>
      <c r="O34" s="488">
        <f>SUMPRODUCT(O36:O45, $P36:$P45)</f>
        <v>0.12267868789498537</v>
      </c>
      <c r="P34" s="9"/>
      <c r="Q34" s="98"/>
    </row>
    <row r="35" spans="2:17" s="133" customFormat="1" ht="30.25" customHeight="1">
      <c r="B35" s="489" t="e">
        <f>IF(Control!$G$23=FALSE, E5, F5&amp;" ("&amp;E5&amp;")")</f>
        <v>#NAME?</v>
      </c>
      <c r="C35" s="489">
        <f>IFERROR('Hidden Formulas'!M21,IF('Hidden Formulas'!M21=0,"",'Hidden Formulas'!M21))</f>
        <v>64.426906266664915</v>
      </c>
      <c r="D35" s="489">
        <f>IFERROR('Hidden Formulas'!K21,"")</f>
        <v>6.4043565524421995</v>
      </c>
      <c r="E35" s="489" t="str">
        <f>IFERROR(AVERAGE('Hidden Formulas'!I21:K21),"")</f>
        <v/>
      </c>
      <c r="F35" s="489" t="str">
        <f>IFERROR(AVERAGE('Hidden Formulas'!G21:K21),"")</f>
        <v/>
      </c>
      <c r="G35" s="489" t="str">
        <f>IFERROR(AVERAGE('Hidden Formulas'!B21:K21),"")</f>
        <v/>
      </c>
      <c r="H35" s="296"/>
      <c r="I35" s="296"/>
      <c r="J35" s="489" t="e">
        <f>IF(Control!$G$23=FALSE, E5, F5&amp;" ("&amp;E5&amp;")")</f>
        <v>#NAME?</v>
      </c>
      <c r="K35" s="490">
        <f>IFERROR('Hidden Formulas'!M148,"")</f>
        <v>-0.45024955747563522</v>
      </c>
      <c r="L35" s="490">
        <f>IFERROR('Hidden Formulas'!K148,"")</f>
        <v>-0.59254661427519606</v>
      </c>
      <c r="M35" s="490">
        <f>IFERROR(AVERAGE('Hidden Formulas'!I148:K148),"")</f>
        <v>1.9791900069219999</v>
      </c>
      <c r="N35" s="490" t="str">
        <f>IFERROR(AVERAGE('Hidden Formulas'!G148:K148),"")</f>
        <v/>
      </c>
      <c r="O35" s="490" t="str">
        <f>IFERROR(AVERAGE('Hidden Formulas'!B148:K148),"")</f>
        <v/>
      </c>
      <c r="P35" s="270"/>
      <c r="Q35" s="270"/>
    </row>
    <row r="36" spans="2:17" ht="19.5" customHeight="1">
      <c r="B36" s="40" t="str">
        <f>IF(Control!$G$23=FALSE, E7, F7&amp;" ("&amp;E7&amp;")")</f>
        <v xml:space="preserve"> (NYS:SQ)</v>
      </c>
      <c r="C36" s="40">
        <f>IFERROR('Hidden Formulas'!M23,IF('Hidden Formulas'!M23=0,"",'Hidden Formulas'!M23))</f>
        <v>24.705434031385199</v>
      </c>
      <c r="D36" s="40">
        <f>IFERROR('Hidden Formulas'!K23,"")</f>
        <v>38.339914451856032</v>
      </c>
      <c r="E36" s="40">
        <f>IFERROR(AVERAGE('Hidden Formulas'!I23:K23),"")</f>
        <v>115.22248071644157</v>
      </c>
      <c r="F36" s="40">
        <f>IFERROR(AVERAGE('Hidden Formulas'!G23:K23),"")</f>
        <v>103.94104216102771</v>
      </c>
      <c r="G36" s="40" t="str">
        <f>IFERROR(AVERAGE('Hidden Formulas'!B23:K23),"")</f>
        <v/>
      </c>
      <c r="H36" s="207">
        <f t="shared" ref="H36:H45" si="0">I7</f>
        <v>0.1</v>
      </c>
      <c r="I36" s="9"/>
      <c r="J36" s="41" t="str">
        <f>IF(Control!$G$23=FALSE, E7, F7&amp;" ("&amp;E7&amp;")")</f>
        <v xml:space="preserve"> (NYS:SQ)</v>
      </c>
      <c r="K36" s="41">
        <f>IFERROR('Hidden Formulas'!M150,"")</f>
        <v>0.22608729800588101</v>
      </c>
      <c r="L36" s="41">
        <f>IFERROR('Hidden Formulas'!K150,"")</f>
        <v>-7.3390244141353644E-3</v>
      </c>
      <c r="M36" s="41">
        <f>IFERROR(AVERAGE('Hidden Formulas'!I150:K150),"")</f>
        <v>0.62239421632797065</v>
      </c>
      <c r="N36" s="41">
        <f>IFERROR(AVERAGE('Hidden Formulas'!G150:K150),"")</f>
        <v>0.55716535224088004</v>
      </c>
      <c r="O36" s="41">
        <f>IFERROR(AVERAGE('Hidden Formulas'!B150:K150),"")</f>
        <v>0.61749156269015137</v>
      </c>
      <c r="P36" s="207">
        <f t="shared" ref="P36:P45" si="1">I7</f>
        <v>0.1</v>
      </c>
      <c r="Q36" s="98"/>
    </row>
    <row r="37" spans="2:17" ht="19.5" customHeight="1">
      <c r="B37" s="40" t="str">
        <f>IF(Control!$G$23=FALSE, E8, F8&amp;" ("&amp;E8&amp;")")</f>
        <v xml:space="preserve"> (NAS:PYPL)</v>
      </c>
      <c r="C37" s="40">
        <f>IFERROR('Hidden Formulas'!M24,IF('Hidden Formulas'!M24=0,"",'Hidden Formulas'!M24))</f>
        <v>8.6973452533678053</v>
      </c>
      <c r="D37" s="40">
        <f>IFERROR('Hidden Formulas'!K24,"")</f>
        <v>12.71759144137498</v>
      </c>
      <c r="E37" s="40">
        <f>IFERROR(AVERAGE('Hidden Formulas'!I24:K24),"")</f>
        <v>34.175033282289014</v>
      </c>
      <c r="F37" s="40">
        <f>IFERROR(AVERAGE('Hidden Formulas'!G24:K24),"")</f>
        <v>29.696791288640686</v>
      </c>
      <c r="G37" s="40" t="str">
        <f>IFERROR(AVERAGE('Hidden Formulas'!B24:K24),"")</f>
        <v/>
      </c>
      <c r="H37" s="207">
        <f t="shared" si="0"/>
        <v>0.1</v>
      </c>
      <c r="I37" s="9"/>
      <c r="J37" s="41" t="str">
        <f>IF(Control!$G$23=FALSE, E8, F8&amp;" ("&amp;E8&amp;")")</f>
        <v xml:space="preserve"> (NAS:PYPL)</v>
      </c>
      <c r="K37" s="41">
        <f>IFERROR('Hidden Formulas'!M151,"")</f>
        <v>7.670129006025217E-2</v>
      </c>
      <c r="L37" s="41">
        <f>IFERROR('Hidden Formulas'!K151,"")</f>
        <v>8.4624177210200546E-2</v>
      </c>
      <c r="M37" s="41">
        <f>IFERROR(AVERAGE('Hidden Formulas'!I151:K151),"")</f>
        <v>0.15812689544475522</v>
      </c>
      <c r="N37" s="41">
        <f>IFERROR(AVERAGE('Hidden Formulas'!G151:K151),"")</f>
        <v>0.16092072208969666</v>
      </c>
      <c r="O37" s="41">
        <f>IFERROR(AVERAGE('Hidden Formulas'!B151:K151),"")</f>
        <v>0.17181245580314108</v>
      </c>
      <c r="P37" s="207">
        <f t="shared" si="1"/>
        <v>0.1</v>
      </c>
      <c r="Q37" s="98"/>
    </row>
    <row r="38" spans="2:17" ht="19.5" customHeight="1">
      <c r="B38" s="40" t="str">
        <f>IF(Control!$G$23=FALSE, E9, F9&amp;" ("&amp;E9&amp;")")</f>
        <v xml:space="preserve"> (STO:SFL)</v>
      </c>
      <c r="C38" s="40" t="e">
        <f>IFERROR('Hidden Formulas'!M25,IF('Hidden Formulas'!M25=0,"",'Hidden Formulas'!M25))</f>
        <v>#N/A</v>
      </c>
      <c r="D38" s="40" t="str">
        <f>IFERROR('Hidden Formulas'!K25,"")</f>
        <v/>
      </c>
      <c r="E38" s="40" t="str">
        <f>IFERROR(AVERAGE('Hidden Formulas'!I25:K25),"")</f>
        <v/>
      </c>
      <c r="F38" s="40" t="str">
        <f>IFERROR(AVERAGE('Hidden Formulas'!G25:K25),"")</f>
        <v/>
      </c>
      <c r="G38" s="40" t="str">
        <f>IFERROR(AVERAGE('Hidden Formulas'!B25:K25),"")</f>
        <v/>
      </c>
      <c r="H38" s="207">
        <f t="shared" si="0"/>
        <v>0.1</v>
      </c>
      <c r="I38" s="9"/>
      <c r="J38" s="41" t="str">
        <f>IF(Control!$G$23=FALSE, E9, F9&amp;" ("&amp;E9&amp;")")</f>
        <v xml:space="preserve"> (STO:SFL)</v>
      </c>
      <c r="K38" s="41">
        <f>IFERROR('Hidden Formulas'!M152,"")</f>
        <v>-0.24789480749800397</v>
      </c>
      <c r="L38" s="41">
        <f>IFERROR('Hidden Formulas'!K152,"")</f>
        <v>-0.1622909679138882</v>
      </c>
      <c r="M38" s="41">
        <f>IFERROR(AVERAGE('Hidden Formulas'!I152:K152),"")</f>
        <v>0.58941432428100116</v>
      </c>
      <c r="N38" s="41" t="str">
        <f>IFERROR(AVERAGE('Hidden Formulas'!G152:K152),"")</f>
        <v/>
      </c>
      <c r="O38" s="41" t="str">
        <f>IFERROR(AVERAGE('Hidden Formulas'!B152:K152),"")</f>
        <v/>
      </c>
      <c r="P38" s="207">
        <f t="shared" si="1"/>
        <v>0.1</v>
      </c>
      <c r="Q38" s="98"/>
    </row>
    <row r="39" spans="2:17" ht="20.25" customHeight="1">
      <c r="B39" s="40" t="str">
        <f>IF(Control!$G$23=FALSE, E10, F10&amp;" ("&amp;E10&amp;")")</f>
        <v xml:space="preserve"> (PINX:VYGVQ)</v>
      </c>
      <c r="C39" s="40" t="e">
        <f>IFERROR('Hidden Formulas'!M26,IF('Hidden Formulas'!M26=0,"",'Hidden Formulas'!M26))</f>
        <v>#N/A</v>
      </c>
      <c r="D39" s="40" t="str">
        <f>IFERROR('Hidden Formulas'!K26,"")</f>
        <v/>
      </c>
      <c r="E39" s="40" t="str">
        <f>IFERROR(AVERAGE('Hidden Formulas'!I26:K26),"")</f>
        <v/>
      </c>
      <c r="F39" s="40" t="str">
        <f>IFERROR(AVERAGE('Hidden Formulas'!G26:K26),"")</f>
        <v/>
      </c>
      <c r="G39" s="40" t="str">
        <f>IFERROR(AVERAGE('Hidden Formulas'!B26:K26),"")</f>
        <v/>
      </c>
      <c r="H39" s="207">
        <f t="shared" si="0"/>
        <v>0.1</v>
      </c>
      <c r="I39" s="9"/>
      <c r="J39" s="41" t="str">
        <f>IF(Control!$G$23=FALSE, E10, F10&amp;" ("&amp;E10&amp;")")</f>
        <v xml:space="preserve"> (PINX:VYGVQ)</v>
      </c>
      <c r="K39" s="41">
        <f>IFERROR('Hidden Formulas'!M153,"")</f>
        <v>5.8671550705738058</v>
      </c>
      <c r="L39" s="41" t="str">
        <f>IFERROR('Hidden Formulas'!K153,"")</f>
        <v/>
      </c>
      <c r="M39" s="41" t="str">
        <f>IFERROR(AVERAGE('Hidden Formulas'!I153:K153),"")</f>
        <v/>
      </c>
      <c r="N39" s="41" t="str">
        <f>IFERROR(AVERAGE('Hidden Formulas'!G153:K153),"")</f>
        <v/>
      </c>
      <c r="O39" s="41" t="str">
        <f>IFERROR(AVERAGE('Hidden Formulas'!B153:K153),"")</f>
        <v/>
      </c>
      <c r="P39" s="207">
        <f t="shared" si="1"/>
        <v>0.1</v>
      </c>
      <c r="Q39" s="98"/>
    </row>
    <row r="40" spans="2:17" ht="19.5" customHeight="1">
      <c r="B40" s="40" t="str">
        <f>IF(Control!$G$23=FALSE, E11, F11&amp;" ("&amp;E11&amp;")")</f>
        <v xml:space="preserve"> (PINX:CRCW)</v>
      </c>
      <c r="C40" s="40">
        <f>IFERROR('Hidden Formulas'!M27,IF('Hidden Formulas'!M27=0,"",'Hidden Formulas'!M27))</f>
        <v>4.0643705988814274</v>
      </c>
      <c r="D40" s="40" t="str">
        <f>IFERROR('Hidden Formulas'!K27,"")</f>
        <v/>
      </c>
      <c r="E40" s="40" t="str">
        <f>IFERROR(AVERAGE('Hidden Formulas'!I27:K27),"")</f>
        <v/>
      </c>
      <c r="F40" s="40" t="str">
        <f>IFERROR(AVERAGE('Hidden Formulas'!G27:K27),"")</f>
        <v/>
      </c>
      <c r="G40" s="40" t="str">
        <f>IFERROR(AVERAGE('Hidden Formulas'!B27:K27),"")</f>
        <v/>
      </c>
      <c r="H40" s="207">
        <f t="shared" si="0"/>
        <v>0.1</v>
      </c>
      <c r="I40" s="9"/>
      <c r="J40" s="41" t="str">
        <f>IF(Control!$G$23=FALSE, E11, F11&amp;" ("&amp;E11&amp;")")</f>
        <v xml:space="preserve"> (PINX:CRCW)</v>
      </c>
      <c r="K40" s="41">
        <f>IFERROR('Hidden Formulas'!M154,"")</f>
        <v>-0.33845260178484826</v>
      </c>
      <c r="L40" s="41">
        <f>IFERROR('Hidden Formulas'!K154,"")</f>
        <v>0.42569358787901113</v>
      </c>
      <c r="M40" s="41">
        <f>IFERROR(AVERAGE('Hidden Formulas'!I154:K154),"")</f>
        <v>9.6073168454105904</v>
      </c>
      <c r="N40" s="41" t="str">
        <f>IFERROR(AVERAGE('Hidden Formulas'!G154:K154),"")</f>
        <v/>
      </c>
      <c r="O40" s="41" t="str">
        <f>IFERROR(AVERAGE('Hidden Formulas'!B154:K154),"")</f>
        <v/>
      </c>
      <c r="P40" s="207">
        <f t="shared" si="1"/>
        <v>0.1</v>
      </c>
      <c r="Q40" s="98"/>
    </row>
    <row r="41" spans="2:17" ht="19.5" customHeight="1">
      <c r="B41" s="40" t="str">
        <f>IF(Control!$G$23=FALSE, E12, F12&amp;" ("&amp;E12&amp;")")</f>
        <v xml:space="preserve"> (STU:WD0)</v>
      </c>
      <c r="C41" s="40" t="e">
        <f>IFERROR('Hidden Formulas'!M28,IF('Hidden Formulas'!M28=0,"",'Hidden Formulas'!M28))</f>
        <v>#N/A</v>
      </c>
      <c r="D41" s="40" t="str">
        <f>IFERROR('Hidden Formulas'!K28,"")</f>
        <v/>
      </c>
      <c r="E41" s="40" t="str">
        <f>IFERROR(AVERAGE('Hidden Formulas'!I28:K28),"")</f>
        <v/>
      </c>
      <c r="F41" s="40" t="str">
        <f>IFERROR(AVERAGE('Hidden Formulas'!G28:K28),"")</f>
        <v/>
      </c>
      <c r="G41" s="40" t="str">
        <f>IFERROR(AVERAGE('Hidden Formulas'!B28:K28),"")</f>
        <v/>
      </c>
      <c r="H41" s="207">
        <f t="shared" si="0"/>
        <v>0.1</v>
      </c>
      <c r="I41" s="9"/>
      <c r="J41" s="41" t="str">
        <f>IF(Control!$G$23=FALSE, E12, F12&amp;" ("&amp;E12&amp;")")</f>
        <v xml:space="preserve"> (STU:WD0)</v>
      </c>
      <c r="K41" s="41" t="str">
        <f>IFERROR('Hidden Formulas'!M155,"")</f>
        <v/>
      </c>
      <c r="L41" s="41" t="str">
        <f>IFERROR('Hidden Formulas'!K155,"")</f>
        <v/>
      </c>
      <c r="M41" s="41" t="str">
        <f>IFERROR(AVERAGE('Hidden Formulas'!I155:K155),"")</f>
        <v/>
      </c>
      <c r="N41" s="41" t="str">
        <f>IFERROR(AVERAGE('Hidden Formulas'!G155:K155),"")</f>
        <v/>
      </c>
      <c r="O41" s="41" t="str">
        <f>IFERROR(AVERAGE('Hidden Formulas'!B155:K155),"")</f>
        <v/>
      </c>
      <c r="P41" s="207">
        <f t="shared" si="1"/>
        <v>0.1</v>
      </c>
      <c r="Q41" s="98"/>
    </row>
    <row r="42" spans="2:17" ht="19.5" customHeight="1">
      <c r="B42" s="40" t="str">
        <f>IF(Control!$G$23=FALSE, E13, F13&amp;" ("&amp;E13&amp;")")</f>
        <v xml:space="preserve"> (NAS:HOOD)</v>
      </c>
      <c r="C42" s="40">
        <f>IFERROR('Hidden Formulas'!M29,IF('Hidden Formulas'!M29=0,"",'Hidden Formulas'!M29))</f>
        <v>11.683005336082472</v>
      </c>
      <c r="D42" s="40" t="str">
        <f>IFERROR('Hidden Formulas'!K29,"")</f>
        <v/>
      </c>
      <c r="E42" s="40" t="str">
        <f>IFERROR(AVERAGE('Hidden Formulas'!I29:K29),"")</f>
        <v/>
      </c>
      <c r="F42" s="40" t="str">
        <f>IFERROR(AVERAGE('Hidden Formulas'!G29:K29),"")</f>
        <v/>
      </c>
      <c r="G42" s="40" t="str">
        <f>IFERROR(AVERAGE('Hidden Formulas'!B29:K29),"")</f>
        <v/>
      </c>
      <c r="H42" s="207">
        <f t="shared" si="0"/>
        <v>0.1</v>
      </c>
      <c r="I42" s="9"/>
      <c r="J42" s="41" t="str">
        <f>IF(Control!$G$23=FALSE, E13, F13&amp;" ("&amp;E13&amp;")")</f>
        <v xml:space="preserve"> (NAS:HOOD)</v>
      </c>
      <c r="K42" s="41">
        <f>IFERROR('Hidden Formulas'!M156,"")</f>
        <v>0.3228933631618196</v>
      </c>
      <c r="L42" s="41">
        <f>IFERROR('Hidden Formulas'!K156,"")</f>
        <v>-0.25179063360881537</v>
      </c>
      <c r="M42" s="41">
        <f>IFERROR(AVERAGE('Hidden Formulas'!I156:K156),"")</f>
        <v>1.0315410514682994</v>
      </c>
      <c r="N42" s="41" t="str">
        <f>IFERROR(AVERAGE('Hidden Formulas'!G156:K156),"")</f>
        <v/>
      </c>
      <c r="O42" s="41" t="str">
        <f>IFERROR(AVERAGE('Hidden Formulas'!B156:K156),"")</f>
        <v/>
      </c>
      <c r="P42" s="207">
        <f t="shared" si="1"/>
        <v>0.1</v>
      </c>
      <c r="Q42" s="98"/>
    </row>
    <row r="43" spans="2:17" ht="19.5" customHeight="1">
      <c r="B43" s="40" t="str">
        <f>IF(Control!$G$23=FALSE, E14, F14&amp;" ("&amp;E14&amp;")")</f>
        <v xml:space="preserve"> (BOM:532960)</v>
      </c>
      <c r="C43" s="40" t="e">
        <f>IFERROR('Hidden Formulas'!M30,IF('Hidden Formulas'!M30=0,"",'Hidden Formulas'!M30))</f>
        <v>#N/A</v>
      </c>
      <c r="D43" s="40" t="str">
        <f>IFERROR('Hidden Formulas'!K30,"")</f>
        <v/>
      </c>
      <c r="E43" s="40" t="str">
        <f>IFERROR(AVERAGE('Hidden Formulas'!I30:K30),"")</f>
        <v/>
      </c>
      <c r="F43" s="40" t="str">
        <f>IFERROR(AVERAGE('Hidden Formulas'!G30:K30),"")</f>
        <v/>
      </c>
      <c r="G43" s="40" t="str">
        <f>IFERROR(AVERAGE('Hidden Formulas'!B30:K30),"")</f>
        <v/>
      </c>
      <c r="H43" s="207">
        <f t="shared" si="0"/>
        <v>0.1</v>
      </c>
      <c r="I43" s="9"/>
      <c r="J43" s="41" t="str">
        <f>IF(Control!$G$23=FALSE, E14, F14&amp;" ("&amp;E14&amp;")")</f>
        <v xml:space="preserve"> (BOM:532960)</v>
      </c>
      <c r="K43" s="41">
        <f>IFERROR('Hidden Formulas'!M157,"")</f>
        <v>-0.65416410140572556</v>
      </c>
      <c r="L43" s="41">
        <f>IFERROR('Hidden Formulas'!K157,"")</f>
        <v>2.2172042261956904E-2</v>
      </c>
      <c r="M43" s="41">
        <f>IFERROR(AVERAGE('Hidden Formulas'!I157:K157),"")</f>
        <v>-8.350471185443209E-2</v>
      </c>
      <c r="N43" s="41">
        <f>IFERROR(AVERAGE('Hidden Formulas'!G157:K157),"")</f>
        <v>0.4298565000093163</v>
      </c>
      <c r="O43" s="41">
        <f>IFERROR(AVERAGE('Hidden Formulas'!B157:K157),"")</f>
        <v>0.32900666476764229</v>
      </c>
      <c r="P43" s="207">
        <f t="shared" si="1"/>
        <v>0.1</v>
      </c>
      <c r="Q43" s="98"/>
    </row>
    <row r="44" spans="2:17" ht="19.5" customHeight="1">
      <c r="B44" s="40" t="str">
        <f>IF(Control!$G$23=FALSE, E15, F15&amp;" ("&amp;E15&amp;")")</f>
        <v xml:space="preserve"> (NYS:MA)</v>
      </c>
      <c r="C44" s="40">
        <f>IFERROR('Hidden Formulas'!M31,IF('Hidden Formulas'!M31=0,"",'Hidden Formulas'!M31))</f>
        <v>25.921102499031509</v>
      </c>
      <c r="D44" s="40">
        <f>IFERROR('Hidden Formulas'!K31,"")</f>
        <v>25.55276272850611</v>
      </c>
      <c r="E44" s="40">
        <f>IFERROR(AVERAGE('Hidden Formulas'!I31:K31),"")</f>
        <v>32.800773663417935</v>
      </c>
      <c r="F44" s="40">
        <f>IFERROR(AVERAGE('Hidden Formulas'!G31:K31),"")</f>
        <v>30.084414655715143</v>
      </c>
      <c r="G44" s="40">
        <f>IFERROR(AVERAGE('Hidden Formulas'!B31:K31),"")</f>
        <v>24.791192726901926</v>
      </c>
      <c r="H44" s="207">
        <f t="shared" si="0"/>
        <v>0.1</v>
      </c>
      <c r="I44" s="9"/>
      <c r="J44" s="41" t="str">
        <f>IF(Control!$G$23=FALSE, E15, F15&amp;" ("&amp;E15&amp;")")</f>
        <v xml:space="preserve"> (NYS:MA)</v>
      </c>
      <c r="K44" s="41">
        <f>IFERROR('Hidden Formulas'!M158,"")</f>
        <v>0.12622481050101686</v>
      </c>
      <c r="L44" s="41">
        <f>IFERROR('Hidden Formulas'!K158,"")</f>
        <v>0.17755772082185972</v>
      </c>
      <c r="M44" s="41">
        <f>IFERROR(AVERAGE('Hidden Formulas'!I158:K158),"")</f>
        <v>0.10600723221270107</v>
      </c>
      <c r="N44" s="41">
        <f>IFERROR(AVERAGE('Hidden Formulas'!G158:K158),"")</f>
        <v>0.12872129288142339</v>
      </c>
      <c r="O44" s="41">
        <f>IFERROR(AVERAGE('Hidden Formulas'!B158:K158),"")</f>
        <v>0.12024102767244979</v>
      </c>
      <c r="P44" s="207">
        <f t="shared" si="1"/>
        <v>0.1</v>
      </c>
      <c r="Q44" s="98"/>
    </row>
    <row r="45" spans="2:17" ht="19.5" customHeight="1">
      <c r="B45" s="40" t="str">
        <f>IF(Control!$G$23=FALSE, E16, F16&amp;" ("&amp;E16&amp;")")</f>
        <v xml:space="preserve"> (NAS:MSTR)</v>
      </c>
      <c r="C45" s="40">
        <f>IFERROR('Hidden Formulas'!M32,IF('Hidden Formulas'!M32=0,"",'Hidden Formulas'!M32))</f>
        <v>152.77516457259321</v>
      </c>
      <c r="D45" s="40">
        <f>IFERROR('Hidden Formulas'!K32,"")</f>
        <v>40.99990962509564</v>
      </c>
      <c r="E45" s="40">
        <f>IFERROR(AVERAGE('Hidden Formulas'!I32:K32),"")</f>
        <v>59.900246806609026</v>
      </c>
      <c r="F45" s="40">
        <f>IFERROR(AVERAGE('Hidden Formulas'!G32:K32),"")</f>
        <v>43.49016671646983</v>
      </c>
      <c r="G45" s="40">
        <f>IFERROR(AVERAGE('Hidden Formulas'!B32:K32),"")</f>
        <v>30.945030424931389</v>
      </c>
      <c r="H45" s="207">
        <f t="shared" si="0"/>
        <v>0.1</v>
      </c>
      <c r="I45" s="9"/>
      <c r="J45" s="41" t="str">
        <f>IF(Control!$G$23=FALSE, E16, F16&amp;" ("&amp;E16&amp;")")</f>
        <v xml:space="preserve"> (NAS:MSTR)</v>
      </c>
      <c r="K45" s="41">
        <f>IFERROR('Hidden Formulas'!M159,"")</f>
        <v>6.1968177963989124E-3</v>
      </c>
      <c r="L45" s="41">
        <f>IFERROR('Hidden Formulas'!K159,"")</f>
        <v>-2.2511463264690779E-2</v>
      </c>
      <c r="M45" s="41">
        <f>IFERROR(AVERAGE('Hidden Formulas'!I159:K159),"")</f>
        <v>9.4835692310650047E-3</v>
      </c>
      <c r="N45" s="41">
        <f>IFERROR(AVERAGE('Hidden Formulas'!G159:K159),"")</f>
        <v>-1.318802026298528E-3</v>
      </c>
      <c r="O45" s="41">
        <f>IFERROR(AVERAGE('Hidden Formulas'!B159:K159),"")</f>
        <v>-1.1764831983531088E-2</v>
      </c>
      <c r="P45" s="207">
        <f t="shared" si="1"/>
        <v>0.1</v>
      </c>
      <c r="Q45" s="98"/>
    </row>
    <row r="46" spans="2:17" ht="30.25" customHeight="1">
      <c r="B46" s="14" t="s">
        <v>55</v>
      </c>
      <c r="C46" s="485"/>
      <c r="D46" s="485"/>
      <c r="E46" s="485"/>
      <c r="F46" s="485"/>
      <c r="G46" s="485"/>
      <c r="H46" s="485"/>
      <c r="I46" s="9"/>
      <c r="J46" s="485" t="s">
        <v>64</v>
      </c>
      <c r="K46" s="485"/>
      <c r="L46" s="485"/>
      <c r="M46" s="485"/>
      <c r="N46" s="485"/>
      <c r="O46" s="485"/>
      <c r="P46" s="485"/>
      <c r="Q46" s="98"/>
    </row>
    <row r="47" spans="2:17">
      <c r="B47" s="486" t="s">
        <v>71</v>
      </c>
      <c r="C47" s="468" t="s">
        <v>863</v>
      </c>
      <c r="D47" s="468" t="s">
        <v>864</v>
      </c>
      <c r="E47" s="468" t="s">
        <v>862</v>
      </c>
      <c r="F47" s="468" t="s">
        <v>861</v>
      </c>
      <c r="G47" s="468" t="s">
        <v>860</v>
      </c>
      <c r="H47" s="19"/>
      <c r="I47" s="9"/>
      <c r="J47" s="486" t="s">
        <v>71</v>
      </c>
      <c r="K47" s="468" t="s">
        <v>863</v>
      </c>
      <c r="L47" s="468" t="s">
        <v>864</v>
      </c>
      <c r="M47" s="468" t="s">
        <v>862</v>
      </c>
      <c r="N47" s="468" t="s">
        <v>861</v>
      </c>
      <c r="O47" s="468" t="s">
        <v>860</v>
      </c>
      <c r="P47" s="19"/>
      <c r="Q47" s="98"/>
    </row>
    <row r="48" spans="2:17">
      <c r="B48" s="487" t="s">
        <v>54</v>
      </c>
      <c r="C48" s="487">
        <f>SUMPRODUCT(C50:C59, H50:H59)</f>
        <v>18.889641374630031</v>
      </c>
      <c r="D48" s="487">
        <f>SUMPRODUCT(D50:D59, H50:H59)</f>
        <v>10.640500816641808</v>
      </c>
      <c r="E48" s="487">
        <f>SUMPRODUCT(E50:E59, H50:H59)</f>
        <v>12.94440030648024</v>
      </c>
      <c r="F48" s="487">
        <f>SUMPRODUCT(F50:F59, H50:H59)</f>
        <v>11.545673444884041</v>
      </c>
      <c r="G48" s="487">
        <f>SUMPRODUCT(G50:G59, H50:H59)</f>
        <v>0</v>
      </c>
      <c r="H48" s="9"/>
      <c r="I48" s="9"/>
      <c r="J48" s="487" t="s">
        <v>54</v>
      </c>
      <c r="K48" s="488">
        <f>SUMPRODUCT(K50:K59, $P50:$P59)</f>
        <v>4.6219210372100396E-2</v>
      </c>
      <c r="L48" s="488">
        <f>SUMPRODUCT(L50:L59, $P50:$P59)</f>
        <v>-1.1857334157954272E-4</v>
      </c>
      <c r="M48" s="488">
        <f>SUMPRODUCT(M50:M59, $P50:$P59)</f>
        <v>2.2667191155243457E-2</v>
      </c>
      <c r="N48" s="488">
        <f>SUMPRODUCT(N50:N59, $P50:$P59)</f>
        <v>2.8293206868294458E-2</v>
      </c>
      <c r="O48" s="488">
        <f>SUMPRODUCT(O50:O59, $P50:$P59)</f>
        <v>2.9073009368391484E-2</v>
      </c>
      <c r="P48" s="9"/>
      <c r="Q48" s="98"/>
    </row>
    <row r="49" spans="2:17" ht="30.25" customHeight="1">
      <c r="B49" s="489" t="e">
        <f>IF(Control!$G$23=FALSE, E5, F5&amp;" ("&amp;E5&amp;")")</f>
        <v>#NAME?</v>
      </c>
      <c r="C49" s="489">
        <f>IFERROR('Hidden Formulas'!M36,"")</f>
        <v>34.945308232684006</v>
      </c>
      <c r="D49" s="489">
        <f>IFERROR('Hidden Formulas'!K36,"")</f>
        <v>365.44599582861571</v>
      </c>
      <c r="E49" s="489" t="str">
        <f>IFERROR(AVERAGE('Hidden Formulas'!I36:K36),"")</f>
        <v/>
      </c>
      <c r="F49" s="489" t="str">
        <f>IFERROR(AVERAGE('Hidden Formulas'!G36:K36),"")</f>
        <v/>
      </c>
      <c r="G49" s="489" t="str">
        <f>IFERROR(AVERAGE('Hidden Formulas'!B36:K36),"")</f>
        <v/>
      </c>
      <c r="H49" s="9"/>
      <c r="I49" s="9"/>
      <c r="J49" s="489" t="e">
        <f>IF(Control!$G$23=FALSE, E5, F5&amp;" ("&amp;E5&amp;")")</f>
        <v>#NAME?</v>
      </c>
      <c r="K49" s="490" t="str">
        <f>IFERROR('Hidden Formulas'!M164,"")</f>
        <v/>
      </c>
      <c r="L49" s="490" t="str">
        <f>IFERROR('Hidden Formulas'!K164,"")</f>
        <v/>
      </c>
      <c r="M49" s="490" t="str">
        <f>IFERROR(AVERAGE('Hidden Formulas'!I164:K164),"")</f>
        <v/>
      </c>
      <c r="N49" s="490" t="str">
        <f>IFERROR(AVERAGE('Hidden Formulas'!G164:K164),"")</f>
        <v/>
      </c>
      <c r="O49" s="490" t="str">
        <f>IFERROR(AVERAGE('Hidden Formulas'!B164:K164),"")</f>
        <v/>
      </c>
      <c r="P49" s="9"/>
      <c r="Q49" s="98"/>
    </row>
    <row r="50" spans="2:17" ht="19.5" customHeight="1">
      <c r="B50" s="40" t="str">
        <f>IF(Control!$G$23=FALSE, E7, F7&amp;" ("&amp;E7&amp;")")</f>
        <v xml:space="preserve"> (NYS:SQ)</v>
      </c>
      <c r="C50" s="40">
        <f>IFERROR('Hidden Formulas'!M38,"")</f>
        <v>15.554181089164722</v>
      </c>
      <c r="D50" s="40">
        <f>IFERROR('Hidden Formulas'!K38,"")</f>
        <v>27.16741426228209</v>
      </c>
      <c r="E50" s="40">
        <f>IFERROR(AVERAGE('Hidden Formulas'!I38:K38),"")</f>
        <v>77.901347836593288</v>
      </c>
      <c r="F50" s="40">
        <f>IFERROR(AVERAGE('Hidden Formulas'!G38:K38),"")</f>
        <v>67.459558671054239</v>
      </c>
      <c r="G50" s="40" t="str">
        <f>IFERROR(AVERAGE('Hidden Formulas'!B38:K38),"")</f>
        <v/>
      </c>
      <c r="H50" s="207">
        <f t="shared" ref="H50:H59" si="2">I7</f>
        <v>0.1</v>
      </c>
      <c r="I50" s="9"/>
      <c r="J50" s="41" t="str">
        <f>IF(Control!$G$23=FALSE, E7, F7&amp;" ("&amp;E7&amp;")")</f>
        <v xml:space="preserve"> (NYS:SQ)</v>
      </c>
      <c r="K50" s="41" t="str">
        <f>IFERROR('Hidden Formulas'!M166,"")</f>
        <v/>
      </c>
      <c r="L50" s="41" t="str">
        <f>IFERROR('Hidden Formulas'!K166,"")</f>
        <v/>
      </c>
      <c r="M50" s="41" t="str">
        <f>IFERROR(AVERAGE('Hidden Formulas'!I166:K166),"")</f>
        <v/>
      </c>
      <c r="N50" s="41" t="str">
        <f>IFERROR(AVERAGE('Hidden Formulas'!G166:K166),"")</f>
        <v/>
      </c>
      <c r="O50" s="41" t="str">
        <f>IFERROR(AVERAGE('Hidden Formulas'!B166:K166),"")</f>
        <v/>
      </c>
      <c r="P50" s="207">
        <f t="shared" ref="P50:P59" si="3">I7</f>
        <v>0.1</v>
      </c>
      <c r="Q50" s="98"/>
    </row>
    <row r="51" spans="2:17" ht="19.5" customHeight="1">
      <c r="B51" s="40" t="str">
        <f>IF(Control!$G$23=FALSE, E8, F8&amp;" ("&amp;E8&amp;")")</f>
        <v xml:space="preserve"> (NAS:PYPL)</v>
      </c>
      <c r="C51" s="40">
        <f>IFERROR('Hidden Formulas'!M39,"")</f>
        <v>7.934060360849057</v>
      </c>
      <c r="D51" s="40">
        <f>IFERROR('Hidden Formulas'!K39,"")</f>
        <v>10.618814362408774</v>
      </c>
      <c r="E51" s="40">
        <f>IFERROR(AVERAGE('Hidden Formulas'!I39:K39),"")</f>
        <v>24.232870351470613</v>
      </c>
      <c r="F51" s="40">
        <f>IFERROR(AVERAGE('Hidden Formulas'!G39:K39),"")</f>
        <v>22.695122949239167</v>
      </c>
      <c r="G51" s="40" t="str">
        <f>IFERROR(AVERAGE('Hidden Formulas'!B39:K39),"")</f>
        <v/>
      </c>
      <c r="H51" s="207">
        <f t="shared" si="2"/>
        <v>0.1</v>
      </c>
      <c r="I51" s="9"/>
      <c r="J51" s="41" t="str">
        <f>IF(Control!$G$23=FALSE, E8, F8&amp;" ("&amp;E8&amp;")")</f>
        <v xml:space="preserve"> (NAS:PYPL)</v>
      </c>
      <c r="K51" s="41">
        <f>IFERROR('Hidden Formulas'!M167,"")</f>
        <v>0.29916835243875028</v>
      </c>
      <c r="L51" s="41">
        <f>IFERROR('Hidden Formulas'!K167,"")</f>
        <v>-0.1310705903592706</v>
      </c>
      <c r="M51" s="41">
        <f>IFERROR(AVERAGE('Hidden Formulas'!I167:K167),"")</f>
        <v>0.1343842187687222</v>
      </c>
      <c r="N51" s="41">
        <f>IFERROR(AVERAGE('Hidden Formulas'!G167:K167),"")</f>
        <v>0.13990100553856008</v>
      </c>
      <c r="O51" s="41">
        <f>IFERROR(AVERAGE('Hidden Formulas'!B167:K167),"")</f>
        <v>0.16125669283474187</v>
      </c>
      <c r="P51" s="207">
        <f t="shared" si="3"/>
        <v>0.1</v>
      </c>
      <c r="Q51" s="98"/>
    </row>
    <row r="52" spans="2:17" ht="19.5" customHeight="1">
      <c r="B52" s="40" t="str">
        <f>IF(Control!$G$23=FALSE, E9, F9&amp;" ("&amp;E9&amp;")")</f>
        <v xml:space="preserve"> (STO:SFL)</v>
      </c>
      <c r="C52" s="40" t="str">
        <f>IFERROR('Hidden Formulas'!M40,"")</f>
        <v/>
      </c>
      <c r="D52" s="40" t="str">
        <f>IFERROR('Hidden Formulas'!K40,"")</f>
        <v/>
      </c>
      <c r="E52" s="40" t="str">
        <f>IFERROR(AVERAGE('Hidden Formulas'!I40:K40),"")</f>
        <v/>
      </c>
      <c r="F52" s="40" t="str">
        <f>IFERROR(AVERAGE('Hidden Formulas'!G40:K40),"")</f>
        <v/>
      </c>
      <c r="G52" s="40" t="str">
        <f>IFERROR(AVERAGE('Hidden Formulas'!B40:K40),"")</f>
        <v/>
      </c>
      <c r="H52" s="207">
        <f t="shared" si="2"/>
        <v>0.1</v>
      </c>
      <c r="I52" s="9"/>
      <c r="J52" s="41" t="str">
        <f>IF(Control!$G$23=FALSE, E9, F9&amp;" ("&amp;E9&amp;")")</f>
        <v xml:space="preserve"> (STO:SFL)</v>
      </c>
      <c r="K52" s="41" t="str">
        <f>IFERROR('Hidden Formulas'!M168,"")</f>
        <v/>
      </c>
      <c r="L52" s="41" t="str">
        <f>IFERROR('Hidden Formulas'!K168,"")</f>
        <v/>
      </c>
      <c r="M52" s="41" t="str">
        <f>IFERROR(AVERAGE('Hidden Formulas'!I168:K168),"")</f>
        <v/>
      </c>
      <c r="N52" s="41" t="str">
        <f>IFERROR(AVERAGE('Hidden Formulas'!G168:K168),"")</f>
        <v/>
      </c>
      <c r="O52" s="41" t="str">
        <f>IFERROR(AVERAGE('Hidden Formulas'!B168:K168),"")</f>
        <v/>
      </c>
      <c r="P52" s="207">
        <f t="shared" si="3"/>
        <v>0.1</v>
      </c>
      <c r="Q52" s="98"/>
    </row>
    <row r="53" spans="2:17" ht="19.5" customHeight="1">
      <c r="B53" s="40" t="str">
        <f>IF(Control!$G$23=FALSE, E10, F10&amp;" ("&amp;E10&amp;")")</f>
        <v xml:space="preserve"> (PINX:VYGVQ)</v>
      </c>
      <c r="C53" s="40" t="str">
        <f>IFERROR('Hidden Formulas'!M41,"")</f>
        <v/>
      </c>
      <c r="D53" s="40" t="str">
        <f>IFERROR('Hidden Formulas'!K41,"")</f>
        <v/>
      </c>
      <c r="E53" s="40" t="str">
        <f>IFERROR(AVERAGE('Hidden Formulas'!I41:K41),"")</f>
        <v/>
      </c>
      <c r="F53" s="40" t="str">
        <f>IFERROR(AVERAGE('Hidden Formulas'!G41:K41),"")</f>
        <v/>
      </c>
      <c r="G53" s="40" t="str">
        <f>IFERROR(AVERAGE('Hidden Formulas'!B41:K41),"")</f>
        <v/>
      </c>
      <c r="H53" s="207">
        <f t="shared" si="2"/>
        <v>0.1</v>
      </c>
      <c r="I53" s="9"/>
      <c r="J53" s="41" t="str">
        <f>IF(Control!$G$23=FALSE, E10, F10&amp;" ("&amp;E10&amp;")")</f>
        <v xml:space="preserve"> (PINX:VYGVQ)</v>
      </c>
      <c r="K53" s="41" t="str">
        <f>IFERROR('Hidden Formulas'!M169,"")</f>
        <v/>
      </c>
      <c r="L53" s="41" t="str">
        <f>IFERROR('Hidden Formulas'!K169,"")</f>
        <v/>
      </c>
      <c r="M53" s="41" t="str">
        <f>IFERROR(AVERAGE('Hidden Formulas'!I169:K169),"")</f>
        <v/>
      </c>
      <c r="N53" s="41" t="str">
        <f>IFERROR(AVERAGE('Hidden Formulas'!G169:K169),"")</f>
        <v/>
      </c>
      <c r="O53" s="41" t="str">
        <f>IFERROR(AVERAGE('Hidden Formulas'!B169:K169),"")</f>
        <v/>
      </c>
      <c r="P53" s="207">
        <f t="shared" si="3"/>
        <v>0.1</v>
      </c>
      <c r="Q53" s="98"/>
    </row>
    <row r="54" spans="2:17" ht="19.5" customHeight="1">
      <c r="B54" s="40" t="str">
        <f>IF(Control!$G$23=FALSE, E11, F11&amp;" ("&amp;E11&amp;")")</f>
        <v xml:space="preserve"> (PINX:CRCW)</v>
      </c>
      <c r="C54" s="40" t="str">
        <f>IFERROR('Hidden Formulas'!M42,"")</f>
        <v/>
      </c>
      <c r="D54" s="40" t="str">
        <f>IFERROR('Hidden Formulas'!K42,"")</f>
        <v/>
      </c>
      <c r="E54" s="40" t="str">
        <f>IFERROR(AVERAGE('Hidden Formulas'!I42:K42),"")</f>
        <v/>
      </c>
      <c r="F54" s="40" t="str">
        <f>IFERROR(AVERAGE('Hidden Formulas'!G42:K42),"")</f>
        <v/>
      </c>
      <c r="G54" s="40" t="str">
        <f>IFERROR(AVERAGE('Hidden Formulas'!B42:K42),"")</f>
        <v/>
      </c>
      <c r="H54" s="207">
        <f t="shared" si="2"/>
        <v>0.1</v>
      </c>
      <c r="I54" s="9"/>
      <c r="J54" s="41" t="str">
        <f>IF(Control!$G$23=FALSE, E11, F11&amp;" ("&amp;E11&amp;")")</f>
        <v xml:space="preserve"> (PINX:CRCW)</v>
      </c>
      <c r="K54" s="41" t="str">
        <f>IFERROR('Hidden Formulas'!M170,"")</f>
        <v/>
      </c>
      <c r="L54" s="41" t="str">
        <f>IFERROR('Hidden Formulas'!K170,"")</f>
        <v/>
      </c>
      <c r="M54" s="41" t="str">
        <f>IFERROR(AVERAGE('Hidden Formulas'!I170:K170),"")</f>
        <v/>
      </c>
      <c r="N54" s="41" t="str">
        <f>IFERROR(AVERAGE('Hidden Formulas'!G170:K170),"")</f>
        <v/>
      </c>
      <c r="O54" s="41" t="str">
        <f>IFERROR(AVERAGE('Hidden Formulas'!B170:K170),"")</f>
        <v/>
      </c>
      <c r="P54" s="207">
        <f t="shared" si="3"/>
        <v>0.1</v>
      </c>
      <c r="Q54" s="98"/>
    </row>
    <row r="55" spans="2:17" ht="19.5" customHeight="1">
      <c r="B55" s="40" t="str">
        <f>IF(Control!$G$23=FALSE, E12, F12&amp;" ("&amp;E12&amp;")")</f>
        <v xml:space="preserve"> (STU:WD0)</v>
      </c>
      <c r="C55" s="40" t="str">
        <f>IFERROR('Hidden Formulas'!M43,"")</f>
        <v/>
      </c>
      <c r="D55" s="40" t="str">
        <f>IFERROR('Hidden Formulas'!K43,"")</f>
        <v/>
      </c>
      <c r="E55" s="40" t="str">
        <f>IFERROR(AVERAGE('Hidden Formulas'!I43:K43),"")</f>
        <v/>
      </c>
      <c r="F55" s="40" t="str">
        <f>IFERROR(AVERAGE('Hidden Formulas'!G43:K43),"")</f>
        <v/>
      </c>
      <c r="G55" s="40" t="str">
        <f>IFERROR(AVERAGE('Hidden Formulas'!B43:K43),"")</f>
        <v/>
      </c>
      <c r="H55" s="207">
        <f t="shared" si="2"/>
        <v>0.1</v>
      </c>
      <c r="I55" s="9"/>
      <c r="J55" s="41" t="str">
        <f>IF(Control!$G$23=FALSE, E12, F12&amp;" ("&amp;E12&amp;")")</f>
        <v xml:space="preserve"> (STU:WD0)</v>
      </c>
      <c r="K55" s="41" t="str">
        <f>IFERROR('Hidden Formulas'!M171,"")</f>
        <v/>
      </c>
      <c r="L55" s="41" t="str">
        <f>IFERROR('Hidden Formulas'!K171,"")</f>
        <v/>
      </c>
      <c r="M55" s="41" t="str">
        <f>IFERROR(AVERAGE('Hidden Formulas'!I171:K171),"")</f>
        <v/>
      </c>
      <c r="N55" s="41" t="str">
        <f>IFERROR(AVERAGE('Hidden Formulas'!G171:K171),"")</f>
        <v/>
      </c>
      <c r="O55" s="41" t="str">
        <f>IFERROR(AVERAGE('Hidden Formulas'!B171:K171),"")</f>
        <v/>
      </c>
      <c r="P55" s="207">
        <f t="shared" si="3"/>
        <v>0.1</v>
      </c>
      <c r="Q55" s="98"/>
    </row>
    <row r="56" spans="2:17" ht="19.5" customHeight="1">
      <c r="B56" s="40" t="str">
        <f>IF(Control!$G$23=FALSE, E13, F13&amp;" ("&amp;E13&amp;")")</f>
        <v xml:space="preserve"> (NAS:HOOD)</v>
      </c>
      <c r="C56" s="40">
        <f>IFERROR('Hidden Formulas'!M44,"")</f>
        <v>9.4856576345526076</v>
      </c>
      <c r="D56" s="40">
        <f>IFERROR('Hidden Formulas'!K44,"")</f>
        <v>4.0998129526018268</v>
      </c>
      <c r="E56" s="40" t="str">
        <f>IFERROR(AVERAGE('Hidden Formulas'!I44:K44),"")</f>
        <v/>
      </c>
      <c r="F56" s="40" t="str">
        <f>IFERROR(AVERAGE('Hidden Formulas'!G44:K44),"")</f>
        <v/>
      </c>
      <c r="G56" s="40" t="str">
        <f>IFERROR(AVERAGE('Hidden Formulas'!B44:K44),"")</f>
        <v/>
      </c>
      <c r="H56" s="207">
        <f t="shared" si="2"/>
        <v>0.1</v>
      </c>
      <c r="I56" s="9"/>
      <c r="J56" s="41" t="str">
        <f>IF(Control!$G$23=FALSE, E13, F13&amp;" ("&amp;E13&amp;")")</f>
        <v xml:space="preserve"> (NAS:HOOD)</v>
      </c>
      <c r="K56" s="41" t="str">
        <f>IFERROR('Hidden Formulas'!M172,"")</f>
        <v/>
      </c>
      <c r="L56" s="41" t="str">
        <f>IFERROR('Hidden Formulas'!K172,"")</f>
        <v/>
      </c>
      <c r="M56" s="41" t="str">
        <f>IFERROR(AVERAGE('Hidden Formulas'!I172:K172),"")</f>
        <v/>
      </c>
      <c r="N56" s="41" t="str">
        <f>IFERROR(AVERAGE('Hidden Formulas'!G172:K172),"")</f>
        <v/>
      </c>
      <c r="O56" s="41" t="str">
        <f>IFERROR(AVERAGE('Hidden Formulas'!B172:K172),"")</f>
        <v/>
      </c>
      <c r="P56" s="207">
        <f t="shared" si="3"/>
        <v>0.1</v>
      </c>
      <c r="Q56" s="98"/>
    </row>
    <row r="57" spans="2:17" ht="19.5" customHeight="1">
      <c r="B57" s="40" t="str">
        <f>IF(Control!$G$23=FALSE, E14, F14&amp;" ("&amp;E14&amp;")")</f>
        <v xml:space="preserve"> (BOM:532960)</v>
      </c>
      <c r="C57" s="40" t="str">
        <f>IFERROR('Hidden Formulas'!M45,"")</f>
        <v/>
      </c>
      <c r="D57" s="40" t="str">
        <f>IFERROR('Hidden Formulas'!K45,"")</f>
        <v/>
      </c>
      <c r="E57" s="40" t="str">
        <f>IFERROR(AVERAGE('Hidden Formulas'!I45:K45),"")</f>
        <v/>
      </c>
      <c r="F57" s="40" t="str">
        <f>IFERROR(AVERAGE('Hidden Formulas'!G45:K45),"")</f>
        <v/>
      </c>
      <c r="G57" s="40" t="str">
        <f>IFERROR(AVERAGE('Hidden Formulas'!B45:K45),"")</f>
        <v/>
      </c>
      <c r="H57" s="207">
        <f t="shared" si="2"/>
        <v>0.1</v>
      </c>
      <c r="I57" s="9"/>
      <c r="J57" s="41" t="str">
        <f>IF(Control!$G$23=FALSE, E14, F14&amp;" ("&amp;E14&amp;")")</f>
        <v xml:space="preserve"> (BOM:532960)</v>
      </c>
      <c r="K57" s="41" t="str">
        <f>IFERROR('Hidden Formulas'!M173,"")</f>
        <v/>
      </c>
      <c r="L57" s="41" t="str">
        <f>IFERROR('Hidden Formulas'!K173,"")</f>
        <v/>
      </c>
      <c r="M57" s="41" t="str">
        <f>IFERROR(AVERAGE('Hidden Formulas'!I173:K173),"")</f>
        <v/>
      </c>
      <c r="N57" s="41" t="str">
        <f>IFERROR(AVERAGE('Hidden Formulas'!G173:K173),"")</f>
        <v/>
      </c>
      <c r="O57" s="41" t="str">
        <f>IFERROR(AVERAGE('Hidden Formulas'!B173:K173),"")</f>
        <v/>
      </c>
      <c r="P57" s="207">
        <f t="shared" si="3"/>
        <v>0.1</v>
      </c>
      <c r="Q57" s="98"/>
    </row>
    <row r="58" spans="2:17" ht="19.5" customHeight="1">
      <c r="B58" s="40" t="str">
        <f>IF(Control!$G$23=FALSE, E15, F15&amp;" ("&amp;E15&amp;")")</f>
        <v xml:space="preserve"> (NYS:MA)</v>
      </c>
      <c r="C58" s="40">
        <f>IFERROR('Hidden Formulas'!M46,"")</f>
        <v>23.079392670594999</v>
      </c>
      <c r="D58" s="40">
        <f>IFERROR('Hidden Formulas'!K46,"")</f>
        <v>22.614930086153834</v>
      </c>
      <c r="E58" s="40">
        <f>IFERROR(AVERAGE('Hidden Formulas'!I46:K46),"")</f>
        <v>27.309784876738476</v>
      </c>
      <c r="F58" s="40">
        <f>IFERROR(AVERAGE('Hidden Formulas'!G46:K46),"")</f>
        <v>25.302052828547001</v>
      </c>
      <c r="G58" s="40" t="str">
        <f>IFERROR(AVERAGE('Hidden Formulas'!B46:K46),"")</f>
        <v/>
      </c>
      <c r="H58" s="207">
        <f t="shared" si="2"/>
        <v>0.1</v>
      </c>
      <c r="I58" s="9"/>
      <c r="J58" s="41" t="str">
        <f>IF(Control!$G$23=FALSE, E15, F15&amp;" ("&amp;E15&amp;")")</f>
        <v xml:space="preserve"> (NYS:MA)</v>
      </c>
      <c r="K58" s="41">
        <f>IFERROR('Hidden Formulas'!M174,"")</f>
        <v>0.16302375128225366</v>
      </c>
      <c r="L58" s="41">
        <f>IFERROR('Hidden Formulas'!K174,"")</f>
        <v>0.12988485694347518</v>
      </c>
      <c r="M58" s="41">
        <f>IFERROR(AVERAGE('Hidden Formulas'!I174:K174),"")</f>
        <v>9.2287692783712363E-2</v>
      </c>
      <c r="N58" s="41">
        <f>IFERROR(AVERAGE('Hidden Formulas'!G174:K174),"")</f>
        <v>0.14303106314438449</v>
      </c>
      <c r="O58" s="41">
        <f>IFERROR(AVERAGE('Hidden Formulas'!B174:K174),"")</f>
        <v>0.12947340084917297</v>
      </c>
      <c r="P58" s="207">
        <f t="shared" si="3"/>
        <v>0.1</v>
      </c>
      <c r="Q58" s="98"/>
    </row>
    <row r="59" spans="2:17" ht="19.5" customHeight="1">
      <c r="B59" s="40" t="str">
        <f>IF(Control!$G$23=FALSE, E16, F16&amp;" ("&amp;E16&amp;")")</f>
        <v xml:space="preserve"> (NAS:MSTR)</v>
      </c>
      <c r="C59" s="40">
        <f>IFERROR('Hidden Formulas'!M47,"")</f>
        <v>132.8431219911389</v>
      </c>
      <c r="D59" s="40">
        <f>IFERROR('Hidden Formulas'!K47,"")</f>
        <v>41.904036502971536</v>
      </c>
      <c r="E59" s="40" t="str">
        <f>IFERROR(AVERAGE('Hidden Formulas'!I47:K47),"")</f>
        <v/>
      </c>
      <c r="F59" s="40" t="str">
        <f>IFERROR(AVERAGE('Hidden Formulas'!G47:K47),"")</f>
        <v/>
      </c>
      <c r="G59" s="40" t="str">
        <f>IFERROR(AVERAGE('Hidden Formulas'!B47:K47),"")</f>
        <v/>
      </c>
      <c r="H59" s="207">
        <f t="shared" si="2"/>
        <v>0.1</v>
      </c>
      <c r="I59" s="9"/>
      <c r="J59" s="41" t="str">
        <f>IF(Control!$G$23=FALSE, E16, F16&amp;" ("&amp;E16&amp;")")</f>
        <v xml:space="preserve"> (NAS:MSTR)</v>
      </c>
      <c r="K59" s="41" t="str">
        <f>IFERROR('Hidden Formulas'!M175,"")</f>
        <v/>
      </c>
      <c r="L59" s="41" t="str">
        <f>IFERROR('Hidden Formulas'!K175,"")</f>
        <v/>
      </c>
      <c r="M59" s="41" t="str">
        <f>IFERROR(AVERAGE('Hidden Formulas'!I175:K175),"")</f>
        <v/>
      </c>
      <c r="N59" s="41" t="str">
        <f>IFERROR(AVERAGE('Hidden Formulas'!G175:K175),"")</f>
        <v/>
      </c>
      <c r="O59" s="41" t="str">
        <f>IFERROR(AVERAGE('Hidden Formulas'!B175:K175),"")</f>
        <v/>
      </c>
      <c r="P59" s="207">
        <f t="shared" si="3"/>
        <v>0.1</v>
      </c>
      <c r="Q59" s="98"/>
    </row>
    <row r="60" spans="2:17" ht="30.25" customHeight="1">
      <c r="B60" s="14" t="s">
        <v>56</v>
      </c>
      <c r="C60" s="485"/>
      <c r="D60" s="485"/>
      <c r="E60" s="485"/>
      <c r="F60" s="485"/>
      <c r="G60" s="485"/>
      <c r="H60" s="485"/>
      <c r="I60" s="9"/>
      <c r="J60" s="14" t="s">
        <v>65</v>
      </c>
      <c r="K60" s="485"/>
      <c r="L60" s="485"/>
      <c r="M60" s="485"/>
      <c r="N60" s="485"/>
      <c r="O60" s="485"/>
      <c r="P60" s="485"/>
      <c r="Q60" s="98"/>
    </row>
    <row r="61" spans="2:17">
      <c r="B61" s="486" t="s">
        <v>71</v>
      </c>
      <c r="C61" s="468" t="s">
        <v>863</v>
      </c>
      <c r="D61" s="468" t="s">
        <v>864</v>
      </c>
      <c r="E61" s="468" t="s">
        <v>862</v>
      </c>
      <c r="F61" s="468" t="s">
        <v>861</v>
      </c>
      <c r="G61" s="468" t="s">
        <v>860</v>
      </c>
      <c r="H61" s="19"/>
      <c r="I61" s="9"/>
      <c r="J61" s="486" t="s">
        <v>71</v>
      </c>
      <c r="K61" s="468" t="s">
        <v>863</v>
      </c>
      <c r="L61" s="468" t="s">
        <v>864</v>
      </c>
      <c r="M61" s="468" t="s">
        <v>862</v>
      </c>
      <c r="N61" s="468" t="s">
        <v>861</v>
      </c>
      <c r="O61" s="468" t="s">
        <v>860</v>
      </c>
      <c r="P61" s="19"/>
      <c r="Q61" s="98"/>
    </row>
    <row r="62" spans="2:17">
      <c r="B62" s="487" t="s">
        <v>54</v>
      </c>
      <c r="C62" s="487">
        <f>SUMPRODUCT(C64:C73, H64:H73)</f>
        <v>36.538981167534295</v>
      </c>
      <c r="D62" s="487">
        <f>SUMPRODUCT(D64:D73, H64:H73)</f>
        <v>9.2890546002221139</v>
      </c>
      <c r="E62" s="487">
        <f>SUMPRODUCT(E64:E73, H64:H73)</f>
        <v>10.079701060821074</v>
      </c>
      <c r="F62" s="487">
        <f>SUMPRODUCT(F64:F73, H64:H73)</f>
        <v>9.6838860770846793</v>
      </c>
      <c r="G62" s="487">
        <f>SUMPRODUCT(G64:G73, H64:H73)</f>
        <v>3.7116176650925938</v>
      </c>
      <c r="H62" s="9"/>
      <c r="I62" s="9"/>
      <c r="J62" s="487" t="s">
        <v>54</v>
      </c>
      <c r="K62" s="488">
        <f>SUMPRODUCT(K64:K73, $P64:$P73)</f>
        <v>-0.62322147949387652</v>
      </c>
      <c r="L62" s="488">
        <f>SUMPRODUCT(L64:L73, $P64:$P73)</f>
        <v>-0.96683540007196378</v>
      </c>
      <c r="M62" s="488">
        <f>SUMPRODUCT(M64:M73, $P64:$P73)</f>
        <v>-6.8125889012238714</v>
      </c>
      <c r="N62" s="488">
        <f>SUMPRODUCT(N64:N73, $P64:$P73)</f>
        <v>-40.702528310381567</v>
      </c>
      <c r="O62" s="488">
        <f>SUMPRODUCT(O64:O73, $P64:$P73)</f>
        <v>5.3710755898883446E-2</v>
      </c>
      <c r="P62" s="9"/>
      <c r="Q62" s="98"/>
    </row>
    <row r="63" spans="2:17" ht="30.25" customHeight="1">
      <c r="B63" s="489" t="e">
        <f>IF(Control!$G$23=FALSE, E5, F5&amp;" ("&amp;E5&amp;")")</f>
        <v>#NAME?</v>
      </c>
      <c r="C63" s="489" t="str">
        <f>IFERROR('Hidden Formulas'!M52,"")</f>
        <v/>
      </c>
      <c r="D63" s="489" t="str">
        <f>IFERROR('Hidden Formulas'!K52,"")</f>
        <v/>
      </c>
      <c r="E63" s="489" t="str">
        <f>IFERROR(AVERAGE('Hidden Formulas'!I52:K52),"")</f>
        <v/>
      </c>
      <c r="F63" s="489" t="str">
        <f>IFERROR(AVERAGE('Hidden Formulas'!G52:K52),"")</f>
        <v/>
      </c>
      <c r="G63" s="489" t="str">
        <f>IFERROR(AVERAGE('Hidden Formulas'!B52:K52),"")</f>
        <v/>
      </c>
      <c r="H63" s="9"/>
      <c r="I63" s="9"/>
      <c r="J63" s="489" t="e">
        <f>IF(Control!$G$23=FALSE, E5, F5&amp;" ("&amp;E5&amp;")")</f>
        <v>#NAME?</v>
      </c>
      <c r="K63" s="490">
        <f>+IFERROR('Hidden Formulas'!M180,"")</f>
        <v>-0.24964902776739989</v>
      </c>
      <c r="L63" s="490">
        <f>+IFERROR('Hidden Formulas'!K180,"")</f>
        <v>-0.93158648403610522</v>
      </c>
      <c r="M63" s="490">
        <f>IFERROR(AVERAGE('Hidden Formulas'!I180:K180),"")</f>
        <v>-7.3810726104074062E-2</v>
      </c>
      <c r="N63" s="490" t="str">
        <f>IFERROR(AVERAGE('Hidden Formulas'!G180:K180),"")</f>
        <v/>
      </c>
      <c r="O63" s="490" t="str">
        <f>IFERROR(AVERAGE('Hidden Formulas'!B180:K180),"")</f>
        <v/>
      </c>
      <c r="P63" s="9"/>
      <c r="Q63" s="98"/>
    </row>
    <row r="64" spans="2:17" ht="19.5" customHeight="1">
      <c r="B64" s="40" t="str">
        <f>IF(Control!$G$23=FALSE, E7, F7&amp;" ("&amp;E7&amp;")")</f>
        <v xml:space="preserve"> (NYS:SQ)</v>
      </c>
      <c r="C64" s="40" t="str">
        <f>IFERROR('Hidden Formulas'!M54,"")</f>
        <v/>
      </c>
      <c r="D64" s="40" t="str">
        <f>IFERROR('Hidden Formulas'!K54,"")</f>
        <v/>
      </c>
      <c r="E64" s="40" t="str">
        <f>IFERROR(AVERAGE('Hidden Formulas'!I54:K54),"")</f>
        <v/>
      </c>
      <c r="F64" s="40" t="str">
        <f>IFERROR(AVERAGE('Hidden Formulas'!G54:K54),"")</f>
        <v/>
      </c>
      <c r="G64" s="40" t="str">
        <f>IFERROR(AVERAGE('Hidden Formulas'!B54:K54),"")</f>
        <v/>
      </c>
      <c r="H64" s="207">
        <f t="shared" ref="H64:H73" si="4">I7</f>
        <v>0.1</v>
      </c>
      <c r="I64" s="9"/>
      <c r="J64" s="41" t="str">
        <f>IF(Control!$G$23=FALSE, E7, F7&amp;" ("&amp;E7&amp;")")</f>
        <v xml:space="preserve"> (NYS:SQ)</v>
      </c>
      <c r="K64" s="41">
        <f>+IFERROR('Hidden Formulas'!M182,"")</f>
        <v>-1.3198798873666331E-2</v>
      </c>
      <c r="L64" s="41">
        <f>+IFERROR('Hidden Formulas'!K182,"")</f>
        <v>-3.0179184576958149E-2</v>
      </c>
      <c r="M64" s="41">
        <f>IFERROR(AVERAGE('Hidden Formulas'!I182:K182),"")</f>
        <v>3.1155779366662585E-3</v>
      </c>
      <c r="N64" s="41">
        <f>IFERROR(AVERAGE('Hidden Formulas'!G182:K182),"")</f>
        <v>1.7730068795060887E-2</v>
      </c>
      <c r="O64" s="41">
        <f>IFERROR(AVERAGE('Hidden Formulas'!B182:K182),"")</f>
        <v>-5.3765282635527836E-2</v>
      </c>
      <c r="P64" s="207">
        <f t="shared" ref="P64:P73" si="5">I7</f>
        <v>0.1</v>
      </c>
      <c r="Q64" s="98"/>
    </row>
    <row r="65" spans="2:17" ht="19.5" customHeight="1">
      <c r="B65" s="40" t="str">
        <f>IF(Control!$G$23=FALSE, E8, F8&amp;" ("&amp;E8&amp;")")</f>
        <v xml:space="preserve"> (NAS:PYPL)</v>
      </c>
      <c r="C65" s="40">
        <f>IFERROR('Hidden Formulas'!M55,"")</f>
        <v>17.946268656716416</v>
      </c>
      <c r="D65" s="40">
        <f>IFERROR('Hidden Formulas'!K55,"")</f>
        <v>36.152284263959388</v>
      </c>
      <c r="E65" s="40">
        <f>IFERROR(AVERAGE('Hidden Formulas'!I55:K55),"")</f>
        <v>56.620457841252069</v>
      </c>
      <c r="F65" s="40">
        <f>IFERROR(AVERAGE('Hidden Formulas'!G55:K55),"")</f>
        <v>53.850469499725321</v>
      </c>
      <c r="G65" s="40" t="str">
        <f>IFERROR(AVERAGE('Hidden Formulas'!B55:K55),"")</f>
        <v/>
      </c>
      <c r="H65" s="207">
        <f t="shared" si="4"/>
        <v>0.1</v>
      </c>
      <c r="I65" s="9"/>
      <c r="J65" s="41" t="str">
        <f>IF(Control!$G$23=FALSE, E8, F8&amp;" ("&amp;E8&amp;")")</f>
        <v xml:space="preserve"> (NAS:PYPL)</v>
      </c>
      <c r="K65" s="41">
        <f>+IFERROR('Hidden Formulas'!M183,"")</f>
        <v>0.15946855259544082</v>
      </c>
      <c r="L65" s="41">
        <f>+IFERROR('Hidden Formulas'!K183,"")</f>
        <v>0.12704411657823969</v>
      </c>
      <c r="M65" s="41">
        <f>IFERROR(AVERAGE('Hidden Formulas'!I183:K183),"")</f>
        <v>0.17907688465536295</v>
      </c>
      <c r="N65" s="41">
        <f>IFERROR(AVERAGE('Hidden Formulas'!G183:K183),"")</f>
        <v>0.16983916951714698</v>
      </c>
      <c r="O65" s="41">
        <f>IFERROR(AVERAGE('Hidden Formulas'!B183:K183),"")</f>
        <v>0.16356984848223183</v>
      </c>
      <c r="P65" s="207">
        <f t="shared" si="5"/>
        <v>0.1</v>
      </c>
      <c r="Q65" s="98"/>
    </row>
    <row r="66" spans="2:17" ht="19.5" customHeight="1">
      <c r="B66" s="40" t="str">
        <f>IF(Control!$G$23=FALSE, E9, F9&amp;" ("&amp;E9&amp;")")</f>
        <v xml:space="preserve"> (STO:SFL)</v>
      </c>
      <c r="C66" s="40" t="str">
        <f>IFERROR('Hidden Formulas'!M56,"")</f>
        <v/>
      </c>
      <c r="D66" s="40" t="str">
        <f>IFERROR('Hidden Formulas'!K56,"")</f>
        <v/>
      </c>
      <c r="E66" s="40" t="str">
        <f>IFERROR(AVERAGE('Hidden Formulas'!I56:K56),"")</f>
        <v/>
      </c>
      <c r="F66" s="40" t="str">
        <f>IFERROR(AVERAGE('Hidden Formulas'!G56:K56),"")</f>
        <v/>
      </c>
      <c r="G66" s="40" t="str">
        <f>IFERROR(AVERAGE('Hidden Formulas'!B56:K56),"")</f>
        <v/>
      </c>
      <c r="H66" s="207">
        <f t="shared" si="4"/>
        <v>0.1</v>
      </c>
      <c r="I66" s="9"/>
      <c r="J66" s="41" t="str">
        <f>IF(Control!$G$23=FALSE, E9, F9&amp;" ("&amp;E9&amp;")")</f>
        <v xml:space="preserve"> (STO:SFL)</v>
      </c>
      <c r="K66" s="41">
        <f>+IFERROR('Hidden Formulas'!M184,"")</f>
        <v>-1.0561203687872372E-2</v>
      </c>
      <c r="L66" s="41">
        <f>+IFERROR('Hidden Formulas'!K184,"")</f>
        <v>-3.3876307690369159E-2</v>
      </c>
      <c r="M66" s="41">
        <f>IFERROR(AVERAGE('Hidden Formulas'!I184:K184),"")</f>
        <v>-1.6834763817093982E-2</v>
      </c>
      <c r="N66" s="41" t="str">
        <f>IFERROR(AVERAGE('Hidden Formulas'!G184:K184),"")</f>
        <v/>
      </c>
      <c r="O66" s="41" t="str">
        <f>IFERROR(AVERAGE('Hidden Formulas'!B184:K184),"")</f>
        <v/>
      </c>
      <c r="P66" s="207">
        <f t="shared" si="5"/>
        <v>0.1</v>
      </c>
      <c r="Q66" s="98"/>
    </row>
    <row r="67" spans="2:17" ht="19.5" customHeight="1">
      <c r="B67" s="40" t="str">
        <f>IF(Control!$G$23=FALSE, E10, F10&amp;" ("&amp;E10&amp;")")</f>
        <v xml:space="preserve"> (PINX:VYGVQ)</v>
      </c>
      <c r="C67" s="40" t="str">
        <f>IFERROR('Hidden Formulas'!M57,"")</f>
        <v/>
      </c>
      <c r="D67" s="40" t="str">
        <f>IFERROR('Hidden Formulas'!K57,"")</f>
        <v/>
      </c>
      <c r="E67" s="40" t="str">
        <f>IFERROR(AVERAGE('Hidden Formulas'!I57:K57),"")</f>
        <v/>
      </c>
      <c r="F67" s="40" t="str">
        <f>IFERROR(AVERAGE('Hidden Formulas'!G57:K57),"")</f>
        <v/>
      </c>
      <c r="G67" s="40" t="str">
        <f>IFERROR(AVERAGE('Hidden Formulas'!B57:K57),"")</f>
        <v/>
      </c>
      <c r="H67" s="207">
        <f t="shared" si="4"/>
        <v>0.1</v>
      </c>
      <c r="I67" s="9"/>
      <c r="J67" s="41" t="str">
        <f>IF(Control!$G$23=FALSE, E10, F10&amp;" ("&amp;E10&amp;")")</f>
        <v xml:space="preserve"> (PINX:VYGVQ)</v>
      </c>
      <c r="K67" s="41">
        <f>+IFERROR('Hidden Formulas'!M185,"")</f>
        <v>-9.7388168837008293E-2</v>
      </c>
      <c r="L67" s="41" t="str">
        <f>+IFERROR('Hidden Formulas'!K185,"")</f>
        <v/>
      </c>
      <c r="M67" s="41" t="str">
        <f>IFERROR(AVERAGE('Hidden Formulas'!I185:K185),"")</f>
        <v/>
      </c>
      <c r="N67" s="41" t="str">
        <f>IFERROR(AVERAGE('Hidden Formulas'!G185:K185),"")</f>
        <v/>
      </c>
      <c r="O67" s="41" t="str">
        <f>IFERROR(AVERAGE('Hidden Formulas'!B185:K185),"")</f>
        <v/>
      </c>
      <c r="P67" s="207">
        <f t="shared" si="5"/>
        <v>0.1</v>
      </c>
      <c r="Q67" s="98"/>
    </row>
    <row r="68" spans="2:17" ht="19.5" customHeight="1">
      <c r="B68" s="40" t="str">
        <f>IF(Control!$G$23=FALSE, E11, F11&amp;" ("&amp;E11&amp;")")</f>
        <v xml:space="preserve"> (PINX:CRCW)</v>
      </c>
      <c r="C68" s="40" t="str">
        <f>IFERROR('Hidden Formulas'!M58,"")</f>
        <v/>
      </c>
      <c r="D68" s="40" t="str">
        <f>IFERROR('Hidden Formulas'!K58,"")</f>
        <v/>
      </c>
      <c r="E68" s="40" t="str">
        <f>IFERROR(AVERAGE('Hidden Formulas'!I58:K58),"")</f>
        <v/>
      </c>
      <c r="F68" s="40" t="str">
        <f>IFERROR(AVERAGE('Hidden Formulas'!G58:K58),"")</f>
        <v/>
      </c>
      <c r="G68" s="40" t="str">
        <f>IFERROR(AVERAGE('Hidden Formulas'!B58:K58),"")</f>
        <v/>
      </c>
      <c r="H68" s="207">
        <f t="shared" si="4"/>
        <v>0.1</v>
      </c>
      <c r="I68" s="9"/>
      <c r="J68" s="41" t="str">
        <f>IF(Control!$G$23=FALSE, E11, F11&amp;" ("&amp;E11&amp;")")</f>
        <v xml:space="preserve"> (PINX:CRCW)</v>
      </c>
      <c r="K68" s="41">
        <f>+IFERROR('Hidden Formulas'!M186,"")</f>
        <v>-4.677593512232904</v>
      </c>
      <c r="L68" s="41">
        <f>+IFERROR('Hidden Formulas'!K186,"")</f>
        <v>-6.3044736561760537</v>
      </c>
      <c r="M68" s="41">
        <f>IFERROR(AVERAGE('Hidden Formulas'!I186:K186),"")</f>
        <v>-66.341595645983929</v>
      </c>
      <c r="N68" s="41">
        <f>IFERROR(AVERAGE('Hidden Formulas'!G186:K186),"")</f>
        <v>-406.98902069714416</v>
      </c>
      <c r="O68" s="41" t="str">
        <f>IFERROR(AVERAGE('Hidden Formulas'!B186:K186),"")</f>
        <v/>
      </c>
      <c r="P68" s="207">
        <f t="shared" si="5"/>
        <v>0.1</v>
      </c>
      <c r="Q68" s="98"/>
    </row>
    <row r="69" spans="2:17" ht="19.5" customHeight="1">
      <c r="B69" s="40" t="str">
        <f>IF(Control!$G$23=FALSE, E12, F12&amp;" ("&amp;E12&amp;")")</f>
        <v xml:space="preserve"> (STU:WD0)</v>
      </c>
      <c r="C69" s="40" t="str">
        <f>IFERROR('Hidden Formulas'!M59,"")</f>
        <v/>
      </c>
      <c r="D69" s="40" t="str">
        <f>IFERROR('Hidden Formulas'!K59,"")</f>
        <v/>
      </c>
      <c r="E69" s="40" t="str">
        <f>IFERROR(AVERAGE('Hidden Formulas'!I59:K59),"")</f>
        <v/>
      </c>
      <c r="F69" s="40" t="str">
        <f>IFERROR(AVERAGE('Hidden Formulas'!G59:K59),"")</f>
        <v/>
      </c>
      <c r="G69" s="40" t="str">
        <f>IFERROR(AVERAGE('Hidden Formulas'!B59:K59),"")</f>
        <v/>
      </c>
      <c r="H69" s="207">
        <f t="shared" si="4"/>
        <v>0.1</v>
      </c>
      <c r="I69" s="9"/>
      <c r="J69" s="41" t="str">
        <f>IF(Control!$G$23=FALSE, E12, F12&amp;" ("&amp;E12&amp;")")</f>
        <v xml:space="preserve"> (STU:WD0)</v>
      </c>
      <c r="K69" s="41" t="str">
        <f>+IFERROR('Hidden Formulas'!M187,"")</f>
        <v/>
      </c>
      <c r="L69" s="41" t="str">
        <f>+IFERROR('Hidden Formulas'!K187,"")</f>
        <v/>
      </c>
      <c r="M69" s="41" t="str">
        <f>IFERROR(AVERAGE('Hidden Formulas'!I187:K187),"")</f>
        <v/>
      </c>
      <c r="N69" s="41" t="str">
        <f>IFERROR(AVERAGE('Hidden Formulas'!G187:K187),"")</f>
        <v/>
      </c>
      <c r="O69" s="41" t="str">
        <f>IFERROR(AVERAGE('Hidden Formulas'!B187:K187),"")</f>
        <v/>
      </c>
      <c r="P69" s="207">
        <f t="shared" si="5"/>
        <v>0.1</v>
      </c>
      <c r="Q69" s="98"/>
    </row>
    <row r="70" spans="2:17" ht="19.5" customHeight="1">
      <c r="B70" s="40" t="str">
        <f>IF(Control!$G$23=FALSE, E13, F13&amp;" ("&amp;E13&amp;")")</f>
        <v xml:space="preserve"> (NAS:HOOD)</v>
      </c>
      <c r="C70" s="40" t="str">
        <f>IFERROR('Hidden Formulas'!M60,"")</f>
        <v/>
      </c>
      <c r="D70" s="40">
        <f>IFERROR('Hidden Formulas'!K60,"")</f>
        <v>22.000000000000004</v>
      </c>
      <c r="E70" s="40" t="str">
        <f>IFERROR(AVERAGE('Hidden Formulas'!I60:K60),"")</f>
        <v/>
      </c>
      <c r="F70" s="40" t="str">
        <f>IFERROR(AVERAGE('Hidden Formulas'!G60:K60),"")</f>
        <v/>
      </c>
      <c r="G70" s="40" t="str">
        <f>IFERROR(AVERAGE('Hidden Formulas'!B60:K60),"")</f>
        <v/>
      </c>
      <c r="H70" s="207">
        <f t="shared" si="4"/>
        <v>0.1</v>
      </c>
      <c r="I70" s="9"/>
      <c r="J70" s="41" t="str">
        <f>IF(Control!$G$23=FALSE, E13, F13&amp;" ("&amp;E13&amp;")")</f>
        <v xml:space="preserve"> (NAS:HOOD)</v>
      </c>
      <c r="K70" s="41">
        <f>+IFERROR('Hidden Formulas'!M188,"")</f>
        <v>-0.41149943630214197</v>
      </c>
      <c r="L70" s="41">
        <f>+IFERROR('Hidden Formulas'!K188,"")</f>
        <v>-0.75625920471281294</v>
      </c>
      <c r="M70" s="41">
        <f>IFERROR(AVERAGE('Hidden Formulas'!I188:K188),"")</f>
        <v>-0.92433076588210783</v>
      </c>
      <c r="N70" s="41" t="str">
        <f>IFERROR(AVERAGE('Hidden Formulas'!G188:K188),"")</f>
        <v/>
      </c>
      <c r="O70" s="41" t="str">
        <f>IFERROR(AVERAGE('Hidden Formulas'!B188:K188),"")</f>
        <v/>
      </c>
      <c r="P70" s="207">
        <f t="shared" si="5"/>
        <v>0.1</v>
      </c>
      <c r="Q70" s="98"/>
    </row>
    <row r="71" spans="2:17" ht="19.5" customHeight="1">
      <c r="B71" s="40" t="str">
        <f>IF(Control!$G$23=FALSE, E14, F14&amp;" ("&amp;E14&amp;")")</f>
        <v xml:space="preserve"> (BOM:532960)</v>
      </c>
      <c r="C71" s="40" t="str">
        <f>IFERROR('Hidden Formulas'!M61,"")</f>
        <v/>
      </c>
      <c r="D71" s="40" t="str">
        <f>IFERROR('Hidden Formulas'!K61,"")</f>
        <v/>
      </c>
      <c r="E71" s="40" t="str">
        <f>IFERROR(AVERAGE('Hidden Formulas'!I61:K61),"")</f>
        <v/>
      </c>
      <c r="F71" s="40" t="str">
        <f>IFERROR(AVERAGE('Hidden Formulas'!G61:K61),"")</f>
        <v/>
      </c>
      <c r="G71" s="40" t="str">
        <f>IFERROR(AVERAGE('Hidden Formulas'!B61:K61),"")</f>
        <v/>
      </c>
      <c r="H71" s="207">
        <f t="shared" si="4"/>
        <v>0.1</v>
      </c>
      <c r="I71" s="9"/>
      <c r="J71" s="41" t="str">
        <f>IF(Control!$G$23=FALSE, E14, F14&amp;" ("&amp;E14&amp;")")</f>
        <v xml:space="preserve"> (BOM:532960)</v>
      </c>
      <c r="K71" s="41">
        <f>+IFERROR('Hidden Formulas'!M189,"")</f>
        <v>-1.3054856490668327</v>
      </c>
      <c r="L71" s="41">
        <f>+IFERROR('Hidden Formulas'!K189,"")</f>
        <v>-0.67697941863798961</v>
      </c>
      <c r="M71" s="41">
        <f>IFERROR(AVERAGE('Hidden Formulas'!I189:K189),"")</f>
        <v>-0.20281789845671375</v>
      </c>
      <c r="N71" s="41">
        <f>IFERROR(AVERAGE('Hidden Formulas'!G189:K189),"")</f>
        <v>3.8161241048371042E-2</v>
      </c>
      <c r="O71" s="41">
        <f>IFERROR(AVERAGE('Hidden Formulas'!B189:K189),"")</f>
        <v>0.22530374153228666</v>
      </c>
      <c r="P71" s="207">
        <f t="shared" si="5"/>
        <v>0.1</v>
      </c>
      <c r="Q71" s="98"/>
    </row>
    <row r="72" spans="2:17" ht="19.5" customHeight="1">
      <c r="B72" s="40" t="str">
        <f>IF(Control!$G$23=FALSE, E15, F15&amp;" ("&amp;E15&amp;")")</f>
        <v xml:space="preserve"> (NYS:MA)</v>
      </c>
      <c r="C72" s="40">
        <f>IFERROR('Hidden Formulas'!M62,"")</f>
        <v>36.566695727986051</v>
      </c>
      <c r="D72" s="40">
        <f>IFERROR('Hidden Formulas'!K62,"")</f>
        <v>34.738261738261741</v>
      </c>
      <c r="E72" s="40">
        <f>IFERROR(AVERAGE('Hidden Formulas'!I62:K62),"")</f>
        <v>44.176552766958672</v>
      </c>
      <c r="F72" s="40">
        <f>IFERROR(AVERAGE('Hidden Formulas'!G62:K62),"")</f>
        <v>42.988391271121465</v>
      </c>
      <c r="G72" s="40">
        <f>IFERROR(AVERAGE('Hidden Formulas'!B62:K62),"")</f>
        <v>37.116176650925937</v>
      </c>
      <c r="H72" s="207">
        <f t="shared" si="4"/>
        <v>0.1</v>
      </c>
      <c r="I72" s="9"/>
      <c r="J72" s="41" t="str">
        <f>IF(Control!$G$23=FALSE, E15, F15&amp;" ("&amp;E15&amp;")")</f>
        <v xml:space="preserve"> (NYS:MA)</v>
      </c>
      <c r="K72" s="41">
        <f>+IFERROR('Hidden Formulas'!M190,"")</f>
        <v>0.57294701850863872</v>
      </c>
      <c r="L72" s="41">
        <f>+IFERROR('Hidden Formulas'!K190,"")</f>
        <v>0.54877006790484328</v>
      </c>
      <c r="M72" s="41">
        <f>IFERROR(AVERAGE('Hidden Formulas'!I190:K190),"")</f>
        <v>0.54979698955338685</v>
      </c>
      <c r="N72" s="41">
        <f>IFERROR(AVERAGE('Hidden Formulas'!G190:K190),"")</f>
        <v>0.54667034795813707</v>
      </c>
      <c r="O72" s="41">
        <f>IFERROR(AVERAGE('Hidden Formulas'!B190:K190),"")</f>
        <v>0.54056340633750055</v>
      </c>
      <c r="P72" s="207">
        <f t="shared" si="5"/>
        <v>0.1</v>
      </c>
      <c r="Q72" s="98"/>
    </row>
    <row r="73" spans="2:17" ht="19.5" customHeight="1">
      <c r="B73" s="40" t="str">
        <f>IF(Control!$G$23=FALSE, E16, F16&amp;" ("&amp;E16&amp;")")</f>
        <v xml:space="preserve"> (NAS:MSTR)</v>
      </c>
      <c r="C73" s="40">
        <f>IFERROR('Hidden Formulas'!M63,"")</f>
        <v>310.87684729064046</v>
      </c>
      <c r="D73" s="40" t="str">
        <f>IFERROR('Hidden Formulas'!K63,"")</f>
        <v/>
      </c>
      <c r="E73" s="40" t="str">
        <f>IFERROR(AVERAGE('Hidden Formulas'!I63:K63),"")</f>
        <v/>
      </c>
      <c r="F73" s="40" t="str">
        <f>IFERROR(AVERAGE('Hidden Formulas'!G63:K63),"")</f>
        <v/>
      </c>
      <c r="G73" s="40" t="str">
        <f>IFERROR(AVERAGE('Hidden Formulas'!B63:K63),"")</f>
        <v/>
      </c>
      <c r="H73" s="207">
        <f t="shared" si="4"/>
        <v>0.1</v>
      </c>
      <c r="I73" s="9"/>
      <c r="J73" s="41" t="str">
        <f>IF(Control!$G$23=FALSE, E16, F16&amp;" ("&amp;E16&amp;")")</f>
        <v xml:space="preserve"> (NAS:MSTR)</v>
      </c>
      <c r="K73" s="41">
        <f>+IFERROR('Hidden Formulas'!M191,"")</f>
        <v>-0.44890359704241856</v>
      </c>
      <c r="L73" s="41">
        <f>+IFERROR('Hidden Formulas'!K191,"")</f>
        <v>-2.5424004134085374</v>
      </c>
      <c r="M73" s="41">
        <f>IFERROR(AVERAGE('Hidden Formulas'!I191:K191),"")</f>
        <v>-1.3722993902442797</v>
      </c>
      <c r="N73" s="41">
        <f>IFERROR(AVERAGE('Hidden Formulas'!G191:K191),"")</f>
        <v>-0.80866323399017437</v>
      </c>
      <c r="O73" s="41">
        <f>IFERROR(AVERAGE('Hidden Formulas'!B191:K191),"")</f>
        <v>-0.33856415472765677</v>
      </c>
      <c r="P73" s="207">
        <f t="shared" si="5"/>
        <v>0.1</v>
      </c>
      <c r="Q73" s="98"/>
    </row>
    <row r="74" spans="2:17" ht="30.25" customHeight="1">
      <c r="B74" s="14" t="s">
        <v>57</v>
      </c>
      <c r="C74" s="485"/>
      <c r="D74" s="485"/>
      <c r="E74" s="485"/>
      <c r="F74" s="485"/>
      <c r="G74" s="485"/>
      <c r="H74" s="485"/>
      <c r="I74" s="9"/>
      <c r="J74" s="14" t="s">
        <v>66</v>
      </c>
      <c r="K74" s="485"/>
      <c r="L74" s="485"/>
      <c r="M74" s="485"/>
      <c r="N74" s="485"/>
      <c r="O74" s="485"/>
      <c r="P74" s="485"/>
      <c r="Q74" s="98"/>
    </row>
    <row r="75" spans="2:17">
      <c r="B75" s="486" t="s">
        <v>71</v>
      </c>
      <c r="C75" s="468" t="s">
        <v>863</v>
      </c>
      <c r="D75" s="468" t="s">
        <v>864</v>
      </c>
      <c r="E75" s="468" t="s">
        <v>862</v>
      </c>
      <c r="F75" s="468" t="s">
        <v>861</v>
      </c>
      <c r="G75" s="468" t="s">
        <v>860</v>
      </c>
      <c r="H75" s="19"/>
      <c r="I75" s="9"/>
      <c r="J75" s="486" t="s">
        <v>71</v>
      </c>
      <c r="K75" s="468" t="s">
        <v>863</v>
      </c>
      <c r="L75" s="468" t="s">
        <v>864</v>
      </c>
      <c r="M75" s="468" t="s">
        <v>862</v>
      </c>
      <c r="N75" s="468" t="s">
        <v>861</v>
      </c>
      <c r="O75" s="468" t="s">
        <v>860</v>
      </c>
      <c r="P75" s="19"/>
      <c r="Q75" s="98"/>
    </row>
    <row r="76" spans="2:17">
      <c r="B76" s="487" t="s">
        <v>54</v>
      </c>
      <c r="C76" s="487">
        <f>SUMPRODUCT(C78:C87, H78:H87)</f>
        <v>34.010327261755279</v>
      </c>
      <c r="D76" s="487">
        <f>SUMPRODUCT(D78:D87, H78:H87)</f>
        <v>12.229831731081404</v>
      </c>
      <c r="E76" s="487">
        <f>SUMPRODUCT(E78:E87, H78:H87)</f>
        <v>24.967314370909186</v>
      </c>
      <c r="F76" s="487">
        <f>SUMPRODUCT(F78:F87, H78:H87)</f>
        <v>22.389139031126845</v>
      </c>
      <c r="G76" s="487">
        <f>SUMPRODUCT(G78:G87, H78:H87)</f>
        <v>3.5920096513170368</v>
      </c>
      <c r="H76" s="9"/>
      <c r="I76" s="9"/>
      <c r="J76" s="487" t="s">
        <v>54</v>
      </c>
      <c r="K76" s="488">
        <f>SUMPRODUCT(K78:K87, $P78:$P87)</f>
        <v>4.6764906035631493E-2</v>
      </c>
      <c r="L76" s="488">
        <f>SUMPRODUCT(L78:L87, $P78:$P87)</f>
        <v>4.774702356506981E-2</v>
      </c>
      <c r="M76" s="488">
        <f>SUMPRODUCT(M78:M87, $P78:$P87)</f>
        <v>3.2084475370785445E-2</v>
      </c>
      <c r="N76" s="488">
        <f>SUMPRODUCT(N78:N87, $P78:$P87)</f>
        <v>1.6435237009376283E-2</v>
      </c>
      <c r="O76" s="488">
        <f>SUMPRODUCT(O78:O87, $P78:$P87)</f>
        <v>1.884683371046271E-2</v>
      </c>
      <c r="P76" s="9"/>
      <c r="Q76" s="98"/>
    </row>
    <row r="77" spans="2:17" ht="30.25" customHeight="1">
      <c r="B77" s="489" t="e">
        <f>IF(Control!$G$23=FALSE, E5, F5&amp;" ("&amp;E5&amp;")")</f>
        <v>#NAME?</v>
      </c>
      <c r="C77" s="489">
        <f>IFERROR('Hidden Formulas'!M68,"")</f>
        <v>102.5258518661668</v>
      </c>
      <c r="D77" s="489">
        <f>IFERROR('Hidden Formulas'!K68,"")</f>
        <v>19.957862679270548</v>
      </c>
      <c r="E77" s="489" t="str">
        <f>IFERROR(AVERAGE('Hidden Formulas'!I68:K68),"")</f>
        <v/>
      </c>
      <c r="F77" s="489" t="str">
        <f>IFERROR(AVERAGE('Hidden Formulas'!G68:K68),"")</f>
        <v/>
      </c>
      <c r="G77" s="489" t="str">
        <f>IFERROR(AVERAGE('Hidden Formulas'!B68:K68),"")</f>
        <v/>
      </c>
      <c r="H77" s="9"/>
      <c r="I77" s="9"/>
      <c r="J77" s="489" t="e">
        <f>IF(Control!$G$23=FALSE, E5, F5&amp;" ("&amp;E5&amp;")")</f>
        <v>#NAME?</v>
      </c>
      <c r="K77" s="490">
        <f>+IFERROR('Hidden Formulas'!M196,"")</f>
        <v>5.7294902483889437E-2</v>
      </c>
      <c r="L77" s="490">
        <f>+IFERROR('Hidden Formulas'!K196,"")</f>
        <v>4.8929200349972925E-2</v>
      </c>
      <c r="M77" s="490">
        <f>IFERROR(AVERAGE('Hidden Formulas'!I196:K196),"")</f>
        <v>2.8238492828947831E-2</v>
      </c>
      <c r="N77" s="490" t="str">
        <f>IFERROR(AVERAGE('Hidden Formulas'!G196:K196),"")</f>
        <v/>
      </c>
      <c r="O77" s="490" t="str">
        <f>IFERROR(AVERAGE('Hidden Formulas'!B196:K196),"")</f>
        <v/>
      </c>
      <c r="P77" s="9"/>
      <c r="Q77" s="98"/>
    </row>
    <row r="78" spans="2:17" ht="19.5" customHeight="1">
      <c r="B78" s="40" t="str">
        <f>IF(Control!$G$23=FALSE, E7, F7&amp;" ("&amp;E7&amp;")")</f>
        <v xml:space="preserve"> (NYS:SQ)</v>
      </c>
      <c r="C78" s="40">
        <f>IFERROR('Hidden Formulas'!M70,"")</f>
        <v>42.649681528662413</v>
      </c>
      <c r="D78" s="40">
        <f>IFERROR('Hidden Formulas'!K70,"")</f>
        <v>59.847619047619048</v>
      </c>
      <c r="E78" s="40">
        <f>IFERROR(AVERAGE('Hidden Formulas'!I70:K70),"")</f>
        <v>148.57425753675753</v>
      </c>
      <c r="F78" s="40">
        <f>IFERROR(AVERAGE('Hidden Formulas'!G70:K70),"")</f>
        <v>134.12806534307819</v>
      </c>
      <c r="G78" s="40" t="str">
        <f>IFERROR(AVERAGE('Hidden Formulas'!B70:K70),"")</f>
        <v/>
      </c>
      <c r="H78" s="207">
        <f t="shared" ref="H78:H87" si="6">I7</f>
        <v>0.1</v>
      </c>
      <c r="I78" s="9"/>
      <c r="J78" s="314" t="str">
        <f>IF(Control!$G$23=FALSE, E7, F7&amp;" ("&amp;E7&amp;")")</f>
        <v xml:space="preserve"> (NYS:SQ)</v>
      </c>
      <c r="K78" s="41">
        <f>+IFERROR('Hidden Formulas'!M198,"")</f>
        <v>1.895512165999318E-2</v>
      </c>
      <c r="L78" s="41">
        <f>+IFERROR('Hidden Formulas'!K198,"")</f>
        <v>1.9423398463584613E-2</v>
      </c>
      <c r="M78" s="41">
        <f>IFERROR(AVERAGE('Hidden Formulas'!I198:K198),"")</f>
        <v>1.1973398163732829E-2</v>
      </c>
      <c r="N78" s="41">
        <f>IFERROR(AVERAGE('Hidden Formulas'!G198:K198),"")</f>
        <v>1.4088409576119783E-2</v>
      </c>
      <c r="O78" s="41">
        <f>IFERROR(AVERAGE('Hidden Formulas'!B198:K198),"")</f>
        <v>1.680045328518575E-2</v>
      </c>
      <c r="P78" s="207">
        <f t="shared" ref="P78:P87" si="7">I7</f>
        <v>0.1</v>
      </c>
      <c r="Q78" s="98"/>
    </row>
    <row r="79" spans="2:17" ht="19.5" customHeight="1">
      <c r="B79" s="40" t="str">
        <f>IF(Control!$G$23=FALSE, E8, F8&amp;" ("&amp;E8&amp;")")</f>
        <v xml:space="preserve"> (NAS:PYPL)</v>
      </c>
      <c r="C79" s="40">
        <f>IFERROR('Hidden Formulas'!M71,"")</f>
        <v>13.469038760890898</v>
      </c>
      <c r="D79" s="40">
        <f>IFERROR('Hidden Formulas'!K71,"")</f>
        <v>21.93263185566823</v>
      </c>
      <c r="E79" s="40">
        <f>IFERROR(AVERAGE('Hidden Formulas'!I71:K71),"")</f>
        <v>56.692055009832927</v>
      </c>
      <c r="F79" s="40">
        <f>IFERROR(AVERAGE('Hidden Formulas'!G71:K71),"")</f>
        <v>48.799775469774104</v>
      </c>
      <c r="G79" s="40" t="str">
        <f>IFERROR(AVERAGE('Hidden Formulas'!B71:K71),"")</f>
        <v/>
      </c>
      <c r="H79" s="207">
        <f t="shared" si="6"/>
        <v>0.1</v>
      </c>
      <c r="I79" s="9"/>
      <c r="J79" s="314" t="str">
        <f>IF(Control!$G$23=FALSE, E8, F8&amp;" ("&amp;E8&amp;")")</f>
        <v xml:space="preserve"> (NAS:PYPL)</v>
      </c>
      <c r="K79" s="41">
        <f>+IFERROR('Hidden Formulas'!M199,"")</f>
        <v>3.8965943422136773E-2</v>
      </c>
      <c r="L79" s="41">
        <f>+IFERROR('Hidden Formulas'!K199,"")</f>
        <v>4.7859582818518785E-2</v>
      </c>
      <c r="M79" s="41">
        <f>IFERROR(AVERAGE('Hidden Formulas'!I199:K199),"")</f>
        <v>5.1046853271714619E-2</v>
      </c>
      <c r="N79" s="41">
        <f>IFERROR(AVERAGE('Hidden Formulas'!G199:K199),"")</f>
        <v>5.093610485082798E-2</v>
      </c>
      <c r="O79" s="41">
        <f>IFERROR(AVERAGE('Hidden Formulas'!B199:K199),"")</f>
        <v>5.8031998931434139E-2</v>
      </c>
      <c r="P79" s="207">
        <f t="shared" si="7"/>
        <v>0.1</v>
      </c>
      <c r="Q79" s="98"/>
    </row>
    <row r="80" spans="2:17" ht="19.5" customHeight="1">
      <c r="B80" s="40" t="str">
        <f>IF(Control!$G$23=FALSE, E9, F9&amp;" ("&amp;E9&amp;")")</f>
        <v xml:space="preserve"> (STO:SFL)</v>
      </c>
      <c r="C80" s="40" t="str">
        <f>IFERROR('Hidden Formulas'!M72,"")</f>
        <v/>
      </c>
      <c r="D80" s="40" t="str">
        <f>IFERROR('Hidden Formulas'!K72,"")</f>
        <v/>
      </c>
      <c r="E80" s="40" t="str">
        <f>IFERROR(AVERAGE('Hidden Formulas'!I72:K72),"")</f>
        <v/>
      </c>
      <c r="F80" s="40" t="str">
        <f>IFERROR(AVERAGE('Hidden Formulas'!G72:K72),"")</f>
        <v/>
      </c>
      <c r="G80" s="40" t="str">
        <f>IFERROR(AVERAGE('Hidden Formulas'!B72:K72),"")</f>
        <v/>
      </c>
      <c r="H80" s="207">
        <f t="shared" si="6"/>
        <v>0.1</v>
      </c>
      <c r="I80" s="9"/>
      <c r="J80" s="314" t="str">
        <f>IF(Control!$G$23=FALSE, E9, F9&amp;" ("&amp;E9&amp;")")</f>
        <v xml:space="preserve"> (STO:SFL)</v>
      </c>
      <c r="K80" s="41">
        <f>+IFERROR('Hidden Formulas'!M200,"")</f>
        <v>2.8799121458707249E-3</v>
      </c>
      <c r="L80" s="41">
        <f>+IFERROR('Hidden Formulas'!K200,"")</f>
        <v>1.4400738386323471E-2</v>
      </c>
      <c r="M80" s="41">
        <f>IFERROR(AVERAGE('Hidden Formulas'!I200:K200),"")</f>
        <v>8.4814841967424236E-3</v>
      </c>
      <c r="N80" s="41" t="str">
        <f>IFERROR(AVERAGE('Hidden Formulas'!G200:K200),"")</f>
        <v/>
      </c>
      <c r="O80" s="41" t="str">
        <f>IFERROR(AVERAGE('Hidden Formulas'!B200:K200),"")</f>
        <v/>
      </c>
      <c r="P80" s="207">
        <f t="shared" si="7"/>
        <v>0.1</v>
      </c>
      <c r="Q80" s="98"/>
    </row>
    <row r="81" spans="2:17" ht="19.5" customHeight="1">
      <c r="B81" s="40" t="str">
        <f>IF(Control!$G$23=FALSE, E10, F10&amp;" ("&amp;E10&amp;")")</f>
        <v xml:space="preserve"> (PINX:VYGVQ)</v>
      </c>
      <c r="C81" s="40" t="str">
        <f>IFERROR('Hidden Formulas'!M73,"")</f>
        <v/>
      </c>
      <c r="D81" s="40" t="str">
        <f>IFERROR('Hidden Formulas'!K73,"")</f>
        <v/>
      </c>
      <c r="E81" s="40" t="str">
        <f>IFERROR(AVERAGE('Hidden Formulas'!I73:K73),"")</f>
        <v/>
      </c>
      <c r="F81" s="40" t="str">
        <f>IFERROR(AVERAGE('Hidden Formulas'!G73:K73),"")</f>
        <v/>
      </c>
      <c r="G81" s="40" t="str">
        <f>IFERROR(AVERAGE('Hidden Formulas'!B73:K73),"")</f>
        <v/>
      </c>
      <c r="H81" s="207">
        <f t="shared" si="6"/>
        <v>0.1</v>
      </c>
      <c r="I81" s="9"/>
      <c r="J81" s="314" t="str">
        <f>IF(Control!$G$23=FALSE, E10, F10&amp;" ("&amp;E10&amp;")")</f>
        <v xml:space="preserve"> (PINX:VYGVQ)</v>
      </c>
      <c r="K81" s="41">
        <f>+IFERROR('Hidden Formulas'!M201,"")</f>
        <v>1.0027505300735125E-2</v>
      </c>
      <c r="L81" s="41" t="str">
        <f>+IFERROR('Hidden Formulas'!K201,"")</f>
        <v/>
      </c>
      <c r="M81" s="41" t="str">
        <f>IFERROR(AVERAGE('Hidden Formulas'!I201:K201),"")</f>
        <v/>
      </c>
      <c r="N81" s="41" t="str">
        <f>IFERROR(AVERAGE('Hidden Formulas'!G201:K201),"")</f>
        <v/>
      </c>
      <c r="O81" s="41" t="str">
        <f>IFERROR(AVERAGE('Hidden Formulas'!B201:K201),"")</f>
        <v/>
      </c>
      <c r="P81" s="207">
        <f t="shared" si="7"/>
        <v>0.1</v>
      </c>
      <c r="Q81" s="98"/>
    </row>
    <row r="82" spans="2:17" ht="19.5" customHeight="1">
      <c r="B82" s="40" t="str">
        <f>IF(Control!$G$23=FALSE, E11, F11&amp;" ("&amp;E11&amp;")")</f>
        <v xml:space="preserve"> (PINX:CRCW)</v>
      </c>
      <c r="C82" s="40" t="str">
        <f>IFERROR('Hidden Formulas'!M74,"")</f>
        <v/>
      </c>
      <c r="D82" s="40" t="str">
        <f>IFERROR('Hidden Formulas'!K74,"")</f>
        <v/>
      </c>
      <c r="E82" s="40" t="str">
        <f>IFERROR(AVERAGE('Hidden Formulas'!I74:K74),"")</f>
        <v/>
      </c>
      <c r="F82" s="40" t="str">
        <f>IFERROR(AVERAGE('Hidden Formulas'!G74:K74),"")</f>
        <v/>
      </c>
      <c r="G82" s="40" t="str">
        <f>IFERROR(AVERAGE('Hidden Formulas'!B74:K74),"")</f>
        <v/>
      </c>
      <c r="H82" s="207">
        <f t="shared" si="6"/>
        <v>0.1</v>
      </c>
      <c r="I82" s="9"/>
      <c r="J82" s="314" t="str">
        <f>IF(Control!$G$23=FALSE, E11, F11&amp;" ("&amp;E11&amp;")")</f>
        <v xml:space="preserve"> (PINX:CRCW)</v>
      </c>
      <c r="K82" s="41">
        <f>+IFERROR('Hidden Formulas'!M202,"")</f>
        <v>0.11231615439096418</v>
      </c>
      <c r="L82" s="41">
        <f>+IFERROR('Hidden Formulas'!K202,"")</f>
        <v>0.21072799408591564</v>
      </c>
      <c r="M82" s="41">
        <f>IFERROR(AVERAGE('Hidden Formulas'!I202:K202),"")</f>
        <v>9.5171787101829622E-2</v>
      </c>
      <c r="N82" s="41" t="str">
        <f>IFERROR(AVERAGE('Hidden Formulas'!G202:K202),"")</f>
        <v/>
      </c>
      <c r="O82" s="41" t="str">
        <f>IFERROR(AVERAGE('Hidden Formulas'!B202:K202),"")</f>
        <v/>
      </c>
      <c r="P82" s="207">
        <f t="shared" si="7"/>
        <v>0.1</v>
      </c>
      <c r="Q82" s="98"/>
    </row>
    <row r="83" spans="2:17" ht="19.5" customHeight="1">
      <c r="B83" s="40" t="str">
        <f>IF(Control!$G$23=FALSE, E12, F12&amp;" ("&amp;E12&amp;")")</f>
        <v xml:space="preserve"> (STU:WD0)</v>
      </c>
      <c r="C83" s="40" t="str">
        <f>IFERROR('Hidden Formulas'!M75,"")</f>
        <v/>
      </c>
      <c r="D83" s="40" t="str">
        <f>IFERROR('Hidden Formulas'!K75,"")</f>
        <v/>
      </c>
      <c r="E83" s="40" t="str">
        <f>IFERROR(AVERAGE('Hidden Formulas'!I75:K75),"")</f>
        <v/>
      </c>
      <c r="F83" s="40" t="str">
        <f>IFERROR(AVERAGE('Hidden Formulas'!G75:K75),"")</f>
        <v/>
      </c>
      <c r="G83" s="40" t="str">
        <f>IFERROR(AVERAGE('Hidden Formulas'!B75:K75),"")</f>
        <v/>
      </c>
      <c r="H83" s="207">
        <f t="shared" si="6"/>
        <v>0.1</v>
      </c>
      <c r="I83" s="9"/>
      <c r="J83" s="314" t="str">
        <f>IF(Control!$G$23=FALSE, E12, F12&amp;" ("&amp;E12&amp;")")</f>
        <v xml:space="preserve"> (STU:WD0)</v>
      </c>
      <c r="K83" s="41" t="str">
        <f>+IFERROR('Hidden Formulas'!M203,"")</f>
        <v/>
      </c>
      <c r="L83" s="41" t="str">
        <f>+IFERROR('Hidden Formulas'!K203,"")</f>
        <v/>
      </c>
      <c r="M83" s="41" t="str">
        <f>IFERROR(AVERAGE('Hidden Formulas'!I203:K203),"")</f>
        <v/>
      </c>
      <c r="N83" s="41" t="str">
        <f>IFERROR(AVERAGE('Hidden Formulas'!G203:K203),"")</f>
        <v/>
      </c>
      <c r="O83" s="41" t="str">
        <f>IFERROR(AVERAGE('Hidden Formulas'!B203:K203),"")</f>
        <v/>
      </c>
      <c r="P83" s="207">
        <f t="shared" si="7"/>
        <v>0.1</v>
      </c>
      <c r="Q83" s="98"/>
    </row>
    <row r="84" spans="2:17" ht="19.5" customHeight="1">
      <c r="B84" s="40" t="str">
        <f>IF(Control!$G$23=FALSE, E13, F13&amp;" ("&amp;E13&amp;")")</f>
        <v xml:space="preserve"> (NAS:HOOD)</v>
      </c>
      <c r="C84" s="40">
        <f>IFERROR('Hidden Formulas'!M76,"")</f>
        <v>93.551901006601327</v>
      </c>
      <c r="D84" s="40">
        <f>IFERROR('Hidden Formulas'!K76,"")</f>
        <v>6.9209649582514023</v>
      </c>
      <c r="E84" s="40" t="str">
        <f>IFERROR(AVERAGE('Hidden Formulas'!I76:K76),"")</f>
        <v/>
      </c>
      <c r="F84" s="40" t="str">
        <f>IFERROR(AVERAGE('Hidden Formulas'!G76:K76),"")</f>
        <v/>
      </c>
      <c r="G84" s="40" t="str">
        <f>IFERROR(AVERAGE('Hidden Formulas'!B76:K76),"")</f>
        <v/>
      </c>
      <c r="H84" s="207">
        <f t="shared" si="6"/>
        <v>0.1</v>
      </c>
      <c r="I84" s="9"/>
      <c r="J84" s="314" t="str">
        <f>IF(Control!$G$23=FALSE, E13, F13&amp;" ("&amp;E13&amp;")")</f>
        <v xml:space="preserve"> (NAS:HOOD)</v>
      </c>
      <c r="K84" s="41">
        <f>+IFERROR('Hidden Formulas'!M204,"")</f>
        <v>4.3531575720416923E-2</v>
      </c>
      <c r="L84" s="41">
        <f>+IFERROR('Hidden Formulas'!K204,"")</f>
        <v>4.9273021001615507E-2</v>
      </c>
      <c r="M84" s="41">
        <f>IFERROR(AVERAGE('Hidden Formulas'!I204:K204),"")</f>
        <v>2.5367612349467761E-2</v>
      </c>
      <c r="N84" s="41" t="str">
        <f>IFERROR(AVERAGE('Hidden Formulas'!G204:K204),"")</f>
        <v/>
      </c>
      <c r="O84" s="41" t="str">
        <f>IFERROR(AVERAGE('Hidden Formulas'!B204:K204),"")</f>
        <v/>
      </c>
      <c r="P84" s="207">
        <f t="shared" si="7"/>
        <v>0.1</v>
      </c>
      <c r="Q84" s="98"/>
    </row>
    <row r="85" spans="2:17" ht="19.5" customHeight="1">
      <c r="B85" s="40" t="str">
        <f>IF(Control!$G$23=FALSE, E14, F14&amp;" ("&amp;E14&amp;")")</f>
        <v xml:space="preserve"> (BOM:532960)</v>
      </c>
      <c r="C85" s="40" t="str">
        <f>IFERROR('Hidden Formulas'!M77,"")</f>
        <v/>
      </c>
      <c r="D85" s="40" t="str">
        <f>IFERROR('Hidden Formulas'!K77,"")</f>
        <v/>
      </c>
      <c r="E85" s="40" t="str">
        <f>IFERROR(AVERAGE('Hidden Formulas'!I77:K77),"")</f>
        <v/>
      </c>
      <c r="F85" s="40" t="str">
        <f>IFERROR(AVERAGE('Hidden Formulas'!G77:K77),"")</f>
        <v/>
      </c>
      <c r="G85" s="40" t="str">
        <f>IFERROR(AVERAGE('Hidden Formulas'!B77:K77),"")</f>
        <v/>
      </c>
      <c r="H85" s="207">
        <f t="shared" si="6"/>
        <v>0.1</v>
      </c>
      <c r="I85" s="9"/>
      <c r="J85" s="314" t="str">
        <f>IF(Control!$G$23=FALSE, E14, F14&amp;" ("&amp;E14&amp;")")</f>
        <v xml:space="preserve"> (BOM:532960)</v>
      </c>
      <c r="K85" s="41">
        <f>+IFERROR('Hidden Formulas'!M205,"")</f>
        <v>0.17774742876412072</v>
      </c>
      <c r="L85" s="41">
        <f>+IFERROR('Hidden Formulas'!K205,"")</f>
        <v>7.5777311504243772E-2</v>
      </c>
      <c r="M85" s="41">
        <f>IFERROR(AVERAGE('Hidden Formulas'!I205:K205),"")</f>
        <v>6.5877423015657952E-2</v>
      </c>
      <c r="N85" s="41">
        <f>IFERROR(AVERAGE('Hidden Formulas'!G205:K205),"")</f>
        <v>4.5607584657927393E-2</v>
      </c>
      <c r="O85" s="41">
        <f>IFERROR(AVERAGE('Hidden Formulas'!B205:K205),"")</f>
        <v>4.6414384434575948E-2</v>
      </c>
      <c r="P85" s="207">
        <f t="shared" si="7"/>
        <v>0.1</v>
      </c>
      <c r="Q85" s="98"/>
    </row>
    <row r="86" spans="2:17" ht="19.5" customHeight="1">
      <c r="B86" s="40" t="str">
        <f>IF(Control!$G$23=FALSE, E15, F15&amp;" ("&amp;E15&amp;")")</f>
        <v xml:space="preserve"> (NYS:MA)</v>
      </c>
      <c r="C86" s="40">
        <f>IFERROR('Hidden Formulas'!M78,"")</f>
        <v>35.756180733162829</v>
      </c>
      <c r="D86" s="40">
        <f>IFERROR('Hidden Formulas'!K78,"")</f>
        <v>33.597101449275364</v>
      </c>
      <c r="E86" s="40">
        <f>IFERROR(AVERAGE('Hidden Formulas'!I78:K78),"")</f>
        <v>44.406831162501391</v>
      </c>
      <c r="F86" s="40">
        <f>IFERROR(AVERAGE('Hidden Formulas'!G78:K78),"")</f>
        <v>40.963549498416164</v>
      </c>
      <c r="G86" s="40">
        <f>IFERROR(AVERAGE('Hidden Formulas'!B78:K78),"")</f>
        <v>35.920096513170364</v>
      </c>
      <c r="H86" s="207">
        <f t="shared" si="6"/>
        <v>0.1</v>
      </c>
      <c r="I86" s="9"/>
      <c r="J86" s="314" t="str">
        <f>IF(Control!$G$23=FALSE, E15, F15&amp;" ("&amp;E15&amp;")")</f>
        <v xml:space="preserve"> (NYS:MA)</v>
      </c>
      <c r="K86" s="41">
        <f>+IFERROR('Hidden Formulas'!M206,"")</f>
        <v>3.1928427791685476E-2</v>
      </c>
      <c r="L86" s="41">
        <f>+IFERROR('Hidden Formulas'!K206,"")</f>
        <v>3.3727571165175156E-2</v>
      </c>
      <c r="M86" s="41">
        <f>IFERROR(AVERAGE('Hidden Formulas'!I206:K206),"")</f>
        <v>3.4287423428407481E-2</v>
      </c>
      <c r="N86" s="41">
        <f>IFERROR(AVERAGE('Hidden Formulas'!G206:K206),"")</f>
        <v>3.0544933977790244E-2</v>
      </c>
      <c r="O86" s="41">
        <f>IFERROR(AVERAGE('Hidden Formulas'!B206:K206),"")</f>
        <v>3.0579855600014676E-2</v>
      </c>
      <c r="P86" s="207">
        <f t="shared" si="7"/>
        <v>0.1</v>
      </c>
      <c r="Q86" s="98"/>
    </row>
    <row r="87" spans="2:17" ht="19.5" customHeight="1">
      <c r="B87" s="40" t="str">
        <f>IF(Control!$G$23=FALSE, E16, F16&amp;" ("&amp;E16&amp;")")</f>
        <v xml:space="preserve"> (NAS:MSTR)</v>
      </c>
      <c r="C87" s="40">
        <f>IFERROR('Hidden Formulas'!M79,"")</f>
        <v>154.6764705882353</v>
      </c>
      <c r="D87" s="40" t="str">
        <f>IFERROR('Hidden Formulas'!K79,"")</f>
        <v/>
      </c>
      <c r="E87" s="40" t="str">
        <f>IFERROR(AVERAGE('Hidden Formulas'!I79:K79),"")</f>
        <v/>
      </c>
      <c r="F87" s="40" t="str">
        <f>IFERROR(AVERAGE('Hidden Formulas'!G79:K79),"")</f>
        <v/>
      </c>
      <c r="G87" s="40" t="str">
        <f>IFERROR(AVERAGE('Hidden Formulas'!B79:K79),"")</f>
        <v/>
      </c>
      <c r="H87" s="207">
        <f t="shared" si="6"/>
        <v>0.1</v>
      </c>
      <c r="I87" s="9"/>
      <c r="J87" s="314" t="str">
        <f>IF(Control!$G$23=FALSE, E16, F16&amp;" ("&amp;E16&amp;")")</f>
        <v xml:space="preserve"> (NAS:MSTR)</v>
      </c>
      <c r="K87" s="41">
        <f>+IFERROR('Hidden Formulas'!M207,"")</f>
        <v>3.1296991160391807E-2</v>
      </c>
      <c r="L87" s="41">
        <f>+IFERROR('Hidden Formulas'!K207,"")</f>
        <v>2.6280618225321135E-2</v>
      </c>
      <c r="M87" s="41">
        <f>IFERROR(AVERAGE('Hidden Formulas'!I207:K207),"")</f>
        <v>2.8638772180301753E-2</v>
      </c>
      <c r="N87" s="41">
        <f>IFERROR(AVERAGE('Hidden Formulas'!G207:K207),"")</f>
        <v>2.3175337031097441E-2</v>
      </c>
      <c r="O87" s="41">
        <f>IFERROR(AVERAGE('Hidden Formulas'!B207:K207),"")</f>
        <v>3.6641644853416561E-2</v>
      </c>
      <c r="P87" s="207">
        <f t="shared" si="7"/>
        <v>0.1</v>
      </c>
      <c r="Q87" s="98"/>
    </row>
    <row r="88" spans="2:17" ht="30.25" customHeight="1">
      <c r="B88" s="14" t="s">
        <v>58</v>
      </c>
      <c r="C88" s="485"/>
      <c r="D88" s="485"/>
      <c r="E88" s="485"/>
      <c r="F88" s="485"/>
      <c r="G88" s="485"/>
      <c r="H88" s="485"/>
      <c r="I88" s="9"/>
      <c r="J88" s="14" t="s">
        <v>67</v>
      </c>
      <c r="K88" s="485"/>
      <c r="L88" s="485"/>
      <c r="M88" s="485"/>
      <c r="N88" s="485"/>
      <c r="O88" s="485"/>
      <c r="P88" s="485"/>
      <c r="Q88" s="98"/>
    </row>
    <row r="89" spans="2:17">
      <c r="B89" s="486" t="s">
        <v>71</v>
      </c>
      <c r="C89" s="468" t="s">
        <v>863</v>
      </c>
      <c r="D89" s="468" t="s">
        <v>864</v>
      </c>
      <c r="E89" s="468" t="s">
        <v>862</v>
      </c>
      <c r="F89" s="468" t="s">
        <v>861</v>
      </c>
      <c r="G89" s="468" t="s">
        <v>860</v>
      </c>
      <c r="H89" s="19"/>
      <c r="I89" s="9"/>
      <c r="J89" s="486" t="s">
        <v>71</v>
      </c>
      <c r="K89" s="468" t="s">
        <v>863</v>
      </c>
      <c r="L89" s="468" t="s">
        <v>864</v>
      </c>
      <c r="M89" s="468" t="s">
        <v>862</v>
      </c>
      <c r="N89" s="468" t="s">
        <v>861</v>
      </c>
      <c r="O89" s="468" t="s">
        <v>860</v>
      </c>
      <c r="P89" s="19"/>
      <c r="Q89" s="98"/>
    </row>
    <row r="90" spans="2:17">
      <c r="B90" s="487" t="s">
        <v>54</v>
      </c>
      <c r="C90" s="487">
        <f>SUMPRODUCT(C92:C101, H92:H101)</f>
        <v>28.890084241991502</v>
      </c>
      <c r="D90" s="487">
        <f>SUMPRODUCT(D92:D101, H92:H101)</f>
        <v>22.540796099134354</v>
      </c>
      <c r="E90" s="487">
        <f>SUMPRODUCT(E92:E101, H92:H101)</f>
        <v>12.060847368363564</v>
      </c>
      <c r="F90" s="487">
        <f>SUMPRODUCT(F92:F101, H92:H101)</f>
        <v>9.9545575490172791</v>
      </c>
      <c r="G90" s="487">
        <f>SUMPRODUCT(G92:G101, H92:H101)</f>
        <v>0</v>
      </c>
      <c r="H90" s="9"/>
      <c r="I90" s="9"/>
      <c r="J90" s="487" t="s">
        <v>54</v>
      </c>
      <c r="K90" s="488">
        <f>SUMPRODUCT(K92:K101, $P92:$P101)</f>
        <v>-7.8023082167082477E-3</v>
      </c>
      <c r="L90" s="488">
        <f>SUMPRODUCT(L92:L101, $P92:$P101)</f>
        <v>-2.2304309070222426E-2</v>
      </c>
      <c r="M90" s="488">
        <f>SUMPRODUCT(M92:M101, $P92:$P101)</f>
        <v>-2.7851108621185616E-2</v>
      </c>
      <c r="N90" s="488">
        <f>SUMPRODUCT(N92:N101, $P92:$P101)</f>
        <v>-3.8091079811236446E-2</v>
      </c>
      <c r="O90" s="488">
        <f>SUMPRODUCT(O92:O101, $P92:$P101)</f>
        <v>-3.5649472181332485E-2</v>
      </c>
      <c r="P90" s="9"/>
      <c r="Q90" s="98"/>
    </row>
    <row r="91" spans="2:17" ht="30.25" customHeight="1">
      <c r="B91" s="489" t="e">
        <f>IF(Control!$G$23=FALSE, E5, F5&amp;" ("&amp;E5&amp;")")</f>
        <v>#NAME?</v>
      </c>
      <c r="C91" s="489" t="str">
        <f>IFERROR('Hidden Formulas'!M84,"")</f>
        <v/>
      </c>
      <c r="D91" s="489" t="str">
        <f>IFERROR('Hidden Formulas'!K84,"")</f>
        <v/>
      </c>
      <c r="E91" s="489" t="str">
        <f>IFERROR(AVERAGE('Hidden Formulas'!I84:K84),"")</f>
        <v/>
      </c>
      <c r="F91" s="489" t="str">
        <f>IFERROR(AVERAGE('Hidden Formulas'!G84:K84),"")</f>
        <v/>
      </c>
      <c r="G91" s="489" t="str">
        <f>IFERROR(AVERAGE('Hidden Formulas'!B84:K84),"")</f>
        <v/>
      </c>
      <c r="H91" s="9"/>
      <c r="I91" s="9"/>
      <c r="J91" s="489" t="e">
        <f>IF(Control!$G$23=FALSE, E5, F5&amp;" ("&amp;E5&amp;")")</f>
        <v>#NAME?</v>
      </c>
      <c r="K91" s="490">
        <f>+IFERROR('Hidden Formulas'!M212,"")</f>
        <v>-2.4685478565946717E-2</v>
      </c>
      <c r="L91" s="490">
        <f>+IFERROR('Hidden Formulas'!K212,"")</f>
        <v>-1.9384435097012685E-2</v>
      </c>
      <c r="M91" s="490">
        <f>IFERROR(AVERAGE('Hidden Formulas'!I212:K212),"")</f>
        <v>-1.0357448385176901E-2</v>
      </c>
      <c r="N91" s="490">
        <f>IFERROR(AVERAGE('Hidden Formulas'!G212:K212),"")</f>
        <v>-2.3933354257136052E-2</v>
      </c>
      <c r="O91" s="490">
        <f>IFERROR(AVERAGE('Hidden Formulas'!B212:K212),"")</f>
        <v>-2.3933354257136052E-2</v>
      </c>
      <c r="P91" s="9"/>
      <c r="Q91" s="98"/>
    </row>
    <row r="92" spans="2:17" ht="19.5" customHeight="1">
      <c r="B92" s="40" t="str">
        <f>IF(Control!$G$23=FALSE, E7, F7&amp;" ("&amp;E7&amp;")")</f>
        <v xml:space="preserve"> (NYS:SQ)</v>
      </c>
      <c r="C92" s="40">
        <f>IFERROR('Hidden Formulas'!M86,"")</f>
        <v>63.49288142857143</v>
      </c>
      <c r="D92" s="40" t="str">
        <f>IFERROR('Hidden Formulas'!K86,"")</f>
        <v/>
      </c>
      <c r="E92" s="40" t="str">
        <f>IFERROR(AVERAGE('Hidden Formulas'!I86:K86),"")</f>
        <v/>
      </c>
      <c r="F92" s="40" t="str">
        <f>IFERROR(AVERAGE('Hidden Formulas'!G86:K86),"")</f>
        <v/>
      </c>
      <c r="G92" s="40" t="str">
        <f>IFERROR(AVERAGE('Hidden Formulas'!B86:K86),"")</f>
        <v/>
      </c>
      <c r="H92" s="207">
        <f t="shared" ref="H92:H101" si="8">I7</f>
        <v>0.1</v>
      </c>
      <c r="I92" s="9"/>
      <c r="J92" s="41" t="str">
        <f>IF(Control!$G$23=FALSE, E7, F7&amp;" ("&amp;E7&amp;")")</f>
        <v xml:space="preserve"> (NYS:SQ)</v>
      </c>
      <c r="K92" s="41">
        <f>+IFERROR('Hidden Formulas'!M214,"")</f>
        <v>-7.1446904782618672E-3</v>
      </c>
      <c r="L92" s="41">
        <f>+IFERROR('Hidden Formulas'!K214,"")</f>
        <v>-9.7432708174108821E-3</v>
      </c>
      <c r="M92" s="41">
        <f>IFERROR(AVERAGE('Hidden Formulas'!I214:K214),"")</f>
        <v>-1.0640329504775449E-2</v>
      </c>
      <c r="N92" s="41">
        <f>IFERROR(AVERAGE('Hidden Formulas'!G214:K214),"")</f>
        <v>-1.2747392936652099E-2</v>
      </c>
      <c r="O92" s="41">
        <f>IFERROR(AVERAGE('Hidden Formulas'!B214:K214),"")</f>
        <v>-2.4040604362509554E-2</v>
      </c>
      <c r="P92" s="207">
        <f t="shared" ref="P92:P101" si="9">I7</f>
        <v>0.1</v>
      </c>
      <c r="Q92" s="98"/>
    </row>
    <row r="93" spans="2:17" ht="19.5" customHeight="1">
      <c r="B93" s="40" t="str">
        <f>IF(Control!$G$23=FALSE, E8, F8&amp;" ("&amp;E8&amp;")")</f>
        <v xml:space="preserve"> (NAS:PYPL)</v>
      </c>
      <c r="C93" s="40">
        <f>IFERROR('Hidden Formulas'!M87,"")</f>
        <v>8.9594603682366127</v>
      </c>
      <c r="D93" s="40">
        <f t="shared" ref="D93:D101" si="10">IFERROR(C93,"")</f>
        <v>8.9594603682366127</v>
      </c>
      <c r="E93" s="40">
        <f>IFERROR(AVERAGE('Hidden Formulas'!I87:K87),"")</f>
        <v>27.500463355274722</v>
      </c>
      <c r="F93" s="40">
        <f>IFERROR(AVERAGE('Hidden Formulas'!G87:K87),"")</f>
        <v>25.893580400038125</v>
      </c>
      <c r="G93" s="40" t="str">
        <f>IFERROR(AVERAGE('Hidden Formulas'!B87:K87),"")</f>
        <v/>
      </c>
      <c r="H93" s="207">
        <f t="shared" si="8"/>
        <v>0.1</v>
      </c>
      <c r="I93" s="9"/>
      <c r="J93" s="41" t="str">
        <f>IF(Control!$G$23=FALSE, E8, F8&amp;" ("&amp;E8&amp;")")</f>
        <v xml:space="preserve"> (NAS:PYPL)</v>
      </c>
      <c r="K93" s="41">
        <f>+IFERROR('Hidden Formulas'!M215,"")</f>
        <v>-2.0324086789343589E-2</v>
      </c>
      <c r="L93" s="41">
        <f>+IFERROR('Hidden Formulas'!K215,"")</f>
        <v>-2.5474235046151608E-2</v>
      </c>
      <c r="M93" s="41">
        <f>IFERROR(AVERAGE('Hidden Formulas'!I215:K215),"")</f>
        <v>-3.1946040983956044E-2</v>
      </c>
      <c r="N93" s="41">
        <f>IFERROR(AVERAGE('Hidden Formulas'!G215:K215),"")</f>
        <v>-3.7513086978911182E-2</v>
      </c>
      <c r="O93" s="41">
        <f>IFERROR(AVERAGE('Hidden Formulas'!B215:K215),"")</f>
        <v>-4.9490118378697989E-2</v>
      </c>
      <c r="P93" s="207">
        <f t="shared" si="9"/>
        <v>0.1</v>
      </c>
      <c r="Q93" s="98"/>
    </row>
    <row r="94" spans="2:17" ht="19.5" customHeight="1">
      <c r="B94" s="40" t="str">
        <f>IF(Control!$G$23=FALSE, E9, F9&amp;" ("&amp;E9&amp;")")</f>
        <v xml:space="preserve"> (STO:SFL)</v>
      </c>
      <c r="C94" s="40" t="str">
        <f>IFERROR('Hidden Formulas'!M88,"")</f>
        <v/>
      </c>
      <c r="D94" s="40" t="str">
        <f t="shared" si="10"/>
        <v/>
      </c>
      <c r="E94" s="40" t="str">
        <f>IFERROR(AVERAGE('Hidden Formulas'!I88:K88),"")</f>
        <v/>
      </c>
      <c r="F94" s="40" t="str">
        <f>IFERROR(AVERAGE('Hidden Formulas'!G88:K88),"")</f>
        <v/>
      </c>
      <c r="G94" s="40" t="str">
        <f>IFERROR(AVERAGE('Hidden Formulas'!B88:K88),"")</f>
        <v/>
      </c>
      <c r="H94" s="207">
        <f t="shared" si="8"/>
        <v>0.1</v>
      </c>
      <c r="I94" s="9"/>
      <c r="J94" s="41" t="str">
        <f>IF(Control!$G$23=FALSE, E9, F9&amp;" ("&amp;E9&amp;")")</f>
        <v xml:space="preserve"> (STO:SFL)</v>
      </c>
      <c r="K94" s="41">
        <f>+IFERROR('Hidden Formulas'!M216,"")</f>
        <v>0</v>
      </c>
      <c r="L94" s="41">
        <f>+IFERROR('Hidden Formulas'!K216,"")</f>
        <v>-2.4255864721577322E-4</v>
      </c>
      <c r="M94" s="41">
        <f>IFERROR(AVERAGE('Hidden Formulas'!I216:K216),"")</f>
        <v>-2.7361300571499702E-4</v>
      </c>
      <c r="N94" s="41">
        <f>IFERROR(AVERAGE('Hidden Formulas'!G216:K216),"")</f>
        <v>-4.0813329062439351E-4</v>
      </c>
      <c r="O94" s="41">
        <f>IFERROR(AVERAGE('Hidden Formulas'!B216:K216),"")</f>
        <v>-4.0813329062439351E-4</v>
      </c>
      <c r="P94" s="207">
        <f t="shared" si="9"/>
        <v>0.1</v>
      </c>
      <c r="Q94" s="98"/>
    </row>
    <row r="95" spans="2:17" ht="19.5" customHeight="1">
      <c r="B95" s="40" t="str">
        <f>IF(Control!$G$23=FALSE, E10, F10&amp;" ("&amp;E10&amp;")")</f>
        <v xml:space="preserve"> (PINX:VYGVQ)</v>
      </c>
      <c r="C95" s="40" t="str">
        <f>IFERROR('Hidden Formulas'!M89,"")</f>
        <v/>
      </c>
      <c r="D95" s="40" t="str">
        <f t="shared" si="10"/>
        <v/>
      </c>
      <c r="E95" s="40" t="str">
        <f>IFERROR(AVERAGE('Hidden Formulas'!I89:K89),"")</f>
        <v/>
      </c>
      <c r="F95" s="40" t="str">
        <f>IFERROR(AVERAGE('Hidden Formulas'!G89:K89),"")</f>
        <v/>
      </c>
      <c r="G95" s="40" t="str">
        <f>IFERROR(AVERAGE('Hidden Formulas'!B89:K89),"")</f>
        <v/>
      </c>
      <c r="H95" s="207">
        <f t="shared" si="8"/>
        <v>0.1</v>
      </c>
      <c r="I95" s="9"/>
      <c r="J95" s="41" t="str">
        <f>IF(Control!$G$23=FALSE, E10, F10&amp;" ("&amp;E10&amp;")")</f>
        <v xml:space="preserve"> (PINX:VYGVQ)</v>
      </c>
      <c r="K95" s="41">
        <f>+IFERROR('Hidden Formulas'!M217,"")</f>
        <v>0</v>
      </c>
      <c r="L95" s="41">
        <f>+IFERROR('Hidden Formulas'!K217,"")</f>
        <v>0</v>
      </c>
      <c r="M95" s="41">
        <f>IFERROR(AVERAGE('Hidden Formulas'!I217:K217),"")</f>
        <v>0</v>
      </c>
      <c r="N95" s="41">
        <f>IFERROR(AVERAGE('Hidden Formulas'!G217:K217),"")</f>
        <v>-0.12930132771402611</v>
      </c>
      <c r="O95" s="41">
        <f>IFERROR(AVERAGE('Hidden Formulas'!B217:K217),"")</f>
        <v>-0.12930132771402611</v>
      </c>
      <c r="P95" s="207">
        <f t="shared" si="9"/>
        <v>0.1</v>
      </c>
      <c r="Q95" s="98"/>
    </row>
    <row r="96" spans="2:17" ht="19.5" customHeight="1">
      <c r="B96" s="40" t="str">
        <f>IF(Control!$G$23=FALSE, E11, F11&amp;" ("&amp;E11&amp;")")</f>
        <v xml:space="preserve"> (PINX:CRCW)</v>
      </c>
      <c r="C96" s="40" t="str">
        <f>IFERROR('Hidden Formulas'!M90,"")</f>
        <v/>
      </c>
      <c r="D96" s="40" t="str">
        <f t="shared" si="10"/>
        <v/>
      </c>
      <c r="E96" s="40" t="str">
        <f>IFERROR(AVERAGE('Hidden Formulas'!I90:K90),"")</f>
        <v/>
      </c>
      <c r="F96" s="40" t="str">
        <f>IFERROR(AVERAGE('Hidden Formulas'!G90:K90),"")</f>
        <v/>
      </c>
      <c r="G96" s="40" t="str">
        <f>IFERROR(AVERAGE('Hidden Formulas'!B90:K90),"")</f>
        <v/>
      </c>
      <c r="H96" s="207">
        <f t="shared" si="8"/>
        <v>0.1</v>
      </c>
      <c r="I96" s="9"/>
      <c r="J96" s="41" t="str">
        <f>IF(Control!$G$23=FALSE, E11, F11&amp;" ("&amp;E11&amp;")")</f>
        <v xml:space="preserve"> (PINX:CRCW)</v>
      </c>
      <c r="K96" s="41">
        <f>+IFERROR('Hidden Formulas'!M218,"")</f>
        <v>0</v>
      </c>
      <c r="L96" s="41">
        <f>+IFERROR('Hidden Formulas'!K218,"")</f>
        <v>-8.0705299755624349E-2</v>
      </c>
      <c r="M96" s="41">
        <f>IFERROR(AVERAGE('Hidden Formulas'!I218:K218),"")</f>
        <v>-2.6901766585208115E-2</v>
      </c>
      <c r="N96" s="41">
        <f>IFERROR(AVERAGE('Hidden Formulas'!G218:K218),"")</f>
        <v>-2.0176324938906087E-2</v>
      </c>
      <c r="O96" s="41">
        <f>IFERROR(AVERAGE('Hidden Formulas'!B218:K218),"")</f>
        <v>-1.6141059951124869E-2</v>
      </c>
      <c r="P96" s="207">
        <f t="shared" si="9"/>
        <v>0.1</v>
      </c>
      <c r="Q96" s="98"/>
    </row>
    <row r="97" spans="2:17" ht="19.5" customHeight="1">
      <c r="B97" s="40" t="str">
        <f>IF(Control!$G$23=FALSE, E12, F12&amp;" ("&amp;E12&amp;")")</f>
        <v xml:space="preserve"> (STU:WD0)</v>
      </c>
      <c r="C97" s="40" t="str">
        <f>IFERROR('Hidden Formulas'!M91,"")</f>
        <v/>
      </c>
      <c r="D97" s="40" t="str">
        <f t="shared" si="10"/>
        <v/>
      </c>
      <c r="E97" s="40" t="str">
        <f>IFERROR(AVERAGE('Hidden Formulas'!I91:K91),"")</f>
        <v/>
      </c>
      <c r="F97" s="40" t="str">
        <f>IFERROR(AVERAGE('Hidden Formulas'!G91:K91),"")</f>
        <v/>
      </c>
      <c r="G97" s="40" t="str">
        <f>IFERROR(AVERAGE('Hidden Formulas'!B91:K91),"")</f>
        <v/>
      </c>
      <c r="H97" s="207">
        <f t="shared" si="8"/>
        <v>0.1</v>
      </c>
      <c r="I97" s="9"/>
      <c r="J97" s="41" t="str">
        <f>IF(Control!$G$23=FALSE, E12, F12&amp;" ("&amp;E12&amp;")")</f>
        <v xml:space="preserve"> (STU:WD0)</v>
      </c>
      <c r="K97" s="41">
        <f>+IFERROR('Hidden Formulas'!M219,"")</f>
        <v>0</v>
      </c>
      <c r="L97" s="41">
        <f>+IFERROR('Hidden Formulas'!K219,"")</f>
        <v>0</v>
      </c>
      <c r="M97" s="41" t="str">
        <f>IFERROR(AVERAGE('Hidden Formulas'!I219:K219),"")</f>
        <v/>
      </c>
      <c r="N97" s="41" t="str">
        <f>IFERROR(AVERAGE('Hidden Formulas'!G219:K219),"")</f>
        <v/>
      </c>
      <c r="O97" s="41" t="str">
        <f>IFERROR(AVERAGE('Hidden Formulas'!B219:K219),"")</f>
        <v/>
      </c>
      <c r="P97" s="207">
        <f t="shared" si="9"/>
        <v>0.1</v>
      </c>
      <c r="Q97" s="98"/>
    </row>
    <row r="98" spans="2:17" ht="19.5" customHeight="1">
      <c r="B98" s="40" t="str">
        <f>IF(Control!$G$23=FALSE, E13, F13&amp;" ("&amp;E13&amp;")")</f>
        <v xml:space="preserve"> (NAS:HOOD)</v>
      </c>
      <c r="C98" s="40">
        <f>IFERROR('Hidden Formulas'!M92,"")</f>
        <v>43.586596830769231</v>
      </c>
      <c r="D98" s="40">
        <f t="shared" si="10"/>
        <v>43.586596830769231</v>
      </c>
      <c r="E98" s="40" t="str">
        <f>IFERROR(AVERAGE('Hidden Formulas'!I92:K92),"")</f>
        <v/>
      </c>
      <c r="F98" s="40" t="str">
        <f>IFERROR(AVERAGE('Hidden Formulas'!G92:K92),"")</f>
        <v/>
      </c>
      <c r="G98" s="40" t="str">
        <f>IFERROR(AVERAGE('Hidden Formulas'!B92:K92),"")</f>
        <v/>
      </c>
      <c r="H98" s="207">
        <f t="shared" si="8"/>
        <v>0.1</v>
      </c>
      <c r="I98" s="9"/>
      <c r="J98" s="41" t="str">
        <f>IF(Control!$G$23=FALSE, E13, F13&amp;" ("&amp;E13&amp;")")</f>
        <v xml:space="preserve"> (NAS:HOOD)</v>
      </c>
      <c r="K98" s="41">
        <f>+IFERROR('Hidden Formulas'!M220,"")</f>
        <v>-1.2875536480686695E-2</v>
      </c>
      <c r="L98" s="41">
        <f>+IFERROR('Hidden Formulas'!K220,"")</f>
        <v>-2.3424878836833602E-2</v>
      </c>
      <c r="M98" s="41">
        <f>IFERROR(AVERAGE('Hidden Formulas'!I220:K220),"")</f>
        <v>-2.9392773044802579E-2</v>
      </c>
      <c r="N98" s="41">
        <f>IFERROR(AVERAGE('Hidden Formulas'!G220:K220),"")</f>
        <v>-2.9555864829363312E-2</v>
      </c>
      <c r="O98" s="41">
        <f>IFERROR(AVERAGE('Hidden Formulas'!B220:K220),"")</f>
        <v>-2.9555864829363312E-2</v>
      </c>
      <c r="P98" s="207">
        <f t="shared" si="9"/>
        <v>0.1</v>
      </c>
      <c r="Q98" s="98"/>
    </row>
    <row r="99" spans="2:17" ht="19.5" customHeight="1">
      <c r="B99" s="40" t="str">
        <f>IF(Control!$G$23=FALSE, E14, F14&amp;" ("&amp;E14&amp;")")</f>
        <v xml:space="preserve"> (BOM:532960)</v>
      </c>
      <c r="C99" s="40" t="str">
        <f>IFERROR('Hidden Formulas'!M93,"")</f>
        <v/>
      </c>
      <c r="D99" s="40" t="str">
        <f t="shared" si="10"/>
        <v/>
      </c>
      <c r="E99" s="40" t="str">
        <f>IFERROR(AVERAGE('Hidden Formulas'!I93:K93),"")</f>
        <v/>
      </c>
      <c r="F99" s="40" t="str">
        <f>IFERROR(AVERAGE('Hidden Formulas'!G93:K93),"")</f>
        <v/>
      </c>
      <c r="G99" s="40" t="str">
        <f>IFERROR(AVERAGE('Hidden Formulas'!B93:K93),"")</f>
        <v/>
      </c>
      <c r="H99" s="207">
        <f t="shared" si="8"/>
        <v>0.1</v>
      </c>
      <c r="I99" s="9"/>
      <c r="J99" s="41" t="str">
        <f>IF(Control!$G$23=FALSE, E14, F14&amp;" ("&amp;E14&amp;")")</f>
        <v xml:space="preserve"> (BOM:532960)</v>
      </c>
      <c r="K99" s="41">
        <f>+IFERROR('Hidden Formulas'!M221,"")</f>
        <v>0</v>
      </c>
      <c r="L99" s="41">
        <f>+IFERROR('Hidden Formulas'!K221,"")</f>
        <v>-4.7989194055007123E-2</v>
      </c>
      <c r="M99" s="41">
        <f>IFERROR(AVERAGE('Hidden Formulas'!I221:K221),"")</f>
        <v>-0.14871544231888625</v>
      </c>
      <c r="N99" s="41">
        <f>IFERROR(AVERAGE('Hidden Formulas'!G221:K221),"")</f>
        <v>-0.11691765718423335</v>
      </c>
      <c r="O99" s="41">
        <f>IFERROR(AVERAGE('Hidden Formulas'!B221:K221),"")</f>
        <v>-7.2542500646204378E-2</v>
      </c>
      <c r="P99" s="207">
        <f t="shared" si="9"/>
        <v>0.1</v>
      </c>
      <c r="Q99" s="98"/>
    </row>
    <row r="100" spans="2:17" ht="19.5" customHeight="1">
      <c r="B100" s="40" t="str">
        <f>IF(Control!$G$23=FALSE, E15, F15&amp;" ("&amp;E15&amp;")")</f>
        <v xml:space="preserve"> (NYS:MA)</v>
      </c>
      <c r="C100" s="40">
        <f>IFERROR('Hidden Formulas'!M94,"")</f>
        <v>24.281754815482358</v>
      </c>
      <c r="D100" s="40">
        <f t="shared" si="10"/>
        <v>24.281754815482358</v>
      </c>
      <c r="E100" s="40">
        <f>IFERROR(AVERAGE('Hidden Formulas'!I94:K94),"")</f>
        <v>28.776897775901787</v>
      </c>
      <c r="F100" s="40">
        <f>IFERROR(AVERAGE('Hidden Formulas'!G94:K94),"")</f>
        <v>26.622955309737495</v>
      </c>
      <c r="G100" s="40" t="str">
        <f>IFERROR(AVERAGE('Hidden Formulas'!B94:K94),"")</f>
        <v/>
      </c>
      <c r="H100" s="207">
        <f t="shared" si="8"/>
        <v>0.1</v>
      </c>
      <c r="I100" s="9"/>
      <c r="J100" s="41" t="str">
        <f>IF(Control!$G$23=FALSE, E15, F15&amp;" ("&amp;E15&amp;")")</f>
        <v xml:space="preserve"> (NYS:MA)</v>
      </c>
      <c r="K100" s="41">
        <f>+IFERROR('Hidden Formulas'!M222,"")</f>
        <v>-3.0122706939713546E-2</v>
      </c>
      <c r="L100" s="41">
        <f>+IFERROR('Hidden Formulas'!K222,"")</f>
        <v>-2.9455412150919638E-2</v>
      </c>
      <c r="M100" s="41">
        <f>IFERROR(AVERAGE('Hidden Formulas'!I222:K222),"")</f>
        <v>-2.3510963962776289E-2</v>
      </c>
      <c r="N100" s="41">
        <f>IFERROR(AVERAGE('Hidden Formulas'!G222:K222),"")</f>
        <v>-2.1724224350605052E-2</v>
      </c>
      <c r="O100" s="41">
        <f>IFERROR(AVERAGE('Hidden Formulas'!B222:K222),"")</f>
        <v>-1.9673987518112539E-2</v>
      </c>
      <c r="P100" s="207">
        <f t="shared" si="9"/>
        <v>0.1</v>
      </c>
      <c r="Q100" s="98"/>
    </row>
    <row r="101" spans="2:17" ht="19.5" customHeight="1">
      <c r="B101" s="40" t="str">
        <f>IF(Control!$G$23=FALSE, E16, F16&amp;" ("&amp;E16&amp;")")</f>
        <v xml:space="preserve"> (NAS:MSTR)</v>
      </c>
      <c r="C101" s="40">
        <f>IFERROR('Hidden Formulas'!M95,"")</f>
        <v>148.58014897685536</v>
      </c>
      <c r="D101" s="40">
        <f t="shared" si="10"/>
        <v>148.58014897685536</v>
      </c>
      <c r="E101" s="40">
        <f>IFERROR(AVERAGE('Hidden Formulas'!I95:K95),"")</f>
        <v>64.331112552459132</v>
      </c>
      <c r="F101" s="40">
        <f>IFERROR(AVERAGE('Hidden Formulas'!G95:K95),"")</f>
        <v>47.029039780397163</v>
      </c>
      <c r="G101" s="40" t="str">
        <f>IFERROR(AVERAGE('Hidden Formulas'!B95:K95),"")</f>
        <v/>
      </c>
      <c r="H101" s="207">
        <f t="shared" si="8"/>
        <v>0.1</v>
      </c>
      <c r="I101" s="9"/>
      <c r="J101" s="41" t="str">
        <f>IF(Control!$G$23=FALSE, E16, F16&amp;" ("&amp;E16&amp;")")</f>
        <v xml:space="preserve"> (NAS:MSTR)</v>
      </c>
      <c r="K101" s="41">
        <f>+IFERROR('Hidden Formulas'!M223,"")</f>
        <v>-7.5560614790767837E-3</v>
      </c>
      <c r="L101" s="41">
        <f>+IFERROR('Hidden Formulas'!K223,"")</f>
        <v>-6.0082413930612789E-3</v>
      </c>
      <c r="M101" s="41">
        <f>IFERROR(AVERAGE('Hidden Formulas'!I223:K223),"")</f>
        <v>-7.1301568057364068E-3</v>
      </c>
      <c r="N101" s="41">
        <f>IFERROR(AVERAGE('Hidden Formulas'!G223:K223),"")</f>
        <v>-1.2566785889042895E-2</v>
      </c>
      <c r="O101" s="41">
        <f>IFERROR(AVERAGE('Hidden Formulas'!B223:K223),"")</f>
        <v>-1.5341125122661678E-2</v>
      </c>
      <c r="P101" s="207">
        <f t="shared" si="9"/>
        <v>0.1</v>
      </c>
      <c r="Q101" s="98"/>
    </row>
    <row r="102" spans="2:17" ht="30.25" customHeight="1">
      <c r="B102" s="14" t="s">
        <v>59</v>
      </c>
      <c r="C102" s="485"/>
      <c r="D102" s="485"/>
      <c r="E102" s="485"/>
      <c r="F102" s="485"/>
      <c r="G102" s="485"/>
      <c r="H102" s="485"/>
      <c r="I102" s="9"/>
      <c r="J102" s="9"/>
      <c r="K102" s="9"/>
      <c r="L102" s="9"/>
      <c r="M102" s="9"/>
      <c r="N102" s="9"/>
      <c r="O102" s="9"/>
      <c r="P102" s="9"/>
      <c r="Q102" s="98"/>
    </row>
    <row r="103" spans="2:17">
      <c r="B103" s="486" t="s">
        <v>71</v>
      </c>
      <c r="C103" s="468" t="s">
        <v>863</v>
      </c>
      <c r="D103" s="468" t="s">
        <v>864</v>
      </c>
      <c r="E103" s="468" t="s">
        <v>862</v>
      </c>
      <c r="F103" s="468" t="s">
        <v>861</v>
      </c>
      <c r="G103" s="468" t="s">
        <v>860</v>
      </c>
      <c r="H103" s="19"/>
      <c r="I103" s="9"/>
      <c r="J103" s="9"/>
      <c r="K103" s="9"/>
      <c r="L103" s="9"/>
      <c r="M103" s="9"/>
      <c r="N103" s="9"/>
      <c r="O103" s="9"/>
      <c r="P103" s="9"/>
      <c r="Q103" s="98"/>
    </row>
    <row r="104" spans="2:17">
      <c r="B104" s="487" t="s">
        <v>54</v>
      </c>
      <c r="C104" s="487">
        <f>SUMPRODUCT(C106:C115, H106:H115)</f>
        <v>27.900345927188095</v>
      </c>
      <c r="D104" s="487">
        <f>SUMPRODUCT(D106:D115, H106:H115)</f>
        <v>30.062725102636133</v>
      </c>
      <c r="E104" s="487">
        <f>SUMPRODUCT(E106:E115, H106:H115)</f>
        <v>28.390613038595895</v>
      </c>
      <c r="F104" s="487">
        <f>SUMPRODUCT(F106:F115, H106:H115)</f>
        <v>24.5781986689069</v>
      </c>
      <c r="G104" s="487">
        <f>SUMPRODUCT(G106:G115, H106:H115)</f>
        <v>7.536173460761594</v>
      </c>
      <c r="H104" s="9"/>
      <c r="I104" s="9"/>
      <c r="J104" s="9"/>
      <c r="K104" s="9"/>
      <c r="L104" s="9"/>
      <c r="M104" s="9"/>
      <c r="N104" s="9"/>
      <c r="O104" s="9"/>
      <c r="P104" s="9"/>
      <c r="Q104" s="98"/>
    </row>
    <row r="105" spans="2:17" ht="30.25" customHeight="1">
      <c r="B105" s="489" t="e">
        <f>IF(Control!$G$23=FALSE, E5, F5&amp;" ("&amp;E5&amp;")")</f>
        <v>#NAME?</v>
      </c>
      <c r="C105" s="489">
        <f>IFERROR('Hidden Formulas'!M100,"")</f>
        <v>73.958629810934923</v>
      </c>
      <c r="D105" s="489">
        <f>IFERROR('Hidden Formulas'!K100,"")</f>
        <v>8.250647138834438</v>
      </c>
      <c r="E105" s="489" t="str">
        <f>IFERROR(AVERAGE('Hidden Formulas'!I100:K100),"")</f>
        <v/>
      </c>
      <c r="F105" s="489" t="str">
        <f>IFERROR(AVERAGE('Hidden Formulas'!G100:K100),"")</f>
        <v/>
      </c>
      <c r="G105" s="489" t="str">
        <f>IFERROR(AVERAGE('Hidden Formulas'!B100:K100),"")</f>
        <v/>
      </c>
      <c r="H105" s="9"/>
      <c r="I105" s="9"/>
      <c r="J105" s="9"/>
      <c r="K105" s="9"/>
      <c r="L105" s="9"/>
      <c r="M105" s="9"/>
      <c r="N105" s="9"/>
      <c r="O105" s="9"/>
      <c r="P105" s="9"/>
      <c r="Q105" s="98"/>
    </row>
    <row r="106" spans="2:17" ht="19.5" customHeight="1">
      <c r="B106" s="40" t="str">
        <f>IF(Control!$G$23=FALSE, E7, F7&amp;" ("&amp;E7&amp;")")</f>
        <v xml:space="preserve"> (NYS:SQ)</v>
      </c>
      <c r="C106" s="40">
        <f>IFERROR('Hidden Formulas'!M102,"")</f>
        <v>38.706702304021334</v>
      </c>
      <c r="D106" s="40">
        <f>IFERROR('Hidden Formulas'!K102,"")</f>
        <v>60.330494058501721</v>
      </c>
      <c r="E106" s="40">
        <f>IFERROR(AVERAGE('Hidden Formulas'!I102:K102),"")</f>
        <v>133.38258698892773</v>
      </c>
      <c r="F106" s="40">
        <f>IFERROR(AVERAGE('Hidden Formulas'!G102:K102),"")</f>
        <v>123.61670284054867</v>
      </c>
      <c r="G106" s="40" t="str">
        <f>IFERROR(AVERAGE('Hidden Formulas'!B102:K102),"")</f>
        <v/>
      </c>
      <c r="H106" s="207">
        <f t="shared" ref="H106:H115" si="11">I7</f>
        <v>0.1</v>
      </c>
      <c r="I106" s="9"/>
      <c r="J106" s="9"/>
      <c r="K106" s="9"/>
      <c r="L106" s="9"/>
      <c r="M106" s="9"/>
      <c r="N106" s="9"/>
      <c r="O106" s="9"/>
      <c r="P106" s="9"/>
      <c r="Q106" s="98"/>
    </row>
    <row r="107" spans="2:17" ht="19.5" customHeight="1">
      <c r="B107" s="40" t="str">
        <f>IF(Control!$G$23=FALSE, E8, F8&amp;" ("&amp;E8&amp;")")</f>
        <v xml:space="preserve"> (NAS:PYPL)</v>
      </c>
      <c r="C107" s="40">
        <f>IFERROR('Hidden Formulas'!M103,"")</f>
        <v>10.285933419214675</v>
      </c>
      <c r="D107" s="40">
        <f t="shared" ref="D107:D115" si="12">IFERROR(C107,"")</f>
        <v>10.285933419214675</v>
      </c>
      <c r="E107" s="40">
        <f>IFERROR(AVERAGE('Hidden Formulas'!I103:K103),"")</f>
        <v>43.806155049883522</v>
      </c>
      <c r="F107" s="40">
        <f>IFERROR(AVERAGE('Hidden Formulas'!G103:K103),"")</f>
        <v>37.546264526525789</v>
      </c>
      <c r="G107" s="40" t="str">
        <f>IFERROR(AVERAGE('Hidden Formulas'!B103:K103),"")</f>
        <v/>
      </c>
      <c r="H107" s="207">
        <f t="shared" si="11"/>
        <v>0.1</v>
      </c>
      <c r="I107" s="9"/>
      <c r="J107" s="9"/>
      <c r="K107" s="9"/>
      <c r="L107" s="9"/>
      <c r="M107" s="9"/>
      <c r="N107" s="9"/>
      <c r="O107" s="9"/>
      <c r="P107" s="9"/>
      <c r="Q107" s="98"/>
    </row>
    <row r="108" spans="2:17" ht="19.5" customHeight="1">
      <c r="B108" s="40" t="str">
        <f>IF(Control!$G$23=FALSE, E9, F9&amp;" ("&amp;E9&amp;")")</f>
        <v xml:space="preserve"> (STO:SFL)</v>
      </c>
      <c r="C108" s="40" t="str">
        <f>IFERROR('Hidden Formulas'!M104,"")</f>
        <v/>
      </c>
      <c r="D108" s="40" t="str">
        <f t="shared" si="12"/>
        <v/>
      </c>
      <c r="E108" s="40" t="str">
        <f>IFERROR(AVERAGE('Hidden Formulas'!I104:K104),"")</f>
        <v/>
      </c>
      <c r="F108" s="40" t="str">
        <f>IFERROR(AVERAGE('Hidden Formulas'!G104:K104),"")</f>
        <v/>
      </c>
      <c r="G108" s="40" t="str">
        <f>IFERROR(AVERAGE('Hidden Formulas'!B104:K104),"")</f>
        <v/>
      </c>
      <c r="H108" s="207">
        <f t="shared" si="11"/>
        <v>0.1</v>
      </c>
      <c r="I108" s="9"/>
      <c r="J108" s="9"/>
      <c r="K108" s="9"/>
      <c r="L108" s="9"/>
      <c r="M108" s="9"/>
      <c r="N108" s="9"/>
      <c r="O108" s="9"/>
      <c r="P108" s="9"/>
      <c r="Q108" s="98"/>
    </row>
    <row r="109" spans="2:17" ht="19.5" customHeight="1">
      <c r="B109" s="40" t="str">
        <f>IF(Control!$G$23=FALSE, E10, F10&amp;" ("&amp;E10&amp;")")</f>
        <v xml:space="preserve"> (PINX:VYGVQ)</v>
      </c>
      <c r="C109" s="40" t="str">
        <f>IFERROR('Hidden Formulas'!M105,"")</f>
        <v/>
      </c>
      <c r="D109" s="40" t="str">
        <f t="shared" si="12"/>
        <v/>
      </c>
      <c r="E109" s="40" t="str">
        <f>IFERROR(AVERAGE('Hidden Formulas'!I105:K105),"")</f>
        <v/>
      </c>
      <c r="F109" s="40" t="str">
        <f>IFERROR(AVERAGE('Hidden Formulas'!G105:K105),"")</f>
        <v/>
      </c>
      <c r="G109" s="40" t="str">
        <f>IFERROR(AVERAGE('Hidden Formulas'!B105:K105),"")</f>
        <v/>
      </c>
      <c r="H109" s="207">
        <f t="shared" si="11"/>
        <v>0.1</v>
      </c>
      <c r="I109" s="9"/>
      <c r="J109" s="9"/>
      <c r="K109" s="9"/>
      <c r="L109" s="9"/>
      <c r="M109" s="9"/>
      <c r="N109" s="9"/>
      <c r="O109" s="9"/>
      <c r="P109" s="9"/>
      <c r="Q109" s="98"/>
    </row>
    <row r="110" spans="2:17" ht="19.5" customHeight="1">
      <c r="B110" s="40" t="str">
        <f>IF(Control!$G$23=FALSE, E11, F11&amp;" ("&amp;E11&amp;")")</f>
        <v xml:space="preserve"> (PINX:CRCW)</v>
      </c>
      <c r="C110" s="40">
        <f>IFERROR('Hidden Formulas'!M106,"")</f>
        <v>4.3770623890874063</v>
      </c>
      <c r="D110" s="40">
        <f t="shared" si="12"/>
        <v>4.3770623890874063</v>
      </c>
      <c r="E110" s="40" t="str">
        <f>IFERROR(AVERAGE('Hidden Formulas'!I106:K106),"")</f>
        <v/>
      </c>
      <c r="F110" s="40" t="str">
        <f>IFERROR(AVERAGE('Hidden Formulas'!G106:K106),"")</f>
        <v/>
      </c>
      <c r="G110" s="40" t="str">
        <f>IFERROR(AVERAGE('Hidden Formulas'!B106:K106),"")</f>
        <v/>
      </c>
      <c r="H110" s="207">
        <f t="shared" si="11"/>
        <v>0.1</v>
      </c>
      <c r="I110" s="9"/>
      <c r="J110" s="9"/>
      <c r="K110" s="9"/>
      <c r="L110" s="9"/>
      <c r="M110" s="9"/>
      <c r="N110" s="9"/>
      <c r="O110" s="9"/>
      <c r="P110" s="9"/>
      <c r="Q110" s="98"/>
    </row>
    <row r="111" spans="2:17" ht="19.5" customHeight="1">
      <c r="B111" s="40" t="str">
        <f>IF(Control!$G$23=FALSE, E12, F12&amp;" ("&amp;E12&amp;")")</f>
        <v xml:space="preserve"> (STU:WD0)</v>
      </c>
      <c r="C111" s="40" t="str">
        <f>IFERROR('Hidden Formulas'!M107,"")</f>
        <v/>
      </c>
      <c r="D111" s="40" t="str">
        <f t="shared" si="12"/>
        <v/>
      </c>
      <c r="E111" s="40" t="str">
        <f>IFERROR(AVERAGE('Hidden Formulas'!I107:K107),"")</f>
        <v/>
      </c>
      <c r="F111" s="40" t="str">
        <f>IFERROR(AVERAGE('Hidden Formulas'!G107:K107),"")</f>
        <v/>
      </c>
      <c r="G111" s="40" t="str">
        <f>IFERROR(AVERAGE('Hidden Formulas'!B107:K107),"")</f>
        <v/>
      </c>
      <c r="H111" s="207">
        <f t="shared" si="11"/>
        <v>0.1</v>
      </c>
      <c r="I111" s="9"/>
      <c r="J111" s="9"/>
      <c r="K111" s="9"/>
      <c r="L111" s="9"/>
      <c r="M111" s="9"/>
      <c r="N111" s="9"/>
      <c r="O111" s="9"/>
      <c r="P111" s="9"/>
      <c r="Q111" s="98"/>
    </row>
    <row r="112" spans="2:17" ht="19.5" customHeight="1">
      <c r="B112" s="40" t="str">
        <f>IF(Control!$G$23=FALSE, E13, F13&amp;" ("&amp;E13&amp;")")</f>
        <v xml:space="preserve"> (NAS:HOOD)</v>
      </c>
      <c r="C112" s="40">
        <f>IFERROR('Hidden Formulas'!M108,"")</f>
        <v>16.423935037681158</v>
      </c>
      <c r="D112" s="40">
        <f t="shared" si="12"/>
        <v>16.423935037681158</v>
      </c>
      <c r="E112" s="40" t="str">
        <f>IFERROR(AVERAGE('Hidden Formulas'!I108:K108),"")</f>
        <v/>
      </c>
      <c r="F112" s="40" t="str">
        <f>IFERROR(AVERAGE('Hidden Formulas'!G108:K108),"")</f>
        <v/>
      </c>
      <c r="G112" s="40" t="str">
        <f>IFERROR(AVERAGE('Hidden Formulas'!B108:K108),"")</f>
        <v/>
      </c>
      <c r="H112" s="207">
        <f t="shared" si="11"/>
        <v>0.1</v>
      </c>
      <c r="I112" s="9"/>
      <c r="J112" s="9"/>
      <c r="K112" s="9"/>
      <c r="L112" s="9"/>
      <c r="M112" s="9"/>
      <c r="N112" s="9"/>
      <c r="O112" s="9"/>
      <c r="P112" s="9"/>
      <c r="Q112" s="98"/>
    </row>
    <row r="113" spans="2:17" ht="19.5" customHeight="1">
      <c r="B113" s="40" t="str">
        <f>IF(Control!$G$23=FALSE, E14, F14&amp;" ("&amp;E14&amp;")")</f>
        <v xml:space="preserve"> (BOM:532960)</v>
      </c>
      <c r="C113" s="40" t="str">
        <f>IFERROR('Hidden Formulas'!M109,"")</f>
        <v/>
      </c>
      <c r="D113" s="40" t="str">
        <f t="shared" si="12"/>
        <v/>
      </c>
      <c r="E113" s="40" t="str">
        <f>IFERROR(AVERAGE('Hidden Formulas'!I109:K109),"")</f>
        <v/>
      </c>
      <c r="F113" s="40" t="str">
        <f>IFERROR(AVERAGE('Hidden Formulas'!G109:K109),"")</f>
        <v/>
      </c>
      <c r="G113" s="40" t="str">
        <f>IFERROR(AVERAGE('Hidden Formulas'!B109:K109),"")</f>
        <v/>
      </c>
      <c r="H113" s="207">
        <f t="shared" si="11"/>
        <v>0.1</v>
      </c>
      <c r="I113" s="9"/>
      <c r="J113" s="9"/>
      <c r="K113" s="9"/>
      <c r="L113" s="9"/>
      <c r="M113" s="9"/>
      <c r="N113" s="9"/>
      <c r="O113" s="9"/>
      <c r="P113" s="9"/>
      <c r="Q113" s="98"/>
    </row>
    <row r="114" spans="2:17" ht="19.5" customHeight="1">
      <c r="B114" s="40" t="str">
        <f>IF(Control!$G$23=FALSE, E15, F15&amp;" ("&amp;E15&amp;")")</f>
        <v xml:space="preserve"> (NYS:MA)</v>
      </c>
      <c r="C114" s="40">
        <f>IFERROR('Hidden Formulas'!M110,"")</f>
        <v>27.292048640720601</v>
      </c>
      <c r="D114" s="40">
        <f t="shared" si="12"/>
        <v>27.292048640720601</v>
      </c>
      <c r="E114" s="40">
        <f>IFERROR(AVERAGE('Hidden Formulas'!I110:K110),"")</f>
        <v>34.962825510821965</v>
      </c>
      <c r="F114" s="40">
        <f>IFERROR(AVERAGE('Hidden Formulas'!G110:K110),"")</f>
        <v>31.932456037262277</v>
      </c>
      <c r="G114" s="40">
        <f>IFERROR(AVERAGE('Hidden Formulas'!B110:K110),"")</f>
        <v>26.328833511053766</v>
      </c>
      <c r="H114" s="207">
        <f t="shared" si="11"/>
        <v>0.1</v>
      </c>
      <c r="I114" s="9"/>
      <c r="J114" s="9"/>
      <c r="K114" s="9"/>
      <c r="L114" s="9"/>
      <c r="M114" s="9"/>
      <c r="N114" s="9"/>
      <c r="O114" s="9"/>
      <c r="P114" s="9"/>
      <c r="Q114" s="98"/>
    </row>
    <row r="115" spans="2:17" ht="19.5" customHeight="1">
      <c r="B115" s="40" t="str">
        <f>IF(Control!$G$23=FALSE, E16, F16&amp;" ("&amp;E16&amp;")")</f>
        <v xml:space="preserve"> (NAS:MSTR)</v>
      </c>
      <c r="C115" s="40">
        <f>IFERROR('Hidden Formulas'!M111,"")</f>
        <v>181.91777748115575</v>
      </c>
      <c r="D115" s="40">
        <f t="shared" si="12"/>
        <v>181.91777748115575</v>
      </c>
      <c r="E115" s="40">
        <f>IFERROR(AVERAGE('Hidden Formulas'!I111:K111),"")</f>
        <v>71.754562836325718</v>
      </c>
      <c r="F115" s="40">
        <f>IFERROR(AVERAGE('Hidden Formulas'!G111:K111),"")</f>
        <v>52.686563284732244</v>
      </c>
      <c r="G115" s="40">
        <f>IFERROR(AVERAGE('Hidden Formulas'!B111:K111),"")</f>
        <v>49.032901096562171</v>
      </c>
      <c r="H115" s="207">
        <f t="shared" si="11"/>
        <v>0.1</v>
      </c>
      <c r="I115" s="9"/>
      <c r="J115" s="9"/>
      <c r="K115" s="9"/>
      <c r="L115" s="9"/>
      <c r="M115" s="9"/>
      <c r="N115" s="9"/>
      <c r="O115" s="9"/>
      <c r="P115" s="9"/>
      <c r="Q115" s="98"/>
    </row>
    <row r="116" spans="2:17">
      <c r="B116" s="9"/>
      <c r="C116" s="9"/>
      <c r="D116" s="9"/>
      <c r="E116" s="9"/>
      <c r="F116" s="9"/>
      <c r="G116" s="9"/>
      <c r="H116" s="9"/>
      <c r="I116" s="9"/>
      <c r="J116" s="9"/>
      <c r="K116" s="9"/>
      <c r="L116" s="9"/>
      <c r="M116" s="9"/>
      <c r="N116" s="9"/>
      <c r="O116" s="9"/>
      <c r="P116" s="9"/>
      <c r="Q116" s="98"/>
    </row>
    <row r="117" spans="2:17">
      <c r="B117" s="14" t="s">
        <v>60</v>
      </c>
      <c r="C117" s="485"/>
      <c r="D117" s="485"/>
      <c r="E117" s="485"/>
      <c r="F117" s="485"/>
      <c r="G117" s="485"/>
      <c r="H117" s="485"/>
      <c r="I117" s="9"/>
      <c r="J117" s="9"/>
      <c r="K117" s="9"/>
      <c r="L117" s="9"/>
      <c r="M117" s="9"/>
      <c r="N117" s="9"/>
      <c r="O117" s="9"/>
      <c r="P117" s="9"/>
      <c r="Q117" s="98"/>
    </row>
    <row r="118" spans="2:17">
      <c r="B118" s="486" t="s">
        <v>71</v>
      </c>
      <c r="C118" s="468" t="s">
        <v>863</v>
      </c>
      <c r="D118" s="468" t="s">
        <v>864</v>
      </c>
      <c r="E118" s="468" t="s">
        <v>862</v>
      </c>
      <c r="F118" s="468" t="s">
        <v>861</v>
      </c>
      <c r="G118" s="468" t="s">
        <v>860</v>
      </c>
      <c r="H118" s="19"/>
      <c r="I118" s="9"/>
      <c r="J118" s="9"/>
      <c r="K118" s="9"/>
      <c r="L118" s="9"/>
      <c r="M118" s="9"/>
      <c r="N118" s="9"/>
      <c r="O118" s="9"/>
      <c r="P118" s="9"/>
      <c r="Q118" s="98"/>
    </row>
    <row r="119" spans="2:17">
      <c r="B119" s="487" t="s">
        <v>54</v>
      </c>
      <c r="C119" s="487">
        <f>SUMPRODUCT(C121:C130, H121:H130)</f>
        <v>5.0414601966473924</v>
      </c>
      <c r="D119" s="487">
        <f>SUMPRODUCT(D121:D130, H121:H130)</f>
        <v>5.0485628421562687</v>
      </c>
      <c r="E119" s="487">
        <f>SUMPRODUCT(E121:E130, H121:H130)</f>
        <v>4.6433192805360459</v>
      </c>
      <c r="F119" s="487">
        <f>SUMPRODUCT(F121:F130, H121:H130)</f>
        <v>4.6409361749332438</v>
      </c>
      <c r="G119" s="487">
        <f>SUMPRODUCT(G121:G130, H121:H130)</f>
        <v>2.4683085491240919</v>
      </c>
      <c r="H119" s="491"/>
      <c r="I119" s="9"/>
      <c r="J119" s="9"/>
      <c r="K119" s="9"/>
      <c r="L119" s="9"/>
      <c r="M119" s="9"/>
      <c r="N119" s="9"/>
      <c r="O119" s="9"/>
      <c r="P119" s="9"/>
      <c r="Q119" s="98"/>
    </row>
    <row r="120" spans="2:17" ht="30.25" customHeight="1">
      <c r="B120" s="489" t="e">
        <f>IF(Control!$G$23=FALSE, E5, F5&amp;" ("&amp;E5&amp;")")</f>
        <v>#NAME?</v>
      </c>
      <c r="C120" s="489">
        <f>IFERROR('Hidden Formulas'!M116,"")</f>
        <v>12.86829069607457</v>
      </c>
      <c r="D120" s="489">
        <f>IFERROR('Hidden Formulas'!K116,"")</f>
        <v>1.5992432640810432</v>
      </c>
      <c r="E120" s="489" t="str">
        <f>IFERROR(AVERAGE('Hidden Formulas'!I116:K116),"")</f>
        <v/>
      </c>
      <c r="F120" s="489" t="str">
        <f>IFERROR(AVERAGE('Hidden Formulas'!G116:K116),"")</f>
        <v/>
      </c>
      <c r="G120" s="489" t="str">
        <f>IFERROR(AVERAGE('Hidden Formulas'!B116:K116),"")</f>
        <v/>
      </c>
      <c r="H120" s="491"/>
      <c r="I120" s="9"/>
      <c r="J120" s="9"/>
      <c r="K120" s="9"/>
      <c r="L120" s="9"/>
      <c r="M120" s="9"/>
      <c r="N120" s="9"/>
      <c r="O120" s="9"/>
      <c r="P120" s="9"/>
      <c r="Q120" s="98"/>
    </row>
    <row r="121" spans="2:17" ht="19.5" customHeight="1">
      <c r="B121" s="40" t="str">
        <f>IF(Control!$G$23=FALSE, E7, F7&amp;" ("&amp;E7&amp;")")</f>
        <v xml:space="preserve"> (NYS:SQ)</v>
      </c>
      <c r="C121" s="40">
        <f>IFERROR('Hidden Formulas'!M118,"")</f>
        <v>1.9477579730149104</v>
      </c>
      <c r="D121" s="40">
        <f>IFERROR('Hidden Formulas'!K118,"")</f>
        <v>2.0187844281036762</v>
      </c>
      <c r="E121" s="40">
        <f>IFERROR(AVERAGE('Hidden Formulas'!I118:K118),"")</f>
        <v>6.9541101897460251</v>
      </c>
      <c r="F121" s="40">
        <f>IFERROR(AVERAGE('Hidden Formulas'!G118:K118),"")</f>
        <v>6.8921078330626244</v>
      </c>
      <c r="G121" s="40" t="str">
        <f>IFERROR(AVERAGE('Hidden Formulas'!B118:K118),"")</f>
        <v/>
      </c>
      <c r="H121" s="207">
        <f t="shared" ref="H121:H130" si="13">I7</f>
        <v>0.1</v>
      </c>
      <c r="I121" s="9"/>
      <c r="J121" s="9"/>
      <c r="K121" s="9"/>
      <c r="L121" s="9"/>
      <c r="M121" s="9"/>
      <c r="N121" s="9"/>
      <c r="O121" s="9"/>
      <c r="P121" s="9"/>
      <c r="Q121" s="98"/>
    </row>
    <row r="122" spans="2:17" ht="19.5" customHeight="1">
      <c r="B122" s="40" t="str">
        <f>IF(Control!$G$23=FALSE, E8, F8&amp;" ("&amp;E8&amp;")")</f>
        <v xml:space="preserve"> (NAS:PYPL)</v>
      </c>
      <c r="C122" s="40">
        <f>IFERROR('Hidden Formulas'!M119,"")</f>
        <v>2.3158006042296071</v>
      </c>
      <c r="D122" s="40">
        <f t="shared" ref="D122:D130" si="14">IFERROR(C122,"")</f>
        <v>2.3158006042296071</v>
      </c>
      <c r="E122" s="40">
        <f>IFERROR(AVERAGE('Hidden Formulas'!I119:K119),"")</f>
        <v>8.6269183985941567</v>
      </c>
      <c r="F122" s="40">
        <f>IFERROR(AVERAGE('Hidden Formulas'!G119:K119),"")</f>
        <v>8.0483158792213949</v>
      </c>
      <c r="G122" s="40" t="str">
        <f>IFERROR(AVERAGE('Hidden Formulas'!B119:K119),"")</f>
        <v/>
      </c>
      <c r="H122" s="207">
        <f t="shared" si="13"/>
        <v>0.1</v>
      </c>
      <c r="I122" s="9"/>
      <c r="J122" s="9"/>
      <c r="K122" s="9"/>
      <c r="L122" s="9"/>
      <c r="M122" s="9"/>
      <c r="N122" s="9"/>
      <c r="O122" s="9"/>
      <c r="P122" s="9"/>
      <c r="Q122" s="98"/>
    </row>
    <row r="123" spans="2:17" ht="19.5" customHeight="1">
      <c r="B123" s="40" t="str">
        <f>IF(Control!$G$23=FALSE, E9, F9&amp;" ("&amp;E9&amp;")")</f>
        <v xml:space="preserve"> (STO:SFL)</v>
      </c>
      <c r="C123" s="40">
        <f>IFERROR('Hidden Formulas'!M120,"")</f>
        <v>0.19441989745375307</v>
      </c>
      <c r="D123" s="40">
        <f t="shared" si="14"/>
        <v>0.19441989745375307</v>
      </c>
      <c r="E123" s="40" t="str">
        <f>IFERROR(AVERAGE('Hidden Formulas'!I120:K120),"")</f>
        <v/>
      </c>
      <c r="F123" s="40" t="str">
        <f>IFERROR(AVERAGE('Hidden Formulas'!G120:K120),"")</f>
        <v/>
      </c>
      <c r="G123" s="40" t="str">
        <f>IFERROR(AVERAGE('Hidden Formulas'!B120:K120),"")</f>
        <v/>
      </c>
      <c r="H123" s="207">
        <f t="shared" si="13"/>
        <v>0.1</v>
      </c>
      <c r="I123" s="9"/>
      <c r="J123" s="9"/>
      <c r="K123" s="9"/>
      <c r="L123" s="9"/>
      <c r="M123" s="9"/>
      <c r="N123" s="9"/>
      <c r="O123" s="9"/>
      <c r="P123" s="9"/>
      <c r="Q123" s="98"/>
    </row>
    <row r="124" spans="2:17" ht="19.5" customHeight="1">
      <c r="B124" s="40" t="str">
        <f>IF(Control!$G$23=FALSE, E10, F10&amp;" ("&amp;E10&amp;")")</f>
        <v xml:space="preserve"> (PINX:VYGVQ)</v>
      </c>
      <c r="C124" s="40" t="str">
        <f>IFERROR('Hidden Formulas'!M121,"")</f>
        <v/>
      </c>
      <c r="D124" s="40" t="str">
        <f t="shared" si="14"/>
        <v/>
      </c>
      <c r="E124" s="40" t="str">
        <f>IFERROR(AVERAGE('Hidden Formulas'!I121:K121),"")</f>
        <v/>
      </c>
      <c r="F124" s="40" t="str">
        <f>IFERROR(AVERAGE('Hidden Formulas'!G121:K121),"")</f>
        <v/>
      </c>
      <c r="G124" s="40" t="str">
        <f>IFERROR(AVERAGE('Hidden Formulas'!B121:K121),"")</f>
        <v/>
      </c>
      <c r="H124" s="207">
        <f t="shared" si="13"/>
        <v>0.1</v>
      </c>
      <c r="I124" s="9"/>
      <c r="J124" s="9"/>
      <c r="K124" s="9"/>
      <c r="L124" s="9"/>
      <c r="M124" s="9"/>
      <c r="N124" s="9"/>
      <c r="O124" s="9"/>
      <c r="P124" s="9"/>
      <c r="Q124" s="98"/>
    </row>
    <row r="125" spans="2:17" ht="19.5" customHeight="1">
      <c r="B125" s="40" t="str">
        <f>IF(Control!$G$23=FALSE, E11, F11&amp;" ("&amp;E11&amp;")")</f>
        <v xml:space="preserve"> (PINX:CRCW)</v>
      </c>
      <c r="C125" s="40">
        <f>IFERROR('Hidden Formulas'!M122,"")</f>
        <v>0.17339813410426649</v>
      </c>
      <c r="D125" s="40">
        <f t="shared" si="14"/>
        <v>0.17339813410426649</v>
      </c>
      <c r="E125" s="40" t="str">
        <f>IFERROR(AVERAGE('Hidden Formulas'!I122:K122),"")</f>
        <v/>
      </c>
      <c r="F125" s="40" t="str">
        <f>IFERROR(AVERAGE('Hidden Formulas'!G122:K122),"")</f>
        <v/>
      </c>
      <c r="G125" s="40" t="str">
        <f>IFERROR(AVERAGE('Hidden Formulas'!B122:K122),"")</f>
        <v/>
      </c>
      <c r="H125" s="207">
        <f t="shared" si="13"/>
        <v>0.1</v>
      </c>
      <c r="I125" s="9"/>
      <c r="J125" s="9"/>
      <c r="K125" s="9"/>
      <c r="L125" s="9"/>
      <c r="M125" s="9"/>
      <c r="N125" s="9"/>
      <c r="O125" s="9"/>
      <c r="P125" s="9"/>
      <c r="Q125" s="98"/>
    </row>
    <row r="126" spans="2:17" ht="19.5" customHeight="1">
      <c r="B126" s="40" t="str">
        <f>IF(Control!$G$23=FALSE, E12, F12&amp;" ("&amp;E12&amp;")")</f>
        <v xml:space="preserve"> (STU:WD0)</v>
      </c>
      <c r="C126" s="40" t="str">
        <f>IFERROR('Hidden Formulas'!M123,"")</f>
        <v/>
      </c>
      <c r="D126" s="40" t="str">
        <f t="shared" si="14"/>
        <v/>
      </c>
      <c r="E126" s="40" t="str">
        <f>IFERROR(AVERAGE('Hidden Formulas'!I123:K123),"")</f>
        <v/>
      </c>
      <c r="F126" s="40" t="str">
        <f>IFERROR(AVERAGE('Hidden Formulas'!G123:K123),"")</f>
        <v/>
      </c>
      <c r="G126" s="40" t="str">
        <f>IFERROR(AVERAGE('Hidden Formulas'!B123:K123),"")</f>
        <v/>
      </c>
      <c r="H126" s="207">
        <f t="shared" si="13"/>
        <v>0.1</v>
      </c>
      <c r="I126" s="9"/>
      <c r="J126" s="9"/>
      <c r="K126" s="9"/>
      <c r="L126" s="9"/>
      <c r="M126" s="9"/>
      <c r="N126" s="9"/>
      <c r="O126" s="9"/>
      <c r="P126" s="9"/>
      <c r="Q126" s="98"/>
    </row>
    <row r="127" spans="2:17" ht="19.5" customHeight="1">
      <c r="B127" s="40" t="str">
        <f>IF(Control!$G$23=FALSE, E13, F13&amp;" ("&amp;E13&amp;")")</f>
        <v xml:space="preserve"> (NAS:HOOD)</v>
      </c>
      <c r="C127" s="40">
        <f>IFERROR('Hidden Formulas'!M124,"")</f>
        <v>6.0143159715896282</v>
      </c>
      <c r="D127" s="40">
        <f t="shared" si="14"/>
        <v>6.0143159715896282</v>
      </c>
      <c r="E127" s="40" t="str">
        <f>IFERROR(AVERAGE('Hidden Formulas'!I124:K124),"")</f>
        <v/>
      </c>
      <c r="F127" s="40" t="str">
        <f>IFERROR(AVERAGE('Hidden Formulas'!G124:K124),"")</f>
        <v/>
      </c>
      <c r="G127" s="40" t="str">
        <f>IFERROR(AVERAGE('Hidden Formulas'!B124:K124),"")</f>
        <v/>
      </c>
      <c r="H127" s="207">
        <f t="shared" si="13"/>
        <v>0.1</v>
      </c>
      <c r="I127" s="9"/>
      <c r="J127" s="9"/>
      <c r="K127" s="9"/>
      <c r="L127" s="9"/>
      <c r="M127" s="9"/>
      <c r="N127" s="9"/>
      <c r="O127" s="9"/>
      <c r="P127" s="9"/>
      <c r="Q127" s="98"/>
    </row>
    <row r="128" spans="2:17" ht="19.5" customHeight="1">
      <c r="B128" s="40" t="str">
        <f>IF(Control!$G$23=FALSE, E14, F14&amp;" ("&amp;E14&amp;")")</f>
        <v xml:space="preserve"> (BOM:532960)</v>
      </c>
      <c r="C128" s="40">
        <f>IFERROR('Hidden Formulas'!M125,"")</f>
        <v>6.1966119306490048</v>
      </c>
      <c r="D128" s="40">
        <f t="shared" si="14"/>
        <v>6.1966119306490048</v>
      </c>
      <c r="E128" s="40">
        <f>IFERROR(AVERAGE('Hidden Formulas'!I125:K125),"")</f>
        <v>4.0399363382003992</v>
      </c>
      <c r="F128" s="40">
        <f>IFERROR(AVERAGE('Hidden Formulas'!G125:K125),"")</f>
        <v>7.6565071753280263</v>
      </c>
      <c r="G128" s="40">
        <f>IFERROR(AVERAGE('Hidden Formulas'!B125:K125),"")</f>
        <v>5.1038252452970783</v>
      </c>
      <c r="H128" s="207">
        <f t="shared" si="13"/>
        <v>0.1</v>
      </c>
      <c r="I128" s="9"/>
      <c r="J128" s="9"/>
      <c r="K128" s="9"/>
      <c r="L128" s="9"/>
      <c r="M128" s="9"/>
      <c r="N128" s="9"/>
      <c r="O128" s="9"/>
      <c r="P128" s="9"/>
      <c r="Q128" s="98"/>
    </row>
    <row r="129" spans="2:17" ht="19.5" customHeight="1">
      <c r="B129" s="40" t="str">
        <f>IF(Control!$G$23=FALSE, E15, F15&amp;" ("&amp;E15&amp;")")</f>
        <v xml:space="preserve"> (NYS:MA)</v>
      </c>
      <c r="C129" s="40">
        <f>IFERROR('Hidden Formulas'!M126,"")</f>
        <v>16.390720851971928</v>
      </c>
      <c r="D129" s="40">
        <f t="shared" si="14"/>
        <v>16.390720851971928</v>
      </c>
      <c r="E129" s="40">
        <f>IFERROR(AVERAGE('Hidden Formulas'!I126:K126),"")</f>
        <v>19.637075739178936</v>
      </c>
      <c r="F129" s="40">
        <f>IFERROR(AVERAGE('Hidden Formulas'!G126:K126),"")</f>
        <v>18.304141376897899</v>
      </c>
      <c r="G129" s="40">
        <f>IFERROR(AVERAGE('Hidden Formulas'!B126:K126),"")</f>
        <v>15.146301088923371</v>
      </c>
      <c r="H129" s="207">
        <f t="shared" si="13"/>
        <v>0.1</v>
      </c>
      <c r="I129" s="9"/>
      <c r="J129" s="9"/>
      <c r="K129" s="9"/>
      <c r="L129" s="9"/>
      <c r="M129" s="9"/>
      <c r="N129" s="9"/>
      <c r="O129" s="9"/>
      <c r="P129" s="9"/>
      <c r="Q129" s="98"/>
    </row>
    <row r="130" spans="2:17" ht="19.5" customHeight="1">
      <c r="B130" s="40" t="str">
        <f>IF(Control!$G$23=FALSE, E16, F16&amp;" ("&amp;E16&amp;")")</f>
        <v xml:space="preserve"> (NAS:MSTR)</v>
      </c>
      <c r="C130" s="40">
        <f>IFERROR('Hidden Formulas'!M127,"")</f>
        <v>17.181576603460822</v>
      </c>
      <c r="D130" s="40">
        <f t="shared" si="14"/>
        <v>17.181576603460822</v>
      </c>
      <c r="E130" s="40">
        <f>IFERROR(AVERAGE('Hidden Formulas'!I127:K127),"")</f>
        <v>7.1751521396409421</v>
      </c>
      <c r="F130" s="40">
        <f>IFERROR(AVERAGE('Hidden Formulas'!G127:K127),"")</f>
        <v>5.5082894848224901</v>
      </c>
      <c r="G130" s="40">
        <f>IFERROR(AVERAGE('Hidden Formulas'!B127:K127),"")</f>
        <v>4.4329591570204645</v>
      </c>
      <c r="H130" s="207">
        <f t="shared" si="13"/>
        <v>0.1</v>
      </c>
      <c r="I130" s="9"/>
      <c r="J130" s="9"/>
      <c r="K130" s="9"/>
      <c r="L130" s="9"/>
      <c r="M130" s="9"/>
      <c r="N130" s="9"/>
      <c r="O130" s="9"/>
      <c r="P130" s="9"/>
      <c r="Q130" s="98"/>
    </row>
    <row r="131" spans="2:17">
      <c r="B131" s="9"/>
      <c r="C131" s="9"/>
      <c r="D131" s="9"/>
      <c r="E131" s="9"/>
      <c r="F131" s="9"/>
      <c r="G131" s="9"/>
      <c r="H131" s="9"/>
      <c r="I131" s="9"/>
      <c r="J131" s="9"/>
      <c r="K131" s="9"/>
      <c r="L131" s="9"/>
      <c r="M131" s="9"/>
      <c r="N131" s="9"/>
      <c r="O131" s="9"/>
      <c r="P131" s="9"/>
      <c r="Q131" s="98"/>
    </row>
    <row r="132" spans="2:17">
      <c r="B132" s="14" t="s">
        <v>61</v>
      </c>
      <c r="C132" s="485"/>
      <c r="D132" s="485"/>
      <c r="E132" s="485"/>
      <c r="F132" s="485"/>
      <c r="G132" s="485"/>
      <c r="H132" s="485"/>
      <c r="I132" s="9"/>
      <c r="J132" s="9"/>
      <c r="K132" s="9"/>
      <c r="L132" s="9"/>
      <c r="M132" s="9"/>
      <c r="N132" s="9"/>
      <c r="O132" s="9"/>
      <c r="P132" s="9"/>
      <c r="Q132" s="98"/>
    </row>
    <row r="133" spans="2:17">
      <c r="B133" s="486" t="s">
        <v>71</v>
      </c>
      <c r="C133" s="468" t="s">
        <v>863</v>
      </c>
      <c r="D133" s="468" t="s">
        <v>864</v>
      </c>
      <c r="E133" s="468" t="s">
        <v>862</v>
      </c>
      <c r="F133" s="468" t="s">
        <v>861</v>
      </c>
      <c r="G133" s="468" t="s">
        <v>860</v>
      </c>
      <c r="H133" s="19"/>
      <c r="I133" s="9"/>
      <c r="J133" s="9"/>
      <c r="K133" s="9"/>
      <c r="L133" s="9"/>
      <c r="M133" s="9"/>
      <c r="N133" s="9"/>
      <c r="O133" s="9"/>
      <c r="P133" s="9"/>
      <c r="Q133" s="98"/>
    </row>
    <row r="134" spans="2:17">
      <c r="B134" s="487" t="s">
        <v>54</v>
      </c>
      <c r="C134" s="487">
        <f>SUMPRODUCT(C136:C145, H136:H145)</f>
        <v>8.4222550273030308</v>
      </c>
      <c r="D134" s="487">
        <f>SUMPRODUCT(D136:D145, H136:H145)</f>
        <v>8.4191028407527959</v>
      </c>
      <c r="E134" s="487">
        <f>SUMPRODUCT(E136:E145, H136:H145)</f>
        <v>9.1281124403088896</v>
      </c>
      <c r="F134" s="487">
        <f>SUMPRODUCT(F136:F145, H136:H145)</f>
        <v>8.7548380257739673</v>
      </c>
      <c r="G134" s="487">
        <f>SUMPRODUCT(G136:G145, H136:H145)</f>
        <v>3.7939682237104169</v>
      </c>
      <c r="H134" s="491"/>
      <c r="I134" s="9"/>
      <c r="J134" s="9"/>
      <c r="K134" s="9"/>
      <c r="L134" s="9"/>
      <c r="M134" s="9"/>
      <c r="N134" s="9"/>
      <c r="O134" s="9"/>
      <c r="P134" s="9"/>
      <c r="Q134" s="98"/>
    </row>
    <row r="135" spans="2:17" ht="30.25" customHeight="1">
      <c r="B135" s="489" t="e">
        <f>IF(Control!$G$23=FALSE, E5, F5&amp;" ("&amp;E5&amp;")")</f>
        <v>#NAME?</v>
      </c>
      <c r="C135" s="489">
        <f>IFERROR('Hidden Formulas'!M132,"")</f>
        <v>6.2216556938081862</v>
      </c>
      <c r="D135" s="489">
        <f>IFERROR('Hidden Formulas'!K132,"")</f>
        <v>1.4253647280680162</v>
      </c>
      <c r="E135" s="489" t="str">
        <f>IFERROR(AVERAGE('Hidden Formulas'!I132:K132),"")</f>
        <v/>
      </c>
      <c r="F135" s="489" t="str">
        <f>IFERROR(AVERAGE('Hidden Formulas'!G132:K132),"")</f>
        <v/>
      </c>
      <c r="G135" s="489" t="str">
        <f>IFERROR(AVERAGE('Hidden Formulas'!B132:K132),"")</f>
        <v/>
      </c>
      <c r="H135" s="491"/>
      <c r="I135" s="9"/>
      <c r="J135" s="9"/>
      <c r="K135" s="9"/>
      <c r="L135" s="9"/>
      <c r="M135" s="9"/>
      <c r="N135" s="9"/>
      <c r="O135" s="9"/>
      <c r="P135" s="9"/>
      <c r="Q135" s="98"/>
    </row>
    <row r="136" spans="2:17" ht="19.5" customHeight="1">
      <c r="B136" s="40" t="str">
        <f>IF(Control!$G$23=FALSE, E7, F7&amp;" ("&amp;E7&amp;")")</f>
        <v xml:space="preserve"> (NYS:SQ)</v>
      </c>
      <c r="C136" s="40">
        <f>IFERROR('Hidden Formulas'!M134,"")</f>
        <v>2.3037453900764957</v>
      </c>
      <c r="D136" s="40">
        <f>IFERROR('Hidden Formulas'!K134,"")</f>
        <v>2.2722235245741462</v>
      </c>
      <c r="E136" s="40">
        <f>IFERROR(AVERAGE('Hidden Formulas'!I134:K134),"")</f>
        <v>24.886967408150131</v>
      </c>
      <c r="F136" s="40">
        <f>IFERROR(AVERAGE('Hidden Formulas'!G134:K134),"")</f>
        <v>23.350209708828153</v>
      </c>
      <c r="G136" s="40" t="str">
        <f>IFERROR(AVERAGE('Hidden Formulas'!B134:K134),"")</f>
        <v/>
      </c>
      <c r="H136" s="207">
        <f t="shared" ref="H136:H145" si="15">I7</f>
        <v>0.1</v>
      </c>
      <c r="I136" s="9"/>
      <c r="J136" s="9"/>
      <c r="K136" s="9"/>
      <c r="L136" s="9"/>
      <c r="M136" s="9"/>
      <c r="N136" s="9"/>
      <c r="O136" s="9"/>
      <c r="P136" s="9"/>
      <c r="Q136" s="98"/>
    </row>
    <row r="137" spans="2:17" ht="19.5" customHeight="1">
      <c r="B137" s="40" t="str">
        <f>IF(Control!$G$23=FALSE, E8, F8&amp;" ("&amp;E8&amp;")")</f>
        <v xml:space="preserve"> (NAS:PYPL)</v>
      </c>
      <c r="C137" s="40">
        <f>IFERROR('Hidden Formulas'!M135,"")</f>
        <v>3.2892401215805469</v>
      </c>
      <c r="D137" s="40">
        <f t="shared" ref="D137:D145" si="16">IFERROR(C137,"")</f>
        <v>3.2892401215805469</v>
      </c>
      <c r="E137" s="40">
        <f>IFERROR(AVERAGE('Hidden Formulas'!I135:K135),"")</f>
        <v>9.6347005109419719</v>
      </c>
      <c r="F137" s="40">
        <f>IFERROR(AVERAGE('Hidden Formulas'!G135:K135),"")</f>
        <v>8.632424468673765</v>
      </c>
      <c r="G137" s="40" t="str">
        <f>IFERROR(AVERAGE('Hidden Formulas'!B135:K135),"")</f>
        <v/>
      </c>
      <c r="H137" s="207">
        <f t="shared" si="15"/>
        <v>0.1</v>
      </c>
      <c r="I137" s="9"/>
      <c r="J137" s="9"/>
      <c r="K137" s="9"/>
      <c r="L137" s="9"/>
      <c r="M137" s="9"/>
      <c r="N137" s="9"/>
      <c r="O137" s="9"/>
      <c r="P137" s="9"/>
      <c r="Q137" s="98"/>
    </row>
    <row r="138" spans="2:17" ht="19.5" customHeight="1">
      <c r="B138" s="40" t="str">
        <f>IF(Control!$G$23=FALSE, E9, F9&amp;" ("&amp;E9&amp;")")</f>
        <v xml:space="preserve"> (STO:SFL)</v>
      </c>
      <c r="C138" s="40">
        <f>IFERROR('Hidden Formulas'!M136,"")</f>
        <v>3.1564124902676678</v>
      </c>
      <c r="D138" s="40">
        <f t="shared" si="16"/>
        <v>3.1564124902676678</v>
      </c>
      <c r="E138" s="40" t="str">
        <f>IFERROR(AVERAGE('Hidden Formulas'!I136:K136),"")</f>
        <v/>
      </c>
      <c r="F138" s="40" t="str">
        <f>IFERROR(AVERAGE('Hidden Formulas'!G136:K136),"")</f>
        <v/>
      </c>
      <c r="G138" s="40" t="str">
        <f>IFERROR(AVERAGE('Hidden Formulas'!B136:K136),"")</f>
        <v/>
      </c>
      <c r="H138" s="207">
        <f t="shared" si="15"/>
        <v>0.1</v>
      </c>
      <c r="I138" s="9"/>
      <c r="J138" s="9"/>
      <c r="K138" s="9"/>
      <c r="L138" s="9"/>
      <c r="M138" s="9"/>
      <c r="N138" s="9"/>
      <c r="O138" s="9"/>
      <c r="P138" s="9"/>
      <c r="Q138" s="98"/>
    </row>
    <row r="139" spans="2:17" ht="19.5" customHeight="1">
      <c r="B139" s="40" t="str">
        <f>IF(Control!$G$23=FALSE, E10, F10&amp;" ("&amp;E10&amp;")")</f>
        <v xml:space="preserve"> (PINX:VYGVQ)</v>
      </c>
      <c r="C139" s="40" t="str">
        <f>IFERROR('Hidden Formulas'!M137,"")</f>
        <v/>
      </c>
      <c r="D139" s="40" t="str">
        <f t="shared" si="16"/>
        <v/>
      </c>
      <c r="E139" s="40" t="str">
        <f>IFERROR(AVERAGE('Hidden Formulas'!I137:K137),"")</f>
        <v/>
      </c>
      <c r="F139" s="40" t="str">
        <f>IFERROR(AVERAGE('Hidden Formulas'!G137:K137),"")</f>
        <v/>
      </c>
      <c r="G139" s="40" t="str">
        <f>IFERROR(AVERAGE('Hidden Formulas'!B137:K137),"")</f>
        <v/>
      </c>
      <c r="H139" s="207">
        <f t="shared" si="15"/>
        <v>0.1</v>
      </c>
      <c r="I139" s="9"/>
      <c r="J139" s="9"/>
      <c r="K139" s="9"/>
      <c r="L139" s="9"/>
      <c r="M139" s="9"/>
      <c r="N139" s="9"/>
      <c r="O139" s="9"/>
      <c r="P139" s="9"/>
      <c r="Q139" s="98"/>
    </row>
    <row r="140" spans="2:17" ht="19.5" customHeight="1">
      <c r="B140" s="40" t="str">
        <f>IF(Control!$G$23=FALSE, E11, F11&amp;" ("&amp;E11&amp;")")</f>
        <v xml:space="preserve"> (PINX:CRCW)</v>
      </c>
      <c r="C140" s="40" t="str">
        <f>IFERROR('Hidden Formulas'!M138,"")</f>
        <v/>
      </c>
      <c r="D140" s="40" t="str">
        <f t="shared" si="16"/>
        <v/>
      </c>
      <c r="E140" s="40" t="str">
        <f>IFERROR(AVERAGE('Hidden Formulas'!I138:K138),"")</f>
        <v/>
      </c>
      <c r="F140" s="40" t="str">
        <f>IFERROR(AVERAGE('Hidden Formulas'!G138:K138),"")</f>
        <v/>
      </c>
      <c r="G140" s="40" t="str">
        <f>IFERROR(AVERAGE('Hidden Formulas'!B138:K138),"")</f>
        <v/>
      </c>
      <c r="H140" s="207">
        <f t="shared" si="15"/>
        <v>0.1</v>
      </c>
      <c r="I140" s="9"/>
      <c r="J140" s="9"/>
      <c r="K140" s="9"/>
      <c r="L140" s="9"/>
      <c r="M140" s="9"/>
      <c r="N140" s="9"/>
      <c r="O140" s="9"/>
      <c r="P140" s="9"/>
      <c r="Q140" s="98"/>
    </row>
    <row r="141" spans="2:17" ht="19.5" customHeight="1">
      <c r="B141" s="40" t="str">
        <f>IF(Control!$G$23=FALSE, E12, F12&amp;" ("&amp;E12&amp;")")</f>
        <v xml:space="preserve"> (STU:WD0)</v>
      </c>
      <c r="C141" s="40" t="str">
        <f>IFERROR('Hidden Formulas'!M139,"")</f>
        <v/>
      </c>
      <c r="D141" s="40" t="str">
        <f t="shared" si="16"/>
        <v/>
      </c>
      <c r="E141" s="40" t="str">
        <f>IFERROR(AVERAGE('Hidden Formulas'!I139:K139),"")</f>
        <v/>
      </c>
      <c r="F141" s="40" t="str">
        <f>IFERROR(AVERAGE('Hidden Formulas'!G139:K139),"")</f>
        <v/>
      </c>
      <c r="G141" s="40" t="str">
        <f>IFERROR(AVERAGE('Hidden Formulas'!B139:K139),"")</f>
        <v/>
      </c>
      <c r="H141" s="207">
        <f t="shared" si="15"/>
        <v>0.1</v>
      </c>
      <c r="I141" s="9"/>
      <c r="J141" s="9"/>
      <c r="K141" s="9"/>
      <c r="L141" s="9"/>
      <c r="M141" s="9"/>
      <c r="N141" s="9"/>
      <c r="O141" s="9"/>
      <c r="P141" s="9"/>
      <c r="Q141" s="98"/>
    </row>
    <row r="142" spans="2:17" ht="19.5" customHeight="1">
      <c r="B142" s="40" t="str">
        <f>IF(Control!$G$23=FALSE, E13, F13&amp;" ("&amp;E13&amp;")")</f>
        <v xml:space="preserve"> (NAS:HOOD)</v>
      </c>
      <c r="C142" s="40">
        <f>IFERROR('Hidden Formulas'!M140,"")</f>
        <v>1.5613702655004562</v>
      </c>
      <c r="D142" s="40">
        <f t="shared" si="16"/>
        <v>1.5613702655004562</v>
      </c>
      <c r="E142" s="40" t="str">
        <f>IFERROR(AVERAGE('Hidden Formulas'!I140:K140),"")</f>
        <v/>
      </c>
      <c r="F142" s="40" t="str">
        <f>IFERROR(AVERAGE('Hidden Formulas'!G140:K140),"")</f>
        <v/>
      </c>
      <c r="G142" s="40" t="str">
        <f>IFERROR(AVERAGE('Hidden Formulas'!B140:K140),"")</f>
        <v/>
      </c>
      <c r="H142" s="207">
        <f t="shared" si="15"/>
        <v>0.1</v>
      </c>
      <c r="I142" s="9"/>
      <c r="J142" s="9"/>
      <c r="K142" s="9"/>
      <c r="L142" s="9"/>
      <c r="M142" s="9"/>
      <c r="N142" s="9"/>
      <c r="O142" s="9"/>
      <c r="P142" s="9"/>
      <c r="Q142" s="98"/>
    </row>
    <row r="143" spans="2:17" ht="19.5" customHeight="1">
      <c r="B143" s="40" t="str">
        <f>IF(Control!$G$23=FALSE, E14, F14&amp;" ("&amp;E14&amp;")")</f>
        <v xml:space="preserve"> (BOM:532960)</v>
      </c>
      <c r="C143" s="40">
        <f>IFERROR('Hidden Formulas'!M141,"")</f>
        <v>0.61341083618398362</v>
      </c>
      <c r="D143" s="40">
        <f t="shared" si="16"/>
        <v>0.61341083618398362</v>
      </c>
      <c r="E143" s="40">
        <f>IFERROR(AVERAGE('Hidden Formulas'!I141:K141),"")</f>
        <v>1.1420793857352445</v>
      </c>
      <c r="F143" s="40">
        <f>IFERROR(AVERAGE('Hidden Formulas'!G141:K141),"")</f>
        <v>3.245972882505324</v>
      </c>
      <c r="G143" s="40">
        <f>IFERROR(AVERAGE('Hidden Formulas'!B141:K141),"")</f>
        <v>2.8860970259827221</v>
      </c>
      <c r="H143" s="207">
        <f t="shared" si="15"/>
        <v>0.1</v>
      </c>
      <c r="I143" s="9"/>
      <c r="J143" s="9"/>
      <c r="K143" s="9"/>
      <c r="L143" s="9"/>
      <c r="M143" s="9"/>
      <c r="N143" s="9"/>
      <c r="O143" s="9"/>
      <c r="P143" s="9"/>
      <c r="Q143" s="98"/>
    </row>
    <row r="144" spans="2:17" ht="19.5" customHeight="1">
      <c r="B144" s="40" t="str">
        <f>IF(Control!$G$23=FALSE, E15, F15&amp;" ("&amp;E15&amp;")")</f>
        <v xml:space="preserve"> (NYS:MA)</v>
      </c>
      <c r="C144" s="40">
        <f>IFERROR('Hidden Formulas'!M142,"")</f>
        <v>62.404591982253216</v>
      </c>
      <c r="D144" s="40">
        <f t="shared" si="16"/>
        <v>62.404591982253216</v>
      </c>
      <c r="E144" s="40">
        <f>IFERROR(AVERAGE('Hidden Formulas'!I142:K142),"")</f>
        <v>55.617377098261535</v>
      </c>
      <c r="F144" s="40">
        <f>IFERROR(AVERAGE('Hidden Formulas'!G142:K142),"")</f>
        <v>52.319773197732431</v>
      </c>
      <c r="G144" s="40">
        <f>IFERROR(AVERAGE('Hidden Formulas'!B142:K142),"")</f>
        <v>35.053585211121444</v>
      </c>
      <c r="H144" s="207">
        <f t="shared" si="15"/>
        <v>0.1</v>
      </c>
      <c r="I144" s="9"/>
      <c r="J144" s="9"/>
      <c r="K144" s="9"/>
      <c r="L144" s="9"/>
      <c r="M144" s="9"/>
      <c r="N144" s="9"/>
      <c r="O144" s="9"/>
      <c r="P144" s="9"/>
      <c r="Q144" s="98"/>
    </row>
    <row r="145" spans="2:17" ht="19.5" customHeight="1">
      <c r="B145" s="40" t="str">
        <f>IF(Control!$G$23=FALSE, E16, F16&amp;" ("&amp;E16&amp;")")</f>
        <v xml:space="preserve"> (NAS:MSTR)</v>
      </c>
      <c r="C145" s="40">
        <f>IFERROR('Hidden Formulas'!M143,"")</f>
        <v>10.89377918716794</v>
      </c>
      <c r="D145" s="40">
        <f t="shared" si="16"/>
        <v>10.89377918716794</v>
      </c>
      <c r="E145" s="40" t="str">
        <f>IFERROR(AVERAGE('Hidden Formulas'!I143:K143),"")</f>
        <v/>
      </c>
      <c r="F145" s="40" t="str">
        <f>IFERROR(AVERAGE('Hidden Formulas'!G143:K143),"")</f>
        <v/>
      </c>
      <c r="G145" s="40" t="str">
        <f>IFERROR(AVERAGE('Hidden Formulas'!B143:K143),"")</f>
        <v/>
      </c>
      <c r="H145" s="207">
        <f t="shared" si="15"/>
        <v>0.1</v>
      </c>
      <c r="I145" s="9"/>
      <c r="J145" s="9"/>
      <c r="K145" s="9"/>
      <c r="L145" s="9"/>
      <c r="M145" s="9"/>
      <c r="N145" s="9"/>
      <c r="O145" s="9"/>
      <c r="P145" s="9"/>
      <c r="Q145" s="98"/>
    </row>
    <row r="146" spans="2:17">
      <c r="B146" s="98"/>
      <c r="C146" s="98"/>
      <c r="D146" s="98"/>
      <c r="E146" s="98"/>
      <c r="F146" s="98"/>
      <c r="G146" s="98"/>
      <c r="H146" s="98"/>
      <c r="I146" s="98"/>
      <c r="J146" s="98"/>
      <c r="K146" s="98"/>
      <c r="L146" s="98"/>
      <c r="M146" s="98"/>
      <c r="N146" s="98"/>
      <c r="O146" s="98"/>
      <c r="P146" s="98"/>
      <c r="Q146" s="98"/>
    </row>
  </sheetData>
  <sheetProtection algorithmName="SHA-512" hashValue="57XZgVI0Wl4e1L68k9o9XhJk5/neBhYKvPRdHuAxjzVpGO8beaVoZoAG2Em8X46vjtc0Q96a0ydgN6YTwnTIRg==" saltValue="onmou4BBG+XeByid/5h8TA==" spinCount="100000" sheet="1" objects="1" scenarios="1"/>
  <conditionalFormatting sqref="O20:O21">
    <cfRule type="cellIs" dxfId="7" priority="8" operator="lessThan">
      <formula>99.99</formula>
    </cfRule>
  </conditionalFormatting>
  <conditionalFormatting sqref="O24">
    <cfRule type="cellIs" dxfId="6" priority="7" operator="lessThan">
      <formula>99.99</formula>
    </cfRule>
  </conditionalFormatting>
  <conditionalFormatting sqref="N28:O28">
    <cfRule type="cellIs" dxfId="5" priority="6" operator="lessThan">
      <formula>99.99</formula>
    </cfRule>
  </conditionalFormatting>
  <conditionalFormatting sqref="O25">
    <cfRule type="cellIs" dxfId="4" priority="3" operator="lessThan">
      <formula>99.99</formula>
    </cfRule>
  </conditionalFormatting>
  <conditionalFormatting sqref="N29:O29">
    <cfRule type="cellIs" dxfId="3" priority="2" operator="lessThan">
      <formula>99.99</formula>
    </cfRule>
  </conditionalFormatting>
  <conditionalFormatting sqref="G9:H9">
    <cfRule type="cellIs" dxfId="2" priority="1" operator="lessThan">
      <formula>99.99</formula>
    </cfRule>
  </conditionalFormatting>
  <dataValidations count="1">
    <dataValidation type="list" allowBlank="1" showInputMessage="1" showErrorMessage="1" sqref="B19" xr:uid="{98B9412B-90D9-43C4-8448-7767F0596FAF}">
      <formula1>$Q$3:$Q$5</formula1>
    </dataValidation>
  </dataValidations>
  <hyperlinks>
    <hyperlink ref="B33" location="Comparables!A1" display="Return to Top" xr:uid="{8EDADEB1-ECC7-4C97-99DC-B445B15E20A8}"/>
    <hyperlink ref="B47" location="Comparables!A1" display="Return to Top" xr:uid="{E88449C0-C224-4C58-8709-44D87DF5006C}"/>
    <hyperlink ref="B61" location="Comparables!A1" display="Return to Top" xr:uid="{4897AD5A-9E9E-4EB0-AB03-B2BD109CFAC8}"/>
    <hyperlink ref="B75" location="Comparables!A1" display="Return to Top" xr:uid="{758FD4E2-B89F-42A2-A887-A3A15A8FD6CF}"/>
    <hyperlink ref="B89" location="Comparables!A1" display="Return to Top" xr:uid="{E3C17DAA-76DA-4B54-9509-8688966335EA}"/>
    <hyperlink ref="B103" location="Comparables!A1" display="Return to Top" xr:uid="{C6DD9B6B-A95C-4B0F-8996-C7ABA36714EE}"/>
    <hyperlink ref="B118" location="Comparables!A1" display="Return to Top" xr:uid="{4A924A83-FDB8-4882-BB6B-91AEFB795D0A}"/>
    <hyperlink ref="B133" location="Comparables!A1" display="Return to Top" xr:uid="{F2D83031-281C-49DA-916E-D2E7ABE4EE71}"/>
    <hyperlink ref="J89" location="Comparables!A1" display="Return to Top" xr:uid="{26BF81C4-E735-4B9D-980C-0D8E2E60A056}"/>
    <hyperlink ref="J75" location="Comparables!A1" display="Return to Top" xr:uid="{D574439B-79EC-4D3C-9E17-66C6C9AD0B0A}"/>
    <hyperlink ref="J61" location="Comparables!A1" display="Return to Top" xr:uid="{A522CAEB-AEB7-481F-9A0A-1200579FF02F}"/>
    <hyperlink ref="J47" location="Comparables!A1" display="Return to Top" xr:uid="{E945A47C-D990-4F67-8108-D08CCC3AD03F}"/>
    <hyperlink ref="J33" location="Comparables!A1" display="Return to Top" xr:uid="{38F333F2-79C5-4C32-99EF-2548F17E6FF8}"/>
    <hyperlink ref="K7" location="Comparables!A62" display="EV/Forward EBITDA" xr:uid="{7346A027-103B-4090-9FFC-4CE6F2A8268C}"/>
    <hyperlink ref="K8" location="Comparables!A78" display="P/E" xr:uid="{D74EF659-D610-4BF9-BFC8-FB050AD92B05}"/>
    <hyperlink ref="K9" location="Comparables!A94" display="Normalized P/E" xr:uid="{E2A67E52-8AA0-4AAD-BC51-C0E3495B90C5}"/>
    <hyperlink ref="K10" location="Comparables!A110" display="EV/Forward EBIT " xr:uid="{BECE0467-3B32-42AA-B779-24E633B4570A}"/>
    <hyperlink ref="K11" location="Comparables!A126" display="Normalized EV/EBIT" xr:uid="{5E84B9A5-3D29-41AD-8FA3-300A2620FDB5}"/>
    <hyperlink ref="K12" location="Comparables!A142" display="Price/Sales" xr:uid="{5CA1DE21-AFC7-4D51-A900-F660515D1F91}"/>
    <hyperlink ref="K13" location="Comparables!A158" display="Price/Book" xr:uid="{813251C6-EA5D-4500-9808-B1440F241F71}"/>
    <hyperlink ref="M6" location="Comparables!F46" display="Revenue Growth" xr:uid="{F97924CB-E74A-4DB3-A7EC-7DDBE9D8A03E}"/>
    <hyperlink ref="M7" location="Comparables!F62" display="EBITDA Growth" xr:uid="{0A03C5F3-17CC-4220-99E1-0F254B8A23C2}"/>
    <hyperlink ref="M8" location="Comparables!F78" display="EBIT Margin" xr:uid="{F2F848FD-7EA9-4840-BAD0-5398106146CE}"/>
    <hyperlink ref="M9" location="Comparables!F94" display="DD&amp;A as % of Sales" xr:uid="{7AB224CE-BB95-40C3-8464-5685643B12E6}"/>
    <hyperlink ref="M10" location="Comparables!F110" display="Capital Spending as % Sales" xr:uid="{438881F0-0119-40C7-AC08-3CA49751CA5A}"/>
    <hyperlink ref="K6" location="Comparables!A46" display="Normalized EV/EBITDA" xr:uid="{60D9474D-FD00-4326-8A31-9323611DDE12}"/>
  </hyperlinks>
  <pageMargins left="0.7" right="0.7" top="0.75" bottom="0.75" header="0.3" footer="0.3"/>
  <pageSetup scale="33"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CDD3F-A861-4444-A552-20187A921FB1}">
  <sheetPr codeName="Sheet16"/>
  <dimension ref="A1:EY238"/>
  <sheetViews>
    <sheetView showOutlineSymbols="0" topLeftCell="A157" workbookViewId="0">
      <selection activeCell="A66" sqref="A66:XFD66"/>
    </sheetView>
  </sheetViews>
  <sheetFormatPr baseColWidth="10" defaultColWidth="9.6640625" defaultRowHeight="14" outlineLevelCol="2"/>
  <cols>
    <col min="1" max="1" width="62.5" style="580" customWidth="1"/>
    <col min="2" max="2" width="15.5" style="577" customWidth="1" outlineLevel="2"/>
    <col min="3" max="11" width="15.5" style="578" customWidth="1" outlineLevel="2"/>
    <col min="12" max="16" width="15.5" style="578" customWidth="1" outlineLevel="1"/>
    <col min="17" max="17" width="22" style="578" customWidth="1" outlineLevel="1"/>
    <col min="18" max="26" width="15.5" style="578" customWidth="1" outlineLevel="1"/>
    <col min="27" max="27" width="12.1640625" style="578" customWidth="1"/>
    <col min="28" max="31" width="15.5" style="578" hidden="1" customWidth="1" outlineLevel="2"/>
    <col min="32" max="32" width="15.5" style="578" customWidth="1" outlineLevel="1" collapsed="1"/>
    <col min="33" max="36" width="15.5" style="578" hidden="1" customWidth="1" outlineLevel="2"/>
    <col min="37" max="37" width="15.5" style="578" customWidth="1" outlineLevel="1" collapsed="1"/>
    <col min="38" max="38" width="15.5" style="578" hidden="1" customWidth="1" outlineLevel="2" collapsed="1"/>
    <col min="39" max="41" width="15.5" style="578" hidden="1" customWidth="1" outlineLevel="2"/>
    <col min="42" max="42" width="15.5" style="578" customWidth="1" outlineLevel="1" collapsed="1"/>
    <col min="43" max="46" width="15.5" style="578" hidden="1" customWidth="1" outlineLevel="2"/>
    <col min="47" max="47" width="15.5" style="578" customWidth="1" outlineLevel="1" collapsed="1"/>
    <col min="48" max="51" width="15.5" style="578" hidden="1" customWidth="1" outlineLevel="2"/>
    <col min="52" max="52" width="15.5" style="578" customWidth="1" outlineLevel="1" collapsed="1"/>
    <col min="53" max="56" width="15.5" style="578" hidden="1" customWidth="1" outlineLevel="2"/>
    <col min="57" max="57" width="15.5" style="578" customWidth="1" outlineLevel="1" collapsed="1"/>
    <col min="58" max="61" width="15.5" style="578" hidden="1" customWidth="1" outlineLevel="2"/>
    <col min="62" max="62" width="15.5" style="578" customWidth="1" outlineLevel="1" collapsed="1"/>
    <col min="63" max="66" width="15.5" style="578" hidden="1" customWidth="1" outlineLevel="2"/>
    <col min="67" max="67" width="15.5" style="578" customWidth="1" outlineLevel="1" collapsed="1"/>
    <col min="68" max="71" width="15.5" style="578" hidden="1" customWidth="1" outlineLevel="2"/>
    <col min="72" max="72" width="15.5" style="578" customWidth="1" outlineLevel="1" collapsed="1"/>
    <col min="73" max="76" width="15.5" style="578" hidden="1" customWidth="1" outlineLevel="2"/>
    <col min="77" max="77" width="15.5" style="578" customWidth="1" outlineLevel="1" collapsed="1"/>
    <col min="78" max="81" width="15.5" style="578" hidden="1" customWidth="1" outlineLevel="2"/>
    <col min="82" max="82" width="15.5" style="578" customWidth="1" outlineLevel="1" collapsed="1"/>
    <col min="83" max="86" width="15.5" style="578" hidden="1" customWidth="1" outlineLevel="2"/>
    <col min="87" max="87" width="15.5" style="578" customWidth="1" outlineLevel="1" collapsed="1"/>
    <col min="88" max="91" width="15.5" style="578" hidden="1" customWidth="1" outlineLevel="2"/>
    <col min="92" max="92" width="15.5" style="578" customWidth="1" outlineLevel="1" collapsed="1"/>
    <col min="93" max="96" width="15.5" style="578" hidden="1" customWidth="1" outlineLevel="2"/>
    <col min="97" max="97" width="15.5" style="578" customWidth="1" outlineLevel="1" collapsed="1"/>
    <col min="98" max="101" width="15.5" style="578" hidden="1" customWidth="1" outlineLevel="2"/>
    <col min="102" max="102" width="15.5" style="578" customWidth="1" outlineLevel="1" collapsed="1"/>
    <col min="103" max="106" width="15.5" style="578" hidden="1" customWidth="1" outlineLevel="2"/>
    <col min="107" max="107" width="15.5" style="578" customWidth="1" outlineLevel="1" collapsed="1"/>
    <col min="108" max="111" width="15.5" style="578" hidden="1" customWidth="1" outlineLevel="2"/>
    <col min="112" max="112" width="15.5" style="578" customWidth="1" outlineLevel="1" collapsed="1"/>
    <col min="113" max="116" width="15.5" style="578" hidden="1" customWidth="1" outlineLevel="2"/>
    <col min="117" max="117" width="15.5" style="578" customWidth="1" outlineLevel="1" collapsed="1"/>
    <col min="118" max="121" width="15.5" style="578" hidden="1" customWidth="1" outlineLevel="2"/>
    <col min="122" max="122" width="15.5" style="578" customWidth="1" outlineLevel="1" collapsed="1"/>
    <col min="123" max="126" width="15.5" style="578" hidden="1" customWidth="1" outlineLevel="2"/>
    <col min="127" max="127" width="15.5" style="578" customWidth="1" outlineLevel="1" collapsed="1"/>
    <col min="128" max="131" width="15.5" style="578" hidden="1" customWidth="1" outlineLevel="2"/>
    <col min="132" max="132" width="15.5" style="578" customWidth="1" outlineLevel="1" collapsed="1"/>
    <col min="133" max="136" width="15.5" style="578" hidden="1" customWidth="1" outlineLevel="2"/>
    <col min="137" max="137" width="15.5" style="578" customWidth="1" outlineLevel="1" collapsed="1"/>
    <col min="138" max="141" width="15.5" style="578" hidden="1" customWidth="1" outlineLevel="2"/>
    <col min="142" max="142" width="15.5" style="578" customWidth="1" outlineLevel="1" collapsed="1"/>
    <col min="143" max="146" width="15.5" style="578" hidden="1" customWidth="1" outlineLevel="2"/>
    <col min="147" max="147" width="15.5" style="578" customWidth="1" outlineLevel="1" collapsed="1"/>
    <col min="148" max="151" width="15.5" style="578" hidden="1" customWidth="1" outlineLevel="2"/>
    <col min="152" max="152" width="15.5" style="578" customWidth="1" outlineLevel="1" collapsed="1"/>
    <col min="153" max="153" width="3.1640625" style="578" customWidth="1"/>
    <col min="154" max="16384" width="9.6640625" style="579"/>
  </cols>
  <sheetData>
    <row r="1" spans="1:153" s="493" customFormat="1" ht="22.5" customHeight="1">
      <c r="A1" s="310"/>
      <c r="B1" s="492"/>
      <c r="N1" s="493" t="s">
        <v>790</v>
      </c>
      <c r="O1" s="493">
        <f>VLOOKUP(N1,EX181:EY183,2)</f>
        <v>1</v>
      </c>
    </row>
    <row r="2" spans="1:153" s="496" customFormat="1" ht="23">
      <c r="A2" s="494"/>
      <c r="B2" s="495"/>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c r="EQ2" s="494"/>
      <c r="ER2" s="494"/>
      <c r="ES2" s="494"/>
      <c r="ET2" s="494"/>
      <c r="EU2" s="494"/>
      <c r="EV2" s="494"/>
      <c r="EW2" s="494"/>
    </row>
    <row r="3" spans="1:153" s="501" customFormat="1" ht="25">
      <c r="A3" s="497" t="e">
        <f>Valuation!C3</f>
        <v>#NAME?</v>
      </c>
      <c r="B3" s="498"/>
      <c r="C3" s="499"/>
      <c r="D3" s="499"/>
      <c r="E3" s="499"/>
      <c r="F3" s="499"/>
      <c r="G3" s="498"/>
      <c r="H3" s="499"/>
      <c r="I3" s="499"/>
      <c r="J3" s="499"/>
      <c r="K3" s="499"/>
      <c r="L3" s="498"/>
      <c r="M3" s="499"/>
      <c r="N3" s="499"/>
      <c r="O3" s="499"/>
      <c r="P3" s="499"/>
      <c r="Q3" s="498"/>
      <c r="R3" s="499"/>
      <c r="S3" s="499"/>
      <c r="T3" s="499"/>
      <c r="U3" s="499"/>
      <c r="V3" s="498"/>
      <c r="W3" s="499"/>
      <c r="X3" s="499"/>
      <c r="Y3" s="499"/>
      <c r="Z3" s="500"/>
      <c r="AA3" s="498"/>
      <c r="AB3" s="499"/>
      <c r="AC3" s="499"/>
      <c r="AD3" s="499"/>
      <c r="AE3" s="499"/>
      <c r="AF3" s="498"/>
      <c r="AG3" s="499"/>
      <c r="AH3" s="499"/>
      <c r="AI3" s="499"/>
      <c r="AJ3" s="499"/>
      <c r="AK3" s="498"/>
      <c r="AL3" s="499"/>
      <c r="AM3" s="499"/>
      <c r="AN3" s="499"/>
      <c r="AO3" s="499"/>
      <c r="AP3" s="498"/>
      <c r="AQ3" s="499"/>
      <c r="AR3" s="499"/>
      <c r="AS3" s="499"/>
      <c r="AT3" s="499"/>
      <c r="AU3" s="498"/>
      <c r="AV3" s="499"/>
      <c r="AW3" s="499"/>
      <c r="AX3" s="499"/>
      <c r="AY3" s="499"/>
      <c r="AZ3" s="498"/>
      <c r="BA3" s="499"/>
      <c r="BB3" s="499"/>
      <c r="BC3" s="499"/>
      <c r="BD3" s="499"/>
      <c r="BE3" s="498"/>
      <c r="BF3" s="499"/>
      <c r="BG3" s="499"/>
      <c r="BH3" s="499"/>
      <c r="BI3" s="499"/>
      <c r="BJ3" s="498"/>
      <c r="BK3" s="499"/>
      <c r="BL3" s="499"/>
      <c r="BM3" s="499"/>
      <c r="BN3" s="499"/>
      <c r="BO3" s="498"/>
      <c r="BP3" s="499"/>
      <c r="BQ3" s="499"/>
      <c r="BR3" s="499"/>
      <c r="BS3" s="499"/>
      <c r="BT3" s="498"/>
      <c r="BU3" s="499"/>
      <c r="BV3" s="499"/>
      <c r="BW3" s="499"/>
      <c r="BX3" s="499"/>
      <c r="BY3" s="498"/>
      <c r="BZ3" s="498"/>
      <c r="CA3" s="498"/>
      <c r="CB3" s="498"/>
      <c r="CC3" s="498"/>
      <c r="CD3" s="498"/>
      <c r="CE3" s="498"/>
      <c r="CF3" s="498"/>
      <c r="CG3" s="498"/>
      <c r="CH3" s="498"/>
      <c r="CI3" s="498"/>
      <c r="CJ3" s="498"/>
      <c r="CK3" s="498"/>
      <c r="CL3" s="498"/>
      <c r="CM3" s="498"/>
      <c r="CN3" s="498"/>
      <c r="CO3" s="498"/>
      <c r="CP3" s="498"/>
      <c r="CQ3" s="498"/>
      <c r="CR3" s="498"/>
      <c r="CS3" s="498"/>
      <c r="CT3" s="498"/>
      <c r="CU3" s="498"/>
      <c r="CV3" s="498"/>
      <c r="CW3" s="498"/>
      <c r="CX3" s="498"/>
      <c r="CY3" s="498"/>
      <c r="CZ3" s="498"/>
      <c r="DA3" s="498"/>
      <c r="DB3" s="498"/>
      <c r="DC3" s="498"/>
      <c r="DD3" s="498"/>
      <c r="DE3" s="498"/>
      <c r="DF3" s="498"/>
      <c r="DG3" s="498"/>
      <c r="DH3" s="498"/>
      <c r="DI3" s="498"/>
      <c r="DJ3" s="498"/>
      <c r="DK3" s="498"/>
      <c r="DL3" s="498"/>
      <c r="DM3" s="498"/>
      <c r="DN3" s="498"/>
      <c r="DO3" s="498"/>
      <c r="DP3" s="498"/>
      <c r="DQ3" s="498"/>
      <c r="DR3" s="498"/>
      <c r="DS3" s="498"/>
      <c r="DT3" s="498"/>
      <c r="DU3" s="498"/>
      <c r="DV3" s="498"/>
      <c r="DW3" s="498"/>
      <c r="DX3" s="498"/>
      <c r="DY3" s="498"/>
      <c r="DZ3" s="498"/>
      <c r="EA3" s="498"/>
      <c r="EB3" s="498"/>
      <c r="EC3" s="498"/>
      <c r="ED3" s="498"/>
      <c r="EE3" s="498"/>
      <c r="EF3" s="498"/>
      <c r="EG3" s="498"/>
      <c r="EH3" s="498"/>
      <c r="EI3" s="498"/>
      <c r="EJ3" s="498"/>
      <c r="EK3" s="498"/>
      <c r="EL3" s="498"/>
      <c r="EM3" s="498"/>
      <c r="EN3" s="498"/>
      <c r="EO3" s="498"/>
      <c r="EP3" s="498"/>
      <c r="EQ3" s="498"/>
      <c r="ER3" s="498"/>
      <c r="ES3" s="498"/>
      <c r="ET3" s="498"/>
      <c r="EU3" s="498"/>
      <c r="EV3" s="500"/>
      <c r="EW3" s="498"/>
    </row>
    <row r="4" spans="1:153" s="505" customFormat="1" ht="13">
      <c r="A4" s="502"/>
      <c r="B4" s="503"/>
      <c r="C4" s="504"/>
      <c r="D4" s="504"/>
      <c r="E4" s="504"/>
      <c r="F4" s="504"/>
      <c r="G4" s="504"/>
      <c r="H4" s="504"/>
      <c r="I4" s="504"/>
      <c r="J4" s="504"/>
      <c r="K4" s="504"/>
      <c r="L4" s="504"/>
      <c r="M4" s="504"/>
      <c r="N4" s="504"/>
      <c r="O4" s="504"/>
      <c r="P4" s="504"/>
      <c r="Q4" s="504"/>
      <c r="R4" s="504"/>
      <c r="S4" s="504"/>
      <c r="T4" s="504"/>
      <c r="U4" s="504"/>
      <c r="V4" s="504"/>
      <c r="W4" s="504"/>
      <c r="X4" s="504"/>
      <c r="Y4" s="504"/>
      <c r="Z4" s="504"/>
      <c r="AA4" s="504"/>
      <c r="AB4" s="504"/>
      <c r="AC4" s="504"/>
      <c r="AD4" s="504"/>
      <c r="AE4" s="504"/>
      <c r="AF4" s="504"/>
      <c r="AG4" s="504"/>
      <c r="AH4" s="504"/>
      <c r="AI4" s="504"/>
      <c r="AJ4" s="504"/>
      <c r="AK4" s="504"/>
      <c r="AL4" s="504"/>
      <c r="AM4" s="504"/>
      <c r="AN4" s="504"/>
      <c r="AO4" s="504"/>
      <c r="AP4" s="504"/>
      <c r="AQ4" s="504"/>
      <c r="AR4" s="504"/>
      <c r="AS4" s="504"/>
      <c r="AT4" s="504"/>
      <c r="AU4" s="504"/>
      <c r="AV4" s="504"/>
      <c r="AW4" s="504"/>
      <c r="AX4" s="504"/>
      <c r="AY4" s="504"/>
      <c r="AZ4" s="504"/>
      <c r="BA4" s="504"/>
      <c r="BB4" s="504"/>
      <c r="BC4" s="504"/>
      <c r="BD4" s="504"/>
      <c r="BE4" s="504"/>
      <c r="BF4" s="504"/>
      <c r="BG4" s="504"/>
      <c r="BH4" s="504"/>
      <c r="BI4" s="504"/>
      <c r="BJ4" s="504"/>
      <c r="BK4" s="504"/>
      <c r="BL4" s="504"/>
      <c r="BM4" s="504"/>
      <c r="BN4" s="504"/>
      <c r="BO4" s="504"/>
      <c r="BP4" s="504"/>
      <c r="BQ4" s="504"/>
      <c r="BR4" s="504"/>
      <c r="BS4" s="504"/>
      <c r="BT4" s="504"/>
      <c r="BU4" s="504"/>
      <c r="BV4" s="504"/>
      <c r="BW4" s="504"/>
      <c r="BX4" s="504"/>
      <c r="BY4" s="504"/>
      <c r="BZ4" s="504"/>
      <c r="CA4" s="504"/>
      <c r="CB4" s="504"/>
      <c r="CC4" s="504"/>
      <c r="CD4" s="504"/>
      <c r="CE4" s="504"/>
      <c r="CF4" s="504"/>
      <c r="CG4" s="504"/>
      <c r="CH4" s="504"/>
      <c r="CI4" s="504"/>
      <c r="CJ4" s="504"/>
      <c r="CK4" s="504"/>
      <c r="CL4" s="504"/>
      <c r="CM4" s="504"/>
      <c r="CN4" s="504"/>
      <c r="CO4" s="504"/>
      <c r="CP4" s="504"/>
      <c r="CQ4" s="504"/>
      <c r="CR4" s="504"/>
      <c r="CS4" s="504"/>
      <c r="CT4" s="504"/>
      <c r="CU4" s="504"/>
      <c r="CV4" s="504"/>
      <c r="CW4" s="504"/>
      <c r="CX4" s="504"/>
      <c r="CY4" s="504"/>
      <c r="CZ4" s="504"/>
      <c r="DA4" s="504"/>
      <c r="DB4" s="504"/>
      <c r="DC4" s="504"/>
      <c r="DD4" s="504"/>
      <c r="DE4" s="504"/>
      <c r="DF4" s="504"/>
      <c r="DG4" s="504"/>
      <c r="DH4" s="504"/>
      <c r="DI4" s="504"/>
      <c r="DJ4" s="504"/>
      <c r="DK4" s="504"/>
      <c r="DL4" s="504"/>
      <c r="DM4" s="504"/>
      <c r="DN4" s="504"/>
      <c r="DO4" s="504"/>
      <c r="DP4" s="504"/>
      <c r="DQ4" s="504"/>
      <c r="DR4" s="504"/>
      <c r="DS4" s="504"/>
      <c r="DT4" s="504"/>
      <c r="DU4" s="504"/>
      <c r="DV4" s="504"/>
      <c r="DW4" s="504"/>
      <c r="DX4" s="504"/>
      <c r="DY4" s="504"/>
      <c r="DZ4" s="504"/>
      <c r="EA4" s="504"/>
      <c r="EB4" s="504"/>
      <c r="EC4" s="504"/>
      <c r="ED4" s="504"/>
      <c r="EE4" s="504"/>
      <c r="EF4" s="504"/>
      <c r="EG4" s="504"/>
      <c r="EH4" s="504"/>
      <c r="EI4" s="504"/>
      <c r="EJ4" s="504"/>
      <c r="EK4" s="504"/>
      <c r="EL4" s="504"/>
      <c r="EM4" s="504"/>
      <c r="EN4" s="504"/>
      <c r="EO4" s="504"/>
      <c r="EP4" s="504"/>
      <c r="EQ4" s="504"/>
      <c r="ER4" s="504"/>
      <c r="ES4" s="504"/>
      <c r="ET4" s="504"/>
      <c r="EU4" s="504"/>
      <c r="EV4" s="504"/>
      <c r="EW4" s="504"/>
    </row>
    <row r="5" spans="1:153" s="505" customFormat="1" ht="13">
      <c r="A5" s="503" t="e">
        <f ca="1">Valuation!N3</f>
        <v>#NAME?</v>
      </c>
      <c r="B5" s="503"/>
      <c r="C5" s="504"/>
      <c r="D5" s="504"/>
      <c r="E5" s="504"/>
      <c r="F5" s="504"/>
      <c r="G5" s="504"/>
      <c r="H5" s="504"/>
      <c r="I5" s="504"/>
      <c r="J5" s="504"/>
      <c r="K5" s="504"/>
      <c r="L5" s="504"/>
      <c r="M5" s="504"/>
      <c r="N5" s="504"/>
      <c r="O5" s="504"/>
      <c r="P5" s="504"/>
      <c r="Q5" s="504"/>
      <c r="R5" s="504"/>
      <c r="S5" s="504"/>
      <c r="T5" s="504"/>
      <c r="U5" s="504"/>
      <c r="V5" s="504"/>
      <c r="W5" s="504"/>
      <c r="X5" s="504"/>
      <c r="Y5" s="504"/>
      <c r="Z5" s="504"/>
      <c r="AA5" s="504"/>
      <c r="AB5" s="504"/>
      <c r="AC5" s="504"/>
      <c r="AD5" s="504"/>
      <c r="AE5" s="504"/>
      <c r="AF5" s="504"/>
      <c r="AG5" s="504"/>
      <c r="AH5" s="504"/>
      <c r="AI5" s="504"/>
      <c r="AJ5" s="504"/>
      <c r="AK5" s="504"/>
      <c r="AL5" s="504"/>
      <c r="AM5" s="504"/>
      <c r="AN5" s="504"/>
      <c r="AO5" s="504"/>
      <c r="AP5" s="504"/>
      <c r="AQ5" s="504"/>
      <c r="AR5" s="504"/>
      <c r="AS5" s="504"/>
      <c r="AT5" s="504"/>
      <c r="AU5" s="504"/>
      <c r="AV5" s="504"/>
      <c r="AW5" s="504"/>
      <c r="AX5" s="504"/>
      <c r="AY5" s="504"/>
      <c r="AZ5" s="504"/>
      <c r="BA5" s="504"/>
      <c r="BB5" s="504"/>
      <c r="BC5" s="504"/>
      <c r="BD5" s="504"/>
      <c r="BE5" s="504"/>
      <c r="BF5" s="504"/>
      <c r="BG5" s="504"/>
      <c r="BH5" s="504"/>
      <c r="BI5" s="504"/>
      <c r="BJ5" s="504"/>
      <c r="BK5" s="504"/>
      <c r="BL5" s="504"/>
      <c r="BM5" s="504"/>
      <c r="BN5" s="504"/>
      <c r="BO5" s="504"/>
      <c r="BP5" s="504"/>
      <c r="BQ5" s="504"/>
      <c r="BR5" s="504"/>
      <c r="BS5" s="504"/>
      <c r="BT5" s="504"/>
      <c r="BU5" s="504"/>
      <c r="BV5" s="504"/>
      <c r="BW5" s="504"/>
      <c r="BX5" s="504"/>
      <c r="BY5" s="504"/>
      <c r="BZ5" s="504"/>
      <c r="CA5" s="504"/>
      <c r="CB5" s="504"/>
      <c r="CC5" s="504"/>
      <c r="CD5" s="504"/>
      <c r="CE5" s="504"/>
      <c r="CF5" s="504"/>
      <c r="CG5" s="504"/>
      <c r="CH5" s="504"/>
      <c r="CI5" s="504"/>
      <c r="CJ5" s="504"/>
      <c r="CK5" s="504"/>
      <c r="CL5" s="504"/>
      <c r="CM5" s="504"/>
      <c r="CN5" s="504"/>
      <c r="CO5" s="504"/>
      <c r="CP5" s="504"/>
      <c r="CQ5" s="504"/>
      <c r="CR5" s="504"/>
      <c r="CS5" s="504"/>
      <c r="CT5" s="504"/>
      <c r="CU5" s="504"/>
      <c r="CV5" s="504"/>
      <c r="CW5" s="504"/>
      <c r="CX5" s="504"/>
      <c r="CY5" s="504"/>
      <c r="CZ5" s="504"/>
      <c r="DA5" s="504"/>
      <c r="DB5" s="504"/>
      <c r="DC5" s="504"/>
      <c r="DD5" s="504"/>
      <c r="DE5" s="504"/>
      <c r="DF5" s="504"/>
      <c r="DG5" s="504"/>
      <c r="DH5" s="504"/>
      <c r="DI5" s="504"/>
      <c r="DJ5" s="504"/>
      <c r="DK5" s="504"/>
      <c r="DL5" s="504"/>
      <c r="DM5" s="504"/>
      <c r="DN5" s="504"/>
      <c r="DO5" s="504"/>
      <c r="DP5" s="504"/>
      <c r="DQ5" s="504"/>
      <c r="DR5" s="504"/>
      <c r="DS5" s="504"/>
      <c r="DT5" s="504"/>
      <c r="DU5" s="504"/>
      <c r="DV5" s="504"/>
      <c r="DW5" s="504"/>
      <c r="DX5" s="504"/>
      <c r="DY5" s="504"/>
      <c r="DZ5" s="504"/>
      <c r="EA5" s="504"/>
      <c r="EB5" s="504"/>
      <c r="EC5" s="504"/>
      <c r="ED5" s="504"/>
      <c r="EE5" s="504"/>
      <c r="EF5" s="504"/>
      <c r="EG5" s="504"/>
      <c r="EH5" s="504"/>
      <c r="EI5" s="504"/>
      <c r="EJ5" s="504"/>
      <c r="EK5" s="504"/>
      <c r="EL5" s="504"/>
      <c r="EM5" s="504"/>
      <c r="EN5" s="504"/>
      <c r="EO5" s="504"/>
      <c r="EP5" s="504"/>
      <c r="EQ5" s="504"/>
      <c r="ER5" s="504"/>
      <c r="ES5" s="504"/>
      <c r="ET5" s="504"/>
      <c r="EU5" s="504"/>
      <c r="EV5" s="504"/>
      <c r="EW5" s="504"/>
    </row>
    <row r="6" spans="1:153" s="507" customFormat="1" ht="13">
      <c r="A6" s="506" t="str">
        <f>Valuation!X116</f>
        <v>Base</v>
      </c>
      <c r="B6" s="499"/>
      <c r="C6" s="499"/>
      <c r="D6" s="499"/>
      <c r="E6" s="499"/>
      <c r="F6" s="499"/>
      <c r="G6" s="499"/>
      <c r="H6" s="499"/>
      <c r="I6" s="499"/>
      <c r="J6" s="499"/>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499"/>
      <c r="AP6" s="499"/>
      <c r="AQ6" s="499"/>
      <c r="AR6" s="499"/>
      <c r="AS6" s="499"/>
      <c r="AT6" s="499"/>
      <c r="AU6" s="499"/>
      <c r="AV6" s="499"/>
      <c r="AW6" s="499"/>
      <c r="AX6" s="499"/>
      <c r="AY6" s="499"/>
      <c r="AZ6" s="499"/>
      <c r="BA6" s="499"/>
      <c r="BB6" s="499"/>
      <c r="BC6" s="499"/>
      <c r="BD6" s="499"/>
      <c r="BE6" s="499"/>
      <c r="BF6" s="499"/>
      <c r="BG6" s="499"/>
      <c r="BH6" s="499"/>
      <c r="BI6" s="499"/>
      <c r="BJ6" s="499"/>
      <c r="BK6" s="499"/>
      <c r="BL6" s="499"/>
      <c r="BM6" s="499"/>
      <c r="BN6" s="499"/>
      <c r="BO6" s="499"/>
      <c r="BP6" s="499"/>
      <c r="BQ6" s="499"/>
      <c r="BR6" s="499"/>
      <c r="BS6" s="499"/>
      <c r="BT6" s="499"/>
      <c r="BU6" s="499"/>
      <c r="BV6" s="499"/>
      <c r="BW6" s="499"/>
      <c r="BX6" s="499"/>
      <c r="BY6" s="499"/>
      <c r="BZ6" s="499"/>
      <c r="CA6" s="499"/>
      <c r="CB6" s="499"/>
      <c r="CC6" s="499"/>
      <c r="CD6" s="499"/>
      <c r="CE6" s="499"/>
      <c r="CF6" s="499"/>
      <c r="CG6" s="499"/>
      <c r="CH6" s="499"/>
      <c r="CI6" s="499"/>
      <c r="CJ6" s="499"/>
      <c r="CK6" s="499"/>
      <c r="CL6" s="499"/>
      <c r="CM6" s="499"/>
      <c r="CN6" s="499"/>
      <c r="CO6" s="499"/>
      <c r="CP6" s="499"/>
      <c r="CQ6" s="499"/>
      <c r="CR6" s="499"/>
      <c r="CS6" s="499"/>
      <c r="CT6" s="499"/>
      <c r="CU6" s="499"/>
      <c r="CV6" s="499"/>
      <c r="CW6" s="499"/>
      <c r="CX6" s="499"/>
      <c r="CY6" s="499"/>
      <c r="CZ6" s="499"/>
      <c r="DA6" s="499"/>
      <c r="DB6" s="499"/>
      <c r="DC6" s="499"/>
      <c r="DD6" s="499"/>
      <c r="DE6" s="499"/>
      <c r="DF6" s="499"/>
      <c r="DG6" s="499"/>
      <c r="DH6" s="499"/>
      <c r="DI6" s="499"/>
      <c r="DJ6" s="499"/>
      <c r="DK6" s="499"/>
      <c r="DL6" s="499"/>
      <c r="DM6" s="499"/>
      <c r="DN6" s="499"/>
      <c r="DO6" s="499"/>
      <c r="DP6" s="499"/>
      <c r="DQ6" s="499"/>
      <c r="DR6" s="499"/>
      <c r="DS6" s="499"/>
      <c r="DT6" s="499"/>
      <c r="DU6" s="499"/>
      <c r="DV6" s="499"/>
      <c r="DW6" s="499"/>
      <c r="DX6" s="499"/>
      <c r="DY6" s="499"/>
      <c r="DZ6" s="499"/>
      <c r="EA6" s="499"/>
      <c r="EB6" s="499"/>
      <c r="EC6" s="499"/>
      <c r="ED6" s="499"/>
      <c r="EE6" s="499"/>
      <c r="EF6" s="499"/>
      <c r="EG6" s="499"/>
      <c r="EH6" s="499"/>
      <c r="EI6" s="499"/>
      <c r="EJ6" s="499"/>
      <c r="EK6" s="499"/>
      <c r="EL6" s="499"/>
      <c r="EM6" s="499"/>
      <c r="EN6" s="499"/>
      <c r="EO6" s="499"/>
      <c r="EP6" s="499"/>
      <c r="EQ6" s="499"/>
      <c r="ER6" s="499"/>
      <c r="ES6" s="499"/>
      <c r="ET6" s="499"/>
      <c r="EU6" s="499"/>
      <c r="EV6" s="499"/>
      <c r="EW6" s="499"/>
    </row>
    <row r="7" spans="1:153" s="509" customFormat="1" ht="13">
      <c r="A7" s="506">
        <f>Scenario</f>
        <v>1</v>
      </c>
      <c r="B7" s="508"/>
      <c r="C7" s="508"/>
      <c r="D7" s="508"/>
      <c r="E7" s="508"/>
      <c r="F7" s="508"/>
      <c r="G7" s="508"/>
      <c r="H7" s="508"/>
      <c r="I7" s="508"/>
      <c r="J7" s="508"/>
      <c r="K7" s="508"/>
      <c r="L7" s="508"/>
      <c r="M7" s="508"/>
      <c r="N7" s="508"/>
      <c r="O7" s="508"/>
      <c r="P7" s="508"/>
      <c r="Q7" s="508"/>
      <c r="R7" s="508"/>
      <c r="S7" s="508"/>
      <c r="T7" s="508"/>
      <c r="U7" s="508"/>
      <c r="V7" s="508"/>
      <c r="W7" s="508"/>
      <c r="X7" s="508"/>
      <c r="Y7" s="508"/>
      <c r="Z7" s="508"/>
      <c r="AA7" s="508"/>
      <c r="AB7" s="508"/>
      <c r="AC7" s="508"/>
      <c r="AD7" s="508"/>
      <c r="AE7" s="508"/>
      <c r="AF7" s="508"/>
      <c r="AG7" s="508"/>
      <c r="AH7" s="508"/>
      <c r="AI7" s="508"/>
      <c r="AJ7" s="508"/>
      <c r="AK7" s="508"/>
      <c r="AL7" s="508"/>
      <c r="AM7" s="508"/>
      <c r="AN7" s="508"/>
      <c r="AO7" s="508"/>
      <c r="AP7" s="508"/>
      <c r="AQ7" s="508"/>
      <c r="AR7" s="508"/>
      <c r="AS7" s="508"/>
      <c r="AT7" s="508"/>
      <c r="AU7" s="508"/>
      <c r="AV7" s="508"/>
      <c r="AW7" s="508"/>
      <c r="AX7" s="508"/>
      <c r="AY7" s="508"/>
      <c r="AZ7" s="508"/>
      <c r="BA7" s="508"/>
      <c r="BB7" s="508"/>
      <c r="BC7" s="508"/>
      <c r="BD7" s="508"/>
      <c r="BE7" s="508"/>
      <c r="BF7" s="508"/>
      <c r="BG7" s="508"/>
      <c r="BH7" s="508"/>
      <c r="BI7" s="508"/>
      <c r="BJ7" s="508"/>
      <c r="BK7" s="508"/>
      <c r="BL7" s="508"/>
      <c r="BM7" s="508"/>
      <c r="BN7" s="508"/>
      <c r="BO7" s="508"/>
      <c r="BP7" s="508"/>
      <c r="BQ7" s="508"/>
      <c r="BR7" s="508"/>
      <c r="BS7" s="508"/>
      <c r="BT7" s="508"/>
      <c r="BU7" s="508"/>
      <c r="BV7" s="508"/>
      <c r="BW7" s="508"/>
      <c r="BX7" s="508"/>
      <c r="BY7" s="508"/>
      <c r="BZ7" s="508"/>
      <c r="CA7" s="508"/>
      <c r="CB7" s="508"/>
      <c r="CC7" s="508"/>
      <c r="CD7" s="508"/>
      <c r="CE7" s="508"/>
      <c r="CF7" s="508"/>
      <c r="CG7" s="508"/>
      <c r="CH7" s="508"/>
      <c r="CI7" s="508"/>
      <c r="CJ7" s="508"/>
      <c r="CK7" s="508"/>
      <c r="CL7" s="508"/>
      <c r="CM7" s="508"/>
      <c r="CN7" s="508"/>
      <c r="CO7" s="508"/>
      <c r="CP7" s="508"/>
      <c r="CQ7" s="508"/>
      <c r="CR7" s="508"/>
      <c r="CS7" s="508"/>
      <c r="CT7" s="508"/>
      <c r="CU7" s="508"/>
      <c r="CV7" s="508"/>
      <c r="CW7" s="508"/>
      <c r="CX7" s="508"/>
      <c r="CY7" s="508"/>
      <c r="CZ7" s="508"/>
      <c r="DA7" s="508"/>
      <c r="DB7" s="508"/>
      <c r="DC7" s="508"/>
      <c r="DD7" s="508"/>
      <c r="DE7" s="508"/>
      <c r="DF7" s="508"/>
      <c r="DG7" s="508"/>
      <c r="DH7" s="508"/>
      <c r="DI7" s="508"/>
      <c r="DJ7" s="508"/>
      <c r="DK7" s="508"/>
      <c r="DL7" s="508"/>
      <c r="DM7" s="508"/>
      <c r="DN7" s="508"/>
      <c r="DO7" s="508"/>
      <c r="DP7" s="508"/>
      <c r="DQ7" s="508"/>
      <c r="DR7" s="508"/>
      <c r="DS7" s="508"/>
      <c r="DT7" s="508"/>
      <c r="DU7" s="508"/>
      <c r="DV7" s="508"/>
      <c r="DW7" s="508"/>
      <c r="DX7" s="508"/>
      <c r="DY7" s="508"/>
      <c r="DZ7" s="508"/>
      <c r="EA7" s="508"/>
      <c r="EB7" s="508"/>
      <c r="EC7" s="508"/>
      <c r="ED7" s="508"/>
      <c r="EE7" s="508"/>
      <c r="EF7" s="508"/>
      <c r="EG7" s="508"/>
      <c r="EH7" s="508"/>
      <c r="EI7" s="508"/>
      <c r="EJ7" s="508"/>
      <c r="EK7" s="508"/>
      <c r="EL7" s="508"/>
      <c r="EM7" s="508"/>
      <c r="EN7" s="508"/>
      <c r="EO7" s="508"/>
      <c r="EP7" s="508"/>
      <c r="EQ7" s="508"/>
      <c r="ER7" s="508"/>
      <c r="ES7" s="508"/>
      <c r="ET7" s="508"/>
      <c r="EU7" s="508"/>
      <c r="EV7" s="508"/>
      <c r="EW7" s="508"/>
    </row>
    <row r="8" spans="1:153" s="493" customFormat="1">
      <c r="A8" s="247"/>
      <c r="B8" s="476"/>
      <c r="C8" s="510"/>
      <c r="D8" s="510"/>
      <c r="E8" s="510"/>
      <c r="F8" s="510"/>
      <c r="G8" s="510"/>
      <c r="H8" s="510"/>
      <c r="I8" s="510"/>
      <c r="J8" s="510"/>
      <c r="K8" s="510"/>
      <c r="L8" s="510"/>
      <c r="M8" s="510"/>
      <c r="N8" s="510"/>
      <c r="O8" s="510"/>
      <c r="P8" s="510"/>
      <c r="Q8" s="510"/>
      <c r="R8" s="510"/>
      <c r="S8" s="510"/>
      <c r="T8" s="510"/>
      <c r="U8" s="510"/>
      <c r="V8" s="510"/>
      <c r="W8" s="510"/>
      <c r="X8" s="510"/>
      <c r="Y8" s="510"/>
      <c r="Z8" s="510"/>
      <c r="AA8" s="510"/>
      <c r="AB8" s="510"/>
      <c r="AC8" s="510"/>
      <c r="AD8" s="510"/>
      <c r="AE8" s="510"/>
      <c r="AF8" s="510"/>
      <c r="AG8" s="510"/>
      <c r="AH8" s="510"/>
      <c r="AI8" s="510"/>
      <c r="AJ8" s="510"/>
      <c r="AK8" s="510"/>
      <c r="AL8" s="510"/>
      <c r="AM8" s="510"/>
      <c r="AN8" s="510"/>
      <c r="AO8" s="510"/>
      <c r="AP8" s="510"/>
      <c r="AQ8" s="510"/>
      <c r="AR8" s="510"/>
      <c r="AS8" s="510"/>
      <c r="AT8" s="510"/>
      <c r="AU8" s="510"/>
      <c r="AV8" s="510"/>
      <c r="AW8" s="510"/>
      <c r="AX8" s="510"/>
      <c r="AY8" s="510"/>
      <c r="AZ8" s="510"/>
      <c r="BA8" s="510"/>
      <c r="BB8" s="510"/>
      <c r="BC8" s="510"/>
      <c r="BD8" s="510"/>
      <c r="BE8" s="510"/>
      <c r="BF8" s="510"/>
      <c r="BG8" s="510"/>
      <c r="BH8" s="510"/>
      <c r="BI8" s="510"/>
      <c r="BJ8" s="510"/>
      <c r="BK8" s="510"/>
      <c r="BL8" s="510"/>
      <c r="BM8" s="510"/>
      <c r="BN8" s="510"/>
      <c r="BO8" s="510"/>
      <c r="BP8" s="510"/>
      <c r="BQ8" s="510"/>
      <c r="BR8" s="510"/>
      <c r="BS8" s="510"/>
      <c r="BT8" s="510"/>
      <c r="BU8" s="510"/>
      <c r="BV8" s="510"/>
      <c r="BW8" s="510"/>
      <c r="BX8" s="510"/>
      <c r="BY8" s="510"/>
      <c r="BZ8" s="510"/>
      <c r="CA8" s="510"/>
      <c r="CB8" s="510"/>
      <c r="CC8" s="510"/>
      <c r="CD8" s="510"/>
      <c r="CE8" s="510"/>
      <c r="CF8" s="510"/>
      <c r="CG8" s="510"/>
      <c r="CH8" s="510"/>
      <c r="CI8" s="510"/>
      <c r="CJ8" s="510"/>
      <c r="CK8" s="510"/>
      <c r="CL8" s="510"/>
      <c r="CM8" s="510"/>
      <c r="CN8" s="510"/>
      <c r="CO8" s="510"/>
      <c r="CP8" s="510"/>
      <c r="CQ8" s="510"/>
      <c r="CR8" s="510"/>
      <c r="CS8" s="510"/>
      <c r="CT8" s="510"/>
      <c r="CU8" s="510"/>
      <c r="CV8" s="510"/>
      <c r="CW8" s="510"/>
      <c r="CX8" s="510"/>
      <c r="CY8" s="510"/>
      <c r="CZ8" s="510"/>
      <c r="DA8" s="510"/>
      <c r="DB8" s="510"/>
      <c r="DC8" s="510"/>
      <c r="DD8" s="510"/>
      <c r="DE8" s="510"/>
      <c r="DF8" s="510"/>
      <c r="DG8" s="510"/>
      <c r="DH8" s="510"/>
      <c r="DI8" s="510"/>
      <c r="DJ8" s="510"/>
      <c r="DK8" s="510"/>
      <c r="DL8" s="510"/>
      <c r="DM8" s="510"/>
      <c r="DN8" s="510"/>
      <c r="DO8" s="510"/>
      <c r="DP8" s="510"/>
      <c r="DQ8" s="510"/>
      <c r="DR8" s="510"/>
      <c r="DS8" s="510"/>
      <c r="DT8" s="510"/>
      <c r="DU8" s="510"/>
      <c r="DV8" s="510"/>
      <c r="DW8" s="510"/>
      <c r="DX8" s="510"/>
      <c r="DY8" s="510"/>
      <c r="DZ8" s="510"/>
      <c r="EA8" s="510"/>
      <c r="EB8" s="510"/>
      <c r="EC8" s="510"/>
      <c r="ED8" s="510"/>
      <c r="EE8" s="510"/>
      <c r="EF8" s="510"/>
      <c r="EG8" s="510"/>
      <c r="EH8" s="510"/>
      <c r="EI8" s="510"/>
      <c r="EJ8" s="510"/>
      <c r="EK8" s="510"/>
      <c r="EL8" s="510"/>
      <c r="EM8" s="510"/>
      <c r="EN8" s="510"/>
      <c r="EO8" s="510"/>
      <c r="EP8" s="510"/>
      <c r="EQ8" s="510"/>
      <c r="ER8" s="510"/>
      <c r="ES8" s="510"/>
      <c r="ET8" s="510"/>
      <c r="EU8" s="510"/>
      <c r="EV8" s="510"/>
      <c r="EW8" s="510"/>
    </row>
    <row r="9" spans="1:153" s="517" customFormat="1">
      <c r="A9" s="474" t="s">
        <v>3265</v>
      </c>
      <c r="B9" s="511">
        <f>Valuation!D9</f>
        <v>2011</v>
      </c>
      <c r="C9" s="511">
        <f>Valuation!E9</f>
        <v>2012</v>
      </c>
      <c r="D9" s="511">
        <f>Valuation!F9</f>
        <v>2013</v>
      </c>
      <c r="E9" s="511">
        <f>Valuation!G9</f>
        <v>2014</v>
      </c>
      <c r="F9" s="511">
        <f>Valuation!H9</f>
        <v>2015</v>
      </c>
      <c r="G9" s="511">
        <f>Valuation!I9</f>
        <v>2016</v>
      </c>
      <c r="H9" s="511">
        <f>Valuation!J9</f>
        <v>2017</v>
      </c>
      <c r="I9" s="511">
        <f>Valuation!K9</f>
        <v>2018</v>
      </c>
      <c r="J9" s="511">
        <f>Valuation!L9</f>
        <v>2019</v>
      </c>
      <c r="K9" s="511">
        <f>Valuation!M9</f>
        <v>2020</v>
      </c>
      <c r="L9" s="511">
        <f>Valuation!N9</f>
        <v>2021</v>
      </c>
      <c r="M9" s="511">
        <f>Valuation!O9</f>
        <v>2022</v>
      </c>
      <c r="N9" s="511">
        <f>Valuation!P9</f>
        <v>2023</v>
      </c>
      <c r="O9" s="511">
        <f>Valuation!Q9</f>
        <v>2024</v>
      </c>
      <c r="P9" s="511">
        <f>Valuation!R9</f>
        <v>2025</v>
      </c>
      <c r="Q9" s="512">
        <f>Valuation!S9</f>
        <v>2026</v>
      </c>
      <c r="R9" s="512">
        <f>Valuation!T9</f>
        <v>2027</v>
      </c>
      <c r="S9" s="512">
        <f>Valuation!U9</f>
        <v>2028</v>
      </c>
      <c r="T9" s="512">
        <f>Valuation!V9</f>
        <v>2029</v>
      </c>
      <c r="U9" s="512">
        <f>Valuation!W9</f>
        <v>2030</v>
      </c>
      <c r="V9" s="512">
        <f>IF(Valuation!V108=5, "", Valuation!X9)</f>
        <v>2031</v>
      </c>
      <c r="W9" s="512">
        <f>IF(Valuation!V108=5, "", Valuation!Y9)</f>
        <v>2032</v>
      </c>
      <c r="X9" s="512">
        <f>IF(Valuation!V108=5, "", Valuation!Z9)</f>
        <v>2033</v>
      </c>
      <c r="Y9" s="512">
        <f>IF(Valuation!V108=5, "", Valuation!AA9)</f>
        <v>2034</v>
      </c>
      <c r="Z9" s="512">
        <f>IF(Valuation!V108=5, "", Valuation!AB9)</f>
        <v>2035</v>
      </c>
      <c r="AA9" s="513"/>
      <c r="AB9" s="514" t="str">
        <f>AF9&amp;"Q1"</f>
        <v>2011Q1</v>
      </c>
      <c r="AC9" s="514" t="str">
        <f>AF9&amp;"Q2"</f>
        <v>2011Q2</v>
      </c>
      <c r="AD9" s="514" t="str">
        <f>AF9&amp;"Q3"</f>
        <v>2011Q3</v>
      </c>
      <c r="AE9" s="514" t="str">
        <f>AF9&amp;"Q4"</f>
        <v>2011Q4</v>
      </c>
      <c r="AF9" s="31">
        <f>+Valuation!D9</f>
        <v>2011</v>
      </c>
      <c r="AG9" s="514" t="str">
        <f>AK9&amp;"Q1"</f>
        <v>2012Q1</v>
      </c>
      <c r="AH9" s="514" t="str">
        <f>AK9&amp;"Q2"</f>
        <v>2012Q2</v>
      </c>
      <c r="AI9" s="514" t="str">
        <f>AK9&amp;"Q3"</f>
        <v>2012Q3</v>
      </c>
      <c r="AJ9" s="514" t="str">
        <f>AK9&amp;"Q4"</f>
        <v>2012Q4</v>
      </c>
      <c r="AK9" s="31">
        <f>+Valuation!E9</f>
        <v>2012</v>
      </c>
      <c r="AL9" s="514" t="str">
        <f>AP9&amp;"Q1"</f>
        <v>2013Q1</v>
      </c>
      <c r="AM9" s="514" t="str">
        <f>AP9&amp;"Q2"</f>
        <v>2013Q2</v>
      </c>
      <c r="AN9" s="514" t="str">
        <f>AP9&amp;"Q3"</f>
        <v>2013Q3</v>
      </c>
      <c r="AO9" s="514" t="str">
        <f>AP9&amp;"Q4"</f>
        <v>2013Q4</v>
      </c>
      <c r="AP9" s="31">
        <f>+Valuation!F9</f>
        <v>2013</v>
      </c>
      <c r="AQ9" s="514" t="str">
        <f>AU9&amp;"Q1"</f>
        <v>2014Q1</v>
      </c>
      <c r="AR9" s="514" t="str">
        <f>AU9&amp;"Q2"</f>
        <v>2014Q2</v>
      </c>
      <c r="AS9" s="514" t="str">
        <f>AU9&amp;"Q3"</f>
        <v>2014Q3</v>
      </c>
      <c r="AT9" s="514" t="str">
        <f>AU9&amp;"Q4"</f>
        <v>2014Q4</v>
      </c>
      <c r="AU9" s="31">
        <f>+Valuation!G9</f>
        <v>2014</v>
      </c>
      <c r="AV9" s="514" t="str">
        <f>AZ9&amp;"Q1"</f>
        <v>2015Q1</v>
      </c>
      <c r="AW9" s="514" t="str">
        <f>AZ9&amp;"Q2"</f>
        <v>2015Q2</v>
      </c>
      <c r="AX9" s="514" t="str">
        <f>AZ9&amp;"Q3"</f>
        <v>2015Q3</v>
      </c>
      <c r="AY9" s="514" t="str">
        <f>AZ9&amp;"Q4"</f>
        <v>2015Q4</v>
      </c>
      <c r="AZ9" s="31">
        <f>+Valuation!H9</f>
        <v>2015</v>
      </c>
      <c r="BA9" s="514" t="str">
        <f>BE9&amp;"Q1"</f>
        <v>2016Q1</v>
      </c>
      <c r="BB9" s="514" t="str">
        <f>BE9&amp;"Q2"</f>
        <v>2016Q2</v>
      </c>
      <c r="BC9" s="514" t="str">
        <f>BE9&amp;"Q3"</f>
        <v>2016Q3</v>
      </c>
      <c r="BD9" s="514" t="str">
        <f>BE9&amp;"Q4"</f>
        <v>2016Q4</v>
      </c>
      <c r="BE9" s="31">
        <f>+Valuation!I9</f>
        <v>2016</v>
      </c>
      <c r="BF9" s="514" t="str">
        <f>BJ9&amp;"Q1"</f>
        <v>2017Q1</v>
      </c>
      <c r="BG9" s="514" t="str">
        <f>BJ9&amp;"Q2"</f>
        <v>2017Q2</v>
      </c>
      <c r="BH9" s="514" t="str">
        <f>BJ9&amp;"Q3"</f>
        <v>2017Q3</v>
      </c>
      <c r="BI9" s="514" t="str">
        <f>BJ9&amp;"Q4"</f>
        <v>2017Q4</v>
      </c>
      <c r="BJ9" s="31">
        <f>+Valuation!J9</f>
        <v>2017</v>
      </c>
      <c r="BK9" s="514" t="str">
        <f>BO9&amp;"Q1"</f>
        <v>2018Q1</v>
      </c>
      <c r="BL9" s="514" t="str">
        <f>BO9&amp;"Q2"</f>
        <v>2018Q2</v>
      </c>
      <c r="BM9" s="514" t="str">
        <f>BO9&amp;"Q3"</f>
        <v>2018Q3</v>
      </c>
      <c r="BN9" s="514" t="str">
        <f>BO9&amp;"Q4"</f>
        <v>2018Q4</v>
      </c>
      <c r="BO9" s="31">
        <f>+Valuation!K9</f>
        <v>2018</v>
      </c>
      <c r="BP9" s="514" t="str">
        <f>BT9&amp;"Q1"</f>
        <v>2019Q1</v>
      </c>
      <c r="BQ9" s="514" t="str">
        <f>BT9&amp;"Q2"</f>
        <v>2019Q2</v>
      </c>
      <c r="BR9" s="514" t="str">
        <f>BT9&amp;"Q3"</f>
        <v>2019Q3</v>
      </c>
      <c r="BS9" s="514" t="str">
        <f>BT9&amp;"Q4"</f>
        <v>2019Q4</v>
      </c>
      <c r="BT9" s="31">
        <f>+Valuation!L9</f>
        <v>2019</v>
      </c>
      <c r="BU9" s="514" t="str">
        <f>BY9&amp;"Q1"</f>
        <v>2020Q1</v>
      </c>
      <c r="BV9" s="514" t="str">
        <f>BY9&amp;"Q2"</f>
        <v>2020Q2</v>
      </c>
      <c r="BW9" s="514" t="str">
        <f>BY9&amp;"Q3"</f>
        <v>2020Q3</v>
      </c>
      <c r="BX9" s="514" t="str">
        <f>BY9&amp;"Q4"</f>
        <v>2020Q4</v>
      </c>
      <c r="BY9" s="31">
        <f>+Valuation!M9</f>
        <v>2020</v>
      </c>
      <c r="BZ9" s="514" t="str">
        <f>CD9&amp;"Q1"</f>
        <v>2021Q1</v>
      </c>
      <c r="CA9" s="514" t="str">
        <f>CD9&amp;"Q2"</f>
        <v>2021Q2</v>
      </c>
      <c r="CB9" s="514" t="str">
        <f>CD9&amp;"Q3"</f>
        <v>2021Q3</v>
      </c>
      <c r="CC9" s="514" t="str">
        <f>CD9&amp;"Q4"</f>
        <v>2021Q4</v>
      </c>
      <c r="CD9" s="31">
        <f>+Valuation!N9</f>
        <v>2021</v>
      </c>
      <c r="CE9" s="514" t="str">
        <f>CI9&amp;"Q1"</f>
        <v>2022Q1</v>
      </c>
      <c r="CF9" s="514" t="str">
        <f>CI9&amp;"Q2"</f>
        <v>2022Q2</v>
      </c>
      <c r="CG9" s="514" t="str">
        <f>CI9&amp;"Q3"</f>
        <v>2022Q3</v>
      </c>
      <c r="CH9" s="514" t="str">
        <f>CI9&amp;"Q4"</f>
        <v>2022Q4</v>
      </c>
      <c r="CI9" s="31">
        <f>+Valuation!O9</f>
        <v>2022</v>
      </c>
      <c r="CJ9" s="514" t="str">
        <f>CN9&amp;"Q1"</f>
        <v>2023Q1</v>
      </c>
      <c r="CK9" s="514" t="str">
        <f>CN9&amp;"Q2"</f>
        <v>2023Q2</v>
      </c>
      <c r="CL9" s="514" t="str">
        <f>CN9&amp;"Q3"</f>
        <v>2023Q3</v>
      </c>
      <c r="CM9" s="514" t="str">
        <f>CN9&amp;"Q4"</f>
        <v>2023Q4</v>
      </c>
      <c r="CN9" s="31">
        <f>+Valuation!P9</f>
        <v>2023</v>
      </c>
      <c r="CO9" s="514" t="str">
        <f>CS9&amp;"Q1"</f>
        <v>2024Q1</v>
      </c>
      <c r="CP9" s="514" t="str">
        <f>CS9&amp;"Q2"</f>
        <v>2024Q2</v>
      </c>
      <c r="CQ9" s="514" t="str">
        <f>CS9&amp;"Q3"</f>
        <v>2024Q3</v>
      </c>
      <c r="CR9" s="514" t="str">
        <f>CS9&amp;"Q4"</f>
        <v>2024Q4</v>
      </c>
      <c r="CS9" s="31">
        <f>+Valuation!Q9</f>
        <v>2024</v>
      </c>
      <c r="CT9" s="514" t="str">
        <f>CX9&amp;"Q1"</f>
        <v>2025Q1</v>
      </c>
      <c r="CU9" s="514" t="str">
        <f>CX9&amp;"Q2"</f>
        <v>2025Q2</v>
      </c>
      <c r="CV9" s="514" t="str">
        <f>CX9&amp;"Q3"</f>
        <v>2025Q3</v>
      </c>
      <c r="CW9" s="514" t="str">
        <f>CX9&amp;"Q4"</f>
        <v>2025Q4</v>
      </c>
      <c r="CX9" s="31">
        <f>+Valuation!R9</f>
        <v>2025</v>
      </c>
      <c r="CY9" s="514" t="str">
        <f>DC9&amp;"Q1"</f>
        <v>2026Q1</v>
      </c>
      <c r="CZ9" s="514" t="str">
        <f>DC9&amp;"Q2"</f>
        <v>2026Q2</v>
      </c>
      <c r="DA9" s="514" t="str">
        <f>DC9&amp;"Q3"</f>
        <v>2026Q3</v>
      </c>
      <c r="DB9" s="514" t="str">
        <f>DC9&amp;"Q4"</f>
        <v>2026Q4</v>
      </c>
      <c r="DC9" s="515">
        <f>+Valuation!S9</f>
        <v>2026</v>
      </c>
      <c r="DD9" s="514" t="str">
        <f>DH9&amp;"Q1"</f>
        <v>2027Q1</v>
      </c>
      <c r="DE9" s="514" t="str">
        <f>DH9&amp;"Q2"</f>
        <v>2027Q2</v>
      </c>
      <c r="DF9" s="514" t="str">
        <f>DH9&amp;"Q3"</f>
        <v>2027Q3</v>
      </c>
      <c r="DG9" s="514" t="str">
        <f>DH9&amp;"Q4"</f>
        <v>2027Q4</v>
      </c>
      <c r="DH9" s="515">
        <f>+Valuation!T9</f>
        <v>2027</v>
      </c>
      <c r="DI9" s="514" t="str">
        <f>DM9&amp;"Q1"</f>
        <v>2028Q1</v>
      </c>
      <c r="DJ9" s="514" t="str">
        <f>DM9&amp;"Q2"</f>
        <v>2028Q2</v>
      </c>
      <c r="DK9" s="514" t="str">
        <f>DM9&amp;"Q3"</f>
        <v>2028Q3</v>
      </c>
      <c r="DL9" s="514" t="str">
        <f>DM9&amp;"Q4"</f>
        <v>2028Q4</v>
      </c>
      <c r="DM9" s="515">
        <f>+Valuation!U9</f>
        <v>2028</v>
      </c>
      <c r="DN9" s="514" t="str">
        <f>DR9&amp;"Q1"</f>
        <v>2029Q1</v>
      </c>
      <c r="DO9" s="514" t="str">
        <f>DR9&amp;"Q2"</f>
        <v>2029Q2</v>
      </c>
      <c r="DP9" s="514" t="str">
        <f>DR9&amp;"Q3"</f>
        <v>2029Q3</v>
      </c>
      <c r="DQ9" s="514" t="str">
        <f>DR9&amp;"Q4"</f>
        <v>2029Q4</v>
      </c>
      <c r="DR9" s="515">
        <f>+Valuation!V9</f>
        <v>2029</v>
      </c>
      <c r="DS9" s="514" t="str">
        <f>IF($DW$9="", "", $DW$9&amp;"Q1")</f>
        <v>2030Q1</v>
      </c>
      <c r="DT9" s="514" t="str">
        <f>IF($DW$9="", "", $DW$9&amp;"Q2")</f>
        <v>2030Q2</v>
      </c>
      <c r="DU9" s="514" t="str">
        <f>IF($DW$9="", "", $DW$9&amp;"Q3")</f>
        <v>2030Q3</v>
      </c>
      <c r="DV9" s="514" t="str">
        <f>IF($DW$9="", "", $DW$9&amp;"Q4")</f>
        <v>2030Q4</v>
      </c>
      <c r="DW9" s="515">
        <f>IF(Valuation!V108=10, +Valuation!W9, "")</f>
        <v>2030</v>
      </c>
      <c r="DX9" s="514" t="str">
        <f>IF($EB$9="","",$EB$9&amp;"Q1")</f>
        <v>2031Q1</v>
      </c>
      <c r="DY9" s="514" t="str">
        <f>IF($EB$9="","",$EB$9&amp;"Q2")</f>
        <v>2031Q2</v>
      </c>
      <c r="DZ9" s="514" t="str">
        <f>IF($EB$9="","",$EB$9&amp;"Q3")</f>
        <v>2031Q3</v>
      </c>
      <c r="EA9" s="514" t="str">
        <f>IF($EB$9="","",$EB$9&amp;"Q4")</f>
        <v>2031Q4</v>
      </c>
      <c r="EB9" s="515">
        <f>IF(Valuation!V108=10, +Valuation!X9, "")</f>
        <v>2031</v>
      </c>
      <c r="EC9" s="514" t="str">
        <f>IF($EG$9="", "", $EG$9&amp;"Q1")</f>
        <v>2032Q1</v>
      </c>
      <c r="ED9" s="514" t="str">
        <f>IF($EG$9="", "", $EG$9&amp;"Q2")</f>
        <v>2032Q2</v>
      </c>
      <c r="EE9" s="514" t="str">
        <f>IF($EG$9="", "", $EG$9&amp;"Q3")</f>
        <v>2032Q3</v>
      </c>
      <c r="EF9" s="514" t="str">
        <f>IF($EG$9="", "", $EG$9&amp;"Q4")</f>
        <v>2032Q4</v>
      </c>
      <c r="EG9" s="515">
        <f>IF(Valuation!V108=10, +Valuation!Y9, "")</f>
        <v>2032</v>
      </c>
      <c r="EH9" s="514" t="str">
        <f>IF($EL$9="", "", $EL$9&amp;"Q1")</f>
        <v>2033Q1</v>
      </c>
      <c r="EI9" s="514" t="str">
        <f>IF($EL$9="", "", $EL$9&amp;"Q2")</f>
        <v>2033Q2</v>
      </c>
      <c r="EJ9" s="514" t="str">
        <f>IF($EL$9="", "", $EL$9&amp;"Q3")</f>
        <v>2033Q3</v>
      </c>
      <c r="EK9" s="514" t="str">
        <f>IF($EL$9="", "", $EL$9&amp;"Q4")</f>
        <v>2033Q4</v>
      </c>
      <c r="EL9" s="515">
        <f>IF(Valuation!V108=10,+Valuation!Z9, "")</f>
        <v>2033</v>
      </c>
      <c r="EM9" s="514" t="str">
        <f>IF($EQ$9="", "", $EQ$9&amp;"Q1")</f>
        <v>2034Q1</v>
      </c>
      <c r="EN9" s="514" t="str">
        <f>IF($EQ$9="", "", $EQ$9&amp;"Q2")</f>
        <v>2034Q2</v>
      </c>
      <c r="EO9" s="514" t="str">
        <f>IF($EQ$9="", "", $EQ$9&amp;"Q3")</f>
        <v>2034Q3</v>
      </c>
      <c r="EP9" s="514" t="str">
        <f>IF($EQ$9="", "", $EQ$9&amp;"Q4")</f>
        <v>2034Q4</v>
      </c>
      <c r="EQ9" s="515">
        <f>IF(Valuation!V108=10,+Valuation!AA9,"")</f>
        <v>2034</v>
      </c>
      <c r="ER9" s="514" t="str">
        <f>IF($EV$9="", "", $EV$9&amp;"Q1")</f>
        <v>2035Q1</v>
      </c>
      <c r="ES9" s="514" t="str">
        <f>IF($EV$9="", "", $EV$9&amp;"Q2")</f>
        <v>2035Q2</v>
      </c>
      <c r="ET9" s="514" t="str">
        <f>IF($EV$9="", "", $EV$9&amp;"Q3")</f>
        <v>2035Q3</v>
      </c>
      <c r="EU9" s="514" t="str">
        <f>IF($EV$9="","",$EV$9&amp;"Q4")</f>
        <v>2035Q4</v>
      </c>
      <c r="EV9" s="515">
        <f>IF(Valuation!V108=10, +Valuation!AB9, "")</f>
        <v>2035</v>
      </c>
      <c r="EW9" s="516"/>
    </row>
    <row r="10" spans="1:153" s="517" customFormat="1" ht="4.5" customHeight="1">
      <c r="A10" s="9"/>
      <c r="B10" s="420"/>
      <c r="C10" s="516"/>
      <c r="D10" s="516"/>
      <c r="E10" s="516"/>
      <c r="F10" s="516"/>
      <c r="G10" s="516"/>
      <c r="H10" s="516"/>
      <c r="I10" s="516"/>
      <c r="J10" s="516"/>
      <c r="K10" s="516"/>
      <c r="L10" s="516"/>
      <c r="M10" s="516"/>
      <c r="N10" s="516"/>
      <c r="O10" s="516"/>
      <c r="P10" s="516"/>
      <c r="Q10" s="516"/>
      <c r="R10" s="516"/>
      <c r="S10" s="516"/>
      <c r="T10" s="516"/>
      <c r="U10" s="516"/>
      <c r="V10" s="516"/>
      <c r="W10" s="516"/>
      <c r="X10" s="516"/>
      <c r="Y10" s="516"/>
      <c r="Z10" s="516"/>
      <c r="AA10" s="516"/>
      <c r="AB10" s="516"/>
      <c r="AC10" s="516"/>
      <c r="AD10" s="516"/>
      <c r="AE10" s="516"/>
      <c r="AF10" s="516"/>
      <c r="AG10" s="516"/>
      <c r="AH10" s="516"/>
      <c r="AI10" s="516"/>
      <c r="AJ10" s="516"/>
      <c r="AK10" s="516"/>
      <c r="AL10" s="516"/>
      <c r="AM10" s="516"/>
      <c r="AN10" s="516"/>
      <c r="AO10" s="516"/>
      <c r="AP10" s="516"/>
      <c r="AQ10" s="516"/>
      <c r="AR10" s="516"/>
      <c r="AS10" s="516"/>
      <c r="AT10" s="516"/>
      <c r="AU10" s="516"/>
      <c r="AV10" s="516"/>
      <c r="AW10" s="516"/>
      <c r="AX10" s="516"/>
      <c r="AY10" s="516"/>
      <c r="AZ10" s="516"/>
      <c r="BA10" s="516"/>
      <c r="BB10" s="516"/>
      <c r="BC10" s="516"/>
      <c r="BD10" s="516"/>
      <c r="BE10" s="516"/>
      <c r="BF10" s="516"/>
      <c r="BG10" s="516"/>
      <c r="BH10" s="516"/>
      <c r="BI10" s="516"/>
      <c r="BJ10" s="516"/>
      <c r="BK10" s="516"/>
      <c r="BL10" s="516"/>
      <c r="BM10" s="516"/>
      <c r="BN10" s="516"/>
      <c r="BO10" s="516"/>
      <c r="BP10" s="516"/>
      <c r="BQ10" s="516"/>
      <c r="BR10" s="516"/>
      <c r="BS10" s="516"/>
      <c r="BT10" s="516"/>
      <c r="BU10" s="516"/>
      <c r="BV10" s="516"/>
      <c r="BW10" s="516"/>
      <c r="BX10" s="516"/>
      <c r="BY10" s="516"/>
      <c r="BZ10" s="516"/>
      <c r="CA10" s="516"/>
      <c r="CB10" s="516"/>
      <c r="CC10" s="516"/>
      <c r="CD10" s="516"/>
      <c r="CE10" s="516"/>
      <c r="CF10" s="516"/>
      <c r="CG10" s="516"/>
      <c r="CH10" s="516"/>
      <c r="CI10" s="516"/>
      <c r="CJ10" s="516"/>
      <c r="CK10" s="516"/>
      <c r="CL10" s="516"/>
      <c r="CM10" s="516"/>
      <c r="CN10" s="516"/>
      <c r="CO10" s="516"/>
      <c r="CP10" s="516"/>
      <c r="CQ10" s="516"/>
      <c r="CR10" s="516"/>
      <c r="CS10" s="516"/>
      <c r="CT10" s="516"/>
      <c r="CU10" s="516"/>
      <c r="CV10" s="516"/>
      <c r="CW10" s="516"/>
      <c r="CX10" s="516"/>
      <c r="CY10" s="516"/>
      <c r="CZ10" s="516"/>
      <c r="DA10" s="516"/>
      <c r="DB10" s="516"/>
      <c r="DC10" s="516"/>
      <c r="DD10" s="516"/>
      <c r="DE10" s="516"/>
      <c r="DF10" s="516"/>
      <c r="DG10" s="516"/>
      <c r="DH10" s="516"/>
      <c r="DI10" s="516"/>
      <c r="DJ10" s="516"/>
      <c r="DK10" s="516"/>
      <c r="DL10" s="516"/>
      <c r="DM10" s="516"/>
      <c r="DN10" s="516"/>
      <c r="DO10" s="516"/>
      <c r="DP10" s="516"/>
      <c r="DQ10" s="516"/>
      <c r="DR10" s="516"/>
      <c r="DS10" s="516"/>
      <c r="DT10" s="516"/>
      <c r="DU10" s="516"/>
      <c r="DV10" s="516"/>
      <c r="DW10" s="516"/>
      <c r="DX10" s="516"/>
      <c r="DY10" s="516"/>
      <c r="DZ10" s="516"/>
      <c r="EA10" s="516"/>
      <c r="EB10" s="516"/>
      <c r="EC10" s="516"/>
      <c r="ED10" s="516"/>
      <c r="EE10" s="516"/>
      <c r="EF10" s="516"/>
      <c r="EG10" s="516"/>
      <c r="EH10" s="516"/>
      <c r="EI10" s="516"/>
      <c r="EJ10" s="516"/>
      <c r="EK10" s="516"/>
      <c r="EL10" s="516"/>
      <c r="EM10" s="516"/>
      <c r="EN10" s="516"/>
      <c r="EO10" s="516"/>
      <c r="EP10" s="516"/>
      <c r="EQ10" s="516"/>
      <c r="ER10" s="516"/>
      <c r="ES10" s="516"/>
      <c r="ET10" s="516"/>
      <c r="EU10" s="516"/>
      <c r="EV10" s="516"/>
      <c r="EW10" s="516"/>
    </row>
    <row r="11" spans="1:153" s="521" customFormat="1">
      <c r="A11" s="696"/>
      <c r="B11" s="519"/>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0"/>
      <c r="AH11" s="520"/>
      <c r="AI11" s="520"/>
      <c r="AJ11" s="520"/>
      <c r="AK11" s="520"/>
      <c r="AL11" s="520"/>
      <c r="AM11" s="520"/>
      <c r="AN11" s="520"/>
      <c r="AO11" s="520"/>
      <c r="AP11" s="520"/>
      <c r="AQ11" s="520"/>
      <c r="AR11" s="520"/>
      <c r="AS11" s="520"/>
      <c r="AT11" s="520"/>
      <c r="AU11" s="520"/>
      <c r="AV11" s="520"/>
      <c r="AW11" s="520"/>
      <c r="AX11" s="520"/>
      <c r="AY11" s="520"/>
      <c r="AZ11" s="520"/>
      <c r="BA11" s="520"/>
      <c r="BB11" s="520"/>
      <c r="BC11" s="520"/>
      <c r="BD11" s="520"/>
      <c r="BE11" s="520"/>
      <c r="BF11" s="520"/>
      <c r="BG11" s="520"/>
      <c r="BH11" s="520"/>
      <c r="BI11" s="520"/>
      <c r="BJ11" s="520"/>
      <c r="BK11" s="520"/>
      <c r="BL11" s="520"/>
      <c r="BM11" s="520"/>
      <c r="BN11" s="520"/>
      <c r="BO11" s="520"/>
      <c r="BP11" s="520"/>
      <c r="BQ11" s="520"/>
      <c r="BR11" s="520"/>
      <c r="BS11" s="520"/>
      <c r="BT11" s="520"/>
      <c r="BU11" s="520"/>
      <c r="BV11" s="520"/>
      <c r="BW11" s="520"/>
      <c r="BX11" s="520"/>
      <c r="BY11" s="520"/>
      <c r="BZ11" s="520"/>
      <c r="CA11" s="520"/>
      <c r="CB11" s="520"/>
      <c r="CC11" s="520"/>
      <c r="CD11" s="520"/>
      <c r="CE11" s="520"/>
      <c r="CF11" s="520"/>
      <c r="CG11" s="520"/>
      <c r="CH11" s="520"/>
      <c r="CI11" s="520"/>
      <c r="CJ11" s="520"/>
      <c r="CK11" s="520"/>
      <c r="CL11" s="520"/>
      <c r="CM11" s="520"/>
      <c r="CN11" s="520"/>
      <c r="CO11" s="520"/>
      <c r="CP11" s="520"/>
      <c r="CQ11" s="520"/>
      <c r="CR11" s="520"/>
      <c r="CS11" s="520"/>
      <c r="CT11" s="520"/>
      <c r="CU11" s="520"/>
      <c r="CV11" s="520"/>
      <c r="CW11" s="520"/>
      <c r="CX11" s="520"/>
      <c r="CY11" s="520"/>
      <c r="CZ11" s="520"/>
      <c r="DA11" s="520"/>
      <c r="DB11" s="520"/>
      <c r="DC11" s="520"/>
      <c r="DD11" s="520"/>
      <c r="DE11" s="520"/>
      <c r="DF11" s="520"/>
      <c r="DG11" s="520"/>
      <c r="DH11" s="520"/>
      <c r="DI11" s="520"/>
      <c r="DJ11" s="520"/>
      <c r="DK11" s="520"/>
      <c r="DL11" s="520"/>
      <c r="DM11" s="520"/>
      <c r="DN11" s="520"/>
      <c r="DO11" s="520"/>
      <c r="DP11" s="520"/>
      <c r="DQ11" s="520"/>
      <c r="DR11" s="520"/>
      <c r="DS11" s="520"/>
      <c r="DT11" s="520"/>
      <c r="DU11" s="520"/>
      <c r="DV11" s="520"/>
      <c r="DW11" s="520"/>
      <c r="DX11" s="520"/>
      <c r="DY11" s="520"/>
      <c r="DZ11" s="520"/>
      <c r="EA11" s="520"/>
      <c r="EB11" s="520"/>
      <c r="EC11" s="520"/>
      <c r="ED11" s="520"/>
      <c r="EE11" s="520"/>
      <c r="EF11" s="520"/>
      <c r="EG11" s="520"/>
      <c r="EH11" s="520"/>
      <c r="EI11" s="520"/>
      <c r="EJ11" s="520"/>
      <c r="EK11" s="520"/>
      <c r="EL11" s="520"/>
      <c r="EM11" s="520"/>
      <c r="EN11" s="520"/>
      <c r="EO11" s="520"/>
      <c r="EP11" s="520"/>
      <c r="EQ11" s="520"/>
      <c r="ER11" s="520"/>
      <c r="ES11" s="520"/>
      <c r="ET11" s="520"/>
      <c r="EU11" s="520"/>
      <c r="EV11" s="520"/>
      <c r="EW11" s="520"/>
    </row>
    <row r="12" spans="1:153" s="521" customFormat="1" ht="15">
      <c r="A12" s="691" t="s">
        <v>5</v>
      </c>
      <c r="B12" s="519"/>
      <c r="C12" s="520"/>
      <c r="D12" s="520"/>
      <c r="E12" s="520"/>
      <c r="F12" s="520"/>
      <c r="G12" s="520"/>
      <c r="H12" s="520"/>
      <c r="I12" s="520"/>
      <c r="J12" s="520"/>
      <c r="K12" s="520"/>
      <c r="L12" s="522">
        <f>Valuation!N11</f>
        <v>7839444</v>
      </c>
      <c r="M12" s="522">
        <f>Valuation!O11</f>
        <v>3194208</v>
      </c>
      <c r="N12" s="522">
        <f>Valuation!P11</f>
        <v>3108383</v>
      </c>
      <c r="O12" s="522">
        <f>Valuation!Q11</f>
        <v>6564028</v>
      </c>
      <c r="P12" s="522">
        <f>Valuation!R11</f>
        <v>7181325</v>
      </c>
      <c r="Q12" s="522">
        <f ca="1">Q60+Q62+Q53</f>
        <v>6803250.5397419743</v>
      </c>
      <c r="R12" s="522" t="e">
        <f t="shared" ref="R12:Z12" ca="1" si="0">R60+R62+R53</f>
        <v>#NAME?</v>
      </c>
      <c r="S12" s="522" t="e">
        <f t="shared" ca="1" si="0"/>
        <v>#NAME?</v>
      </c>
      <c r="T12" s="522" t="e">
        <f t="shared" ca="1" si="0"/>
        <v>#NAME?</v>
      </c>
      <c r="U12" s="522" t="e">
        <f t="shared" ca="1" si="0"/>
        <v>#NAME?</v>
      </c>
      <c r="V12" s="522" t="e">
        <f t="shared" ca="1" si="0"/>
        <v>#NAME?</v>
      </c>
      <c r="W12" s="522" t="e">
        <f t="shared" ca="1" si="0"/>
        <v>#NAME?</v>
      </c>
      <c r="X12" s="522" t="e">
        <f t="shared" ca="1" si="0"/>
        <v>#NAME?</v>
      </c>
      <c r="Y12" s="522" t="e">
        <f t="shared" ca="1" si="0"/>
        <v>#NAME?</v>
      </c>
      <c r="Z12" s="522" t="e">
        <f t="shared" ca="1" si="0"/>
        <v>#NAME?</v>
      </c>
      <c r="AA12" s="522"/>
      <c r="AB12" s="520"/>
      <c r="AC12" s="520"/>
      <c r="AD12" s="520"/>
      <c r="AE12" s="520"/>
      <c r="AF12" s="520"/>
      <c r="AG12" s="520"/>
      <c r="AH12" s="520"/>
      <c r="AI12" s="520"/>
      <c r="AJ12" s="520"/>
      <c r="AK12" s="520"/>
      <c r="AL12" s="520"/>
      <c r="AM12" s="520"/>
      <c r="AN12" s="520"/>
      <c r="AO12" s="520"/>
      <c r="AP12" s="520"/>
      <c r="AQ12" s="520"/>
      <c r="AR12" s="520"/>
      <c r="AS12" s="520"/>
      <c r="AT12" s="520"/>
      <c r="AU12" s="520"/>
      <c r="AV12" s="520"/>
      <c r="AW12" s="520"/>
      <c r="AX12" s="520"/>
      <c r="AY12" s="520"/>
      <c r="AZ12" s="520"/>
      <c r="BA12" s="520"/>
      <c r="BB12" s="520"/>
      <c r="BC12" s="520"/>
      <c r="BD12" s="520"/>
      <c r="BE12" s="520"/>
      <c r="BF12" s="520"/>
      <c r="BG12" s="520"/>
      <c r="BH12" s="520"/>
      <c r="BI12" s="520"/>
      <c r="BJ12" s="520"/>
      <c r="BK12" s="520"/>
      <c r="BL12" s="520"/>
      <c r="BM12" s="520"/>
      <c r="BN12" s="520"/>
      <c r="BO12" s="520"/>
      <c r="BP12" s="520"/>
      <c r="BQ12" s="520"/>
      <c r="BR12" s="520"/>
      <c r="BS12" s="520"/>
      <c r="BT12" s="520"/>
      <c r="BU12" s="520"/>
      <c r="BV12" s="520"/>
      <c r="BW12" s="520"/>
      <c r="BX12" s="520"/>
      <c r="BY12" s="520"/>
      <c r="BZ12" s="520"/>
      <c r="CA12" s="520"/>
      <c r="CB12" s="520"/>
      <c r="CC12" s="520"/>
      <c r="CD12" s="520"/>
      <c r="CE12" s="520"/>
      <c r="CF12" s="520"/>
      <c r="CG12" s="520"/>
      <c r="CH12" s="520"/>
      <c r="CI12" s="520"/>
      <c r="CJ12" s="520"/>
      <c r="CK12" s="520"/>
      <c r="CL12" s="520"/>
      <c r="CM12" s="520"/>
      <c r="CN12" s="520"/>
      <c r="CO12" s="520"/>
      <c r="CP12" s="520"/>
      <c r="CQ12" s="520"/>
      <c r="CR12" s="520"/>
      <c r="CS12" s="520"/>
      <c r="CT12" s="520"/>
      <c r="CU12" s="520"/>
      <c r="CV12" s="520"/>
      <c r="CW12" s="520"/>
      <c r="CX12" s="520"/>
      <c r="CY12" s="520"/>
      <c r="CZ12" s="520"/>
      <c r="DA12" s="520"/>
      <c r="DB12" s="520"/>
      <c r="DC12" s="520"/>
      <c r="DD12" s="520"/>
      <c r="DE12" s="520"/>
      <c r="DF12" s="520"/>
      <c r="DG12" s="520"/>
      <c r="DH12" s="520"/>
      <c r="DI12" s="520"/>
      <c r="DJ12" s="520"/>
      <c r="DK12" s="520"/>
      <c r="DL12" s="520"/>
      <c r="DM12" s="520"/>
      <c r="DN12" s="520"/>
      <c r="DO12" s="520"/>
      <c r="DP12" s="520"/>
      <c r="DQ12" s="520"/>
      <c r="DR12" s="520"/>
      <c r="DS12" s="520"/>
      <c r="DT12" s="520"/>
      <c r="DU12" s="520"/>
      <c r="DV12" s="520"/>
      <c r="DW12" s="520"/>
      <c r="DX12" s="520"/>
      <c r="DY12" s="520"/>
      <c r="DZ12" s="520"/>
      <c r="EA12" s="520"/>
      <c r="EB12" s="520"/>
      <c r="EC12" s="520"/>
      <c r="ED12" s="520"/>
      <c r="EE12" s="520"/>
      <c r="EF12" s="520"/>
      <c r="EG12" s="520"/>
      <c r="EH12" s="520"/>
      <c r="EI12" s="520"/>
      <c r="EJ12" s="520"/>
      <c r="EK12" s="520"/>
      <c r="EL12" s="520"/>
      <c r="EM12" s="520"/>
      <c r="EN12" s="520"/>
      <c r="EO12" s="520"/>
      <c r="EP12" s="520"/>
      <c r="EQ12" s="520"/>
      <c r="ER12" s="520"/>
      <c r="ES12" s="520"/>
      <c r="ET12" s="520"/>
      <c r="EU12" s="520"/>
      <c r="EV12" s="520"/>
      <c r="EW12" s="520"/>
    </row>
    <row r="13" spans="1:153" s="521" customFormat="1" ht="15">
      <c r="A13" s="691"/>
      <c r="B13" s="519"/>
      <c r="C13" s="520"/>
      <c r="D13" s="520"/>
      <c r="E13" s="520"/>
      <c r="F13" s="520"/>
      <c r="G13" s="520"/>
      <c r="H13" s="520"/>
      <c r="I13" s="520"/>
      <c r="J13" s="520"/>
      <c r="K13" s="520"/>
      <c r="L13" s="522"/>
      <c r="M13" s="522"/>
      <c r="N13" s="522"/>
      <c r="O13" s="522"/>
      <c r="P13" s="522"/>
      <c r="Q13" s="523"/>
      <c r="R13" s="522"/>
      <c r="S13" s="522"/>
      <c r="T13" s="522"/>
      <c r="U13" s="522"/>
      <c r="V13" s="522"/>
      <c r="W13" s="522"/>
      <c r="X13" s="522"/>
      <c r="Y13" s="522"/>
      <c r="Z13" s="524"/>
      <c r="AA13" s="522"/>
      <c r="AB13" s="520"/>
      <c r="AC13" s="520"/>
      <c r="AD13" s="520"/>
      <c r="AE13" s="520"/>
      <c r="AF13" s="520"/>
      <c r="AG13" s="520"/>
      <c r="AH13" s="520"/>
      <c r="AI13" s="520"/>
      <c r="AJ13" s="520"/>
      <c r="AK13" s="520"/>
      <c r="AL13" s="520"/>
      <c r="AM13" s="520"/>
      <c r="AN13" s="520"/>
      <c r="AO13" s="520"/>
      <c r="AP13" s="520"/>
      <c r="AQ13" s="520"/>
      <c r="AR13" s="520"/>
      <c r="AS13" s="520"/>
      <c r="AT13" s="520"/>
      <c r="AU13" s="520"/>
      <c r="AV13" s="520"/>
      <c r="AW13" s="520"/>
      <c r="AX13" s="520"/>
      <c r="AY13" s="520"/>
      <c r="AZ13" s="520"/>
      <c r="BA13" s="520"/>
      <c r="BB13" s="520"/>
      <c r="BC13" s="520"/>
      <c r="BD13" s="520"/>
      <c r="BE13" s="520"/>
      <c r="BF13" s="520"/>
      <c r="BG13" s="520"/>
      <c r="BH13" s="520"/>
      <c r="BI13" s="520"/>
      <c r="BJ13" s="520"/>
      <c r="BK13" s="520"/>
      <c r="BL13" s="520"/>
      <c r="BM13" s="520"/>
      <c r="BN13" s="520"/>
      <c r="BO13" s="520"/>
      <c r="BP13" s="520"/>
      <c r="BQ13" s="520"/>
      <c r="BR13" s="520"/>
      <c r="BS13" s="520"/>
      <c r="BT13" s="520"/>
      <c r="BU13" s="520"/>
      <c r="BV13" s="520"/>
      <c r="BW13" s="520"/>
      <c r="BX13" s="520"/>
      <c r="BY13" s="520"/>
      <c r="BZ13" s="520"/>
      <c r="CA13" s="520"/>
      <c r="CB13" s="520"/>
      <c r="CC13" s="520"/>
      <c r="CD13" s="520"/>
      <c r="CE13" s="520"/>
      <c r="CF13" s="520"/>
      <c r="CG13" s="520"/>
      <c r="CH13" s="520"/>
      <c r="CI13" s="520"/>
      <c r="CJ13" s="520"/>
      <c r="CK13" s="520"/>
      <c r="CL13" s="520"/>
      <c r="CM13" s="520"/>
      <c r="CN13" s="520"/>
      <c r="CO13" s="520"/>
      <c r="CP13" s="520"/>
      <c r="CQ13" s="520"/>
      <c r="CR13" s="520"/>
      <c r="CS13" s="520"/>
      <c r="CT13" s="520"/>
      <c r="CU13" s="520"/>
      <c r="CV13" s="520"/>
      <c r="CW13" s="520"/>
      <c r="CX13" s="520"/>
      <c r="CY13" s="520"/>
      <c r="CZ13" s="520"/>
      <c r="DA13" s="520"/>
      <c r="DB13" s="520"/>
      <c r="DC13" s="520"/>
      <c r="DD13" s="520"/>
      <c r="DE13" s="520"/>
      <c r="DF13" s="520"/>
      <c r="DG13" s="520"/>
      <c r="DH13" s="520"/>
      <c r="DI13" s="520"/>
      <c r="DJ13" s="520"/>
      <c r="DK13" s="520"/>
      <c r="DL13" s="520"/>
      <c r="DM13" s="520"/>
      <c r="DN13" s="520"/>
      <c r="DO13" s="520"/>
      <c r="DP13" s="520"/>
      <c r="DQ13" s="520"/>
      <c r="DR13" s="520"/>
      <c r="DS13" s="520"/>
      <c r="DT13" s="520"/>
      <c r="DU13" s="520"/>
      <c r="DV13" s="520"/>
      <c r="DW13" s="520"/>
      <c r="DX13" s="520"/>
      <c r="DY13" s="520"/>
      <c r="DZ13" s="520"/>
      <c r="EA13" s="520"/>
      <c r="EB13" s="520"/>
      <c r="EC13" s="520"/>
      <c r="ED13" s="520"/>
      <c r="EE13" s="520"/>
      <c r="EF13" s="520"/>
      <c r="EG13" s="520"/>
      <c r="EH13" s="520"/>
      <c r="EI13" s="520"/>
      <c r="EJ13" s="520"/>
      <c r="EK13" s="520"/>
      <c r="EL13" s="520"/>
      <c r="EM13" s="520"/>
      <c r="EN13" s="520"/>
      <c r="EO13" s="520"/>
      <c r="EP13" s="520"/>
      <c r="EQ13" s="520"/>
      <c r="ER13" s="520"/>
      <c r="ES13" s="520"/>
      <c r="ET13" s="520"/>
      <c r="EU13" s="520"/>
      <c r="EV13" s="520"/>
      <c r="EW13" s="520"/>
    </row>
    <row r="14" spans="1:153" s="521" customFormat="1">
      <c r="A14" s="686"/>
      <c r="B14" s="525"/>
      <c r="C14" s="520"/>
      <c r="D14" s="520"/>
      <c r="E14" s="520"/>
      <c r="F14" s="520"/>
      <c r="G14" s="520"/>
      <c r="H14" s="520"/>
      <c r="I14" s="520"/>
      <c r="J14" s="520"/>
      <c r="K14" s="520"/>
      <c r="L14" s="526"/>
      <c r="M14" s="526"/>
      <c r="N14" s="526"/>
      <c r="O14" s="526"/>
      <c r="P14" s="526"/>
      <c r="Q14" s="527">
        <f>355.3+247.3+394.4</f>
        <v>997</v>
      </c>
      <c r="R14" s="527"/>
      <c r="S14" s="526"/>
      <c r="T14" s="526"/>
      <c r="U14" s="526"/>
      <c r="V14" s="526"/>
      <c r="W14" s="526"/>
      <c r="X14" s="526"/>
      <c r="Y14" s="526"/>
      <c r="Z14" s="526"/>
      <c r="AA14" s="526"/>
      <c r="AB14" s="520"/>
      <c r="AC14" s="520"/>
      <c r="AD14" s="520"/>
      <c r="AE14" s="520"/>
      <c r="AF14" s="520"/>
      <c r="AG14" s="520"/>
      <c r="AH14" s="520"/>
      <c r="AI14" s="520"/>
      <c r="AJ14" s="520"/>
      <c r="AK14" s="520"/>
      <c r="AL14" s="520"/>
      <c r="AM14" s="520"/>
      <c r="AN14" s="520"/>
      <c r="AO14" s="520"/>
      <c r="AP14" s="520"/>
      <c r="AQ14" s="520"/>
      <c r="AR14" s="520"/>
      <c r="AS14" s="520"/>
      <c r="AT14" s="520"/>
      <c r="AU14" s="520"/>
      <c r="AV14" s="520"/>
      <c r="AW14" s="520"/>
      <c r="AX14" s="520"/>
      <c r="AY14" s="520"/>
      <c r="AZ14" s="520"/>
      <c r="BA14" s="520"/>
      <c r="BB14" s="520"/>
      <c r="BC14" s="520"/>
      <c r="BD14" s="520"/>
      <c r="BE14" s="520"/>
      <c r="BF14" s="520"/>
      <c r="BG14" s="520"/>
      <c r="BH14" s="520"/>
      <c r="BI14" s="520"/>
      <c r="BJ14" s="520"/>
      <c r="BK14" s="520"/>
      <c r="BL14" s="520"/>
      <c r="BM14" s="520"/>
      <c r="BN14" s="520"/>
      <c r="BO14" s="520"/>
      <c r="BP14" s="520"/>
      <c r="BQ14" s="520"/>
      <c r="BR14" s="520"/>
      <c r="BS14" s="520"/>
      <c r="BT14" s="520"/>
      <c r="BU14" s="520"/>
      <c r="BV14" s="520"/>
      <c r="BW14" s="520"/>
      <c r="BX14" s="520"/>
      <c r="BY14" s="520"/>
      <c r="BZ14" s="520"/>
      <c r="CA14" s="520"/>
      <c r="CB14" s="520"/>
      <c r="CC14" s="520"/>
      <c r="CD14" s="520"/>
      <c r="CE14" s="520"/>
      <c r="CF14" s="520"/>
      <c r="CG14" s="520"/>
      <c r="CH14" s="520"/>
      <c r="CI14" s="520"/>
      <c r="CJ14" s="520"/>
      <c r="CK14" s="520"/>
      <c r="CL14" s="520"/>
      <c r="CM14" s="520"/>
      <c r="CN14" s="520"/>
      <c r="CO14" s="520"/>
      <c r="CP14" s="520"/>
      <c r="CQ14" s="520"/>
      <c r="CR14" s="520"/>
      <c r="CS14" s="520"/>
      <c r="CT14" s="520"/>
      <c r="CU14" s="520"/>
      <c r="CV14" s="520"/>
      <c r="CW14" s="520"/>
      <c r="CX14" s="520"/>
      <c r="CY14" s="520"/>
      <c r="CZ14" s="520"/>
      <c r="DA14" s="520"/>
      <c r="DB14" s="520"/>
      <c r="DC14" s="520"/>
      <c r="DD14" s="520"/>
      <c r="DE14" s="520"/>
      <c r="DF14" s="520"/>
      <c r="DG14" s="520"/>
      <c r="DH14" s="520"/>
      <c r="DI14" s="520"/>
      <c r="DJ14" s="520"/>
      <c r="DK14" s="520"/>
      <c r="DL14" s="520"/>
      <c r="DM14" s="520"/>
      <c r="DN14" s="520"/>
      <c r="DO14" s="520"/>
      <c r="DP14" s="520"/>
      <c r="DQ14" s="520"/>
      <c r="DR14" s="520"/>
      <c r="DS14" s="520"/>
      <c r="DT14" s="520"/>
      <c r="DU14" s="520"/>
      <c r="DV14" s="520"/>
      <c r="DW14" s="520"/>
      <c r="DX14" s="520"/>
      <c r="DY14" s="520"/>
      <c r="DZ14" s="520"/>
      <c r="EA14" s="520"/>
      <c r="EB14" s="520"/>
      <c r="EC14" s="520"/>
      <c r="ED14" s="520"/>
      <c r="EE14" s="520"/>
      <c r="EF14" s="520"/>
      <c r="EG14" s="520"/>
      <c r="EH14" s="520"/>
      <c r="EI14" s="520"/>
      <c r="EJ14" s="520"/>
      <c r="EK14" s="520"/>
      <c r="EL14" s="520"/>
      <c r="EM14" s="520"/>
      <c r="EN14" s="520"/>
      <c r="EO14" s="520"/>
      <c r="EP14" s="520"/>
      <c r="EQ14" s="520"/>
      <c r="ER14" s="520"/>
      <c r="ES14" s="520"/>
      <c r="ET14" s="520"/>
      <c r="EU14" s="520"/>
      <c r="EV14" s="520"/>
      <c r="EW14" s="520"/>
    </row>
    <row r="15" spans="1:153" s="521" customFormat="1">
      <c r="A15" s="742" t="s">
        <v>3513</v>
      </c>
      <c r="B15" s="528"/>
      <c r="C15" s="520"/>
      <c r="D15" s="520"/>
      <c r="E15" s="520"/>
      <c r="F15" s="520"/>
      <c r="G15" s="520"/>
      <c r="H15" s="520"/>
      <c r="I15" s="520"/>
      <c r="J15" s="520"/>
      <c r="K15" s="520"/>
      <c r="L15" s="526"/>
      <c r="M15" s="526"/>
      <c r="N15" s="526"/>
      <c r="O15" s="526"/>
      <c r="P15" s="526"/>
      <c r="Q15" s="526"/>
      <c r="R15" s="526"/>
      <c r="S15" s="526"/>
      <c r="T15" s="526"/>
      <c r="U15" s="526"/>
      <c r="V15" s="526"/>
      <c r="W15" s="526"/>
      <c r="X15" s="526"/>
      <c r="Y15" s="526"/>
      <c r="Z15" s="526"/>
      <c r="AA15" s="526"/>
      <c r="AB15" s="520"/>
      <c r="AC15" s="520"/>
      <c r="AD15" s="520"/>
      <c r="AE15" s="520"/>
      <c r="AF15" s="520"/>
      <c r="AG15" s="520"/>
      <c r="AH15" s="520"/>
      <c r="AI15" s="520"/>
      <c r="AJ15" s="520"/>
      <c r="AK15" s="520"/>
      <c r="AL15" s="520"/>
      <c r="AM15" s="520"/>
      <c r="AN15" s="520"/>
      <c r="AO15" s="520"/>
      <c r="AP15" s="520"/>
      <c r="AQ15" s="520"/>
      <c r="AR15" s="520"/>
      <c r="AS15" s="520"/>
      <c r="AT15" s="520"/>
      <c r="AU15" s="520"/>
      <c r="AV15" s="520"/>
      <c r="AW15" s="520"/>
      <c r="AX15" s="520"/>
      <c r="AY15" s="520"/>
      <c r="AZ15" s="520"/>
      <c r="BA15" s="520"/>
      <c r="BB15" s="520"/>
      <c r="BC15" s="520"/>
      <c r="BD15" s="520"/>
      <c r="BE15" s="520"/>
      <c r="BF15" s="520"/>
      <c r="BG15" s="520"/>
      <c r="BH15" s="520"/>
      <c r="BI15" s="520"/>
      <c r="BJ15" s="520"/>
      <c r="BK15" s="520"/>
      <c r="BL15" s="520"/>
      <c r="BM15" s="520"/>
      <c r="BN15" s="520"/>
      <c r="BO15" s="520"/>
      <c r="BP15" s="520"/>
      <c r="BQ15" s="520"/>
      <c r="BR15" s="520"/>
      <c r="BS15" s="520"/>
      <c r="BT15" s="520"/>
      <c r="BU15" s="520"/>
      <c r="BV15" s="520"/>
      <c r="BW15" s="520"/>
      <c r="BX15" s="520"/>
      <c r="BY15" s="520"/>
      <c r="BZ15" s="520"/>
      <c r="CA15" s="520"/>
      <c r="CB15" s="520"/>
      <c r="CC15" s="520"/>
      <c r="CD15" s="520"/>
      <c r="CE15" s="520"/>
      <c r="CF15" s="520"/>
      <c r="CG15" s="520"/>
      <c r="CH15" s="520"/>
      <c r="CI15" s="520"/>
      <c r="CJ15" s="520"/>
      <c r="CK15" s="520"/>
      <c r="CL15" s="520"/>
      <c r="CM15" s="520"/>
      <c r="CN15" s="520"/>
      <c r="CO15" s="520"/>
      <c r="CP15" s="520"/>
      <c r="CQ15" s="520"/>
      <c r="CR15" s="520"/>
      <c r="CS15" s="520"/>
      <c r="CT15" s="520"/>
      <c r="CU15" s="520"/>
      <c r="CV15" s="520"/>
      <c r="CW15" s="520"/>
      <c r="CX15" s="520"/>
      <c r="CY15" s="520"/>
      <c r="CZ15" s="520"/>
      <c r="DA15" s="520"/>
      <c r="DB15" s="520"/>
      <c r="DC15" s="520"/>
      <c r="DD15" s="520"/>
      <c r="DE15" s="520"/>
      <c r="DF15" s="520"/>
      <c r="DG15" s="520"/>
      <c r="DH15" s="520"/>
      <c r="DI15" s="520"/>
      <c r="DJ15" s="520"/>
      <c r="DK15" s="520"/>
      <c r="DL15" s="520"/>
      <c r="DM15" s="520"/>
      <c r="DN15" s="520"/>
      <c r="DO15" s="520"/>
      <c r="DP15" s="520"/>
      <c r="DQ15" s="520"/>
      <c r="DR15" s="520"/>
      <c r="DS15" s="520"/>
      <c r="DT15" s="520"/>
      <c r="DU15" s="520"/>
      <c r="DV15" s="520"/>
      <c r="DW15" s="520"/>
      <c r="DX15" s="520"/>
      <c r="DY15" s="520"/>
      <c r="DZ15" s="520"/>
      <c r="EA15" s="520"/>
      <c r="EB15" s="520"/>
      <c r="EC15" s="520"/>
      <c r="ED15" s="520"/>
      <c r="EE15" s="520"/>
      <c r="EF15" s="520"/>
      <c r="EG15" s="520"/>
      <c r="EH15" s="520"/>
      <c r="EI15" s="520"/>
      <c r="EJ15" s="520"/>
      <c r="EK15" s="520"/>
      <c r="EL15" s="520"/>
      <c r="EM15" s="520"/>
      <c r="EN15" s="520"/>
      <c r="EO15" s="520"/>
      <c r="EP15" s="520"/>
      <c r="EQ15" s="520"/>
      <c r="ER15" s="520"/>
      <c r="ES15" s="520"/>
      <c r="ET15" s="520"/>
      <c r="EU15" s="520"/>
      <c r="EV15" s="520"/>
      <c r="EW15" s="520"/>
    </row>
    <row r="16" spans="1:153" s="532" customFormat="1" ht="15">
      <c r="A16" s="742"/>
      <c r="B16" s="529"/>
      <c r="C16" s="530"/>
      <c r="D16" s="530"/>
      <c r="E16" s="530"/>
      <c r="F16" s="530"/>
      <c r="G16" s="530"/>
      <c r="H16" s="530"/>
      <c r="I16" s="530"/>
      <c r="J16" s="530"/>
      <c r="K16" s="530"/>
      <c r="L16" s="531">
        <f>'Financial Statements'!D16-'Financial Statements'!D10-L29-L33</f>
        <v>3431299</v>
      </c>
      <c r="M16" s="531">
        <f>'Financial Statements'!E16-'Financial Statements'!E10-M29-M33</f>
        <v>5120467</v>
      </c>
      <c r="N16" s="531">
        <f>'Financial Statements'!F16-'Financial Statements'!F10-N29-N33</f>
        <v>2709698</v>
      </c>
      <c r="O16" s="531">
        <f>'Financial Statements'!G16-'Financial Statements'!G10-O29-O33</f>
        <v>3231643</v>
      </c>
      <c r="P16" s="531">
        <f>'Financial Statements'!H16-'Financial Statements'!H10-P29-P33</f>
        <v>4537226</v>
      </c>
      <c r="Q16" s="531">
        <f t="shared" ref="Q16:Z16" si="1">P16*(1+Q18)</f>
        <v>4764087.3</v>
      </c>
      <c r="R16" s="531">
        <f t="shared" si="1"/>
        <v>4859369.0460000001</v>
      </c>
      <c r="S16" s="531">
        <f t="shared" si="1"/>
        <v>5296712.2601400008</v>
      </c>
      <c r="T16" s="531">
        <f t="shared" si="1"/>
        <v>5720449.2409512009</v>
      </c>
      <c r="U16" s="531">
        <f t="shared" si="1"/>
        <v>6178085.1802272974</v>
      </c>
      <c r="V16" s="531">
        <f t="shared" si="1"/>
        <v>6610551.1428432083</v>
      </c>
      <c r="W16" s="531">
        <f t="shared" si="1"/>
        <v>7073289.7228422333</v>
      </c>
      <c r="X16" s="531">
        <f t="shared" si="1"/>
        <v>7568420.0034411903</v>
      </c>
      <c r="Y16" s="531">
        <f t="shared" si="1"/>
        <v>8022525.203647662</v>
      </c>
      <c r="Z16" s="531">
        <f t="shared" si="1"/>
        <v>8503876.7158665229</v>
      </c>
      <c r="AA16" s="526"/>
      <c r="AB16" s="530"/>
      <c r="AC16" s="530"/>
      <c r="AD16" s="530"/>
      <c r="AE16" s="530"/>
      <c r="AF16" s="530"/>
      <c r="AG16" s="530"/>
      <c r="AH16" s="530"/>
      <c r="AI16" s="530"/>
      <c r="AJ16" s="530"/>
      <c r="AK16" s="530"/>
      <c r="AL16" s="530"/>
      <c r="AM16" s="530"/>
      <c r="AN16" s="530"/>
      <c r="AO16" s="530"/>
      <c r="AP16" s="530"/>
      <c r="AQ16" s="530"/>
      <c r="AR16" s="530"/>
      <c r="AS16" s="530"/>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c r="CH16" s="530"/>
      <c r="CI16" s="530"/>
      <c r="CJ16" s="530"/>
      <c r="CK16" s="530"/>
      <c r="CL16" s="530"/>
      <c r="CM16" s="530"/>
      <c r="CN16" s="530"/>
      <c r="CO16" s="530"/>
      <c r="CP16" s="530"/>
      <c r="CQ16" s="530"/>
      <c r="CR16" s="530"/>
      <c r="CS16" s="530"/>
      <c r="CT16" s="530"/>
      <c r="CU16" s="530"/>
      <c r="CV16" s="530"/>
      <c r="CW16" s="530"/>
      <c r="CX16" s="530"/>
      <c r="CY16" s="530"/>
      <c r="CZ16" s="530"/>
      <c r="DA16" s="530"/>
      <c r="DB16" s="530"/>
      <c r="DC16" s="530"/>
      <c r="DD16" s="530"/>
      <c r="DE16" s="530"/>
      <c r="DF16" s="530"/>
      <c r="DG16" s="530"/>
      <c r="DH16" s="530"/>
      <c r="DI16" s="530"/>
      <c r="DJ16" s="530"/>
      <c r="DK16" s="530"/>
      <c r="DL16" s="530"/>
      <c r="DM16" s="530"/>
      <c r="DN16" s="530"/>
      <c r="DO16" s="530"/>
      <c r="DP16" s="530"/>
      <c r="DQ16" s="530"/>
      <c r="DR16" s="530"/>
      <c r="DS16" s="530"/>
      <c r="DT16" s="530"/>
      <c r="DU16" s="530"/>
      <c r="DV16" s="530"/>
      <c r="DW16" s="530"/>
      <c r="DX16" s="530"/>
      <c r="DY16" s="530"/>
      <c r="DZ16" s="530"/>
      <c r="EA16" s="530"/>
      <c r="EB16" s="530"/>
      <c r="EC16" s="530"/>
      <c r="ED16" s="530"/>
      <c r="EE16" s="530"/>
      <c r="EF16" s="530"/>
      <c r="EG16" s="530"/>
      <c r="EH16" s="530"/>
      <c r="EI16" s="530"/>
      <c r="EJ16" s="530"/>
      <c r="EK16" s="530"/>
      <c r="EL16" s="530"/>
      <c r="EM16" s="530"/>
      <c r="EN16" s="530"/>
      <c r="EO16" s="530"/>
      <c r="EP16" s="530"/>
      <c r="EQ16" s="530"/>
      <c r="ER16" s="530"/>
      <c r="ES16" s="530"/>
      <c r="ET16" s="530"/>
      <c r="EU16" s="530"/>
      <c r="EV16" s="530"/>
      <c r="EW16" s="530"/>
    </row>
    <row r="17" spans="1:153" s="521" customFormat="1">
      <c r="A17" s="686" t="s">
        <v>3514</v>
      </c>
      <c r="B17" s="533"/>
      <c r="C17" s="520"/>
      <c r="D17" s="520"/>
      <c r="E17" s="520"/>
      <c r="F17" s="520"/>
      <c r="G17" s="520"/>
      <c r="H17" s="520"/>
      <c r="I17" s="520"/>
      <c r="J17" s="520"/>
      <c r="K17" s="520"/>
      <c r="L17" s="526"/>
      <c r="M17" s="534">
        <f>M16/M12</f>
        <v>1.6030474533906371</v>
      </c>
      <c r="N17" s="534">
        <f>N16/N12</f>
        <v>0.87173877865115079</v>
      </c>
      <c r="O17" s="534">
        <f>O16/O12</f>
        <v>0.49232620579924402</v>
      </c>
      <c r="P17" s="534">
        <f>P16/P12</f>
        <v>0.63180903245570974</v>
      </c>
      <c r="Q17" s="534">
        <f ca="1">Q16/Q12</f>
        <v>0.7002663318321195</v>
      </c>
      <c r="R17" s="534" t="e">
        <f t="shared" ref="R17:Y17" ca="1" si="2">R16/R12</f>
        <v>#NAME?</v>
      </c>
      <c r="S17" s="534" t="e">
        <f t="shared" ca="1" si="2"/>
        <v>#NAME?</v>
      </c>
      <c r="T17" s="534" t="e">
        <f t="shared" ca="1" si="2"/>
        <v>#NAME?</v>
      </c>
      <c r="U17" s="534" t="e">
        <f t="shared" ca="1" si="2"/>
        <v>#NAME?</v>
      </c>
      <c r="V17" s="534" t="e">
        <f t="shared" ca="1" si="2"/>
        <v>#NAME?</v>
      </c>
      <c r="W17" s="534" t="e">
        <f t="shared" ca="1" si="2"/>
        <v>#NAME?</v>
      </c>
      <c r="X17" s="534" t="e">
        <f t="shared" ca="1" si="2"/>
        <v>#NAME?</v>
      </c>
      <c r="Y17" s="534" t="e">
        <f t="shared" ca="1" si="2"/>
        <v>#NAME?</v>
      </c>
      <c r="Z17" s="534" t="e">
        <f ca="1">Z16/Z12</f>
        <v>#NAME?</v>
      </c>
      <c r="AA17" s="526"/>
      <c r="AB17" s="520"/>
      <c r="AC17" s="520"/>
      <c r="AD17" s="520"/>
      <c r="AE17" s="520"/>
      <c r="AF17" s="520"/>
      <c r="AG17" s="520"/>
      <c r="AH17" s="520"/>
      <c r="AI17" s="520"/>
      <c r="AJ17" s="520"/>
      <c r="AK17" s="520"/>
      <c r="AL17" s="520"/>
      <c r="AM17" s="520"/>
      <c r="AN17" s="520"/>
      <c r="AO17" s="520"/>
      <c r="AP17" s="520"/>
      <c r="AQ17" s="520"/>
      <c r="AR17" s="520"/>
      <c r="AS17" s="520"/>
      <c r="AT17" s="520"/>
      <c r="AU17" s="520"/>
      <c r="AV17" s="520"/>
      <c r="AW17" s="520"/>
      <c r="AX17" s="520"/>
      <c r="AY17" s="520"/>
      <c r="AZ17" s="520"/>
      <c r="BA17" s="520"/>
      <c r="BB17" s="520"/>
      <c r="BC17" s="520"/>
      <c r="BD17" s="520"/>
      <c r="BE17" s="520"/>
      <c r="BF17" s="520"/>
      <c r="BG17" s="520"/>
      <c r="BH17" s="520"/>
      <c r="BI17" s="520"/>
      <c r="BJ17" s="520"/>
      <c r="BK17" s="520"/>
      <c r="BL17" s="520"/>
      <c r="BM17" s="520"/>
      <c r="BN17" s="520"/>
      <c r="BO17" s="520"/>
      <c r="BP17" s="520"/>
      <c r="BQ17" s="520"/>
      <c r="BR17" s="520"/>
      <c r="BS17" s="520"/>
      <c r="BT17" s="520"/>
      <c r="BU17" s="520"/>
      <c r="BV17" s="520"/>
      <c r="BW17" s="520"/>
      <c r="BX17" s="520"/>
      <c r="BY17" s="520"/>
      <c r="BZ17" s="520"/>
      <c r="CA17" s="520"/>
      <c r="CB17" s="520"/>
      <c r="CC17" s="520"/>
      <c r="CD17" s="520"/>
      <c r="CE17" s="520"/>
      <c r="CF17" s="520"/>
      <c r="CG17" s="520"/>
      <c r="CH17" s="520"/>
      <c r="CI17" s="520"/>
      <c r="CJ17" s="520"/>
      <c r="CK17" s="520"/>
      <c r="CL17" s="520"/>
      <c r="CM17" s="520"/>
      <c r="CN17" s="520"/>
      <c r="CO17" s="520"/>
      <c r="CP17" s="520"/>
      <c r="CQ17" s="520"/>
      <c r="CR17" s="520"/>
      <c r="CS17" s="520"/>
      <c r="CT17" s="520"/>
      <c r="CU17" s="520"/>
      <c r="CV17" s="520"/>
      <c r="CW17" s="520"/>
      <c r="CX17" s="520"/>
      <c r="CY17" s="520"/>
      <c r="CZ17" s="520"/>
      <c r="DA17" s="520"/>
      <c r="DB17" s="520"/>
      <c r="DC17" s="520"/>
      <c r="DD17" s="520"/>
      <c r="DE17" s="520"/>
      <c r="DF17" s="520"/>
      <c r="DG17" s="520"/>
      <c r="DH17" s="520"/>
      <c r="DI17" s="520"/>
      <c r="DJ17" s="520"/>
      <c r="DK17" s="520"/>
      <c r="DL17" s="520"/>
      <c r="DM17" s="520"/>
      <c r="DN17" s="520"/>
      <c r="DO17" s="520"/>
      <c r="DP17" s="520"/>
      <c r="DQ17" s="520"/>
      <c r="DR17" s="520"/>
      <c r="DS17" s="520"/>
      <c r="DT17" s="520"/>
      <c r="DU17" s="520"/>
      <c r="DV17" s="520"/>
      <c r="DW17" s="520"/>
      <c r="DX17" s="520"/>
      <c r="DY17" s="520"/>
      <c r="DZ17" s="520"/>
      <c r="EA17" s="520"/>
      <c r="EB17" s="520"/>
      <c r="EC17" s="520"/>
      <c r="ED17" s="520"/>
      <c r="EE17" s="520"/>
      <c r="EF17" s="520"/>
      <c r="EG17" s="520"/>
      <c r="EH17" s="520"/>
      <c r="EI17" s="520"/>
      <c r="EJ17" s="520"/>
      <c r="EK17" s="520"/>
      <c r="EL17" s="520"/>
      <c r="EM17" s="520"/>
      <c r="EN17" s="520"/>
      <c r="EO17" s="520"/>
      <c r="EP17" s="520"/>
      <c r="EQ17" s="520"/>
      <c r="ER17" s="520"/>
      <c r="ES17" s="520"/>
      <c r="ET17" s="520"/>
      <c r="EU17" s="520"/>
      <c r="EV17" s="520"/>
      <c r="EW17" s="520"/>
    </row>
    <row r="18" spans="1:153" s="521" customFormat="1">
      <c r="A18" s="686" t="s">
        <v>3515</v>
      </c>
      <c r="B18" s="519"/>
      <c r="C18" s="520"/>
      <c r="D18" s="520"/>
      <c r="E18" s="520"/>
      <c r="F18" s="520"/>
      <c r="G18" s="520"/>
      <c r="H18" s="520"/>
      <c r="I18" s="520"/>
      <c r="J18" s="520"/>
      <c r="K18" s="520"/>
      <c r="L18" s="526"/>
      <c r="M18" s="526"/>
      <c r="N18" s="535"/>
      <c r="O18" s="535">
        <f>(O16/N16)-1</f>
        <v>0.19262109652071935</v>
      </c>
      <c r="P18" s="535">
        <f>(P16/O16)-1</f>
        <v>0.4039997611122268</v>
      </c>
      <c r="Q18" s="536">
        <f>CHOOSE($O$1,Q19,Q20,Q21)</f>
        <v>0.05</v>
      </c>
      <c r="R18" s="536">
        <f t="shared" ref="R18:Z18" si="3">CHOOSE($O$1,R19,R20,R21)</f>
        <v>0.02</v>
      </c>
      <c r="S18" s="536">
        <f t="shared" si="3"/>
        <v>0.09</v>
      </c>
      <c r="T18" s="536">
        <f t="shared" si="3"/>
        <v>0.08</v>
      </c>
      <c r="U18" s="536">
        <f t="shared" si="3"/>
        <v>0.08</v>
      </c>
      <c r="V18" s="536">
        <f t="shared" si="3"/>
        <v>7.0000000000000007E-2</v>
      </c>
      <c r="W18" s="536">
        <f t="shared" si="3"/>
        <v>7.0000000000000007E-2</v>
      </c>
      <c r="X18" s="536">
        <f t="shared" si="3"/>
        <v>7.0000000000000007E-2</v>
      </c>
      <c r="Y18" s="536">
        <f t="shared" si="3"/>
        <v>0.06</v>
      </c>
      <c r="Z18" s="536">
        <f t="shared" si="3"/>
        <v>0.06</v>
      </c>
      <c r="AA18" s="526"/>
      <c r="AB18" s="520"/>
      <c r="AC18" s="520"/>
      <c r="AD18" s="520"/>
      <c r="AE18" s="520"/>
      <c r="AF18" s="520"/>
      <c r="AG18" s="520"/>
      <c r="AH18" s="520"/>
      <c r="AI18" s="520"/>
      <c r="AJ18" s="520"/>
      <c r="AK18" s="520"/>
      <c r="AL18" s="520"/>
      <c r="AM18" s="520"/>
      <c r="AN18" s="520"/>
      <c r="AO18" s="520"/>
      <c r="AP18" s="520"/>
      <c r="AQ18" s="520"/>
      <c r="AR18" s="520"/>
      <c r="AS18" s="520"/>
      <c r="AT18" s="520"/>
      <c r="AU18" s="520"/>
      <c r="AV18" s="520"/>
      <c r="AW18" s="520"/>
      <c r="AX18" s="520"/>
      <c r="AY18" s="520"/>
      <c r="AZ18" s="520"/>
      <c r="BA18" s="520"/>
      <c r="BB18" s="520"/>
      <c r="BC18" s="520"/>
      <c r="BD18" s="520"/>
      <c r="BE18" s="520"/>
      <c r="BF18" s="520"/>
      <c r="BG18" s="520"/>
      <c r="BH18" s="520"/>
      <c r="BI18" s="520"/>
      <c r="BJ18" s="520"/>
      <c r="BK18" s="520"/>
      <c r="BL18" s="520"/>
      <c r="BM18" s="520"/>
      <c r="BN18" s="520"/>
      <c r="BO18" s="520"/>
      <c r="BP18" s="520"/>
      <c r="BQ18" s="520"/>
      <c r="BR18" s="520"/>
      <c r="BS18" s="520"/>
      <c r="BT18" s="520"/>
      <c r="BU18" s="520"/>
      <c r="BV18" s="520"/>
      <c r="BW18" s="520"/>
      <c r="BX18" s="520"/>
      <c r="BY18" s="520"/>
      <c r="BZ18" s="520"/>
      <c r="CA18" s="520"/>
      <c r="CB18" s="520"/>
      <c r="CC18" s="520"/>
      <c r="CD18" s="520"/>
      <c r="CE18" s="520"/>
      <c r="CF18" s="520"/>
      <c r="CG18" s="520"/>
      <c r="CH18" s="520"/>
      <c r="CI18" s="520"/>
      <c r="CJ18" s="520"/>
      <c r="CK18" s="520"/>
      <c r="CL18" s="520"/>
      <c r="CM18" s="520"/>
      <c r="CN18" s="520"/>
      <c r="CO18" s="520"/>
      <c r="CP18" s="520"/>
      <c r="CQ18" s="520"/>
      <c r="CR18" s="520"/>
      <c r="CS18" s="520"/>
      <c r="CT18" s="520"/>
      <c r="CU18" s="520"/>
      <c r="CV18" s="520"/>
      <c r="CW18" s="520"/>
      <c r="CX18" s="520"/>
      <c r="CY18" s="520"/>
      <c r="CZ18" s="520"/>
      <c r="DA18" s="520"/>
      <c r="DB18" s="520"/>
      <c r="DC18" s="520"/>
      <c r="DD18" s="520"/>
      <c r="DE18" s="520"/>
      <c r="DF18" s="520"/>
      <c r="DG18" s="520"/>
      <c r="DH18" s="520"/>
      <c r="DI18" s="520"/>
      <c r="DJ18" s="520"/>
      <c r="DK18" s="520"/>
      <c r="DL18" s="520"/>
      <c r="DM18" s="520"/>
      <c r="DN18" s="520"/>
      <c r="DO18" s="520"/>
      <c r="DP18" s="520"/>
      <c r="DQ18" s="520"/>
      <c r="DR18" s="520"/>
      <c r="DS18" s="520"/>
      <c r="DT18" s="520"/>
      <c r="DU18" s="520"/>
      <c r="DV18" s="520"/>
      <c r="DW18" s="520"/>
      <c r="DX18" s="520"/>
      <c r="DY18" s="520"/>
      <c r="DZ18" s="520"/>
      <c r="EA18" s="520"/>
      <c r="EB18" s="520"/>
      <c r="EC18" s="520"/>
      <c r="ED18" s="520"/>
      <c r="EE18" s="520"/>
      <c r="EF18" s="520"/>
      <c r="EG18" s="520"/>
      <c r="EH18" s="520"/>
      <c r="EI18" s="520"/>
      <c r="EJ18" s="520"/>
      <c r="EK18" s="520"/>
      <c r="EL18" s="520"/>
      <c r="EM18" s="520"/>
      <c r="EN18" s="520"/>
      <c r="EO18" s="520"/>
      <c r="EP18" s="520"/>
      <c r="EQ18" s="520"/>
      <c r="ER18" s="520"/>
      <c r="ES18" s="520"/>
      <c r="ET18" s="520"/>
      <c r="EU18" s="520"/>
      <c r="EV18" s="520"/>
      <c r="EW18" s="520"/>
    </row>
    <row r="19" spans="1:153" s="521" customFormat="1" ht="15">
      <c r="A19" s="566" t="s">
        <v>3516</v>
      </c>
      <c r="B19" s="519"/>
      <c r="C19" s="520"/>
      <c r="D19" s="520"/>
      <c r="E19" s="520"/>
      <c r="F19" s="520"/>
      <c r="G19" s="520"/>
      <c r="H19" s="520"/>
      <c r="I19" s="520"/>
      <c r="J19" s="520"/>
      <c r="K19" s="520"/>
      <c r="L19" s="526"/>
      <c r="M19" s="526"/>
      <c r="N19" s="526"/>
      <c r="O19" s="526"/>
      <c r="P19" s="526"/>
      <c r="Q19" s="537">
        <v>0.05</v>
      </c>
      <c r="R19" s="537">
        <v>0.02</v>
      </c>
      <c r="S19" s="537">
        <v>0.09</v>
      </c>
      <c r="T19" s="537">
        <v>0.08</v>
      </c>
      <c r="U19" s="537">
        <v>0.08</v>
      </c>
      <c r="V19" s="537">
        <v>7.0000000000000007E-2</v>
      </c>
      <c r="W19" s="537">
        <v>7.0000000000000007E-2</v>
      </c>
      <c r="X19" s="537">
        <v>7.0000000000000007E-2</v>
      </c>
      <c r="Y19" s="537">
        <v>0.06</v>
      </c>
      <c r="Z19" s="537">
        <v>0.06</v>
      </c>
      <c r="AA19" s="526"/>
      <c r="AB19" s="520"/>
      <c r="AC19" s="520"/>
      <c r="AD19" s="520"/>
      <c r="AE19" s="520"/>
      <c r="AF19" s="520"/>
      <c r="AG19" s="520"/>
      <c r="AH19" s="520"/>
      <c r="AI19" s="520"/>
      <c r="AJ19" s="520"/>
      <c r="AK19" s="520"/>
      <c r="AL19" s="520"/>
      <c r="AM19" s="520"/>
      <c r="AN19" s="520"/>
      <c r="AO19" s="520"/>
      <c r="AP19" s="520"/>
      <c r="AQ19" s="520"/>
      <c r="AR19" s="520"/>
      <c r="AS19" s="520"/>
      <c r="AT19" s="520"/>
      <c r="AU19" s="520"/>
      <c r="AV19" s="520"/>
      <c r="AW19" s="520"/>
      <c r="AX19" s="520"/>
      <c r="AY19" s="520"/>
      <c r="AZ19" s="520"/>
      <c r="BA19" s="520"/>
      <c r="BB19" s="520"/>
      <c r="BC19" s="520"/>
      <c r="BD19" s="520"/>
      <c r="BE19" s="520"/>
      <c r="BF19" s="520"/>
      <c r="BG19" s="520"/>
      <c r="BH19" s="520"/>
      <c r="BI19" s="520"/>
      <c r="BJ19" s="520"/>
      <c r="BK19" s="520"/>
      <c r="BL19" s="520"/>
      <c r="BM19" s="520"/>
      <c r="BN19" s="520"/>
      <c r="BO19" s="520"/>
      <c r="BP19" s="520"/>
      <c r="BQ19" s="520"/>
      <c r="BR19" s="520"/>
      <c r="BS19" s="520"/>
      <c r="BT19" s="520"/>
      <c r="BU19" s="520"/>
      <c r="BV19" s="520"/>
      <c r="BW19" s="520"/>
      <c r="BX19" s="520"/>
      <c r="BY19" s="520"/>
      <c r="BZ19" s="520"/>
      <c r="CA19" s="520"/>
      <c r="CB19" s="520"/>
      <c r="CC19" s="520"/>
      <c r="CD19" s="520"/>
      <c r="CE19" s="520"/>
      <c r="CF19" s="520"/>
      <c r="CG19" s="520"/>
      <c r="CH19" s="520"/>
      <c r="CI19" s="520"/>
      <c r="CJ19" s="520"/>
      <c r="CK19" s="520"/>
      <c r="CL19" s="520"/>
      <c r="CM19" s="520"/>
      <c r="CN19" s="520"/>
      <c r="CO19" s="520"/>
      <c r="CP19" s="520"/>
      <c r="CQ19" s="520"/>
      <c r="CR19" s="520"/>
      <c r="CS19" s="520"/>
      <c r="CT19" s="520"/>
      <c r="CU19" s="520"/>
      <c r="CV19" s="520"/>
      <c r="CW19" s="520"/>
      <c r="CX19" s="520"/>
      <c r="CY19" s="520"/>
      <c r="CZ19" s="520"/>
      <c r="DA19" s="520"/>
      <c r="DB19" s="520"/>
      <c r="DC19" s="520"/>
      <c r="DD19" s="520"/>
      <c r="DE19" s="520"/>
      <c r="DF19" s="520"/>
      <c r="DG19" s="520"/>
      <c r="DH19" s="520"/>
      <c r="DI19" s="520"/>
      <c r="DJ19" s="520"/>
      <c r="DK19" s="520"/>
      <c r="DL19" s="520"/>
      <c r="DM19" s="520"/>
      <c r="DN19" s="520"/>
      <c r="DO19" s="520"/>
      <c r="DP19" s="520"/>
      <c r="DQ19" s="520"/>
      <c r="DR19" s="520"/>
      <c r="DS19" s="520"/>
      <c r="DT19" s="520"/>
      <c r="DU19" s="520"/>
      <c r="DV19" s="520"/>
      <c r="DW19" s="520"/>
      <c r="DX19" s="520"/>
      <c r="DY19" s="520"/>
      <c r="DZ19" s="520"/>
      <c r="EA19" s="520"/>
      <c r="EB19" s="520"/>
      <c r="EC19" s="520"/>
      <c r="ED19" s="520"/>
      <c r="EE19" s="520"/>
      <c r="EF19" s="520"/>
      <c r="EG19" s="520"/>
      <c r="EH19" s="520"/>
      <c r="EI19" s="520"/>
      <c r="EJ19" s="520"/>
      <c r="EK19" s="520"/>
      <c r="EL19" s="520"/>
      <c r="EM19" s="520"/>
      <c r="EN19" s="520"/>
      <c r="EO19" s="520"/>
      <c r="EP19" s="520"/>
      <c r="EQ19" s="520"/>
      <c r="ER19" s="520"/>
      <c r="ES19" s="520"/>
      <c r="ET19" s="520"/>
      <c r="EU19" s="520"/>
      <c r="EV19" s="520"/>
      <c r="EW19" s="520"/>
    </row>
    <row r="20" spans="1:153" s="521" customFormat="1" ht="15">
      <c r="A20" s="566" t="s">
        <v>3517</v>
      </c>
      <c r="B20" s="525"/>
      <c r="C20" s="520"/>
      <c r="D20" s="520"/>
      <c r="E20" s="520"/>
      <c r="F20" s="520"/>
      <c r="G20" s="520"/>
      <c r="H20" s="520"/>
      <c r="I20" s="520"/>
      <c r="J20" s="520"/>
      <c r="K20" s="520"/>
      <c r="L20" s="526"/>
      <c r="M20" s="526"/>
      <c r="N20" s="526"/>
      <c r="O20" s="526"/>
      <c r="P20" s="526"/>
      <c r="Q20" s="537">
        <f t="shared" ref="Q20:V20" si="4">Q19+$AA20</f>
        <v>8.5000000000000006E-2</v>
      </c>
      <c r="R20" s="537">
        <f t="shared" ref="R20" si="5">R19+$AA20</f>
        <v>5.5000000000000007E-2</v>
      </c>
      <c r="S20" s="537">
        <f t="shared" si="4"/>
        <v>0.125</v>
      </c>
      <c r="T20" s="537">
        <f t="shared" si="4"/>
        <v>0.115</v>
      </c>
      <c r="U20" s="537">
        <f t="shared" si="4"/>
        <v>0.115</v>
      </c>
      <c r="V20" s="537">
        <f t="shared" si="4"/>
        <v>0.10500000000000001</v>
      </c>
      <c r="W20" s="537">
        <f t="shared" ref="W20" si="6">W19+$AA20</f>
        <v>0.10500000000000001</v>
      </c>
      <c r="X20" s="537">
        <f>X19+$AA20</f>
        <v>0.10500000000000001</v>
      </c>
      <c r="Y20" s="537">
        <f>Y19+$AA20</f>
        <v>9.5000000000000001E-2</v>
      </c>
      <c r="Z20" s="537">
        <f>Z19+$AA20</f>
        <v>9.5000000000000001E-2</v>
      </c>
      <c r="AA20" s="538">
        <v>3.5000000000000003E-2</v>
      </c>
      <c r="AB20" s="520"/>
      <c r="AC20" s="520"/>
      <c r="AD20" s="520"/>
      <c r="AE20" s="520"/>
      <c r="AF20" s="520"/>
      <c r="AG20" s="520"/>
      <c r="AH20" s="520"/>
      <c r="AI20" s="520"/>
      <c r="AJ20" s="520"/>
      <c r="AK20" s="520"/>
      <c r="AL20" s="520"/>
      <c r="AM20" s="520"/>
      <c r="AN20" s="520"/>
      <c r="AO20" s="520"/>
      <c r="AP20" s="520"/>
      <c r="AQ20" s="520"/>
      <c r="AR20" s="520"/>
      <c r="AS20" s="520"/>
      <c r="AT20" s="520"/>
      <c r="AU20" s="520"/>
      <c r="AV20" s="520"/>
      <c r="AW20" s="520"/>
      <c r="AX20" s="520"/>
      <c r="AY20" s="520"/>
      <c r="AZ20" s="520"/>
      <c r="BA20" s="520"/>
      <c r="BB20" s="520"/>
      <c r="BC20" s="520"/>
      <c r="BD20" s="520"/>
      <c r="BE20" s="520"/>
      <c r="BF20" s="520"/>
      <c r="BG20" s="520"/>
      <c r="BH20" s="520"/>
      <c r="BI20" s="520"/>
      <c r="BJ20" s="520"/>
      <c r="BK20" s="520"/>
      <c r="BL20" s="520"/>
      <c r="BM20" s="520"/>
      <c r="BN20" s="520"/>
      <c r="BO20" s="520"/>
      <c r="BP20" s="520"/>
      <c r="BQ20" s="520"/>
      <c r="BR20" s="520"/>
      <c r="BS20" s="520"/>
      <c r="BT20" s="520"/>
      <c r="BU20" s="520"/>
      <c r="BV20" s="520"/>
      <c r="BW20" s="520"/>
      <c r="BX20" s="520"/>
      <c r="BY20" s="520"/>
      <c r="BZ20" s="520"/>
      <c r="CA20" s="520"/>
      <c r="CB20" s="520"/>
      <c r="CC20" s="520"/>
      <c r="CD20" s="520"/>
      <c r="CE20" s="520"/>
      <c r="CF20" s="520"/>
      <c r="CG20" s="520"/>
      <c r="CH20" s="520"/>
      <c r="CI20" s="520"/>
      <c r="CJ20" s="520"/>
      <c r="CK20" s="520"/>
      <c r="CL20" s="520"/>
      <c r="CM20" s="520"/>
      <c r="CN20" s="520"/>
      <c r="CO20" s="520"/>
      <c r="CP20" s="520"/>
      <c r="CQ20" s="520"/>
      <c r="CR20" s="520"/>
      <c r="CS20" s="520"/>
      <c r="CT20" s="520"/>
      <c r="CU20" s="520"/>
      <c r="CV20" s="520"/>
      <c r="CW20" s="520"/>
      <c r="CX20" s="520"/>
      <c r="CY20" s="520"/>
      <c r="CZ20" s="520"/>
      <c r="DA20" s="520"/>
      <c r="DB20" s="520"/>
      <c r="DC20" s="520"/>
      <c r="DD20" s="520"/>
      <c r="DE20" s="520"/>
      <c r="DF20" s="520"/>
      <c r="DG20" s="520"/>
      <c r="DH20" s="520"/>
      <c r="DI20" s="520"/>
      <c r="DJ20" s="520"/>
      <c r="DK20" s="520"/>
      <c r="DL20" s="520"/>
      <c r="DM20" s="520"/>
      <c r="DN20" s="520"/>
      <c r="DO20" s="520"/>
      <c r="DP20" s="520"/>
      <c r="DQ20" s="520"/>
      <c r="DR20" s="520"/>
      <c r="DS20" s="520"/>
      <c r="DT20" s="520"/>
      <c r="DU20" s="520"/>
      <c r="DV20" s="520"/>
      <c r="DW20" s="520"/>
      <c r="DX20" s="520"/>
      <c r="DY20" s="520"/>
      <c r="DZ20" s="520"/>
      <c r="EA20" s="520"/>
      <c r="EB20" s="520"/>
      <c r="EC20" s="520"/>
      <c r="ED20" s="520"/>
      <c r="EE20" s="520"/>
      <c r="EF20" s="520"/>
      <c r="EG20" s="520"/>
      <c r="EH20" s="520"/>
      <c r="EI20" s="520"/>
      <c r="EJ20" s="520"/>
      <c r="EK20" s="520"/>
      <c r="EL20" s="520"/>
      <c r="EM20" s="520"/>
      <c r="EN20" s="520"/>
      <c r="EO20" s="520"/>
      <c r="EP20" s="520"/>
      <c r="EQ20" s="520"/>
      <c r="ER20" s="520"/>
      <c r="ES20" s="520"/>
      <c r="ET20" s="520"/>
      <c r="EU20" s="520"/>
      <c r="EV20" s="520"/>
      <c r="EW20" s="520"/>
    </row>
    <row r="21" spans="1:153" s="521" customFormat="1" ht="15">
      <c r="A21" s="566" t="s">
        <v>3518</v>
      </c>
      <c r="B21" s="528"/>
      <c r="C21" s="520"/>
      <c r="D21" s="520"/>
      <c r="E21" s="520"/>
      <c r="F21" s="520"/>
      <c r="G21" s="520"/>
      <c r="H21" s="520"/>
      <c r="I21" s="520"/>
      <c r="J21" s="520"/>
      <c r="K21" s="520"/>
      <c r="L21" s="526"/>
      <c r="M21" s="526"/>
      <c r="N21" s="526"/>
      <c r="O21" s="526"/>
      <c r="P21" s="526"/>
      <c r="Q21" s="537">
        <f t="shared" ref="Q21:U21" ca="1" si="7">Q19-$Y21</f>
        <v>2.0000000000000004E-2</v>
      </c>
      <c r="R21" s="537">
        <f t="shared" ref="R21" ca="1" si="8">R19-$Y21</f>
        <v>-9.9999999999999985E-3</v>
      </c>
      <c r="S21" s="537">
        <f t="shared" ca="1" si="7"/>
        <v>0.06</v>
      </c>
      <c r="T21" s="537">
        <f t="shared" ca="1" si="7"/>
        <v>0.05</v>
      </c>
      <c r="U21" s="537">
        <f t="shared" ca="1" si="7"/>
        <v>0.05</v>
      </c>
      <c r="V21" s="537">
        <f ca="1">V19-$Y21</f>
        <v>4.0000000000000008E-2</v>
      </c>
      <c r="W21" s="537">
        <f ca="1">W19-$Y21</f>
        <v>4.0000000000000008E-2</v>
      </c>
      <c r="X21" s="537">
        <f ca="1">X19-$Y21</f>
        <v>4.0000000000000008E-2</v>
      </c>
      <c r="Y21" s="537">
        <f ca="1">Y19-$Y21</f>
        <v>0.03</v>
      </c>
      <c r="Z21" s="537">
        <f ca="1">Z19-$Y21</f>
        <v>0.03</v>
      </c>
      <c r="AA21" s="538">
        <v>0.03</v>
      </c>
      <c r="AB21" s="520"/>
      <c r="AC21" s="520"/>
      <c r="AD21" s="520"/>
      <c r="AE21" s="520"/>
      <c r="AF21" s="520"/>
      <c r="AG21" s="520"/>
      <c r="AH21" s="520"/>
      <c r="AI21" s="520"/>
      <c r="AJ21" s="520"/>
      <c r="AK21" s="520"/>
      <c r="AL21" s="520"/>
      <c r="AM21" s="520"/>
      <c r="AN21" s="520"/>
      <c r="AO21" s="520"/>
      <c r="AP21" s="520"/>
      <c r="AQ21" s="520"/>
      <c r="AR21" s="520"/>
      <c r="AS21" s="520"/>
      <c r="AT21" s="520"/>
      <c r="AU21" s="520"/>
      <c r="AV21" s="520"/>
      <c r="AW21" s="520"/>
      <c r="AX21" s="520"/>
      <c r="AY21" s="520"/>
      <c r="AZ21" s="520"/>
      <c r="BA21" s="520"/>
      <c r="BB21" s="520"/>
      <c r="BC21" s="520"/>
      <c r="BD21" s="520"/>
      <c r="BE21" s="520"/>
      <c r="BF21" s="520"/>
      <c r="BG21" s="520"/>
      <c r="BH21" s="520"/>
      <c r="BI21" s="520"/>
      <c r="BJ21" s="520"/>
      <c r="BK21" s="520"/>
      <c r="BL21" s="520"/>
      <c r="BM21" s="520"/>
      <c r="BN21" s="520"/>
      <c r="BO21" s="520"/>
      <c r="BP21" s="520"/>
      <c r="BQ21" s="520"/>
      <c r="BR21" s="520"/>
      <c r="BS21" s="520"/>
      <c r="BT21" s="520"/>
      <c r="BU21" s="520"/>
      <c r="BV21" s="520"/>
      <c r="BW21" s="520"/>
      <c r="BX21" s="520"/>
      <c r="BY21" s="520"/>
      <c r="BZ21" s="520"/>
      <c r="CA21" s="520"/>
      <c r="CB21" s="520"/>
      <c r="CC21" s="520"/>
      <c r="CD21" s="520"/>
      <c r="CE21" s="520"/>
      <c r="CF21" s="520"/>
      <c r="CG21" s="520"/>
      <c r="CH21" s="520"/>
      <c r="CI21" s="520"/>
      <c r="CJ21" s="520"/>
      <c r="CK21" s="520"/>
      <c r="CL21" s="520"/>
      <c r="CM21" s="520"/>
      <c r="CN21" s="520"/>
      <c r="CO21" s="520"/>
      <c r="CP21" s="520"/>
      <c r="CQ21" s="520"/>
      <c r="CR21" s="520"/>
      <c r="CS21" s="520"/>
      <c r="CT21" s="520"/>
      <c r="CU21" s="520"/>
      <c r="CV21" s="520"/>
      <c r="CW21" s="520"/>
      <c r="CX21" s="520"/>
      <c r="CY21" s="520"/>
      <c r="CZ21" s="520"/>
      <c r="DA21" s="520"/>
      <c r="DB21" s="520"/>
      <c r="DC21" s="520"/>
      <c r="DD21" s="520"/>
      <c r="DE21" s="520"/>
      <c r="DF21" s="520"/>
      <c r="DG21" s="520"/>
      <c r="DH21" s="520"/>
      <c r="DI21" s="520"/>
      <c r="DJ21" s="520"/>
      <c r="DK21" s="520"/>
      <c r="DL21" s="520"/>
      <c r="DM21" s="520"/>
      <c r="DN21" s="520"/>
      <c r="DO21" s="520"/>
      <c r="DP21" s="520"/>
      <c r="DQ21" s="520"/>
      <c r="DR21" s="520"/>
      <c r="DS21" s="520"/>
      <c r="DT21" s="520"/>
      <c r="DU21" s="520"/>
      <c r="DV21" s="520"/>
      <c r="DW21" s="520"/>
      <c r="DX21" s="520"/>
      <c r="DY21" s="520"/>
      <c r="DZ21" s="520"/>
      <c r="EA21" s="520"/>
      <c r="EB21" s="520"/>
      <c r="EC21" s="520"/>
      <c r="ED21" s="520"/>
      <c r="EE21" s="520"/>
      <c r="EF21" s="520"/>
      <c r="EG21" s="520"/>
      <c r="EH21" s="520"/>
      <c r="EI21" s="520"/>
      <c r="EJ21" s="520"/>
      <c r="EK21" s="520"/>
      <c r="EL21" s="520"/>
      <c r="EM21" s="520"/>
      <c r="EN21" s="520"/>
      <c r="EO21" s="520"/>
      <c r="EP21" s="520"/>
      <c r="EQ21" s="520"/>
      <c r="ER21" s="520"/>
      <c r="ES21" s="520"/>
      <c r="ET21" s="520"/>
      <c r="EU21" s="520"/>
      <c r="EV21" s="520"/>
      <c r="EW21" s="520"/>
    </row>
    <row r="22" spans="1:153" s="532" customFormat="1" ht="15">
      <c r="A22" s="686"/>
      <c r="B22" s="529"/>
      <c r="C22" s="530"/>
      <c r="D22" s="530"/>
      <c r="E22" s="530"/>
      <c r="F22" s="530"/>
      <c r="G22" s="530"/>
      <c r="H22" s="530"/>
      <c r="I22" s="530"/>
      <c r="J22" s="530"/>
      <c r="K22" s="530"/>
      <c r="L22" s="526"/>
      <c r="M22" s="526"/>
      <c r="N22" s="526"/>
      <c r="O22" s="526"/>
      <c r="P22" s="526"/>
      <c r="Q22" s="526"/>
      <c r="R22" s="526"/>
      <c r="S22" s="526"/>
      <c r="T22" s="526"/>
      <c r="U22" s="526"/>
      <c r="V22" s="526"/>
      <c r="W22" s="526"/>
      <c r="X22" s="526"/>
      <c r="Y22" s="526"/>
      <c r="Z22" s="526"/>
      <c r="AA22" s="526"/>
      <c r="AB22" s="530"/>
      <c r="AC22" s="530"/>
      <c r="AD22" s="530"/>
      <c r="AE22" s="530"/>
      <c r="AF22" s="530"/>
      <c r="AG22" s="530"/>
      <c r="AH22" s="530"/>
      <c r="AI22" s="530"/>
      <c r="AJ22" s="530"/>
      <c r="AK22" s="530"/>
      <c r="AL22" s="530"/>
      <c r="AM22" s="530"/>
      <c r="AN22" s="530"/>
      <c r="AO22" s="530"/>
      <c r="AP22" s="530"/>
      <c r="AQ22" s="530"/>
      <c r="AR22" s="530"/>
      <c r="AS22" s="530"/>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c r="BY22" s="530"/>
      <c r="BZ22" s="530"/>
      <c r="CA22" s="530"/>
      <c r="CB22" s="530"/>
      <c r="CC22" s="530"/>
      <c r="CD22" s="530"/>
      <c r="CE22" s="530"/>
      <c r="CF22" s="530"/>
      <c r="CG22" s="530"/>
      <c r="CH22" s="530"/>
      <c r="CI22" s="530"/>
      <c r="CJ22" s="530"/>
      <c r="CK22" s="530"/>
      <c r="CL22" s="530"/>
      <c r="CM22" s="530"/>
      <c r="CN22" s="530"/>
      <c r="CO22" s="530"/>
      <c r="CP22" s="530"/>
      <c r="CQ22" s="530"/>
      <c r="CR22" s="530"/>
      <c r="CS22" s="530"/>
      <c r="CT22" s="530"/>
      <c r="CU22" s="530"/>
      <c r="CV22" s="530"/>
      <c r="CW22" s="530"/>
      <c r="CX22" s="530"/>
      <c r="CY22" s="530"/>
      <c r="CZ22" s="530"/>
      <c r="DA22" s="530"/>
      <c r="DB22" s="530"/>
      <c r="DC22" s="530"/>
      <c r="DD22" s="530"/>
      <c r="DE22" s="530"/>
      <c r="DF22" s="530"/>
      <c r="DG22" s="530"/>
      <c r="DH22" s="530"/>
      <c r="DI22" s="530"/>
      <c r="DJ22" s="530"/>
      <c r="DK22" s="530"/>
      <c r="DL22" s="530"/>
      <c r="DM22" s="530"/>
      <c r="DN22" s="530"/>
      <c r="DO22" s="530"/>
      <c r="DP22" s="530"/>
      <c r="DQ22" s="530"/>
      <c r="DR22" s="530"/>
      <c r="DS22" s="530"/>
      <c r="DT22" s="530"/>
      <c r="DU22" s="530"/>
      <c r="DV22" s="530"/>
      <c r="DW22" s="530"/>
      <c r="DX22" s="530"/>
      <c r="DY22" s="530"/>
      <c r="DZ22" s="530"/>
      <c r="EA22" s="530"/>
      <c r="EB22" s="530"/>
      <c r="EC22" s="530"/>
      <c r="ED22" s="530"/>
      <c r="EE22" s="530"/>
      <c r="EF22" s="530"/>
      <c r="EG22" s="530"/>
      <c r="EH22" s="530"/>
      <c r="EI22" s="530"/>
      <c r="EJ22" s="530"/>
      <c r="EK22" s="530"/>
      <c r="EL22" s="530"/>
      <c r="EM22" s="530"/>
      <c r="EN22" s="530"/>
      <c r="EO22" s="530"/>
      <c r="EP22" s="530"/>
      <c r="EQ22" s="530"/>
      <c r="ER22" s="530"/>
      <c r="ES22" s="530"/>
      <c r="ET22" s="530"/>
      <c r="EU22" s="530"/>
      <c r="EV22" s="530"/>
      <c r="EW22" s="530"/>
    </row>
    <row r="23" spans="1:153" s="521" customFormat="1" ht="15">
      <c r="A23" s="691" t="s">
        <v>3519</v>
      </c>
      <c r="B23" s="525"/>
      <c r="C23" s="520"/>
      <c r="D23" s="520"/>
      <c r="E23" s="520"/>
      <c r="F23" s="520"/>
      <c r="G23" s="520"/>
      <c r="H23" s="520"/>
      <c r="I23" s="520"/>
      <c r="J23" s="520"/>
      <c r="K23" s="520"/>
      <c r="L23" s="526">
        <f>'Financial Statements'!D10</f>
        <v>1267924</v>
      </c>
      <c r="M23" s="526">
        <f>'Financial Statements'!E10</f>
        <v>629880</v>
      </c>
      <c r="N23" s="526">
        <f>'Financial Statements'!F10</f>
        <v>420705</v>
      </c>
      <c r="O23" s="526">
        <f>'Financial Statements'!G10</f>
        <v>897707</v>
      </c>
      <c r="P23" s="526">
        <f>'Financial Statements'!H10</f>
        <v>1020230</v>
      </c>
      <c r="Q23" s="526">
        <f ca="1">Q24*Q12</f>
        <v>918438.82286516658</v>
      </c>
      <c r="R23" s="526" t="e">
        <f t="shared" ref="R23:Z23" ca="1" si="9">R24*R12</f>
        <v>#NAME?</v>
      </c>
      <c r="S23" s="526" t="e">
        <f t="shared" ca="1" si="9"/>
        <v>#NAME?</v>
      </c>
      <c r="T23" s="526" t="e">
        <f t="shared" ca="1" si="9"/>
        <v>#NAME?</v>
      </c>
      <c r="U23" s="526" t="e">
        <f t="shared" ca="1" si="9"/>
        <v>#NAME?</v>
      </c>
      <c r="V23" s="526" t="e">
        <f t="shared" ca="1" si="9"/>
        <v>#NAME?</v>
      </c>
      <c r="W23" s="526" t="e">
        <f t="shared" ca="1" si="9"/>
        <v>#NAME?</v>
      </c>
      <c r="X23" s="526" t="e">
        <f t="shared" ca="1" si="9"/>
        <v>#NAME?</v>
      </c>
      <c r="Y23" s="526" t="e">
        <f t="shared" ca="1" si="9"/>
        <v>#NAME?</v>
      </c>
      <c r="Z23" s="526" t="e">
        <f t="shared" ca="1" si="9"/>
        <v>#NAME?</v>
      </c>
      <c r="AA23" s="526"/>
      <c r="AB23" s="520"/>
      <c r="AC23" s="520"/>
      <c r="AD23" s="520"/>
      <c r="AE23" s="520"/>
      <c r="AF23" s="520"/>
      <c r="AG23" s="520"/>
      <c r="AH23" s="520"/>
      <c r="AI23" s="520"/>
      <c r="AJ23" s="520"/>
      <c r="AK23" s="520"/>
      <c r="AL23" s="520"/>
      <c r="AM23" s="520"/>
      <c r="AN23" s="520"/>
      <c r="AO23" s="520"/>
      <c r="AP23" s="520"/>
      <c r="AQ23" s="520"/>
      <c r="AR23" s="520"/>
      <c r="AS23" s="520"/>
      <c r="AT23" s="520"/>
      <c r="AU23" s="520"/>
      <c r="AV23" s="520"/>
      <c r="AW23" s="520"/>
      <c r="AX23" s="520"/>
      <c r="AY23" s="520"/>
      <c r="AZ23" s="520"/>
      <c r="BA23" s="520"/>
      <c r="BB23" s="520"/>
      <c r="BC23" s="520"/>
      <c r="BD23" s="520"/>
      <c r="BE23" s="520"/>
      <c r="BF23" s="520"/>
      <c r="BG23" s="520"/>
      <c r="BH23" s="520"/>
      <c r="BI23" s="520"/>
      <c r="BJ23" s="520"/>
      <c r="BK23" s="520"/>
      <c r="BL23" s="520"/>
      <c r="BM23" s="520"/>
      <c r="BN23" s="520"/>
      <c r="BO23" s="520"/>
      <c r="BP23" s="520"/>
      <c r="BQ23" s="520"/>
      <c r="BR23" s="520"/>
      <c r="BS23" s="520"/>
      <c r="BT23" s="520"/>
      <c r="BU23" s="520"/>
      <c r="BV23" s="520"/>
      <c r="BW23" s="520"/>
      <c r="BX23" s="520"/>
      <c r="BY23" s="520"/>
      <c r="BZ23" s="520"/>
      <c r="CA23" s="520"/>
      <c r="CB23" s="520"/>
      <c r="CC23" s="520"/>
      <c r="CD23" s="520"/>
      <c r="CE23" s="520"/>
      <c r="CF23" s="520"/>
      <c r="CG23" s="520"/>
      <c r="CH23" s="520"/>
      <c r="CI23" s="520"/>
      <c r="CJ23" s="520"/>
      <c r="CK23" s="520"/>
      <c r="CL23" s="520"/>
      <c r="CM23" s="520"/>
      <c r="CN23" s="520"/>
      <c r="CO23" s="520"/>
      <c r="CP23" s="520"/>
      <c r="CQ23" s="520"/>
      <c r="CR23" s="520"/>
      <c r="CS23" s="520"/>
      <c r="CT23" s="520"/>
      <c r="CU23" s="520"/>
      <c r="CV23" s="520"/>
      <c r="CW23" s="520"/>
      <c r="CX23" s="520"/>
      <c r="CY23" s="520"/>
      <c r="CZ23" s="520"/>
      <c r="DA23" s="520"/>
      <c r="DB23" s="520"/>
      <c r="DC23" s="520"/>
      <c r="DD23" s="520"/>
      <c r="DE23" s="520"/>
      <c r="DF23" s="520"/>
      <c r="DG23" s="520"/>
      <c r="DH23" s="520"/>
      <c r="DI23" s="520"/>
      <c r="DJ23" s="520"/>
      <c r="DK23" s="520"/>
      <c r="DL23" s="520"/>
      <c r="DM23" s="520"/>
      <c r="DN23" s="520"/>
      <c r="DO23" s="520"/>
      <c r="DP23" s="520"/>
      <c r="DQ23" s="520"/>
      <c r="DR23" s="520"/>
      <c r="DS23" s="520"/>
      <c r="DT23" s="520"/>
      <c r="DU23" s="520"/>
      <c r="DV23" s="520"/>
      <c r="DW23" s="520"/>
      <c r="DX23" s="520"/>
      <c r="DY23" s="520"/>
      <c r="DZ23" s="520"/>
      <c r="EA23" s="520"/>
      <c r="EB23" s="520"/>
      <c r="EC23" s="520"/>
      <c r="ED23" s="520"/>
      <c r="EE23" s="520"/>
      <c r="EF23" s="520"/>
      <c r="EG23" s="520"/>
      <c r="EH23" s="520"/>
      <c r="EI23" s="520"/>
      <c r="EJ23" s="520"/>
      <c r="EK23" s="520"/>
      <c r="EL23" s="520"/>
      <c r="EM23" s="520"/>
      <c r="EN23" s="520"/>
      <c r="EO23" s="520"/>
      <c r="EP23" s="520"/>
      <c r="EQ23" s="520"/>
      <c r="ER23" s="520"/>
      <c r="ES23" s="520"/>
      <c r="ET23" s="520"/>
      <c r="EU23" s="520"/>
      <c r="EV23" s="520"/>
      <c r="EW23" s="520"/>
    </row>
    <row r="24" spans="1:153" s="521" customFormat="1">
      <c r="A24" s="689" t="s">
        <v>3520</v>
      </c>
      <c r="B24" s="519"/>
      <c r="C24" s="520"/>
      <c r="D24" s="520"/>
      <c r="E24" s="520"/>
      <c r="F24" s="520"/>
      <c r="G24" s="520"/>
      <c r="H24" s="520"/>
      <c r="I24" s="520"/>
      <c r="J24" s="520"/>
      <c r="K24" s="520"/>
      <c r="L24" s="526"/>
      <c r="M24" s="526"/>
      <c r="N24" s="535">
        <f>N23/N12</f>
        <v>0.13534529046131058</v>
      </c>
      <c r="O24" s="535">
        <f>O23/O12</f>
        <v>0.13676160430759893</v>
      </c>
      <c r="P24" s="535">
        <f>P23/P12</f>
        <v>0.14206709764562947</v>
      </c>
      <c r="Q24" s="536">
        <f>CHOOSE($O$1,Q25,Q26,Q27)</f>
        <v>0.13500000000000001</v>
      </c>
      <c r="R24" s="536">
        <f t="shared" ref="R24:Z24" si="10">CHOOSE($O$1,R25,R26,R27)</f>
        <v>0.13500000000000001</v>
      </c>
      <c r="S24" s="536">
        <f t="shared" si="10"/>
        <v>0.13500000000000001</v>
      </c>
      <c r="T24" s="536">
        <f t="shared" si="10"/>
        <v>0.13500000000000001</v>
      </c>
      <c r="U24" s="536">
        <f t="shared" si="10"/>
        <v>0.13500000000000001</v>
      </c>
      <c r="V24" s="536">
        <f t="shared" si="10"/>
        <v>0.13500000000000001</v>
      </c>
      <c r="W24" s="536">
        <f t="shared" si="10"/>
        <v>0.13500000000000001</v>
      </c>
      <c r="X24" s="536">
        <f t="shared" si="10"/>
        <v>0.13500000000000001</v>
      </c>
      <c r="Y24" s="536">
        <f t="shared" si="10"/>
        <v>0.13500000000000001</v>
      </c>
      <c r="Z24" s="536">
        <f t="shared" si="10"/>
        <v>0.13500000000000001</v>
      </c>
      <c r="AA24" s="526"/>
      <c r="AB24" s="520"/>
      <c r="AC24" s="520"/>
      <c r="AD24" s="520"/>
      <c r="AE24" s="520"/>
      <c r="AF24" s="520"/>
      <c r="AG24" s="520"/>
      <c r="AH24" s="520"/>
      <c r="AI24" s="520"/>
      <c r="AJ24" s="520"/>
      <c r="AK24" s="520"/>
      <c r="AL24" s="520"/>
      <c r="AM24" s="520"/>
      <c r="AN24" s="520"/>
      <c r="AO24" s="520"/>
      <c r="AP24" s="520"/>
      <c r="AQ24" s="520"/>
      <c r="AR24" s="520"/>
      <c r="AS24" s="520"/>
      <c r="AT24" s="520"/>
      <c r="AU24" s="520"/>
      <c r="AV24" s="520"/>
      <c r="AW24" s="520"/>
      <c r="AX24" s="520"/>
      <c r="AY24" s="520"/>
      <c r="AZ24" s="520"/>
      <c r="BA24" s="520"/>
      <c r="BB24" s="520"/>
      <c r="BC24" s="520"/>
      <c r="BD24" s="520"/>
      <c r="BE24" s="520"/>
      <c r="BF24" s="520"/>
      <c r="BG24" s="520"/>
      <c r="BH24" s="520"/>
      <c r="BI24" s="520"/>
      <c r="BJ24" s="520"/>
      <c r="BK24" s="520"/>
      <c r="BL24" s="520"/>
      <c r="BM24" s="520"/>
      <c r="BN24" s="520"/>
      <c r="BO24" s="520"/>
      <c r="BP24" s="520"/>
      <c r="BQ24" s="520"/>
      <c r="BR24" s="520"/>
      <c r="BS24" s="520"/>
      <c r="BT24" s="520"/>
      <c r="BU24" s="520"/>
      <c r="BV24" s="520"/>
      <c r="BW24" s="520"/>
      <c r="BX24" s="520"/>
      <c r="BY24" s="520"/>
      <c r="BZ24" s="520"/>
      <c r="CA24" s="520"/>
      <c r="CB24" s="520"/>
      <c r="CC24" s="520"/>
      <c r="CD24" s="520"/>
      <c r="CE24" s="520"/>
      <c r="CF24" s="520"/>
      <c r="CG24" s="520"/>
      <c r="CH24" s="520"/>
      <c r="CI24" s="520"/>
      <c r="CJ24" s="520"/>
      <c r="CK24" s="520"/>
      <c r="CL24" s="520"/>
      <c r="CM24" s="520"/>
      <c r="CN24" s="520"/>
      <c r="CO24" s="520"/>
      <c r="CP24" s="520"/>
      <c r="CQ24" s="520"/>
      <c r="CR24" s="520"/>
      <c r="CS24" s="520"/>
      <c r="CT24" s="520"/>
      <c r="CU24" s="520"/>
      <c r="CV24" s="520"/>
      <c r="CW24" s="520"/>
      <c r="CX24" s="520"/>
      <c r="CY24" s="520"/>
      <c r="CZ24" s="520"/>
      <c r="DA24" s="520"/>
      <c r="DB24" s="520"/>
      <c r="DC24" s="520"/>
      <c r="DD24" s="520"/>
      <c r="DE24" s="520"/>
      <c r="DF24" s="520"/>
      <c r="DG24" s="520"/>
      <c r="DH24" s="520"/>
      <c r="DI24" s="520"/>
      <c r="DJ24" s="520"/>
      <c r="DK24" s="520"/>
      <c r="DL24" s="520"/>
      <c r="DM24" s="520"/>
      <c r="DN24" s="520"/>
      <c r="DO24" s="520"/>
      <c r="DP24" s="520"/>
      <c r="DQ24" s="520"/>
      <c r="DR24" s="520"/>
      <c r="DS24" s="520"/>
      <c r="DT24" s="520"/>
      <c r="DU24" s="520"/>
      <c r="DV24" s="520"/>
      <c r="DW24" s="520"/>
      <c r="DX24" s="520"/>
      <c r="DY24" s="520"/>
      <c r="DZ24" s="520"/>
      <c r="EA24" s="520"/>
      <c r="EB24" s="520"/>
      <c r="EC24" s="520"/>
      <c r="ED24" s="520"/>
      <c r="EE24" s="520"/>
      <c r="EF24" s="520"/>
      <c r="EG24" s="520"/>
      <c r="EH24" s="520"/>
      <c r="EI24" s="520"/>
      <c r="EJ24" s="520"/>
      <c r="EK24" s="520"/>
      <c r="EL24" s="520"/>
      <c r="EM24" s="520"/>
      <c r="EN24" s="520"/>
      <c r="EO24" s="520"/>
      <c r="EP24" s="520"/>
      <c r="EQ24" s="520"/>
      <c r="ER24" s="520"/>
      <c r="ES24" s="520"/>
      <c r="ET24" s="520"/>
      <c r="EU24" s="520"/>
      <c r="EV24" s="520"/>
      <c r="EW24" s="520"/>
    </row>
    <row r="25" spans="1:153" s="521" customFormat="1" ht="15">
      <c r="A25" s="566" t="s">
        <v>3516</v>
      </c>
      <c r="B25" s="519"/>
      <c r="C25" s="520"/>
      <c r="D25" s="520"/>
      <c r="E25" s="520"/>
      <c r="F25" s="520"/>
      <c r="G25" s="520"/>
      <c r="H25" s="520"/>
      <c r="I25" s="520"/>
      <c r="J25" s="520"/>
      <c r="K25" s="520"/>
      <c r="L25" s="526"/>
      <c r="M25" s="526"/>
      <c r="N25" s="526"/>
      <c r="O25" s="526"/>
      <c r="P25" s="526"/>
      <c r="Q25" s="537">
        <v>0.13500000000000001</v>
      </c>
      <c r="R25" s="537">
        <v>0.13500000000000001</v>
      </c>
      <c r="S25" s="537">
        <v>0.13500000000000001</v>
      </c>
      <c r="T25" s="537">
        <v>0.13500000000000001</v>
      </c>
      <c r="U25" s="537">
        <v>0.13500000000000001</v>
      </c>
      <c r="V25" s="537">
        <v>0.13500000000000001</v>
      </c>
      <c r="W25" s="537">
        <v>0.13500000000000001</v>
      </c>
      <c r="X25" s="537">
        <v>0.13500000000000001</v>
      </c>
      <c r="Y25" s="537">
        <v>0.13500000000000001</v>
      </c>
      <c r="Z25" s="537">
        <v>0.13500000000000001</v>
      </c>
      <c r="AA25" s="526"/>
      <c r="AB25" s="520"/>
      <c r="AC25" s="520"/>
      <c r="AD25" s="520"/>
      <c r="AE25" s="520"/>
      <c r="AF25" s="520"/>
      <c r="AG25" s="520"/>
      <c r="AH25" s="520"/>
      <c r="AI25" s="520"/>
      <c r="AJ25" s="520"/>
      <c r="AK25" s="520"/>
      <c r="AL25" s="520"/>
      <c r="AM25" s="520"/>
      <c r="AN25" s="520"/>
      <c r="AO25" s="520"/>
      <c r="AP25" s="520"/>
      <c r="AQ25" s="520"/>
      <c r="AR25" s="520"/>
      <c r="AS25" s="520"/>
      <c r="AT25" s="520"/>
      <c r="AU25" s="520"/>
      <c r="AV25" s="520"/>
      <c r="AW25" s="520"/>
      <c r="AX25" s="520"/>
      <c r="AY25" s="520"/>
      <c r="AZ25" s="520"/>
      <c r="BA25" s="520"/>
      <c r="BB25" s="520"/>
      <c r="BC25" s="520"/>
      <c r="BD25" s="520"/>
      <c r="BE25" s="520"/>
      <c r="BF25" s="520"/>
      <c r="BG25" s="520"/>
      <c r="BH25" s="520"/>
      <c r="BI25" s="520"/>
      <c r="BJ25" s="520"/>
      <c r="BK25" s="520"/>
      <c r="BL25" s="520"/>
      <c r="BM25" s="520"/>
      <c r="BN25" s="520"/>
      <c r="BO25" s="520"/>
      <c r="BP25" s="520"/>
      <c r="BQ25" s="520"/>
      <c r="BR25" s="520"/>
      <c r="BS25" s="520"/>
      <c r="BT25" s="520"/>
      <c r="BU25" s="520"/>
      <c r="BV25" s="520"/>
      <c r="BW25" s="520"/>
      <c r="BX25" s="520"/>
      <c r="BY25" s="520"/>
      <c r="BZ25" s="520"/>
      <c r="CA25" s="520"/>
      <c r="CB25" s="520"/>
      <c r="CC25" s="520"/>
      <c r="CD25" s="520"/>
      <c r="CE25" s="520"/>
      <c r="CF25" s="520"/>
      <c r="CG25" s="520"/>
      <c r="CH25" s="520"/>
      <c r="CI25" s="520"/>
      <c r="CJ25" s="520"/>
      <c r="CK25" s="520"/>
      <c r="CL25" s="520"/>
      <c r="CM25" s="520"/>
      <c r="CN25" s="520"/>
      <c r="CO25" s="520"/>
      <c r="CP25" s="520"/>
      <c r="CQ25" s="520"/>
      <c r="CR25" s="520"/>
      <c r="CS25" s="520"/>
      <c r="CT25" s="520"/>
      <c r="CU25" s="520"/>
      <c r="CV25" s="520"/>
      <c r="CW25" s="520"/>
      <c r="CX25" s="520"/>
      <c r="CY25" s="520"/>
      <c r="CZ25" s="520"/>
      <c r="DA25" s="520"/>
      <c r="DB25" s="520"/>
      <c r="DC25" s="520"/>
      <c r="DD25" s="520"/>
      <c r="DE25" s="520"/>
      <c r="DF25" s="520"/>
      <c r="DG25" s="520"/>
      <c r="DH25" s="520"/>
      <c r="DI25" s="520"/>
      <c r="DJ25" s="520"/>
      <c r="DK25" s="520"/>
      <c r="DL25" s="520"/>
      <c r="DM25" s="520"/>
      <c r="DN25" s="520"/>
      <c r="DO25" s="520"/>
      <c r="DP25" s="520"/>
      <c r="DQ25" s="520"/>
      <c r="DR25" s="520"/>
      <c r="DS25" s="520"/>
      <c r="DT25" s="520"/>
      <c r="DU25" s="520"/>
      <c r="DV25" s="520"/>
      <c r="DW25" s="520"/>
      <c r="DX25" s="520"/>
      <c r="DY25" s="520"/>
      <c r="DZ25" s="520"/>
      <c r="EA25" s="520"/>
      <c r="EB25" s="520"/>
      <c r="EC25" s="520"/>
      <c r="ED25" s="520"/>
      <c r="EE25" s="520"/>
      <c r="EF25" s="520"/>
      <c r="EG25" s="520"/>
      <c r="EH25" s="520"/>
      <c r="EI25" s="520"/>
      <c r="EJ25" s="520"/>
      <c r="EK25" s="520"/>
      <c r="EL25" s="520"/>
      <c r="EM25" s="520"/>
      <c r="EN25" s="520"/>
      <c r="EO25" s="520"/>
      <c r="EP25" s="520"/>
      <c r="EQ25" s="520"/>
      <c r="ER25" s="520"/>
      <c r="ES25" s="520"/>
      <c r="ET25" s="520"/>
      <c r="EU25" s="520"/>
      <c r="EV25" s="520"/>
      <c r="EW25" s="520"/>
    </row>
    <row r="26" spans="1:153" s="521" customFormat="1" ht="15">
      <c r="A26" s="566" t="s">
        <v>3517</v>
      </c>
      <c r="B26" s="525"/>
      <c r="C26" s="520"/>
      <c r="D26" s="520"/>
      <c r="E26" s="520"/>
      <c r="F26" s="520"/>
      <c r="G26" s="520"/>
      <c r="H26" s="520"/>
      <c r="I26" s="520"/>
      <c r="J26" s="520"/>
      <c r="K26" s="520"/>
      <c r="L26" s="526"/>
      <c r="M26" s="526"/>
      <c r="N26" s="526"/>
      <c r="O26" s="526"/>
      <c r="P26" s="526"/>
      <c r="Q26" s="537">
        <f t="shared" ref="Q26:S26" si="11">Q25+$AA26</f>
        <v>0.14500000000000002</v>
      </c>
      <c r="R26" s="537">
        <f t="shared" si="11"/>
        <v>0.14500000000000002</v>
      </c>
      <c r="S26" s="537">
        <f t="shared" si="11"/>
        <v>0.14500000000000002</v>
      </c>
      <c r="T26" s="537">
        <f t="shared" ref="T26:V26" si="12">T25+$AA26</f>
        <v>0.14500000000000002</v>
      </c>
      <c r="U26" s="537">
        <f t="shared" si="12"/>
        <v>0.14500000000000002</v>
      </c>
      <c r="V26" s="537">
        <f t="shared" si="12"/>
        <v>0.14500000000000002</v>
      </c>
      <c r="W26" s="537">
        <f>W25+$AA26</f>
        <v>0.14500000000000002</v>
      </c>
      <c r="X26" s="537">
        <f>X25+$AA26</f>
        <v>0.14500000000000002</v>
      </c>
      <c r="Y26" s="537">
        <f>Y25+$AA26</f>
        <v>0.14500000000000002</v>
      </c>
      <c r="Z26" s="537">
        <f>Z25+$AA26</f>
        <v>0.14500000000000002</v>
      </c>
      <c r="AA26" s="538">
        <v>0.01</v>
      </c>
      <c r="AB26" s="520"/>
      <c r="AC26" s="520"/>
      <c r="AD26" s="520"/>
      <c r="AE26" s="520"/>
      <c r="AF26" s="520"/>
      <c r="AG26" s="520"/>
      <c r="AH26" s="520"/>
      <c r="AI26" s="520"/>
      <c r="AJ26" s="520"/>
      <c r="AK26" s="520"/>
      <c r="AL26" s="520"/>
      <c r="AM26" s="520"/>
      <c r="AN26" s="520"/>
      <c r="AO26" s="520"/>
      <c r="AP26" s="520"/>
      <c r="AQ26" s="520"/>
      <c r="AR26" s="520"/>
      <c r="AS26" s="520"/>
      <c r="AT26" s="520"/>
      <c r="AU26" s="520"/>
      <c r="AV26" s="520"/>
      <c r="AW26" s="520"/>
      <c r="AX26" s="520"/>
      <c r="AY26" s="520"/>
      <c r="AZ26" s="520"/>
      <c r="BA26" s="520"/>
      <c r="BB26" s="520"/>
      <c r="BC26" s="520"/>
      <c r="BD26" s="520"/>
      <c r="BE26" s="520"/>
      <c r="BF26" s="520"/>
      <c r="BG26" s="520"/>
      <c r="BH26" s="520"/>
      <c r="BI26" s="520"/>
      <c r="BJ26" s="520"/>
      <c r="BK26" s="520"/>
      <c r="BL26" s="520"/>
      <c r="BM26" s="520"/>
      <c r="BN26" s="520"/>
      <c r="BO26" s="520"/>
      <c r="BP26" s="520"/>
      <c r="BQ26" s="520"/>
      <c r="BR26" s="520"/>
      <c r="BS26" s="520"/>
      <c r="BT26" s="520"/>
      <c r="BU26" s="520"/>
      <c r="BV26" s="520"/>
      <c r="BW26" s="520"/>
      <c r="BX26" s="520"/>
      <c r="BY26" s="520"/>
      <c r="BZ26" s="520"/>
      <c r="CA26" s="520"/>
      <c r="CB26" s="520"/>
      <c r="CC26" s="520"/>
      <c r="CD26" s="520"/>
      <c r="CE26" s="520"/>
      <c r="CF26" s="520"/>
      <c r="CG26" s="520"/>
      <c r="CH26" s="520"/>
      <c r="CI26" s="520"/>
      <c r="CJ26" s="520"/>
      <c r="CK26" s="520"/>
      <c r="CL26" s="520"/>
      <c r="CM26" s="520"/>
      <c r="CN26" s="520"/>
      <c r="CO26" s="520"/>
      <c r="CP26" s="520"/>
      <c r="CQ26" s="520"/>
      <c r="CR26" s="520"/>
      <c r="CS26" s="520"/>
      <c r="CT26" s="520"/>
      <c r="CU26" s="520"/>
      <c r="CV26" s="520"/>
      <c r="CW26" s="520"/>
      <c r="CX26" s="520"/>
      <c r="CY26" s="520"/>
      <c r="CZ26" s="520"/>
      <c r="DA26" s="520"/>
      <c r="DB26" s="520"/>
      <c r="DC26" s="520"/>
      <c r="DD26" s="520"/>
      <c r="DE26" s="520"/>
      <c r="DF26" s="520"/>
      <c r="DG26" s="520"/>
      <c r="DH26" s="520"/>
      <c r="DI26" s="520"/>
      <c r="DJ26" s="520"/>
      <c r="DK26" s="520"/>
      <c r="DL26" s="520"/>
      <c r="DM26" s="520"/>
      <c r="DN26" s="520"/>
      <c r="DO26" s="520"/>
      <c r="DP26" s="520"/>
      <c r="DQ26" s="520"/>
      <c r="DR26" s="520"/>
      <c r="DS26" s="520"/>
      <c r="DT26" s="520"/>
      <c r="DU26" s="520"/>
      <c r="DV26" s="520"/>
      <c r="DW26" s="520"/>
      <c r="DX26" s="520"/>
      <c r="DY26" s="520"/>
      <c r="DZ26" s="520"/>
      <c r="EA26" s="520"/>
      <c r="EB26" s="520"/>
      <c r="EC26" s="520"/>
      <c r="ED26" s="520"/>
      <c r="EE26" s="520"/>
      <c r="EF26" s="520"/>
      <c r="EG26" s="520"/>
      <c r="EH26" s="520"/>
      <c r="EI26" s="520"/>
      <c r="EJ26" s="520"/>
      <c r="EK26" s="520"/>
      <c r="EL26" s="520"/>
      <c r="EM26" s="520"/>
      <c r="EN26" s="520"/>
      <c r="EO26" s="520"/>
      <c r="EP26" s="520"/>
      <c r="EQ26" s="520"/>
      <c r="ER26" s="520"/>
      <c r="ES26" s="520"/>
      <c r="ET26" s="520"/>
      <c r="EU26" s="520"/>
      <c r="EV26" s="520"/>
      <c r="EW26" s="520"/>
    </row>
    <row r="27" spans="1:153" s="521" customFormat="1" ht="15">
      <c r="A27" s="566" t="s">
        <v>3518</v>
      </c>
      <c r="B27" s="519"/>
      <c r="C27" s="520"/>
      <c r="D27" s="520"/>
      <c r="E27" s="520"/>
      <c r="F27" s="520"/>
      <c r="G27" s="520"/>
      <c r="H27" s="520"/>
      <c r="I27" s="520"/>
      <c r="J27" s="520"/>
      <c r="K27" s="520"/>
      <c r="L27" s="526"/>
      <c r="M27" s="526"/>
      <c r="N27" s="526"/>
      <c r="O27" s="526"/>
      <c r="P27" s="526"/>
      <c r="Q27" s="537">
        <f t="shared" ref="Q27:S27" ca="1" si="13">Q25-$Y27</f>
        <v>0.13500000000000001</v>
      </c>
      <c r="R27" s="537">
        <f t="shared" ca="1" si="13"/>
        <v>0.13500000000000001</v>
      </c>
      <c r="S27" s="537">
        <f t="shared" ca="1" si="13"/>
        <v>0.13500000000000001</v>
      </c>
      <c r="T27" s="537">
        <f t="shared" ref="T27:V27" ca="1" si="14">T25-$Y27</f>
        <v>0.13500000000000001</v>
      </c>
      <c r="U27" s="537">
        <f t="shared" ca="1" si="14"/>
        <v>0.13500000000000001</v>
      </c>
      <c r="V27" s="537">
        <f t="shared" ca="1" si="14"/>
        <v>0.13500000000000001</v>
      </c>
      <c r="W27" s="537">
        <f ca="1">W25-$Y27</f>
        <v>0.13500000000000001</v>
      </c>
      <c r="X27" s="537">
        <f ca="1">X25-$Y27</f>
        <v>0.13500000000000001</v>
      </c>
      <c r="Y27" s="537">
        <f ca="1">Y25-$Y27</f>
        <v>0.13500000000000001</v>
      </c>
      <c r="Z27" s="537">
        <f ca="1">Z25-$Y27</f>
        <v>0</v>
      </c>
      <c r="AA27" s="538">
        <v>0.01</v>
      </c>
      <c r="AB27" s="520"/>
      <c r="AC27" s="520"/>
      <c r="AD27" s="520"/>
      <c r="AE27" s="520"/>
      <c r="AF27" s="520"/>
      <c r="AG27" s="520"/>
      <c r="AH27" s="520"/>
      <c r="AI27" s="520"/>
      <c r="AJ27" s="520"/>
      <c r="AK27" s="520"/>
      <c r="AL27" s="520"/>
      <c r="AM27" s="520"/>
      <c r="AN27" s="520"/>
      <c r="AO27" s="520"/>
      <c r="AP27" s="520"/>
      <c r="AQ27" s="520"/>
      <c r="AR27" s="520"/>
      <c r="AS27" s="520"/>
      <c r="AT27" s="520"/>
      <c r="AU27" s="520"/>
      <c r="AV27" s="520"/>
      <c r="AW27" s="520"/>
      <c r="AX27" s="520"/>
      <c r="AY27" s="520"/>
      <c r="AZ27" s="520"/>
      <c r="BA27" s="520"/>
      <c r="BB27" s="520"/>
      <c r="BC27" s="520"/>
      <c r="BD27" s="520"/>
      <c r="BE27" s="520"/>
      <c r="BF27" s="520"/>
      <c r="BG27" s="520"/>
      <c r="BH27" s="520"/>
      <c r="BI27" s="520"/>
      <c r="BJ27" s="520"/>
      <c r="BK27" s="520"/>
      <c r="BL27" s="520"/>
      <c r="BM27" s="520"/>
      <c r="BN27" s="520"/>
      <c r="BO27" s="520"/>
      <c r="BP27" s="520"/>
      <c r="BQ27" s="520"/>
      <c r="BR27" s="520"/>
      <c r="BS27" s="520"/>
      <c r="BT27" s="520"/>
      <c r="BU27" s="520"/>
      <c r="BV27" s="520"/>
      <c r="BW27" s="520"/>
      <c r="BX27" s="520"/>
      <c r="BY27" s="520"/>
      <c r="BZ27" s="520"/>
      <c r="CA27" s="520"/>
      <c r="CB27" s="520"/>
      <c r="CC27" s="520"/>
      <c r="CD27" s="520"/>
      <c r="CE27" s="520"/>
      <c r="CF27" s="520"/>
      <c r="CG27" s="520"/>
      <c r="CH27" s="520"/>
      <c r="CI27" s="520"/>
      <c r="CJ27" s="520"/>
      <c r="CK27" s="520"/>
      <c r="CL27" s="520"/>
      <c r="CM27" s="520"/>
      <c r="CN27" s="520"/>
      <c r="CO27" s="520"/>
      <c r="CP27" s="520"/>
      <c r="CQ27" s="520"/>
      <c r="CR27" s="520"/>
      <c r="CS27" s="520"/>
      <c r="CT27" s="520"/>
      <c r="CU27" s="520"/>
      <c r="CV27" s="520"/>
      <c r="CW27" s="520"/>
      <c r="CX27" s="520"/>
      <c r="CY27" s="520"/>
      <c r="CZ27" s="520"/>
      <c r="DA27" s="520"/>
      <c r="DB27" s="520"/>
      <c r="DC27" s="520"/>
      <c r="DD27" s="520"/>
      <c r="DE27" s="520"/>
      <c r="DF27" s="520"/>
      <c r="DG27" s="520"/>
      <c r="DH27" s="520"/>
      <c r="DI27" s="520"/>
      <c r="DJ27" s="520"/>
      <c r="DK27" s="520"/>
      <c r="DL27" s="520"/>
      <c r="DM27" s="520"/>
      <c r="DN27" s="520"/>
      <c r="DO27" s="520"/>
      <c r="DP27" s="520"/>
      <c r="DQ27" s="520"/>
      <c r="DR27" s="520"/>
      <c r="DS27" s="520"/>
      <c r="DT27" s="520"/>
      <c r="DU27" s="520"/>
      <c r="DV27" s="520"/>
      <c r="DW27" s="520"/>
      <c r="DX27" s="520"/>
      <c r="DY27" s="520"/>
      <c r="DZ27" s="520"/>
      <c r="EA27" s="520"/>
      <c r="EB27" s="520"/>
      <c r="EC27" s="520"/>
      <c r="ED27" s="520"/>
      <c r="EE27" s="520"/>
      <c r="EF27" s="520"/>
      <c r="EG27" s="520"/>
      <c r="EH27" s="520"/>
      <c r="EI27" s="520"/>
      <c r="EJ27" s="520"/>
      <c r="EK27" s="520"/>
      <c r="EL27" s="520"/>
      <c r="EM27" s="520"/>
      <c r="EN27" s="520"/>
      <c r="EO27" s="520"/>
      <c r="EP27" s="520"/>
      <c r="EQ27" s="520"/>
      <c r="ER27" s="520"/>
      <c r="ES27" s="520"/>
      <c r="ET27" s="520"/>
      <c r="EU27" s="520"/>
      <c r="EV27" s="520"/>
      <c r="EW27" s="520"/>
    </row>
    <row r="28" spans="1:153" s="521" customFormat="1">
      <c r="A28" s="686"/>
      <c r="B28" s="525"/>
      <c r="C28" s="520"/>
      <c r="D28" s="520"/>
      <c r="E28" s="520"/>
      <c r="F28" s="520"/>
      <c r="G28" s="520"/>
      <c r="H28" s="520"/>
      <c r="I28" s="520"/>
      <c r="J28" s="520"/>
      <c r="K28" s="520"/>
      <c r="L28" s="526"/>
      <c r="M28" s="526"/>
      <c r="N28" s="526"/>
      <c r="O28" s="526"/>
      <c r="P28" s="526"/>
      <c r="Q28" s="526"/>
      <c r="R28" s="526"/>
      <c r="S28" s="526"/>
      <c r="T28" s="526"/>
      <c r="U28" s="526"/>
      <c r="V28" s="526"/>
      <c r="W28" s="526"/>
      <c r="X28" s="526"/>
      <c r="Y28" s="526"/>
      <c r="Z28" s="526"/>
      <c r="AA28" s="526"/>
      <c r="AB28" s="520"/>
      <c r="AC28" s="520"/>
      <c r="AD28" s="520"/>
      <c r="AE28" s="520"/>
      <c r="AF28" s="520"/>
      <c r="AG28" s="520"/>
      <c r="AH28" s="520"/>
      <c r="AI28" s="520"/>
      <c r="AJ28" s="520"/>
      <c r="AK28" s="520"/>
      <c r="AL28" s="520"/>
      <c r="AM28" s="520"/>
      <c r="AN28" s="520"/>
      <c r="AO28" s="520"/>
      <c r="AP28" s="520"/>
      <c r="AQ28" s="520"/>
      <c r="AR28" s="520"/>
      <c r="AS28" s="520"/>
      <c r="AT28" s="520"/>
      <c r="AU28" s="520"/>
      <c r="AV28" s="520"/>
      <c r="AW28" s="520"/>
      <c r="AX28" s="520"/>
      <c r="AY28" s="520"/>
      <c r="AZ28" s="520"/>
      <c r="BA28" s="520"/>
      <c r="BB28" s="520"/>
      <c r="BC28" s="520"/>
      <c r="BD28" s="520"/>
      <c r="BE28" s="520"/>
      <c r="BF28" s="520"/>
      <c r="BG28" s="520"/>
      <c r="BH28" s="520"/>
      <c r="BI28" s="520"/>
      <c r="BJ28" s="520"/>
      <c r="BK28" s="520"/>
      <c r="BL28" s="520"/>
      <c r="BM28" s="520"/>
      <c r="BN28" s="520"/>
      <c r="BO28" s="520"/>
      <c r="BP28" s="520"/>
      <c r="BQ28" s="520"/>
      <c r="BR28" s="520"/>
      <c r="BS28" s="520"/>
      <c r="BT28" s="520"/>
      <c r="BU28" s="520"/>
      <c r="BV28" s="520"/>
      <c r="BW28" s="520"/>
      <c r="BX28" s="520"/>
      <c r="BY28" s="520"/>
      <c r="BZ28" s="520"/>
      <c r="CA28" s="520"/>
      <c r="CB28" s="520"/>
      <c r="CC28" s="520"/>
      <c r="CD28" s="520"/>
      <c r="CE28" s="520"/>
      <c r="CF28" s="520"/>
      <c r="CG28" s="520"/>
      <c r="CH28" s="520"/>
      <c r="CI28" s="520"/>
      <c r="CJ28" s="520"/>
      <c r="CK28" s="520"/>
      <c r="CL28" s="520"/>
      <c r="CM28" s="520"/>
      <c r="CN28" s="520"/>
      <c r="CO28" s="520"/>
      <c r="CP28" s="520"/>
      <c r="CQ28" s="520"/>
      <c r="CR28" s="520"/>
      <c r="CS28" s="520"/>
      <c r="CT28" s="520"/>
      <c r="CU28" s="520"/>
      <c r="CV28" s="520"/>
      <c r="CW28" s="520"/>
      <c r="CX28" s="520"/>
      <c r="CY28" s="520"/>
      <c r="CZ28" s="520"/>
      <c r="DA28" s="520"/>
      <c r="DB28" s="520"/>
      <c r="DC28" s="520"/>
      <c r="DD28" s="520"/>
      <c r="DE28" s="520"/>
      <c r="DF28" s="520"/>
      <c r="DG28" s="520"/>
      <c r="DH28" s="520"/>
      <c r="DI28" s="520"/>
      <c r="DJ28" s="520"/>
      <c r="DK28" s="520"/>
      <c r="DL28" s="520"/>
      <c r="DM28" s="520"/>
      <c r="DN28" s="520"/>
      <c r="DO28" s="520"/>
      <c r="DP28" s="520"/>
      <c r="DQ28" s="520"/>
      <c r="DR28" s="520"/>
      <c r="DS28" s="520"/>
      <c r="DT28" s="520"/>
      <c r="DU28" s="520"/>
      <c r="DV28" s="520"/>
      <c r="DW28" s="520"/>
      <c r="DX28" s="520"/>
      <c r="DY28" s="520"/>
      <c r="DZ28" s="520"/>
      <c r="EA28" s="520"/>
      <c r="EB28" s="520"/>
      <c r="EC28" s="520"/>
      <c r="ED28" s="520"/>
      <c r="EE28" s="520"/>
      <c r="EF28" s="520"/>
      <c r="EG28" s="520"/>
      <c r="EH28" s="520"/>
      <c r="EI28" s="520"/>
      <c r="EJ28" s="520"/>
      <c r="EK28" s="520"/>
      <c r="EL28" s="520"/>
      <c r="EM28" s="520"/>
      <c r="EN28" s="520"/>
      <c r="EO28" s="520"/>
      <c r="EP28" s="520"/>
      <c r="EQ28" s="520"/>
      <c r="ER28" s="520"/>
      <c r="ES28" s="520"/>
      <c r="ET28" s="520"/>
      <c r="EU28" s="520"/>
      <c r="EV28" s="520"/>
      <c r="EW28" s="520"/>
    </row>
    <row r="29" spans="1:153" s="521" customFormat="1" ht="15">
      <c r="A29" s="691" t="s">
        <v>3521</v>
      </c>
      <c r="B29" s="528"/>
      <c r="C29" s="520"/>
      <c r="D29" s="520"/>
      <c r="E29" s="520"/>
      <c r="F29" s="520"/>
      <c r="G29" s="520"/>
      <c r="H29" s="520"/>
      <c r="I29" s="520"/>
      <c r="J29" s="520"/>
      <c r="K29" s="520"/>
      <c r="L29" s="526">
        <f>Valuation!N22-L33</f>
        <v>46951</v>
      </c>
      <c r="M29" s="526">
        <f>Valuation!O22-M33</f>
        <v>108769</v>
      </c>
      <c r="N29" s="526">
        <f>Valuation!P22-N33</f>
        <v>33542</v>
      </c>
      <c r="O29" s="526">
        <f>Valuation!Q22-O33</f>
        <v>57918</v>
      </c>
      <c r="P29" s="526">
        <f>Valuation!R22-P33</f>
        <v>121302</v>
      </c>
      <c r="Q29" s="526">
        <f t="shared" ref="Q29:Y29" ca="1" si="15">Q30*Q12</f>
        <v>114915.82639300979</v>
      </c>
      <c r="R29" s="526" t="e">
        <f t="shared" ca="1" si="15"/>
        <v>#NAME?</v>
      </c>
      <c r="S29" s="526" t="e">
        <f t="shared" ca="1" si="15"/>
        <v>#NAME?</v>
      </c>
      <c r="T29" s="526" t="e">
        <f t="shared" ca="1" si="15"/>
        <v>#NAME?</v>
      </c>
      <c r="U29" s="526" t="e">
        <f t="shared" ca="1" si="15"/>
        <v>#NAME?</v>
      </c>
      <c r="V29" s="526" t="e">
        <f t="shared" ca="1" si="15"/>
        <v>#NAME?</v>
      </c>
      <c r="W29" s="526" t="e">
        <f t="shared" ca="1" si="15"/>
        <v>#NAME?</v>
      </c>
      <c r="X29" s="526" t="e">
        <f t="shared" ca="1" si="15"/>
        <v>#NAME?</v>
      </c>
      <c r="Y29" s="526" t="e">
        <f t="shared" ca="1" si="15"/>
        <v>#NAME?</v>
      </c>
      <c r="Z29" s="526" t="e">
        <f ca="1">Z30*Z12</f>
        <v>#NAME?</v>
      </c>
      <c r="AA29" s="526"/>
      <c r="AB29" s="520"/>
      <c r="AC29" s="520"/>
      <c r="AD29" s="520"/>
      <c r="AE29" s="520"/>
      <c r="AF29" s="520"/>
      <c r="AG29" s="520"/>
      <c r="AH29" s="520"/>
      <c r="AI29" s="520"/>
      <c r="AJ29" s="520"/>
      <c r="AK29" s="520"/>
      <c r="AL29" s="520"/>
      <c r="AM29" s="520"/>
      <c r="AN29" s="520"/>
      <c r="AO29" s="520"/>
      <c r="AP29" s="520"/>
      <c r="AQ29" s="520"/>
      <c r="AR29" s="520"/>
      <c r="AS29" s="520"/>
      <c r="AT29" s="520"/>
      <c r="AU29" s="520"/>
      <c r="AV29" s="520"/>
      <c r="AW29" s="520"/>
      <c r="AX29" s="520"/>
      <c r="AY29" s="520"/>
      <c r="AZ29" s="520"/>
      <c r="BA29" s="520"/>
      <c r="BB29" s="520"/>
      <c r="BC29" s="520"/>
      <c r="BD29" s="520"/>
      <c r="BE29" s="520"/>
      <c r="BF29" s="520"/>
      <c r="BG29" s="520"/>
      <c r="BH29" s="520"/>
      <c r="BI29" s="520"/>
      <c r="BJ29" s="520"/>
      <c r="BK29" s="520"/>
      <c r="BL29" s="520"/>
      <c r="BM29" s="520"/>
      <c r="BN29" s="520"/>
      <c r="BO29" s="520"/>
      <c r="BP29" s="520"/>
      <c r="BQ29" s="520"/>
      <c r="BR29" s="520"/>
      <c r="BS29" s="520"/>
      <c r="BT29" s="520"/>
      <c r="BU29" s="520"/>
      <c r="BV29" s="520"/>
      <c r="BW29" s="520"/>
      <c r="BX29" s="520"/>
      <c r="BY29" s="520"/>
      <c r="BZ29" s="520"/>
      <c r="CA29" s="520"/>
      <c r="CB29" s="520"/>
      <c r="CC29" s="520"/>
      <c r="CD29" s="520"/>
      <c r="CE29" s="520"/>
      <c r="CF29" s="520"/>
      <c r="CG29" s="520"/>
      <c r="CH29" s="520"/>
      <c r="CI29" s="520"/>
      <c r="CJ29" s="520"/>
      <c r="CK29" s="520"/>
      <c r="CL29" s="520"/>
      <c r="CM29" s="520"/>
      <c r="CN29" s="520"/>
      <c r="CO29" s="520"/>
      <c r="CP29" s="520"/>
      <c r="CQ29" s="520"/>
      <c r="CR29" s="520"/>
      <c r="CS29" s="520"/>
      <c r="CT29" s="520"/>
      <c r="CU29" s="520"/>
      <c r="CV29" s="520"/>
      <c r="CW29" s="520"/>
      <c r="CX29" s="520"/>
      <c r="CY29" s="520"/>
      <c r="CZ29" s="520"/>
      <c r="DA29" s="520"/>
      <c r="DB29" s="520"/>
      <c r="DC29" s="520"/>
      <c r="DD29" s="520"/>
      <c r="DE29" s="520"/>
      <c r="DF29" s="520"/>
      <c r="DG29" s="520"/>
      <c r="DH29" s="520"/>
      <c r="DI29" s="520"/>
      <c r="DJ29" s="520"/>
      <c r="DK29" s="520"/>
      <c r="DL29" s="520"/>
      <c r="DM29" s="520"/>
      <c r="DN29" s="520"/>
      <c r="DO29" s="520"/>
      <c r="DP29" s="520"/>
      <c r="DQ29" s="520"/>
      <c r="DR29" s="520"/>
      <c r="DS29" s="520"/>
      <c r="DT29" s="520"/>
      <c r="DU29" s="520"/>
      <c r="DV29" s="520"/>
      <c r="DW29" s="520"/>
      <c r="DX29" s="520"/>
      <c r="DY29" s="520"/>
      <c r="DZ29" s="520"/>
      <c r="EA29" s="520"/>
      <c r="EB29" s="520"/>
      <c r="EC29" s="520"/>
      <c r="ED29" s="520"/>
      <c r="EE29" s="520"/>
      <c r="EF29" s="520"/>
      <c r="EG29" s="520"/>
      <c r="EH29" s="520"/>
      <c r="EI29" s="520"/>
      <c r="EJ29" s="520"/>
      <c r="EK29" s="520"/>
      <c r="EL29" s="520"/>
      <c r="EM29" s="520"/>
      <c r="EN29" s="520"/>
      <c r="EO29" s="520"/>
      <c r="EP29" s="520"/>
      <c r="EQ29" s="520"/>
      <c r="ER29" s="520"/>
      <c r="ES29" s="520"/>
      <c r="ET29" s="520"/>
      <c r="EU29" s="520"/>
      <c r="EV29" s="520"/>
      <c r="EW29" s="520"/>
    </row>
    <row r="30" spans="1:153" s="521" customFormat="1">
      <c r="A30" s="686" t="s">
        <v>3522</v>
      </c>
      <c r="B30" s="533"/>
      <c r="C30" s="520"/>
      <c r="D30" s="520"/>
      <c r="E30" s="520"/>
      <c r="F30" s="520"/>
      <c r="G30" s="520"/>
      <c r="H30" s="520"/>
      <c r="I30" s="520"/>
      <c r="J30" s="520"/>
      <c r="K30" s="520"/>
      <c r="L30" s="526"/>
      <c r="M30" s="526"/>
      <c r="N30" s="539">
        <f>N29/N12</f>
        <v>1.079081953543048E-2</v>
      </c>
      <c r="O30" s="539">
        <f>O29/O12</f>
        <v>8.8235455424626463E-3</v>
      </c>
      <c r="P30" s="539">
        <f>P29/P12</f>
        <v>1.6891311840085223E-2</v>
      </c>
      <c r="Q30" s="540">
        <f>P30</f>
        <v>1.6891311840085223E-2</v>
      </c>
      <c r="R30" s="540">
        <f t="shared" ref="R30:Z30" si="16">Q30</f>
        <v>1.6891311840085223E-2</v>
      </c>
      <c r="S30" s="540">
        <f t="shared" si="16"/>
        <v>1.6891311840085223E-2</v>
      </c>
      <c r="T30" s="540">
        <f t="shared" si="16"/>
        <v>1.6891311840085223E-2</v>
      </c>
      <c r="U30" s="540">
        <f t="shared" si="16"/>
        <v>1.6891311840085223E-2</v>
      </c>
      <c r="V30" s="540">
        <f t="shared" si="16"/>
        <v>1.6891311840085223E-2</v>
      </c>
      <c r="W30" s="540">
        <f t="shared" si="16"/>
        <v>1.6891311840085223E-2</v>
      </c>
      <c r="X30" s="540">
        <f t="shared" si="16"/>
        <v>1.6891311840085223E-2</v>
      </c>
      <c r="Y30" s="540">
        <f t="shared" si="16"/>
        <v>1.6891311840085223E-2</v>
      </c>
      <c r="Z30" s="540">
        <f t="shared" si="16"/>
        <v>1.6891311840085223E-2</v>
      </c>
      <c r="AA30" s="526"/>
      <c r="AB30" s="520"/>
      <c r="AC30" s="520"/>
      <c r="AD30" s="520"/>
      <c r="AE30" s="520"/>
      <c r="AF30" s="520"/>
      <c r="AG30" s="520"/>
      <c r="AH30" s="520"/>
      <c r="AI30" s="520"/>
      <c r="AJ30" s="520"/>
      <c r="AK30" s="520"/>
      <c r="AL30" s="520"/>
      <c r="AM30" s="520"/>
      <c r="AN30" s="520"/>
      <c r="AO30" s="520"/>
      <c r="AP30" s="520"/>
      <c r="AQ30" s="520"/>
      <c r="AR30" s="520"/>
      <c r="AS30" s="520"/>
      <c r="AT30" s="520"/>
      <c r="AU30" s="520"/>
      <c r="AV30" s="520"/>
      <c r="AW30" s="520"/>
      <c r="AX30" s="520"/>
      <c r="AY30" s="520"/>
      <c r="AZ30" s="520"/>
      <c r="BA30" s="520"/>
      <c r="BB30" s="520"/>
      <c r="BC30" s="520"/>
      <c r="BD30" s="520"/>
      <c r="BE30" s="520"/>
      <c r="BF30" s="520"/>
      <c r="BG30" s="520"/>
      <c r="BH30" s="520"/>
      <c r="BI30" s="520"/>
      <c r="BJ30" s="520"/>
      <c r="BK30" s="520"/>
      <c r="BL30" s="520"/>
      <c r="BM30" s="520"/>
      <c r="BN30" s="520"/>
      <c r="BO30" s="520"/>
      <c r="BP30" s="520"/>
      <c r="BQ30" s="520"/>
      <c r="BR30" s="520"/>
      <c r="BS30" s="520"/>
      <c r="BT30" s="520"/>
      <c r="BU30" s="520"/>
      <c r="BV30" s="520"/>
      <c r="BW30" s="520"/>
      <c r="BX30" s="520"/>
      <c r="BY30" s="520"/>
      <c r="BZ30" s="520"/>
      <c r="CA30" s="520"/>
      <c r="CB30" s="520"/>
      <c r="CC30" s="520"/>
      <c r="CD30" s="520"/>
      <c r="CE30" s="520"/>
      <c r="CF30" s="520"/>
      <c r="CG30" s="520"/>
      <c r="CH30" s="520"/>
      <c r="CI30" s="520"/>
      <c r="CJ30" s="520"/>
      <c r="CK30" s="520"/>
      <c r="CL30" s="520"/>
      <c r="CM30" s="520"/>
      <c r="CN30" s="520"/>
      <c r="CO30" s="520"/>
      <c r="CP30" s="520"/>
      <c r="CQ30" s="520"/>
      <c r="CR30" s="520"/>
      <c r="CS30" s="520"/>
      <c r="CT30" s="520"/>
      <c r="CU30" s="520"/>
      <c r="CV30" s="520"/>
      <c r="CW30" s="520"/>
      <c r="CX30" s="520"/>
      <c r="CY30" s="520"/>
      <c r="CZ30" s="520"/>
      <c r="DA30" s="520"/>
      <c r="DB30" s="520"/>
      <c r="DC30" s="520"/>
      <c r="DD30" s="520"/>
      <c r="DE30" s="520"/>
      <c r="DF30" s="520"/>
      <c r="DG30" s="520"/>
      <c r="DH30" s="520"/>
      <c r="DI30" s="520"/>
      <c r="DJ30" s="520"/>
      <c r="DK30" s="520"/>
      <c r="DL30" s="520"/>
      <c r="DM30" s="520"/>
      <c r="DN30" s="520"/>
      <c r="DO30" s="520"/>
      <c r="DP30" s="520"/>
      <c r="DQ30" s="520"/>
      <c r="DR30" s="520"/>
      <c r="DS30" s="520"/>
      <c r="DT30" s="520"/>
      <c r="DU30" s="520"/>
      <c r="DV30" s="520"/>
      <c r="DW30" s="520"/>
      <c r="DX30" s="520"/>
      <c r="DY30" s="520"/>
      <c r="DZ30" s="520"/>
      <c r="EA30" s="520"/>
      <c r="EB30" s="520"/>
      <c r="EC30" s="520"/>
      <c r="ED30" s="520"/>
      <c r="EE30" s="520"/>
      <c r="EF30" s="520"/>
      <c r="EG30" s="520"/>
      <c r="EH30" s="520"/>
      <c r="EI30" s="520"/>
      <c r="EJ30" s="520"/>
      <c r="EK30" s="520"/>
      <c r="EL30" s="520"/>
      <c r="EM30" s="520"/>
      <c r="EN30" s="520"/>
      <c r="EO30" s="520"/>
      <c r="EP30" s="520"/>
      <c r="EQ30" s="520"/>
      <c r="ER30" s="520"/>
      <c r="ES30" s="520"/>
      <c r="ET30" s="520"/>
      <c r="EU30" s="520"/>
      <c r="EV30" s="520"/>
      <c r="EW30" s="520"/>
    </row>
    <row r="31" spans="1:153" s="521" customFormat="1">
      <c r="A31" s="686" t="s">
        <v>3515</v>
      </c>
      <c r="B31" s="525"/>
      <c r="C31" s="520"/>
      <c r="D31" s="520"/>
      <c r="E31" s="520"/>
      <c r="F31" s="520"/>
      <c r="G31" s="520"/>
      <c r="H31" s="520"/>
      <c r="I31" s="520"/>
      <c r="J31" s="520"/>
      <c r="K31" s="520"/>
      <c r="L31" s="526"/>
      <c r="M31" s="526"/>
      <c r="N31" s="526"/>
      <c r="O31" s="526"/>
      <c r="P31" s="526"/>
      <c r="Q31" s="526"/>
      <c r="R31" s="526"/>
      <c r="S31" s="526"/>
      <c r="T31" s="526"/>
      <c r="U31" s="526"/>
      <c r="V31" s="526"/>
      <c r="W31" s="526"/>
      <c r="X31" s="526"/>
      <c r="Y31" s="526"/>
      <c r="Z31" s="526"/>
      <c r="AA31" s="526"/>
      <c r="AB31" s="520"/>
      <c r="AC31" s="520"/>
      <c r="AD31" s="520"/>
      <c r="AE31" s="520"/>
      <c r="AF31" s="520"/>
      <c r="AG31" s="520"/>
      <c r="AH31" s="520"/>
      <c r="AI31" s="520"/>
      <c r="AJ31" s="520"/>
      <c r="AK31" s="520"/>
      <c r="AL31" s="520"/>
      <c r="AM31" s="520"/>
      <c r="AN31" s="520"/>
      <c r="AO31" s="520"/>
      <c r="AP31" s="520"/>
      <c r="AQ31" s="520"/>
      <c r="AR31" s="520"/>
      <c r="AS31" s="520"/>
      <c r="AT31" s="520"/>
      <c r="AU31" s="520"/>
      <c r="AV31" s="520"/>
      <c r="AW31" s="520"/>
      <c r="AX31" s="520"/>
      <c r="AY31" s="520"/>
      <c r="AZ31" s="520"/>
      <c r="BA31" s="520"/>
      <c r="BB31" s="520"/>
      <c r="BC31" s="520"/>
      <c r="BD31" s="520"/>
      <c r="BE31" s="520"/>
      <c r="BF31" s="520"/>
      <c r="BG31" s="520"/>
      <c r="BH31" s="520"/>
      <c r="BI31" s="520"/>
      <c r="BJ31" s="520"/>
      <c r="BK31" s="520"/>
      <c r="BL31" s="520"/>
      <c r="BM31" s="520"/>
      <c r="BN31" s="520"/>
      <c r="BO31" s="520"/>
      <c r="BP31" s="520"/>
      <c r="BQ31" s="520"/>
      <c r="BR31" s="520"/>
      <c r="BS31" s="520"/>
      <c r="BT31" s="520"/>
      <c r="BU31" s="520"/>
      <c r="BV31" s="520"/>
      <c r="BW31" s="520"/>
      <c r="BX31" s="520"/>
      <c r="BY31" s="520"/>
      <c r="BZ31" s="520"/>
      <c r="CA31" s="520"/>
      <c r="CB31" s="520"/>
      <c r="CC31" s="520"/>
      <c r="CD31" s="520"/>
      <c r="CE31" s="520"/>
      <c r="CF31" s="520"/>
      <c r="CG31" s="520"/>
      <c r="CH31" s="520"/>
      <c r="CI31" s="520"/>
      <c r="CJ31" s="520"/>
      <c r="CK31" s="520"/>
      <c r="CL31" s="520"/>
      <c r="CM31" s="520"/>
      <c r="CN31" s="520"/>
      <c r="CO31" s="520"/>
      <c r="CP31" s="520"/>
      <c r="CQ31" s="520"/>
      <c r="CR31" s="520"/>
      <c r="CS31" s="520"/>
      <c r="CT31" s="520"/>
      <c r="CU31" s="520"/>
      <c r="CV31" s="520"/>
      <c r="CW31" s="520"/>
      <c r="CX31" s="520"/>
      <c r="CY31" s="520"/>
      <c r="CZ31" s="520"/>
      <c r="DA31" s="520"/>
      <c r="DB31" s="520"/>
      <c r="DC31" s="520"/>
      <c r="DD31" s="520"/>
      <c r="DE31" s="520"/>
      <c r="DF31" s="520"/>
      <c r="DG31" s="520"/>
      <c r="DH31" s="520"/>
      <c r="DI31" s="520"/>
      <c r="DJ31" s="520"/>
      <c r="DK31" s="520"/>
      <c r="DL31" s="520"/>
      <c r="DM31" s="520"/>
      <c r="DN31" s="520"/>
      <c r="DO31" s="520"/>
      <c r="DP31" s="520"/>
      <c r="DQ31" s="520"/>
      <c r="DR31" s="520"/>
      <c r="DS31" s="520"/>
      <c r="DT31" s="520"/>
      <c r="DU31" s="520"/>
      <c r="DV31" s="520"/>
      <c r="DW31" s="520"/>
      <c r="DX31" s="520"/>
      <c r="DY31" s="520"/>
      <c r="DZ31" s="520"/>
      <c r="EA31" s="520"/>
      <c r="EB31" s="520"/>
      <c r="EC31" s="520"/>
      <c r="ED31" s="520"/>
      <c r="EE31" s="520"/>
      <c r="EF31" s="520"/>
      <c r="EG31" s="520"/>
      <c r="EH31" s="520"/>
      <c r="EI31" s="520"/>
      <c r="EJ31" s="520"/>
      <c r="EK31" s="520"/>
      <c r="EL31" s="520"/>
      <c r="EM31" s="520"/>
      <c r="EN31" s="520"/>
      <c r="EO31" s="520"/>
      <c r="EP31" s="520"/>
      <c r="EQ31" s="520"/>
      <c r="ER31" s="520"/>
      <c r="ES31" s="520"/>
      <c r="ET31" s="520"/>
      <c r="EU31" s="520"/>
      <c r="EV31" s="520"/>
      <c r="EW31" s="520"/>
    </row>
    <row r="32" spans="1:153" s="521" customFormat="1">
      <c r="A32" s="686"/>
      <c r="B32" s="519"/>
      <c r="C32" s="520"/>
      <c r="D32" s="520"/>
      <c r="E32" s="520"/>
      <c r="F32" s="520"/>
      <c r="G32" s="520"/>
      <c r="H32" s="520"/>
      <c r="I32" s="520"/>
      <c r="J32" s="520"/>
      <c r="K32" s="520"/>
      <c r="L32" s="526"/>
      <c r="M32" s="526"/>
      <c r="N32" s="526"/>
      <c r="O32" s="526"/>
      <c r="P32" s="526"/>
      <c r="Q32" s="526"/>
      <c r="R32" s="526"/>
      <c r="S32" s="526"/>
      <c r="T32" s="526"/>
      <c r="U32" s="526"/>
      <c r="V32" s="526"/>
      <c r="W32" s="526"/>
      <c r="X32" s="526"/>
      <c r="Y32" s="526"/>
      <c r="Z32" s="526"/>
      <c r="AA32" s="526"/>
      <c r="AB32" s="520"/>
      <c r="AC32" s="520"/>
      <c r="AD32" s="520"/>
      <c r="AE32" s="520"/>
      <c r="AF32" s="520"/>
      <c r="AG32" s="520"/>
      <c r="AH32" s="520"/>
      <c r="AI32" s="520"/>
      <c r="AJ32" s="520"/>
      <c r="AK32" s="520"/>
      <c r="AL32" s="520"/>
      <c r="AM32" s="520"/>
      <c r="AN32" s="520"/>
      <c r="AO32" s="520"/>
      <c r="AP32" s="520"/>
      <c r="AQ32" s="520"/>
      <c r="AR32" s="520"/>
      <c r="AS32" s="520"/>
      <c r="AT32" s="520"/>
      <c r="AU32" s="520"/>
      <c r="AV32" s="520"/>
      <c r="AW32" s="520"/>
      <c r="AX32" s="520"/>
      <c r="AY32" s="520"/>
      <c r="AZ32" s="520"/>
      <c r="BA32" s="520"/>
      <c r="BB32" s="520"/>
      <c r="BC32" s="520"/>
      <c r="BD32" s="520"/>
      <c r="BE32" s="520"/>
      <c r="BF32" s="520"/>
      <c r="BG32" s="520"/>
      <c r="BH32" s="520"/>
      <c r="BI32" s="520"/>
      <c r="BJ32" s="520"/>
      <c r="BK32" s="520"/>
      <c r="BL32" s="520"/>
      <c r="BM32" s="520"/>
      <c r="BN32" s="520"/>
      <c r="BO32" s="520"/>
      <c r="BP32" s="520"/>
      <c r="BQ32" s="520"/>
      <c r="BR32" s="520"/>
      <c r="BS32" s="520"/>
      <c r="BT32" s="520"/>
      <c r="BU32" s="520"/>
      <c r="BV32" s="520"/>
      <c r="BW32" s="520"/>
      <c r="BX32" s="520"/>
      <c r="BY32" s="520"/>
      <c r="BZ32" s="520"/>
      <c r="CA32" s="520"/>
      <c r="CB32" s="520"/>
      <c r="CC32" s="520"/>
      <c r="CD32" s="520"/>
      <c r="CE32" s="520"/>
      <c r="CF32" s="520"/>
      <c r="CG32" s="520"/>
      <c r="CH32" s="520"/>
      <c r="CI32" s="520"/>
      <c r="CJ32" s="520"/>
      <c r="CK32" s="520"/>
      <c r="CL32" s="520"/>
      <c r="CM32" s="520"/>
      <c r="CN32" s="520"/>
      <c r="CO32" s="520"/>
      <c r="CP32" s="520"/>
      <c r="CQ32" s="520"/>
      <c r="CR32" s="520"/>
      <c r="CS32" s="520"/>
      <c r="CT32" s="520"/>
      <c r="CU32" s="520"/>
      <c r="CV32" s="520"/>
      <c r="CW32" s="520"/>
      <c r="CX32" s="520"/>
      <c r="CY32" s="520"/>
      <c r="CZ32" s="520"/>
      <c r="DA32" s="520"/>
      <c r="DB32" s="520"/>
      <c r="DC32" s="520"/>
      <c r="DD32" s="520"/>
      <c r="DE32" s="520"/>
      <c r="DF32" s="520"/>
      <c r="DG32" s="520"/>
      <c r="DH32" s="520"/>
      <c r="DI32" s="520"/>
      <c r="DJ32" s="520"/>
      <c r="DK32" s="520"/>
      <c r="DL32" s="520"/>
      <c r="DM32" s="520"/>
      <c r="DN32" s="520"/>
      <c r="DO32" s="520"/>
      <c r="DP32" s="520"/>
      <c r="DQ32" s="520"/>
      <c r="DR32" s="520"/>
      <c r="DS32" s="520"/>
      <c r="DT32" s="520"/>
      <c r="DU32" s="520"/>
      <c r="DV32" s="520"/>
      <c r="DW32" s="520"/>
      <c r="DX32" s="520"/>
      <c r="DY32" s="520"/>
      <c r="DZ32" s="520"/>
      <c r="EA32" s="520"/>
      <c r="EB32" s="520"/>
      <c r="EC32" s="520"/>
      <c r="ED32" s="520"/>
      <c r="EE32" s="520"/>
      <c r="EF32" s="520"/>
      <c r="EG32" s="520"/>
      <c r="EH32" s="520"/>
      <c r="EI32" s="520"/>
      <c r="EJ32" s="520"/>
      <c r="EK32" s="520"/>
      <c r="EL32" s="520"/>
      <c r="EM32" s="520"/>
      <c r="EN32" s="520"/>
      <c r="EO32" s="520"/>
      <c r="EP32" s="520"/>
      <c r="EQ32" s="520"/>
      <c r="ER32" s="520"/>
      <c r="ES32" s="520"/>
      <c r="ET32" s="520"/>
      <c r="EU32" s="520"/>
      <c r="EV32" s="520"/>
      <c r="EW32" s="520"/>
    </row>
    <row r="33" spans="1:153" s="521" customFormat="1" ht="15">
      <c r="A33" s="691" t="s">
        <v>3523</v>
      </c>
      <c r="B33" s="519"/>
      <c r="C33" s="520"/>
      <c r="D33" s="520"/>
      <c r="E33" s="520"/>
      <c r="F33" s="520"/>
      <c r="G33" s="520"/>
      <c r="H33" s="520"/>
      <c r="I33" s="520"/>
      <c r="J33" s="520"/>
      <c r="K33" s="520"/>
      <c r="L33" s="526">
        <v>16700</v>
      </c>
      <c r="M33" s="526">
        <v>45300</v>
      </c>
      <c r="N33" s="526">
        <v>106100</v>
      </c>
      <c r="O33" s="526">
        <v>69600</v>
      </c>
      <c r="P33" s="526">
        <v>67126</v>
      </c>
      <c r="Q33" s="526">
        <v>138231</v>
      </c>
      <c r="R33" s="526">
        <v>130341</v>
      </c>
      <c r="S33" s="526">
        <v>127481</v>
      </c>
      <c r="T33" s="526">
        <v>124043</v>
      </c>
      <c r="U33" s="526">
        <v>123524</v>
      </c>
      <c r="V33" s="526">
        <f>U33*0.95</f>
        <v>117347.79999999999</v>
      </c>
      <c r="W33" s="526">
        <f t="shared" ref="W33:Z33" si="17">V33*0.95</f>
        <v>111480.40999999999</v>
      </c>
      <c r="X33" s="526">
        <f t="shared" si="17"/>
        <v>105906.38949999999</v>
      </c>
      <c r="Y33" s="526">
        <f t="shared" si="17"/>
        <v>100611.07002499998</v>
      </c>
      <c r="Z33" s="526">
        <f t="shared" si="17"/>
        <v>95580.516523749975</v>
      </c>
      <c r="AA33" s="526"/>
      <c r="AB33" s="520"/>
      <c r="AC33" s="520"/>
      <c r="AD33" s="520"/>
      <c r="AE33" s="520"/>
      <c r="AF33" s="520"/>
      <c r="AG33" s="520"/>
      <c r="AH33" s="520"/>
      <c r="AI33" s="520"/>
      <c r="AJ33" s="520"/>
      <c r="AK33" s="520"/>
      <c r="AL33" s="520"/>
      <c r="AM33" s="520"/>
      <c r="AN33" s="520"/>
      <c r="AO33" s="520"/>
      <c r="AP33" s="520"/>
      <c r="AQ33" s="520"/>
      <c r="AR33" s="520"/>
      <c r="AS33" s="520"/>
      <c r="AT33" s="520"/>
      <c r="AU33" s="520"/>
      <c r="AV33" s="520"/>
      <c r="AW33" s="520"/>
      <c r="AX33" s="520"/>
      <c r="AY33" s="520"/>
      <c r="AZ33" s="520"/>
      <c r="BA33" s="520"/>
      <c r="BB33" s="520"/>
      <c r="BC33" s="520"/>
      <c r="BD33" s="520"/>
      <c r="BE33" s="520"/>
      <c r="BF33" s="520"/>
      <c r="BG33" s="520"/>
      <c r="BH33" s="520"/>
      <c r="BI33" s="520"/>
      <c r="BJ33" s="520"/>
      <c r="BK33" s="520"/>
      <c r="BL33" s="520"/>
      <c r="BM33" s="520"/>
      <c r="BN33" s="520"/>
      <c r="BO33" s="520"/>
      <c r="BP33" s="520"/>
      <c r="BQ33" s="520"/>
      <c r="BR33" s="520"/>
      <c r="BS33" s="520"/>
      <c r="BT33" s="520"/>
      <c r="BU33" s="520"/>
      <c r="BV33" s="520"/>
      <c r="BW33" s="520"/>
      <c r="BX33" s="520"/>
      <c r="BY33" s="520"/>
      <c r="BZ33" s="520"/>
      <c r="CA33" s="520"/>
      <c r="CB33" s="520"/>
      <c r="CC33" s="520"/>
      <c r="CD33" s="520"/>
      <c r="CE33" s="520"/>
      <c r="CF33" s="520"/>
      <c r="CG33" s="520"/>
      <c r="CH33" s="520"/>
      <c r="CI33" s="520"/>
      <c r="CJ33" s="520"/>
      <c r="CK33" s="520"/>
      <c r="CL33" s="520"/>
      <c r="CM33" s="520"/>
      <c r="CN33" s="520"/>
      <c r="CO33" s="520"/>
      <c r="CP33" s="520"/>
      <c r="CQ33" s="520"/>
      <c r="CR33" s="520"/>
      <c r="CS33" s="520"/>
      <c r="CT33" s="520"/>
      <c r="CU33" s="520"/>
      <c r="CV33" s="520"/>
      <c r="CW33" s="520"/>
      <c r="CX33" s="520"/>
      <c r="CY33" s="520"/>
      <c r="CZ33" s="520"/>
      <c r="DA33" s="520"/>
      <c r="DB33" s="520"/>
      <c r="DC33" s="520"/>
      <c r="DD33" s="520"/>
      <c r="DE33" s="520"/>
      <c r="DF33" s="520"/>
      <c r="DG33" s="520"/>
      <c r="DH33" s="520"/>
      <c r="DI33" s="520"/>
      <c r="DJ33" s="520"/>
      <c r="DK33" s="520"/>
      <c r="DL33" s="520"/>
      <c r="DM33" s="520"/>
      <c r="DN33" s="520"/>
      <c r="DO33" s="520"/>
      <c r="DP33" s="520"/>
      <c r="DQ33" s="520"/>
      <c r="DR33" s="520"/>
      <c r="DS33" s="520"/>
      <c r="DT33" s="520"/>
      <c r="DU33" s="520"/>
      <c r="DV33" s="520"/>
      <c r="DW33" s="520"/>
      <c r="DX33" s="520"/>
      <c r="DY33" s="520"/>
      <c r="DZ33" s="520"/>
      <c r="EA33" s="520"/>
      <c r="EB33" s="520"/>
      <c r="EC33" s="520"/>
      <c r="ED33" s="520"/>
      <c r="EE33" s="520"/>
      <c r="EF33" s="520"/>
      <c r="EG33" s="520"/>
      <c r="EH33" s="520"/>
      <c r="EI33" s="520"/>
      <c r="EJ33" s="520"/>
      <c r="EK33" s="520"/>
      <c r="EL33" s="520"/>
      <c r="EM33" s="520"/>
      <c r="EN33" s="520"/>
      <c r="EO33" s="520"/>
      <c r="EP33" s="520"/>
      <c r="EQ33" s="520"/>
      <c r="ER33" s="520"/>
      <c r="ES33" s="520"/>
      <c r="ET33" s="520"/>
      <c r="EU33" s="520"/>
      <c r="EV33" s="520"/>
      <c r="EW33" s="520"/>
    </row>
    <row r="34" spans="1:153" s="521" customFormat="1">
      <c r="A34" s="686" t="s">
        <v>3522</v>
      </c>
      <c r="B34" s="519"/>
      <c r="C34" s="520"/>
      <c r="D34" s="520"/>
      <c r="E34" s="520"/>
      <c r="F34" s="520"/>
      <c r="G34" s="520"/>
      <c r="H34" s="520"/>
      <c r="I34" s="520"/>
      <c r="J34" s="520"/>
      <c r="K34" s="520"/>
      <c r="L34" s="526"/>
      <c r="M34" s="526"/>
      <c r="N34" s="539">
        <f>N33/N12</f>
        <v>3.413350285341285E-2</v>
      </c>
      <c r="O34" s="539">
        <f>O33/O12</f>
        <v>1.0603245446241241E-2</v>
      </c>
      <c r="P34" s="539">
        <f>P33/P12</f>
        <v>9.3473001152294313E-3</v>
      </c>
      <c r="Q34" s="540">
        <v>4.0000000000000001E-3</v>
      </c>
      <c r="R34" s="540">
        <v>4.0000000000000001E-3</v>
      </c>
      <c r="S34" s="540">
        <v>4.0000000000000001E-3</v>
      </c>
      <c r="T34" s="540">
        <v>4.0000000000000001E-3</v>
      </c>
      <c r="U34" s="540">
        <v>4.0000000000000001E-3</v>
      </c>
      <c r="V34" s="540">
        <v>4.0000000000000001E-3</v>
      </c>
      <c r="W34" s="540">
        <v>4.0000000000000001E-3</v>
      </c>
      <c r="X34" s="540">
        <v>4.0000000000000001E-3</v>
      </c>
      <c r="Y34" s="540">
        <v>4.0000000000000001E-3</v>
      </c>
      <c r="Z34" s="540">
        <v>4.0000000000000001E-3</v>
      </c>
      <c r="AA34" s="526"/>
      <c r="AB34" s="520"/>
      <c r="AC34" s="520"/>
      <c r="AD34" s="520"/>
      <c r="AE34" s="520"/>
      <c r="AF34" s="520"/>
      <c r="AG34" s="520"/>
      <c r="AH34" s="520"/>
      <c r="AI34" s="520"/>
      <c r="AJ34" s="520"/>
      <c r="AK34" s="520"/>
      <c r="AL34" s="520"/>
      <c r="AM34" s="520"/>
      <c r="AN34" s="520"/>
      <c r="AO34" s="520"/>
      <c r="AP34" s="520"/>
      <c r="AQ34" s="520"/>
      <c r="AR34" s="520"/>
      <c r="AS34" s="520"/>
      <c r="AT34" s="520"/>
      <c r="AU34" s="520"/>
      <c r="AV34" s="520"/>
      <c r="AW34" s="520"/>
      <c r="AX34" s="520"/>
      <c r="AY34" s="520"/>
      <c r="AZ34" s="520"/>
      <c r="BA34" s="520"/>
      <c r="BB34" s="520"/>
      <c r="BC34" s="520"/>
      <c r="BD34" s="520"/>
      <c r="BE34" s="520"/>
      <c r="BF34" s="520"/>
      <c r="BG34" s="520"/>
      <c r="BH34" s="520"/>
      <c r="BI34" s="520"/>
      <c r="BJ34" s="520"/>
      <c r="BK34" s="520"/>
      <c r="BL34" s="520"/>
      <c r="BM34" s="520"/>
      <c r="BN34" s="520"/>
      <c r="BO34" s="520"/>
      <c r="BP34" s="520"/>
      <c r="BQ34" s="520"/>
      <c r="BR34" s="520"/>
      <c r="BS34" s="520"/>
      <c r="BT34" s="520"/>
      <c r="BU34" s="520"/>
      <c r="BV34" s="520"/>
      <c r="BW34" s="520"/>
      <c r="BX34" s="520"/>
      <c r="BY34" s="520"/>
      <c r="BZ34" s="520"/>
      <c r="CA34" s="520"/>
      <c r="CB34" s="520"/>
      <c r="CC34" s="520"/>
      <c r="CD34" s="520"/>
      <c r="CE34" s="520"/>
      <c r="CF34" s="520"/>
      <c r="CG34" s="520"/>
      <c r="CH34" s="520"/>
      <c r="CI34" s="520"/>
      <c r="CJ34" s="520"/>
      <c r="CK34" s="520"/>
      <c r="CL34" s="520"/>
      <c r="CM34" s="520"/>
      <c r="CN34" s="520"/>
      <c r="CO34" s="520"/>
      <c r="CP34" s="520"/>
      <c r="CQ34" s="520"/>
      <c r="CR34" s="520"/>
      <c r="CS34" s="520"/>
      <c r="CT34" s="520"/>
      <c r="CU34" s="520"/>
      <c r="CV34" s="520"/>
      <c r="CW34" s="520"/>
      <c r="CX34" s="520"/>
      <c r="CY34" s="520"/>
      <c r="CZ34" s="520"/>
      <c r="DA34" s="520"/>
      <c r="DB34" s="520"/>
      <c r="DC34" s="520"/>
      <c r="DD34" s="520"/>
      <c r="DE34" s="520"/>
      <c r="DF34" s="520"/>
      <c r="DG34" s="520"/>
      <c r="DH34" s="520"/>
      <c r="DI34" s="520"/>
      <c r="DJ34" s="520"/>
      <c r="DK34" s="520"/>
      <c r="DL34" s="520"/>
      <c r="DM34" s="520"/>
      <c r="DN34" s="520"/>
      <c r="DO34" s="520"/>
      <c r="DP34" s="520"/>
      <c r="DQ34" s="520"/>
      <c r="DR34" s="520"/>
      <c r="DS34" s="520"/>
      <c r="DT34" s="520"/>
      <c r="DU34" s="520"/>
      <c r="DV34" s="520"/>
      <c r="DW34" s="520"/>
      <c r="DX34" s="520"/>
      <c r="DY34" s="520"/>
      <c r="DZ34" s="520"/>
      <c r="EA34" s="520"/>
      <c r="EB34" s="520"/>
      <c r="EC34" s="520"/>
      <c r="ED34" s="520"/>
      <c r="EE34" s="520"/>
      <c r="EF34" s="520"/>
      <c r="EG34" s="520"/>
      <c r="EH34" s="520"/>
      <c r="EI34" s="520"/>
      <c r="EJ34" s="520"/>
      <c r="EK34" s="520"/>
      <c r="EL34" s="520"/>
      <c r="EM34" s="520"/>
      <c r="EN34" s="520"/>
      <c r="EO34" s="520"/>
      <c r="EP34" s="520"/>
      <c r="EQ34" s="520"/>
      <c r="ER34" s="520"/>
      <c r="ES34" s="520"/>
      <c r="ET34" s="520"/>
      <c r="EU34" s="520"/>
      <c r="EV34" s="520"/>
      <c r="EW34" s="520"/>
    </row>
    <row r="35" spans="1:153" s="521" customFormat="1">
      <c r="A35" s="686" t="s">
        <v>3515</v>
      </c>
      <c r="B35" s="519"/>
      <c r="C35" s="520"/>
      <c r="D35" s="520"/>
      <c r="E35" s="520"/>
      <c r="F35" s="520"/>
      <c r="G35" s="520"/>
      <c r="H35" s="520"/>
      <c r="I35" s="520"/>
      <c r="J35" s="520"/>
      <c r="K35" s="520"/>
      <c r="L35" s="526"/>
      <c r="M35" s="526"/>
      <c r="N35" s="541"/>
      <c r="O35" s="526"/>
      <c r="P35" s="526"/>
      <c r="Q35" s="526"/>
      <c r="R35" s="526"/>
      <c r="S35" s="526"/>
      <c r="T35" s="526"/>
      <c r="U35" s="526"/>
      <c r="V35" s="526"/>
      <c r="W35" s="526"/>
      <c r="X35" s="526"/>
      <c r="Y35" s="526"/>
      <c r="Z35" s="526"/>
      <c r="AA35" s="526"/>
      <c r="AB35" s="520"/>
      <c r="AC35" s="520"/>
      <c r="AD35" s="520"/>
      <c r="AE35" s="520"/>
      <c r="AF35" s="520"/>
      <c r="AG35" s="520"/>
      <c r="AH35" s="520"/>
      <c r="AI35" s="520"/>
      <c r="AJ35" s="520"/>
      <c r="AK35" s="520"/>
      <c r="AL35" s="520"/>
      <c r="AM35" s="520"/>
      <c r="AN35" s="520"/>
      <c r="AO35" s="520"/>
      <c r="AP35" s="520"/>
      <c r="AQ35" s="520"/>
      <c r="AR35" s="520"/>
      <c r="AS35" s="520"/>
      <c r="AT35" s="520"/>
      <c r="AU35" s="520"/>
      <c r="AV35" s="520"/>
      <c r="AW35" s="520"/>
      <c r="AX35" s="520"/>
      <c r="AY35" s="520"/>
      <c r="AZ35" s="520"/>
      <c r="BA35" s="520"/>
      <c r="BB35" s="520"/>
      <c r="BC35" s="520"/>
      <c r="BD35" s="520"/>
      <c r="BE35" s="520"/>
      <c r="BF35" s="520"/>
      <c r="BG35" s="520"/>
      <c r="BH35" s="520"/>
      <c r="BI35" s="520"/>
      <c r="BJ35" s="520"/>
      <c r="BK35" s="520"/>
      <c r="BL35" s="520"/>
      <c r="BM35" s="520"/>
      <c r="BN35" s="520"/>
      <c r="BO35" s="520"/>
      <c r="BP35" s="520"/>
      <c r="BQ35" s="520"/>
      <c r="BR35" s="520"/>
      <c r="BS35" s="520"/>
      <c r="BT35" s="520"/>
      <c r="BU35" s="520"/>
      <c r="BV35" s="520"/>
      <c r="BW35" s="520"/>
      <c r="BX35" s="520"/>
      <c r="BY35" s="520"/>
      <c r="BZ35" s="520"/>
      <c r="CA35" s="520"/>
      <c r="CB35" s="520"/>
      <c r="CC35" s="520"/>
      <c r="CD35" s="520"/>
      <c r="CE35" s="520"/>
      <c r="CF35" s="520"/>
      <c r="CG35" s="520"/>
      <c r="CH35" s="520"/>
      <c r="CI35" s="520"/>
      <c r="CJ35" s="520"/>
      <c r="CK35" s="520"/>
      <c r="CL35" s="520"/>
      <c r="CM35" s="520"/>
      <c r="CN35" s="520"/>
      <c r="CO35" s="520"/>
      <c r="CP35" s="520"/>
      <c r="CQ35" s="520"/>
      <c r="CR35" s="520"/>
      <c r="CS35" s="520"/>
      <c r="CT35" s="520"/>
      <c r="CU35" s="520"/>
      <c r="CV35" s="520"/>
      <c r="CW35" s="520"/>
      <c r="CX35" s="520"/>
      <c r="CY35" s="520"/>
      <c r="CZ35" s="520"/>
      <c r="DA35" s="520"/>
      <c r="DB35" s="520"/>
      <c r="DC35" s="520"/>
      <c r="DD35" s="520"/>
      <c r="DE35" s="520"/>
      <c r="DF35" s="520"/>
      <c r="DG35" s="520"/>
      <c r="DH35" s="520"/>
      <c r="DI35" s="520"/>
      <c r="DJ35" s="520"/>
      <c r="DK35" s="520"/>
      <c r="DL35" s="520"/>
      <c r="DM35" s="520"/>
      <c r="DN35" s="520"/>
      <c r="DO35" s="520"/>
      <c r="DP35" s="520"/>
      <c r="DQ35" s="520"/>
      <c r="DR35" s="520"/>
      <c r="DS35" s="520"/>
      <c r="DT35" s="520"/>
      <c r="DU35" s="520"/>
      <c r="DV35" s="520"/>
      <c r="DW35" s="520"/>
      <c r="DX35" s="520"/>
      <c r="DY35" s="520"/>
      <c r="DZ35" s="520"/>
      <c r="EA35" s="520"/>
      <c r="EB35" s="520"/>
      <c r="EC35" s="520"/>
      <c r="ED35" s="520"/>
      <c r="EE35" s="520"/>
      <c r="EF35" s="520"/>
      <c r="EG35" s="520"/>
      <c r="EH35" s="520"/>
      <c r="EI35" s="520"/>
      <c r="EJ35" s="520"/>
      <c r="EK35" s="520"/>
      <c r="EL35" s="520"/>
      <c r="EM35" s="520"/>
      <c r="EN35" s="520"/>
      <c r="EO35" s="520"/>
      <c r="EP35" s="520"/>
      <c r="EQ35" s="520"/>
      <c r="ER35" s="520"/>
      <c r="ES35" s="520"/>
      <c r="ET35" s="520"/>
      <c r="EU35" s="520"/>
      <c r="EV35" s="520"/>
      <c r="EW35" s="520"/>
    </row>
    <row r="36" spans="1:153" s="521" customFormat="1">
      <c r="A36" s="686"/>
      <c r="B36" s="519"/>
      <c r="C36" s="520"/>
      <c r="D36" s="520"/>
      <c r="E36" s="520"/>
      <c r="F36" s="520"/>
      <c r="G36" s="520"/>
      <c r="H36" s="520"/>
      <c r="I36" s="520"/>
      <c r="J36" s="520"/>
      <c r="K36" s="520"/>
      <c r="L36" s="526"/>
      <c r="M36" s="526"/>
      <c r="N36" s="526"/>
      <c r="O36" s="526"/>
      <c r="P36" s="526"/>
      <c r="Q36" s="526"/>
      <c r="R36" s="526"/>
      <c r="S36" s="526"/>
      <c r="T36" s="526"/>
      <c r="U36" s="526"/>
      <c r="V36" s="526"/>
      <c r="W36" s="526"/>
      <c r="X36" s="526"/>
      <c r="Y36" s="526"/>
      <c r="Z36" s="526"/>
      <c r="AA36" s="526"/>
      <c r="AB36" s="520"/>
      <c r="AC36" s="520"/>
      <c r="AD36" s="520"/>
      <c r="AE36" s="520"/>
      <c r="AF36" s="520"/>
      <c r="AG36" s="520"/>
      <c r="AH36" s="520"/>
      <c r="AI36" s="520"/>
      <c r="AJ36" s="520"/>
      <c r="AK36" s="520"/>
      <c r="AL36" s="520"/>
      <c r="AM36" s="520"/>
      <c r="AN36" s="520"/>
      <c r="AO36" s="520"/>
      <c r="AP36" s="520"/>
      <c r="AQ36" s="520"/>
      <c r="AR36" s="520"/>
      <c r="AS36" s="520"/>
      <c r="AT36" s="520"/>
      <c r="AU36" s="520"/>
      <c r="AV36" s="520"/>
      <c r="AW36" s="520"/>
      <c r="AX36" s="520"/>
      <c r="AY36" s="520"/>
      <c r="AZ36" s="520"/>
      <c r="BA36" s="520"/>
      <c r="BB36" s="520"/>
      <c r="BC36" s="520"/>
      <c r="BD36" s="520"/>
      <c r="BE36" s="520"/>
      <c r="BF36" s="520"/>
      <c r="BG36" s="520"/>
      <c r="BH36" s="520"/>
      <c r="BI36" s="520"/>
      <c r="BJ36" s="520"/>
      <c r="BK36" s="520"/>
      <c r="BL36" s="520"/>
      <c r="BM36" s="520"/>
      <c r="BN36" s="520"/>
      <c r="BO36" s="520"/>
      <c r="BP36" s="520"/>
      <c r="BQ36" s="520"/>
      <c r="BR36" s="520"/>
      <c r="BS36" s="520"/>
      <c r="BT36" s="520"/>
      <c r="BU36" s="520"/>
      <c r="BV36" s="520"/>
      <c r="BW36" s="520"/>
      <c r="BX36" s="520"/>
      <c r="BY36" s="520"/>
      <c r="BZ36" s="520"/>
      <c r="CA36" s="520"/>
      <c r="CB36" s="520"/>
      <c r="CC36" s="520"/>
      <c r="CD36" s="520"/>
      <c r="CE36" s="520"/>
      <c r="CF36" s="520"/>
      <c r="CG36" s="520"/>
      <c r="CH36" s="520"/>
      <c r="CI36" s="520"/>
      <c r="CJ36" s="520"/>
      <c r="CK36" s="520"/>
      <c r="CL36" s="520"/>
      <c r="CM36" s="520"/>
      <c r="CN36" s="520"/>
      <c r="CO36" s="520"/>
      <c r="CP36" s="520"/>
      <c r="CQ36" s="520"/>
      <c r="CR36" s="520"/>
      <c r="CS36" s="520"/>
      <c r="CT36" s="520"/>
      <c r="CU36" s="520"/>
      <c r="CV36" s="520"/>
      <c r="CW36" s="520"/>
      <c r="CX36" s="520"/>
      <c r="CY36" s="520"/>
      <c r="CZ36" s="520"/>
      <c r="DA36" s="520"/>
      <c r="DB36" s="520"/>
      <c r="DC36" s="520"/>
      <c r="DD36" s="520"/>
      <c r="DE36" s="520"/>
      <c r="DF36" s="520"/>
      <c r="DG36" s="520"/>
      <c r="DH36" s="520"/>
      <c r="DI36" s="520"/>
      <c r="DJ36" s="520"/>
      <c r="DK36" s="520"/>
      <c r="DL36" s="520"/>
      <c r="DM36" s="520"/>
      <c r="DN36" s="520"/>
      <c r="DO36" s="520"/>
      <c r="DP36" s="520"/>
      <c r="DQ36" s="520"/>
      <c r="DR36" s="520"/>
      <c r="DS36" s="520"/>
      <c r="DT36" s="520"/>
      <c r="DU36" s="520"/>
      <c r="DV36" s="520"/>
      <c r="DW36" s="520"/>
      <c r="DX36" s="520"/>
      <c r="DY36" s="520"/>
      <c r="DZ36" s="520"/>
      <c r="EA36" s="520"/>
      <c r="EB36" s="520"/>
      <c r="EC36" s="520"/>
      <c r="ED36" s="520"/>
      <c r="EE36" s="520"/>
      <c r="EF36" s="520"/>
      <c r="EG36" s="520"/>
      <c r="EH36" s="520"/>
      <c r="EI36" s="520"/>
      <c r="EJ36" s="520"/>
      <c r="EK36" s="520"/>
      <c r="EL36" s="520"/>
      <c r="EM36" s="520"/>
      <c r="EN36" s="520"/>
      <c r="EO36" s="520"/>
      <c r="EP36" s="520"/>
      <c r="EQ36" s="520"/>
      <c r="ER36" s="520"/>
      <c r="ES36" s="520"/>
      <c r="ET36" s="520"/>
      <c r="EU36" s="520"/>
      <c r="EV36" s="520"/>
      <c r="EW36" s="520"/>
    </row>
    <row r="37" spans="1:153" s="521" customFormat="1" ht="15">
      <c r="A37" s="691" t="s">
        <v>3360</v>
      </c>
      <c r="B37" s="519"/>
      <c r="C37" s="520"/>
      <c r="D37" s="520"/>
      <c r="E37" s="520"/>
      <c r="F37" s="520"/>
      <c r="G37" s="520"/>
      <c r="H37" s="520"/>
      <c r="I37" s="520"/>
      <c r="J37" s="520"/>
      <c r="K37" s="520"/>
      <c r="L37" s="526">
        <f>Valuation!N29</f>
        <v>29160</v>
      </c>
      <c r="M37" s="526">
        <f>Valuation!O29</f>
        <v>88901</v>
      </c>
      <c r="N37" s="526">
        <f>Valuation!P29</f>
        <v>82766</v>
      </c>
      <c r="O37" s="526">
        <f>Valuation!Q29</f>
        <v>80645</v>
      </c>
      <c r="P37" s="526">
        <f>Valuation!R29</f>
        <v>85413</v>
      </c>
      <c r="Q37" s="526">
        <f>Q38*Valuation!S89</f>
        <v>117178.47720000001</v>
      </c>
      <c r="R37" s="526">
        <f>R38*Valuation!T89</f>
        <v>111553.91029440002</v>
      </c>
      <c r="S37" s="526">
        <f>S38*Valuation!U89</f>
        <v>113784.98850028802</v>
      </c>
      <c r="T37" s="526">
        <f>T38*Valuation!V89</f>
        <v>116060.68827029379</v>
      </c>
      <c r="U37" s="526">
        <f>U38*Valuation!W89</f>
        <v>118381.90203569965</v>
      </c>
      <c r="V37" s="526">
        <f>V38*Valuation!X89</f>
        <v>120749.54007641364</v>
      </c>
      <c r="W37" s="526">
        <f>W38*Valuation!Y89</f>
        <v>123164.53087794191</v>
      </c>
      <c r="X37" s="526">
        <f>X38*Valuation!Z89</f>
        <v>125627.82149550077</v>
      </c>
      <c r="Y37" s="526">
        <f>Y38*Valuation!AA89</f>
        <v>128140.37792541078</v>
      </c>
      <c r="Z37" s="526">
        <f>Z38*Valuation!AB89</f>
        <v>130703.18548391899</v>
      </c>
      <c r="AA37" s="526"/>
      <c r="AB37" s="520"/>
      <c r="AC37" s="520"/>
      <c r="AD37" s="520"/>
      <c r="AE37" s="520"/>
      <c r="AF37" s="520"/>
      <c r="AG37" s="520"/>
      <c r="AH37" s="520"/>
      <c r="AI37" s="520"/>
      <c r="AJ37" s="520"/>
      <c r="AK37" s="520"/>
      <c r="AL37" s="520"/>
      <c r="AM37" s="520"/>
      <c r="AN37" s="520"/>
      <c r="AO37" s="520"/>
      <c r="AP37" s="520"/>
      <c r="AQ37" s="520"/>
      <c r="AR37" s="520"/>
      <c r="AS37" s="520"/>
      <c r="AT37" s="520"/>
      <c r="AU37" s="520"/>
      <c r="AV37" s="520"/>
      <c r="AW37" s="520"/>
      <c r="AX37" s="520"/>
      <c r="AY37" s="520"/>
      <c r="AZ37" s="520"/>
      <c r="BA37" s="520"/>
      <c r="BB37" s="520"/>
      <c r="BC37" s="520"/>
      <c r="BD37" s="520"/>
      <c r="BE37" s="520"/>
      <c r="BF37" s="520"/>
      <c r="BG37" s="520"/>
      <c r="BH37" s="520"/>
      <c r="BI37" s="520"/>
      <c r="BJ37" s="520"/>
      <c r="BK37" s="520"/>
      <c r="BL37" s="520"/>
      <c r="BM37" s="520"/>
      <c r="BN37" s="520"/>
      <c r="BO37" s="520"/>
      <c r="BP37" s="520"/>
      <c r="BQ37" s="520"/>
      <c r="BR37" s="520"/>
      <c r="BS37" s="520"/>
      <c r="BT37" s="520"/>
      <c r="BU37" s="520"/>
      <c r="BV37" s="520"/>
      <c r="BW37" s="520"/>
      <c r="BX37" s="520"/>
      <c r="BY37" s="520"/>
      <c r="BZ37" s="520"/>
      <c r="CA37" s="520"/>
      <c r="CB37" s="520"/>
      <c r="CC37" s="520"/>
      <c r="CD37" s="520"/>
      <c r="CE37" s="520"/>
      <c r="CF37" s="520"/>
      <c r="CG37" s="520"/>
      <c r="CH37" s="520"/>
      <c r="CI37" s="520"/>
      <c r="CJ37" s="520"/>
      <c r="CK37" s="520"/>
      <c r="CL37" s="520"/>
      <c r="CM37" s="520"/>
      <c r="CN37" s="520"/>
      <c r="CO37" s="520"/>
      <c r="CP37" s="520"/>
      <c r="CQ37" s="520"/>
      <c r="CR37" s="520"/>
      <c r="CS37" s="520"/>
      <c r="CT37" s="520"/>
      <c r="CU37" s="520"/>
      <c r="CV37" s="520"/>
      <c r="CW37" s="520"/>
      <c r="CX37" s="520"/>
      <c r="CY37" s="520"/>
      <c r="CZ37" s="520"/>
      <c r="DA37" s="520"/>
      <c r="DB37" s="520"/>
      <c r="DC37" s="520"/>
      <c r="DD37" s="520"/>
      <c r="DE37" s="520"/>
      <c r="DF37" s="520"/>
      <c r="DG37" s="520"/>
      <c r="DH37" s="520"/>
      <c r="DI37" s="520"/>
      <c r="DJ37" s="520"/>
      <c r="DK37" s="520"/>
      <c r="DL37" s="520"/>
      <c r="DM37" s="520"/>
      <c r="DN37" s="520"/>
      <c r="DO37" s="520"/>
      <c r="DP37" s="520"/>
      <c r="DQ37" s="520"/>
      <c r="DR37" s="520"/>
      <c r="DS37" s="520"/>
      <c r="DT37" s="520"/>
      <c r="DU37" s="520"/>
      <c r="DV37" s="520"/>
      <c r="DW37" s="520"/>
      <c r="DX37" s="520"/>
      <c r="DY37" s="520"/>
      <c r="DZ37" s="520"/>
      <c r="EA37" s="520"/>
      <c r="EB37" s="520"/>
      <c r="EC37" s="520"/>
      <c r="ED37" s="520"/>
      <c r="EE37" s="520"/>
      <c r="EF37" s="520"/>
      <c r="EG37" s="520"/>
      <c r="EH37" s="520"/>
      <c r="EI37" s="520"/>
      <c r="EJ37" s="520"/>
      <c r="EK37" s="520"/>
      <c r="EL37" s="520"/>
      <c r="EM37" s="520"/>
      <c r="EN37" s="520"/>
      <c r="EO37" s="520"/>
      <c r="EP37" s="520"/>
      <c r="EQ37" s="520"/>
      <c r="ER37" s="520"/>
      <c r="ES37" s="520"/>
      <c r="ET37" s="520"/>
      <c r="EU37" s="520"/>
      <c r="EV37" s="520"/>
      <c r="EW37" s="520"/>
    </row>
    <row r="38" spans="1:153" s="521" customFormat="1" ht="15">
      <c r="A38" s="692" t="s">
        <v>3524</v>
      </c>
      <c r="B38" s="519"/>
      <c r="C38" s="520"/>
      <c r="D38" s="520"/>
      <c r="E38" s="520"/>
      <c r="F38" s="520"/>
      <c r="G38" s="520"/>
      <c r="H38" s="520"/>
      <c r="I38" s="520"/>
      <c r="J38" s="520"/>
      <c r="K38" s="520"/>
      <c r="L38" s="526"/>
      <c r="M38" s="539">
        <f>M37/Valuation!O89</f>
        <v>2.6197837715503523E-2</v>
      </c>
      <c r="N38" s="539">
        <f>N37/Valuation!P89</f>
        <v>2.7774226272392521E-2</v>
      </c>
      <c r="O38" s="539">
        <f>O37/Valuation!Q89</f>
        <v>1.7785973286083449E-2</v>
      </c>
      <c r="P38" s="539">
        <f>P37/Valuation!R89</f>
        <v>1.1152379952587402E-2</v>
      </c>
      <c r="Q38" s="540">
        <v>1.4999999999999999E-2</v>
      </c>
      <c r="R38" s="540">
        <v>1.4E-2</v>
      </c>
      <c r="S38" s="540">
        <v>1.4E-2</v>
      </c>
      <c r="T38" s="540">
        <v>1.4E-2</v>
      </c>
      <c r="U38" s="540">
        <v>1.4E-2</v>
      </c>
      <c r="V38" s="540">
        <v>1.4E-2</v>
      </c>
      <c r="W38" s="540">
        <v>1.4E-2</v>
      </c>
      <c r="X38" s="540">
        <v>1.4E-2</v>
      </c>
      <c r="Y38" s="540">
        <v>1.4E-2</v>
      </c>
      <c r="Z38" s="540">
        <v>1.4E-2</v>
      </c>
      <c r="AA38" s="526"/>
      <c r="AB38" s="520"/>
      <c r="AC38" s="520"/>
      <c r="AD38" s="520"/>
      <c r="AE38" s="520"/>
      <c r="AF38" s="520"/>
      <c r="AG38" s="520"/>
      <c r="AH38" s="520"/>
      <c r="AI38" s="520"/>
      <c r="AJ38" s="520"/>
      <c r="AK38" s="520"/>
      <c r="AL38" s="520"/>
      <c r="AM38" s="520"/>
      <c r="AN38" s="520"/>
      <c r="AO38" s="520"/>
      <c r="AP38" s="520"/>
      <c r="AQ38" s="520"/>
      <c r="AR38" s="520"/>
      <c r="AS38" s="520"/>
      <c r="AT38" s="520"/>
      <c r="AU38" s="520"/>
      <c r="AV38" s="520"/>
      <c r="AW38" s="520"/>
      <c r="AX38" s="520"/>
      <c r="AY38" s="520"/>
      <c r="AZ38" s="520"/>
      <c r="BA38" s="520"/>
      <c r="BB38" s="520"/>
      <c r="BC38" s="520"/>
      <c r="BD38" s="520"/>
      <c r="BE38" s="520"/>
      <c r="BF38" s="520"/>
      <c r="BG38" s="520"/>
      <c r="BH38" s="520"/>
      <c r="BI38" s="520"/>
      <c r="BJ38" s="520"/>
      <c r="BK38" s="520"/>
      <c r="BL38" s="520"/>
      <c r="BM38" s="520"/>
      <c r="BN38" s="520"/>
      <c r="BO38" s="520"/>
      <c r="BP38" s="520"/>
      <c r="BQ38" s="520"/>
      <c r="BR38" s="520"/>
      <c r="BS38" s="520"/>
      <c r="BT38" s="520"/>
      <c r="BU38" s="520"/>
      <c r="BV38" s="520"/>
      <c r="BW38" s="520"/>
      <c r="BX38" s="520"/>
      <c r="BY38" s="520"/>
      <c r="BZ38" s="520"/>
      <c r="CA38" s="520"/>
      <c r="CB38" s="520"/>
      <c r="CC38" s="520"/>
      <c r="CD38" s="520"/>
      <c r="CE38" s="520"/>
      <c r="CF38" s="520"/>
      <c r="CG38" s="520"/>
      <c r="CH38" s="520"/>
      <c r="CI38" s="520"/>
      <c r="CJ38" s="520"/>
      <c r="CK38" s="520"/>
      <c r="CL38" s="520"/>
      <c r="CM38" s="520"/>
      <c r="CN38" s="520"/>
      <c r="CO38" s="520"/>
      <c r="CP38" s="520"/>
      <c r="CQ38" s="520"/>
      <c r="CR38" s="520"/>
      <c r="CS38" s="520"/>
      <c r="CT38" s="520"/>
      <c r="CU38" s="520"/>
      <c r="CV38" s="520"/>
      <c r="CW38" s="520"/>
      <c r="CX38" s="520"/>
      <c r="CY38" s="520"/>
      <c r="CZ38" s="520"/>
      <c r="DA38" s="520"/>
      <c r="DB38" s="520"/>
      <c r="DC38" s="520"/>
      <c r="DD38" s="520"/>
      <c r="DE38" s="520"/>
      <c r="DF38" s="520"/>
      <c r="DG38" s="520"/>
      <c r="DH38" s="520"/>
      <c r="DI38" s="520"/>
      <c r="DJ38" s="520"/>
      <c r="DK38" s="520"/>
      <c r="DL38" s="520"/>
      <c r="DM38" s="520"/>
      <c r="DN38" s="520"/>
      <c r="DO38" s="520"/>
      <c r="DP38" s="520"/>
      <c r="DQ38" s="520"/>
      <c r="DR38" s="520"/>
      <c r="DS38" s="520"/>
      <c r="DT38" s="520"/>
      <c r="DU38" s="520"/>
      <c r="DV38" s="520"/>
      <c r="DW38" s="520"/>
      <c r="DX38" s="520"/>
      <c r="DY38" s="520"/>
      <c r="DZ38" s="520"/>
      <c r="EA38" s="520"/>
      <c r="EB38" s="520"/>
      <c r="EC38" s="520"/>
      <c r="ED38" s="520"/>
      <c r="EE38" s="520"/>
      <c r="EF38" s="520"/>
      <c r="EG38" s="520"/>
      <c r="EH38" s="520"/>
      <c r="EI38" s="520"/>
      <c r="EJ38" s="520"/>
      <c r="EK38" s="520"/>
      <c r="EL38" s="520"/>
      <c r="EM38" s="520"/>
      <c r="EN38" s="520"/>
      <c r="EO38" s="520"/>
      <c r="EP38" s="520"/>
      <c r="EQ38" s="520"/>
      <c r="ER38" s="520"/>
      <c r="ES38" s="520"/>
      <c r="ET38" s="520"/>
      <c r="EU38" s="520"/>
      <c r="EV38" s="520"/>
      <c r="EW38" s="520"/>
    </row>
    <row r="39" spans="1:153" s="521" customFormat="1">
      <c r="A39" s="686"/>
      <c r="B39" s="519"/>
      <c r="C39" s="520"/>
      <c r="D39" s="520"/>
      <c r="E39" s="520"/>
      <c r="F39" s="520"/>
      <c r="G39" s="520"/>
      <c r="H39" s="520"/>
      <c r="I39" s="520"/>
      <c r="J39" s="520"/>
      <c r="K39" s="520"/>
      <c r="L39" s="526"/>
      <c r="M39" s="526"/>
      <c r="N39" s="526"/>
      <c r="O39" s="526"/>
      <c r="P39" s="539"/>
      <c r="Q39" s="539"/>
      <c r="R39" s="539"/>
      <c r="S39" s="539"/>
      <c r="T39" s="539"/>
      <c r="U39" s="539"/>
      <c r="V39" s="534"/>
      <c r="W39" s="534"/>
      <c r="X39" s="534"/>
      <c r="Y39" s="534"/>
      <c r="Z39" s="534"/>
      <c r="AA39" s="526"/>
      <c r="AB39" s="520"/>
      <c r="AC39" s="520"/>
      <c r="AD39" s="520"/>
      <c r="AE39" s="520"/>
      <c r="AF39" s="520"/>
      <c r="AG39" s="520"/>
      <c r="AH39" s="520"/>
      <c r="AI39" s="520"/>
      <c r="AJ39" s="520"/>
      <c r="AK39" s="520"/>
      <c r="AL39" s="520"/>
      <c r="AM39" s="520"/>
      <c r="AN39" s="520"/>
      <c r="AO39" s="520"/>
      <c r="AP39" s="520"/>
      <c r="AQ39" s="520"/>
      <c r="AR39" s="520"/>
      <c r="AS39" s="520"/>
      <c r="AT39" s="520"/>
      <c r="AU39" s="520"/>
      <c r="AV39" s="520"/>
      <c r="AW39" s="520"/>
      <c r="AX39" s="520"/>
      <c r="AY39" s="520"/>
      <c r="AZ39" s="520"/>
      <c r="BA39" s="520"/>
      <c r="BB39" s="520"/>
      <c r="BC39" s="520"/>
      <c r="BD39" s="520"/>
      <c r="BE39" s="520"/>
      <c r="BF39" s="520"/>
      <c r="BG39" s="520"/>
      <c r="BH39" s="520"/>
      <c r="BI39" s="520"/>
      <c r="BJ39" s="520"/>
      <c r="BK39" s="520"/>
      <c r="BL39" s="520"/>
      <c r="BM39" s="520"/>
      <c r="BN39" s="520"/>
      <c r="BO39" s="520"/>
      <c r="BP39" s="520"/>
      <c r="BQ39" s="520"/>
      <c r="BR39" s="520"/>
      <c r="BS39" s="520"/>
      <c r="BT39" s="520"/>
      <c r="BU39" s="520"/>
      <c r="BV39" s="520"/>
      <c r="BW39" s="520"/>
      <c r="BX39" s="520"/>
      <c r="BY39" s="520"/>
      <c r="BZ39" s="520"/>
      <c r="CA39" s="520"/>
      <c r="CB39" s="520"/>
      <c r="CC39" s="520"/>
      <c r="CD39" s="520"/>
      <c r="CE39" s="520"/>
      <c r="CF39" s="520"/>
      <c r="CG39" s="520"/>
      <c r="CH39" s="520"/>
      <c r="CI39" s="520"/>
      <c r="CJ39" s="520"/>
      <c r="CK39" s="520"/>
      <c r="CL39" s="520"/>
      <c r="CM39" s="520"/>
      <c r="CN39" s="520"/>
      <c r="CO39" s="520"/>
      <c r="CP39" s="520"/>
      <c r="CQ39" s="520"/>
      <c r="CR39" s="520"/>
      <c r="CS39" s="520"/>
      <c r="CT39" s="520"/>
      <c r="CU39" s="520"/>
      <c r="CV39" s="520"/>
      <c r="CW39" s="520"/>
      <c r="CX39" s="520"/>
      <c r="CY39" s="520"/>
      <c r="CZ39" s="520"/>
      <c r="DA39" s="520"/>
      <c r="DB39" s="520"/>
      <c r="DC39" s="520"/>
      <c r="DD39" s="520"/>
      <c r="DE39" s="520"/>
      <c r="DF39" s="520"/>
      <c r="DG39" s="520"/>
      <c r="DH39" s="520"/>
      <c r="DI39" s="520"/>
      <c r="DJ39" s="520"/>
      <c r="DK39" s="520"/>
      <c r="DL39" s="520"/>
      <c r="DM39" s="520"/>
      <c r="DN39" s="520"/>
      <c r="DO39" s="520"/>
      <c r="DP39" s="520"/>
      <c r="DQ39" s="520"/>
      <c r="DR39" s="520"/>
      <c r="DS39" s="520"/>
      <c r="DT39" s="520"/>
      <c r="DU39" s="520"/>
      <c r="DV39" s="520"/>
      <c r="DW39" s="520"/>
      <c r="DX39" s="520"/>
      <c r="DY39" s="520"/>
      <c r="DZ39" s="520"/>
      <c r="EA39" s="520"/>
      <c r="EB39" s="520"/>
      <c r="EC39" s="520"/>
      <c r="ED39" s="520"/>
      <c r="EE39" s="520"/>
      <c r="EF39" s="520"/>
      <c r="EG39" s="520"/>
      <c r="EH39" s="520"/>
      <c r="EI39" s="520"/>
      <c r="EJ39" s="520"/>
      <c r="EK39" s="520"/>
      <c r="EL39" s="520"/>
      <c r="EM39" s="520"/>
      <c r="EN39" s="520"/>
      <c r="EO39" s="520"/>
      <c r="EP39" s="520"/>
      <c r="EQ39" s="520"/>
      <c r="ER39" s="520"/>
      <c r="ES39" s="520"/>
      <c r="ET39" s="520"/>
      <c r="EU39" s="520"/>
      <c r="EV39" s="520"/>
      <c r="EW39" s="520"/>
    </row>
    <row r="40" spans="1:153" s="521" customFormat="1" ht="15">
      <c r="A40" s="687" t="s">
        <v>4</v>
      </c>
      <c r="B40" s="519"/>
      <c r="C40" s="520"/>
      <c r="D40" s="520"/>
      <c r="E40" s="520"/>
      <c r="F40" s="520"/>
      <c r="G40" s="520"/>
      <c r="H40" s="520"/>
      <c r="I40" s="520"/>
      <c r="J40" s="520"/>
      <c r="K40" s="520"/>
      <c r="L40" s="526"/>
      <c r="M40" s="526"/>
      <c r="N40" s="534">
        <f>Valuation!P31</f>
        <v>2.2345760947361573</v>
      </c>
      <c r="O40" s="534">
        <f>Valuation!Q31</f>
        <v>0.12355487106153513</v>
      </c>
      <c r="P40" s="534">
        <f>Valuation!R31</f>
        <v>0.17196243261621547</v>
      </c>
      <c r="Q40" s="536">
        <v>0.21</v>
      </c>
      <c r="R40" s="536">
        <v>0.21</v>
      </c>
      <c r="S40" s="536">
        <v>0.21</v>
      </c>
      <c r="T40" s="536">
        <v>0.21</v>
      </c>
      <c r="U40" s="536">
        <v>0.21</v>
      </c>
      <c r="V40" s="536">
        <v>0.21</v>
      </c>
      <c r="W40" s="536">
        <v>0.21</v>
      </c>
      <c r="X40" s="536">
        <v>0.21</v>
      </c>
      <c r="Y40" s="536">
        <v>0.21</v>
      </c>
      <c r="Z40" s="536">
        <v>0.21</v>
      </c>
      <c r="AA40" s="526"/>
      <c r="AB40" s="520"/>
      <c r="AC40" s="520"/>
      <c r="AD40" s="520"/>
      <c r="AE40" s="520"/>
      <c r="AF40" s="520"/>
      <c r="AG40" s="520"/>
      <c r="AH40" s="520"/>
      <c r="AI40" s="520"/>
      <c r="AJ40" s="520"/>
      <c r="AK40" s="520"/>
      <c r="AL40" s="520"/>
      <c r="AM40" s="520"/>
      <c r="AN40" s="520"/>
      <c r="AO40" s="520"/>
      <c r="AP40" s="520"/>
      <c r="AQ40" s="520"/>
      <c r="AR40" s="520"/>
      <c r="AS40" s="520"/>
      <c r="AT40" s="520"/>
      <c r="AU40" s="520"/>
      <c r="AV40" s="520"/>
      <c r="AW40" s="520"/>
      <c r="AX40" s="520"/>
      <c r="AY40" s="520"/>
      <c r="AZ40" s="520"/>
      <c r="BA40" s="520"/>
      <c r="BB40" s="520"/>
      <c r="BC40" s="520"/>
      <c r="BD40" s="520"/>
      <c r="BE40" s="520"/>
      <c r="BF40" s="520"/>
      <c r="BG40" s="520"/>
      <c r="BH40" s="520"/>
      <c r="BI40" s="520"/>
      <c r="BJ40" s="520"/>
      <c r="BK40" s="520"/>
      <c r="BL40" s="520"/>
      <c r="BM40" s="520"/>
      <c r="BN40" s="520"/>
      <c r="BO40" s="520"/>
      <c r="BP40" s="520"/>
      <c r="BQ40" s="520"/>
      <c r="BR40" s="520"/>
      <c r="BS40" s="520"/>
      <c r="BT40" s="520"/>
      <c r="BU40" s="520"/>
      <c r="BV40" s="520"/>
      <c r="BW40" s="520"/>
      <c r="BX40" s="520"/>
      <c r="BY40" s="520"/>
      <c r="BZ40" s="520"/>
      <c r="CA40" s="520"/>
      <c r="CB40" s="520"/>
      <c r="CC40" s="520"/>
      <c r="CD40" s="520"/>
      <c r="CE40" s="520"/>
      <c r="CF40" s="520"/>
      <c r="CG40" s="520"/>
      <c r="CH40" s="520"/>
      <c r="CI40" s="520"/>
      <c r="CJ40" s="520"/>
      <c r="CK40" s="520"/>
      <c r="CL40" s="520"/>
      <c r="CM40" s="520"/>
      <c r="CN40" s="520"/>
      <c r="CO40" s="520"/>
      <c r="CP40" s="520"/>
      <c r="CQ40" s="520"/>
      <c r="CR40" s="520"/>
      <c r="CS40" s="520"/>
      <c r="CT40" s="520"/>
      <c r="CU40" s="520"/>
      <c r="CV40" s="520"/>
      <c r="CW40" s="520"/>
      <c r="CX40" s="520"/>
      <c r="CY40" s="520"/>
      <c r="CZ40" s="520"/>
      <c r="DA40" s="520"/>
      <c r="DB40" s="520"/>
      <c r="DC40" s="520"/>
      <c r="DD40" s="520"/>
      <c r="DE40" s="520"/>
      <c r="DF40" s="520"/>
      <c r="DG40" s="520"/>
      <c r="DH40" s="520"/>
      <c r="DI40" s="520"/>
      <c r="DJ40" s="520"/>
      <c r="DK40" s="520"/>
      <c r="DL40" s="520"/>
      <c r="DM40" s="520"/>
      <c r="DN40" s="520"/>
      <c r="DO40" s="520"/>
      <c r="DP40" s="520"/>
      <c r="DQ40" s="520"/>
      <c r="DR40" s="520"/>
      <c r="DS40" s="520"/>
      <c r="DT40" s="520"/>
      <c r="DU40" s="520"/>
      <c r="DV40" s="520"/>
      <c r="DW40" s="520"/>
      <c r="DX40" s="520"/>
      <c r="DY40" s="520"/>
      <c r="DZ40" s="520"/>
      <c r="EA40" s="520"/>
      <c r="EB40" s="520"/>
      <c r="EC40" s="520"/>
      <c r="ED40" s="520"/>
      <c r="EE40" s="520"/>
      <c r="EF40" s="520"/>
      <c r="EG40" s="520"/>
      <c r="EH40" s="520"/>
      <c r="EI40" s="520"/>
      <c r="EJ40" s="520"/>
      <c r="EK40" s="520"/>
      <c r="EL40" s="520"/>
      <c r="EM40" s="520"/>
      <c r="EN40" s="520"/>
      <c r="EO40" s="520"/>
      <c r="EP40" s="520"/>
      <c r="EQ40" s="520"/>
      <c r="ER40" s="520"/>
      <c r="ES40" s="520"/>
      <c r="ET40" s="520"/>
      <c r="EU40" s="520"/>
      <c r="EV40" s="520"/>
      <c r="EW40" s="520"/>
    </row>
    <row r="41" spans="1:153" s="521" customFormat="1" ht="15">
      <c r="A41" s="566"/>
      <c r="B41" s="519"/>
      <c r="C41" s="520"/>
      <c r="D41" s="520"/>
      <c r="E41" s="520"/>
      <c r="F41" s="520"/>
      <c r="G41" s="520"/>
      <c r="H41" s="520"/>
      <c r="I41" s="520"/>
      <c r="J41" s="520"/>
      <c r="K41" s="520"/>
      <c r="L41" s="526"/>
      <c r="M41" s="526"/>
      <c r="N41" s="526"/>
      <c r="O41" s="526"/>
      <c r="P41" s="526"/>
      <c r="Q41" s="526"/>
      <c r="R41" s="526"/>
      <c r="S41" s="526"/>
      <c r="T41" s="526"/>
      <c r="U41" s="526"/>
      <c r="V41" s="526"/>
      <c r="W41" s="526"/>
      <c r="X41" s="526"/>
      <c r="Y41" s="526"/>
      <c r="Z41" s="526"/>
      <c r="AA41" s="526"/>
      <c r="AB41" s="520"/>
      <c r="AC41" s="520"/>
      <c r="AD41" s="520"/>
      <c r="AE41" s="520"/>
      <c r="AF41" s="520"/>
      <c r="AG41" s="520"/>
      <c r="AH41" s="520"/>
      <c r="AI41" s="520"/>
      <c r="AJ41" s="520"/>
      <c r="AK41" s="520"/>
      <c r="AL41" s="520"/>
      <c r="AM41" s="520"/>
      <c r="AN41" s="520"/>
      <c r="AO41" s="520"/>
      <c r="AP41" s="520"/>
      <c r="AQ41" s="520"/>
      <c r="AR41" s="520"/>
      <c r="AS41" s="520"/>
      <c r="AT41" s="520"/>
      <c r="AU41" s="520"/>
      <c r="AV41" s="520"/>
      <c r="AW41" s="520"/>
      <c r="AX41" s="520"/>
      <c r="AY41" s="520"/>
      <c r="AZ41" s="520"/>
      <c r="BA41" s="520"/>
      <c r="BB41" s="520"/>
      <c r="BC41" s="520"/>
      <c r="BD41" s="520"/>
      <c r="BE41" s="520"/>
      <c r="BF41" s="520"/>
      <c r="BG41" s="520"/>
      <c r="BH41" s="520"/>
      <c r="BI41" s="520"/>
      <c r="BJ41" s="520"/>
      <c r="BK41" s="520"/>
      <c r="BL41" s="520"/>
      <c r="BM41" s="520"/>
      <c r="BN41" s="520"/>
      <c r="BO41" s="520"/>
      <c r="BP41" s="520"/>
      <c r="BQ41" s="520"/>
      <c r="BR41" s="520"/>
      <c r="BS41" s="520"/>
      <c r="BT41" s="520"/>
      <c r="BU41" s="520"/>
      <c r="BV41" s="520"/>
      <c r="BW41" s="520"/>
      <c r="BX41" s="520"/>
      <c r="BY41" s="520"/>
      <c r="BZ41" s="520"/>
      <c r="CA41" s="520"/>
      <c r="CB41" s="520"/>
      <c r="CC41" s="520"/>
      <c r="CD41" s="520"/>
      <c r="CE41" s="520"/>
      <c r="CF41" s="520"/>
      <c r="CG41" s="520"/>
      <c r="CH41" s="520"/>
      <c r="CI41" s="520"/>
      <c r="CJ41" s="520"/>
      <c r="CK41" s="520"/>
      <c r="CL41" s="520"/>
      <c r="CM41" s="520"/>
      <c r="CN41" s="520"/>
      <c r="CO41" s="520"/>
      <c r="CP41" s="520"/>
      <c r="CQ41" s="520"/>
      <c r="CR41" s="520"/>
      <c r="CS41" s="520"/>
      <c r="CT41" s="520"/>
      <c r="CU41" s="520"/>
      <c r="CV41" s="520"/>
      <c r="CW41" s="520"/>
      <c r="CX41" s="520"/>
      <c r="CY41" s="520"/>
      <c r="CZ41" s="520"/>
      <c r="DA41" s="520"/>
      <c r="DB41" s="520"/>
      <c r="DC41" s="520"/>
      <c r="DD41" s="520"/>
      <c r="DE41" s="520"/>
      <c r="DF41" s="520"/>
      <c r="DG41" s="520"/>
      <c r="DH41" s="520"/>
      <c r="DI41" s="520"/>
      <c r="DJ41" s="520"/>
      <c r="DK41" s="520"/>
      <c r="DL41" s="520"/>
      <c r="DM41" s="520"/>
      <c r="DN41" s="520"/>
      <c r="DO41" s="520"/>
      <c r="DP41" s="520"/>
      <c r="DQ41" s="520"/>
      <c r="DR41" s="520"/>
      <c r="DS41" s="520"/>
      <c r="DT41" s="520"/>
      <c r="DU41" s="520"/>
      <c r="DV41" s="520"/>
      <c r="DW41" s="520"/>
      <c r="DX41" s="520"/>
      <c r="DY41" s="520"/>
      <c r="DZ41" s="520"/>
      <c r="EA41" s="520"/>
      <c r="EB41" s="520"/>
      <c r="EC41" s="520"/>
      <c r="ED41" s="520"/>
      <c r="EE41" s="520"/>
      <c r="EF41" s="520"/>
      <c r="EG41" s="520"/>
      <c r="EH41" s="520"/>
      <c r="EI41" s="520"/>
      <c r="EJ41" s="520"/>
      <c r="EK41" s="520"/>
      <c r="EL41" s="520"/>
      <c r="EM41" s="520"/>
      <c r="EN41" s="520"/>
      <c r="EO41" s="520"/>
      <c r="EP41" s="520"/>
      <c r="EQ41" s="520"/>
      <c r="ER41" s="520"/>
      <c r="ES41" s="520"/>
      <c r="ET41" s="520"/>
      <c r="EU41" s="520"/>
      <c r="EV41" s="520"/>
      <c r="EW41" s="520"/>
    </row>
    <row r="42" spans="1:153" s="521" customFormat="1" ht="15">
      <c r="A42" s="688" t="s">
        <v>3325</v>
      </c>
      <c r="B42" s="525"/>
      <c r="C42" s="520"/>
      <c r="D42" s="520"/>
      <c r="E42" s="520"/>
      <c r="F42" s="520"/>
      <c r="G42" s="520"/>
      <c r="H42" s="520"/>
      <c r="I42" s="520"/>
      <c r="J42" s="520"/>
      <c r="K42" s="520"/>
      <c r="L42" s="526"/>
      <c r="M42" s="526"/>
      <c r="N42" s="526">
        <f>Valuation!P61</f>
        <v>-70000</v>
      </c>
      <c r="O42" s="526">
        <f>Valuation!Q61</f>
        <v>-110500</v>
      </c>
      <c r="P42" s="526">
        <f>Valuation!R61</f>
        <v>-138300</v>
      </c>
      <c r="Q42" s="526">
        <f ca="1">-Q43*Q12</f>
        <v>-142868.26133458148</v>
      </c>
      <c r="R42" s="526" t="e">
        <f t="shared" ref="R42:Z42" ca="1" si="18">-R43*R12</f>
        <v>#NAME?</v>
      </c>
      <c r="S42" s="526" t="e">
        <f t="shared" ca="1" si="18"/>
        <v>#NAME?</v>
      </c>
      <c r="T42" s="526" t="e">
        <f t="shared" ca="1" si="18"/>
        <v>#NAME?</v>
      </c>
      <c r="U42" s="526" t="e">
        <f t="shared" ca="1" si="18"/>
        <v>#NAME?</v>
      </c>
      <c r="V42" s="526" t="e">
        <f t="shared" ca="1" si="18"/>
        <v>#NAME?</v>
      </c>
      <c r="W42" s="526" t="e">
        <f t="shared" ca="1" si="18"/>
        <v>#NAME?</v>
      </c>
      <c r="X42" s="526" t="e">
        <f t="shared" ca="1" si="18"/>
        <v>#NAME?</v>
      </c>
      <c r="Y42" s="526" t="e">
        <f t="shared" ca="1" si="18"/>
        <v>#NAME?</v>
      </c>
      <c r="Z42" s="526" t="e">
        <f t="shared" ca="1" si="18"/>
        <v>#NAME?</v>
      </c>
      <c r="AA42" s="526"/>
      <c r="AB42" s="520"/>
      <c r="AC42" s="520"/>
      <c r="AD42" s="520"/>
      <c r="AE42" s="520"/>
      <c r="AF42" s="520"/>
      <c r="AG42" s="520"/>
      <c r="AH42" s="520"/>
      <c r="AI42" s="520"/>
      <c r="AJ42" s="520"/>
      <c r="AK42" s="520"/>
      <c r="AL42" s="520"/>
      <c r="AM42" s="520"/>
      <c r="AN42" s="520"/>
      <c r="AO42" s="520"/>
      <c r="AP42" s="520"/>
      <c r="AQ42" s="520"/>
      <c r="AR42" s="520"/>
      <c r="AS42" s="520"/>
      <c r="AT42" s="520"/>
      <c r="AU42" s="520"/>
      <c r="AV42" s="520"/>
      <c r="AW42" s="520"/>
      <c r="AX42" s="520"/>
      <c r="AY42" s="520"/>
      <c r="AZ42" s="520"/>
      <c r="BA42" s="520"/>
      <c r="BB42" s="520"/>
      <c r="BC42" s="520"/>
      <c r="BD42" s="520"/>
      <c r="BE42" s="520"/>
      <c r="BF42" s="520"/>
      <c r="BG42" s="520"/>
      <c r="BH42" s="520"/>
      <c r="BI42" s="520"/>
      <c r="BJ42" s="520"/>
      <c r="BK42" s="520"/>
      <c r="BL42" s="520"/>
      <c r="BM42" s="520"/>
      <c r="BN42" s="520"/>
      <c r="BO42" s="520"/>
      <c r="BP42" s="520"/>
      <c r="BQ42" s="520"/>
      <c r="BR42" s="520"/>
      <c r="BS42" s="520"/>
      <c r="BT42" s="520"/>
      <c r="BU42" s="520"/>
      <c r="BV42" s="520"/>
      <c r="BW42" s="520"/>
      <c r="BX42" s="520"/>
      <c r="BY42" s="520"/>
      <c r="BZ42" s="520"/>
      <c r="CA42" s="520"/>
      <c r="CB42" s="520"/>
      <c r="CC42" s="520"/>
      <c r="CD42" s="520"/>
      <c r="CE42" s="520"/>
      <c r="CF42" s="520"/>
      <c r="CG42" s="520"/>
      <c r="CH42" s="520"/>
      <c r="CI42" s="520"/>
      <c r="CJ42" s="520"/>
      <c r="CK42" s="520"/>
      <c r="CL42" s="520"/>
      <c r="CM42" s="520"/>
      <c r="CN42" s="520"/>
      <c r="CO42" s="520"/>
      <c r="CP42" s="520"/>
      <c r="CQ42" s="520"/>
      <c r="CR42" s="520"/>
      <c r="CS42" s="520"/>
      <c r="CT42" s="520"/>
      <c r="CU42" s="520"/>
      <c r="CV42" s="520"/>
      <c r="CW42" s="520"/>
      <c r="CX42" s="520"/>
      <c r="CY42" s="520"/>
      <c r="CZ42" s="520"/>
      <c r="DA42" s="520"/>
      <c r="DB42" s="520"/>
      <c r="DC42" s="520"/>
      <c r="DD42" s="520"/>
      <c r="DE42" s="520"/>
      <c r="DF42" s="520"/>
      <c r="DG42" s="520"/>
      <c r="DH42" s="520"/>
      <c r="DI42" s="520"/>
      <c r="DJ42" s="520"/>
      <c r="DK42" s="520"/>
      <c r="DL42" s="520"/>
      <c r="DM42" s="520"/>
      <c r="DN42" s="520"/>
      <c r="DO42" s="520"/>
      <c r="DP42" s="520"/>
      <c r="DQ42" s="520"/>
      <c r="DR42" s="520"/>
      <c r="DS42" s="520"/>
      <c r="DT42" s="520"/>
      <c r="DU42" s="520"/>
      <c r="DV42" s="520"/>
      <c r="DW42" s="520"/>
      <c r="DX42" s="520"/>
      <c r="DY42" s="520"/>
      <c r="DZ42" s="520"/>
      <c r="EA42" s="520"/>
      <c r="EB42" s="520"/>
      <c r="EC42" s="520"/>
      <c r="ED42" s="520"/>
      <c r="EE42" s="520"/>
      <c r="EF42" s="520"/>
      <c r="EG42" s="520"/>
      <c r="EH42" s="520"/>
      <c r="EI42" s="520"/>
      <c r="EJ42" s="520"/>
      <c r="EK42" s="520"/>
      <c r="EL42" s="520"/>
      <c r="EM42" s="520"/>
      <c r="EN42" s="520"/>
      <c r="EO42" s="520"/>
      <c r="EP42" s="520"/>
      <c r="EQ42" s="520"/>
      <c r="ER42" s="520"/>
      <c r="ES42" s="520"/>
      <c r="ET42" s="520"/>
      <c r="EU42" s="520"/>
      <c r="EV42" s="520"/>
      <c r="EW42" s="520"/>
    </row>
    <row r="43" spans="1:153" s="521" customFormat="1" ht="15">
      <c r="A43" s="688" t="s">
        <v>3525</v>
      </c>
      <c r="B43" s="519"/>
      <c r="C43" s="520"/>
      <c r="D43" s="520"/>
      <c r="E43" s="520"/>
      <c r="F43" s="520"/>
      <c r="G43" s="520"/>
      <c r="H43" s="520"/>
      <c r="I43" s="520"/>
      <c r="J43" s="520"/>
      <c r="K43" s="520"/>
      <c r="L43" s="526"/>
      <c r="M43" s="526"/>
      <c r="N43" s="539">
        <f>N42/N12</f>
        <v>-2.251974740564467E-2</v>
      </c>
      <c r="O43" s="539">
        <f>O42/O12</f>
        <v>-1.6834175600713465E-2</v>
      </c>
      <c r="P43" s="539">
        <f>P42/P12</f>
        <v>-1.9258284508777975E-2</v>
      </c>
      <c r="Q43" s="536">
        <f>CHOOSE($O$1,Q44,Q45,Q46)</f>
        <v>2.1000000000000001E-2</v>
      </c>
      <c r="R43" s="536">
        <f t="shared" ref="R43:Z43" si="19">CHOOSE($O$1,R44,R45,R46)</f>
        <v>2.1000000000000001E-2</v>
      </c>
      <c r="S43" s="536">
        <f t="shared" si="19"/>
        <v>2.1000000000000001E-2</v>
      </c>
      <c r="T43" s="536">
        <f t="shared" si="19"/>
        <v>2.1000000000000001E-2</v>
      </c>
      <c r="U43" s="536">
        <f t="shared" si="19"/>
        <v>2.1000000000000001E-2</v>
      </c>
      <c r="V43" s="536">
        <f t="shared" si="19"/>
        <v>2.1000000000000001E-2</v>
      </c>
      <c r="W43" s="536">
        <f t="shared" si="19"/>
        <v>2.1000000000000001E-2</v>
      </c>
      <c r="X43" s="536">
        <f t="shared" si="19"/>
        <v>2.1000000000000001E-2</v>
      </c>
      <c r="Y43" s="536">
        <f t="shared" si="19"/>
        <v>2.1000000000000001E-2</v>
      </c>
      <c r="Z43" s="536">
        <f t="shared" si="19"/>
        <v>2.1000000000000001E-2</v>
      </c>
      <c r="AA43" s="526"/>
      <c r="AB43" s="520"/>
      <c r="AC43" s="520"/>
      <c r="AD43" s="520"/>
      <c r="AE43" s="520"/>
      <c r="AF43" s="520"/>
      <c r="AG43" s="520"/>
      <c r="AH43" s="520"/>
      <c r="AI43" s="520"/>
      <c r="AJ43" s="520"/>
      <c r="AK43" s="520"/>
      <c r="AL43" s="520"/>
      <c r="AM43" s="520"/>
      <c r="AN43" s="520"/>
      <c r="AO43" s="520"/>
      <c r="AP43" s="520"/>
      <c r="AQ43" s="520"/>
      <c r="AR43" s="520"/>
      <c r="AS43" s="520"/>
      <c r="AT43" s="520"/>
      <c r="AU43" s="520"/>
      <c r="AV43" s="520"/>
      <c r="AW43" s="520"/>
      <c r="AX43" s="520"/>
      <c r="AY43" s="520"/>
      <c r="AZ43" s="520"/>
      <c r="BA43" s="520"/>
      <c r="BB43" s="520"/>
      <c r="BC43" s="520"/>
      <c r="BD43" s="520"/>
      <c r="BE43" s="520"/>
      <c r="BF43" s="520"/>
      <c r="BG43" s="520"/>
      <c r="BH43" s="520"/>
      <c r="BI43" s="520"/>
      <c r="BJ43" s="520"/>
      <c r="BK43" s="520"/>
      <c r="BL43" s="520"/>
      <c r="BM43" s="520"/>
      <c r="BN43" s="520"/>
      <c r="BO43" s="520"/>
      <c r="BP43" s="520"/>
      <c r="BQ43" s="520"/>
      <c r="BR43" s="520"/>
      <c r="BS43" s="520"/>
      <c r="BT43" s="520"/>
      <c r="BU43" s="520"/>
      <c r="BV43" s="520"/>
      <c r="BW43" s="520"/>
      <c r="BX43" s="520"/>
      <c r="BY43" s="520"/>
      <c r="BZ43" s="520"/>
      <c r="CA43" s="520"/>
      <c r="CB43" s="520"/>
      <c r="CC43" s="520"/>
      <c r="CD43" s="520"/>
      <c r="CE43" s="520"/>
      <c r="CF43" s="520"/>
      <c r="CG43" s="520"/>
      <c r="CH43" s="520"/>
      <c r="CI43" s="520"/>
      <c r="CJ43" s="520"/>
      <c r="CK43" s="520"/>
      <c r="CL43" s="520"/>
      <c r="CM43" s="520"/>
      <c r="CN43" s="520"/>
      <c r="CO43" s="520"/>
      <c r="CP43" s="520"/>
      <c r="CQ43" s="520"/>
      <c r="CR43" s="520"/>
      <c r="CS43" s="520"/>
      <c r="CT43" s="520"/>
      <c r="CU43" s="520"/>
      <c r="CV43" s="520"/>
      <c r="CW43" s="520"/>
      <c r="CX43" s="520"/>
      <c r="CY43" s="520"/>
      <c r="CZ43" s="520"/>
      <c r="DA43" s="520"/>
      <c r="DB43" s="520"/>
      <c r="DC43" s="520"/>
      <c r="DD43" s="520"/>
      <c r="DE43" s="520"/>
      <c r="DF43" s="520"/>
      <c r="DG43" s="520"/>
      <c r="DH43" s="520"/>
      <c r="DI43" s="520"/>
      <c r="DJ43" s="520"/>
      <c r="DK43" s="520"/>
      <c r="DL43" s="520"/>
      <c r="DM43" s="520"/>
      <c r="DN43" s="520"/>
      <c r="DO43" s="520"/>
      <c r="DP43" s="520"/>
      <c r="DQ43" s="520"/>
      <c r="DR43" s="520"/>
      <c r="DS43" s="520"/>
      <c r="DT43" s="520"/>
      <c r="DU43" s="520"/>
      <c r="DV43" s="520"/>
      <c r="DW43" s="520"/>
      <c r="DX43" s="520"/>
      <c r="DY43" s="520"/>
      <c r="DZ43" s="520"/>
      <c r="EA43" s="520"/>
      <c r="EB43" s="520"/>
      <c r="EC43" s="520"/>
      <c r="ED43" s="520"/>
      <c r="EE43" s="520"/>
      <c r="EF43" s="520"/>
      <c r="EG43" s="520"/>
      <c r="EH43" s="520"/>
      <c r="EI43" s="520"/>
      <c r="EJ43" s="520"/>
      <c r="EK43" s="520"/>
      <c r="EL43" s="520"/>
      <c r="EM43" s="520"/>
      <c r="EN43" s="520"/>
      <c r="EO43" s="520"/>
      <c r="EP43" s="520"/>
      <c r="EQ43" s="520"/>
      <c r="ER43" s="520"/>
      <c r="ES43" s="520"/>
      <c r="ET43" s="520"/>
      <c r="EU43" s="520"/>
      <c r="EV43" s="520"/>
      <c r="EW43" s="520"/>
    </row>
    <row r="44" spans="1:153" s="521" customFormat="1" ht="15">
      <c r="A44" s="566" t="s">
        <v>3516</v>
      </c>
      <c r="B44" s="519"/>
      <c r="C44" s="520"/>
      <c r="D44" s="520"/>
      <c r="E44" s="520"/>
      <c r="F44" s="520"/>
      <c r="G44" s="520"/>
      <c r="H44" s="520"/>
      <c r="I44" s="520"/>
      <c r="J44" s="520"/>
      <c r="K44" s="520"/>
      <c r="L44" s="526"/>
      <c r="M44" s="526"/>
      <c r="N44" s="526"/>
      <c r="O44" s="526"/>
      <c r="P44" s="526"/>
      <c r="Q44" s="537">
        <v>2.1000000000000001E-2</v>
      </c>
      <c r="R44" s="537">
        <v>2.1000000000000001E-2</v>
      </c>
      <c r="S44" s="537">
        <v>2.1000000000000001E-2</v>
      </c>
      <c r="T44" s="537">
        <v>2.1000000000000001E-2</v>
      </c>
      <c r="U44" s="537">
        <v>2.1000000000000001E-2</v>
      </c>
      <c r="V44" s="537">
        <v>2.1000000000000001E-2</v>
      </c>
      <c r="W44" s="537">
        <v>2.1000000000000001E-2</v>
      </c>
      <c r="X44" s="537">
        <v>2.1000000000000001E-2</v>
      </c>
      <c r="Y44" s="537">
        <v>2.1000000000000001E-2</v>
      </c>
      <c r="Z44" s="537">
        <v>2.1000000000000001E-2</v>
      </c>
      <c r="AA44" s="526"/>
      <c r="AB44" s="520"/>
      <c r="AC44" s="520"/>
      <c r="AD44" s="520"/>
      <c r="AE44" s="520"/>
      <c r="AF44" s="520"/>
      <c r="AG44" s="520"/>
      <c r="AH44" s="520"/>
      <c r="AI44" s="520"/>
      <c r="AJ44" s="520"/>
      <c r="AK44" s="520"/>
      <c r="AL44" s="520"/>
      <c r="AM44" s="520"/>
      <c r="AN44" s="520"/>
      <c r="AO44" s="520"/>
      <c r="AP44" s="520"/>
      <c r="AQ44" s="520"/>
      <c r="AR44" s="520"/>
      <c r="AS44" s="520"/>
      <c r="AT44" s="520"/>
      <c r="AU44" s="520"/>
      <c r="AV44" s="520"/>
      <c r="AW44" s="520"/>
      <c r="AX44" s="520"/>
      <c r="AY44" s="520"/>
      <c r="AZ44" s="520"/>
      <c r="BA44" s="520"/>
      <c r="BB44" s="520"/>
      <c r="BC44" s="520"/>
      <c r="BD44" s="520"/>
      <c r="BE44" s="520"/>
      <c r="BF44" s="520"/>
      <c r="BG44" s="520"/>
      <c r="BH44" s="520"/>
      <c r="BI44" s="520"/>
      <c r="BJ44" s="520"/>
      <c r="BK44" s="520"/>
      <c r="BL44" s="520"/>
      <c r="BM44" s="520"/>
      <c r="BN44" s="520"/>
      <c r="BO44" s="520"/>
      <c r="BP44" s="520"/>
      <c r="BQ44" s="520"/>
      <c r="BR44" s="520"/>
      <c r="BS44" s="520"/>
      <c r="BT44" s="520"/>
      <c r="BU44" s="520"/>
      <c r="BV44" s="520"/>
      <c r="BW44" s="520"/>
      <c r="BX44" s="520"/>
      <c r="BY44" s="520"/>
      <c r="BZ44" s="520"/>
      <c r="CA44" s="520"/>
      <c r="CB44" s="520"/>
      <c r="CC44" s="520"/>
      <c r="CD44" s="520"/>
      <c r="CE44" s="520"/>
      <c r="CF44" s="520"/>
      <c r="CG44" s="520"/>
      <c r="CH44" s="520"/>
      <c r="CI44" s="520"/>
      <c r="CJ44" s="520"/>
      <c r="CK44" s="520"/>
      <c r="CL44" s="520"/>
      <c r="CM44" s="520"/>
      <c r="CN44" s="520"/>
      <c r="CO44" s="520"/>
      <c r="CP44" s="520"/>
      <c r="CQ44" s="520"/>
      <c r="CR44" s="520"/>
      <c r="CS44" s="520"/>
      <c r="CT44" s="520"/>
      <c r="CU44" s="520"/>
      <c r="CV44" s="520"/>
      <c r="CW44" s="520"/>
      <c r="CX44" s="520"/>
      <c r="CY44" s="520"/>
      <c r="CZ44" s="520"/>
      <c r="DA44" s="520"/>
      <c r="DB44" s="520"/>
      <c r="DC44" s="520"/>
      <c r="DD44" s="520"/>
      <c r="DE44" s="520"/>
      <c r="DF44" s="520"/>
      <c r="DG44" s="520"/>
      <c r="DH44" s="520"/>
      <c r="DI44" s="520"/>
      <c r="DJ44" s="520"/>
      <c r="DK44" s="520"/>
      <c r="DL44" s="520"/>
      <c r="DM44" s="520"/>
      <c r="DN44" s="520"/>
      <c r="DO44" s="520"/>
      <c r="DP44" s="520"/>
      <c r="DQ44" s="520"/>
      <c r="DR44" s="520"/>
      <c r="DS44" s="520"/>
      <c r="DT44" s="520"/>
      <c r="DU44" s="520"/>
      <c r="DV44" s="520"/>
      <c r="DW44" s="520"/>
      <c r="DX44" s="520"/>
      <c r="DY44" s="520"/>
      <c r="DZ44" s="520"/>
      <c r="EA44" s="520"/>
      <c r="EB44" s="520"/>
      <c r="EC44" s="520"/>
      <c r="ED44" s="520"/>
      <c r="EE44" s="520"/>
      <c r="EF44" s="520"/>
      <c r="EG44" s="520"/>
      <c r="EH44" s="520"/>
      <c r="EI44" s="520"/>
      <c r="EJ44" s="520"/>
      <c r="EK44" s="520"/>
      <c r="EL44" s="520"/>
      <c r="EM44" s="520"/>
      <c r="EN44" s="520"/>
      <c r="EO44" s="520"/>
      <c r="EP44" s="520"/>
      <c r="EQ44" s="520"/>
      <c r="ER44" s="520"/>
      <c r="ES44" s="520"/>
      <c r="ET44" s="520"/>
      <c r="EU44" s="520"/>
      <c r="EV44" s="520"/>
      <c r="EW44" s="520"/>
    </row>
    <row r="45" spans="1:153" s="521" customFormat="1" ht="15">
      <c r="A45" s="566" t="s">
        <v>3517</v>
      </c>
      <c r="B45" s="519"/>
      <c r="C45" s="520"/>
      <c r="D45" s="520"/>
      <c r="E45" s="520"/>
      <c r="F45" s="520"/>
      <c r="G45" s="520"/>
      <c r="H45" s="520"/>
      <c r="I45" s="520"/>
      <c r="J45" s="520"/>
      <c r="K45" s="520"/>
      <c r="L45" s="526"/>
      <c r="M45" s="526"/>
      <c r="N45" s="526"/>
      <c r="O45" s="526"/>
      <c r="P45" s="526"/>
      <c r="Q45" s="537">
        <f>Q44+$AA45</f>
        <v>2.2000000000000002E-2</v>
      </c>
      <c r="R45" s="537">
        <f t="shared" ref="R45:Z45" si="20">R44+$AA45</f>
        <v>2.2000000000000002E-2</v>
      </c>
      <c r="S45" s="537">
        <f t="shared" si="20"/>
        <v>2.2000000000000002E-2</v>
      </c>
      <c r="T45" s="537">
        <f t="shared" si="20"/>
        <v>2.2000000000000002E-2</v>
      </c>
      <c r="U45" s="537">
        <f t="shared" si="20"/>
        <v>2.2000000000000002E-2</v>
      </c>
      <c r="V45" s="537">
        <f t="shared" si="20"/>
        <v>2.2000000000000002E-2</v>
      </c>
      <c r="W45" s="537">
        <f t="shared" si="20"/>
        <v>2.2000000000000002E-2</v>
      </c>
      <c r="X45" s="537">
        <f t="shared" si="20"/>
        <v>2.2000000000000002E-2</v>
      </c>
      <c r="Y45" s="537">
        <f t="shared" si="20"/>
        <v>2.2000000000000002E-2</v>
      </c>
      <c r="Z45" s="537">
        <f t="shared" si="20"/>
        <v>2.2000000000000002E-2</v>
      </c>
      <c r="AA45" s="538">
        <v>1E-3</v>
      </c>
      <c r="AB45" s="520"/>
      <c r="AC45" s="520"/>
      <c r="AD45" s="520"/>
      <c r="AE45" s="520"/>
      <c r="AF45" s="520"/>
      <c r="AG45" s="520"/>
      <c r="AH45" s="520"/>
      <c r="AI45" s="520"/>
      <c r="AJ45" s="520"/>
      <c r="AK45" s="520"/>
      <c r="AL45" s="520"/>
      <c r="AM45" s="520"/>
      <c r="AN45" s="520"/>
      <c r="AO45" s="520"/>
      <c r="AP45" s="520"/>
      <c r="AQ45" s="520"/>
      <c r="AR45" s="520"/>
      <c r="AS45" s="520"/>
      <c r="AT45" s="520"/>
      <c r="AU45" s="520"/>
      <c r="AV45" s="520"/>
      <c r="AW45" s="520"/>
      <c r="AX45" s="520"/>
      <c r="AY45" s="520"/>
      <c r="AZ45" s="520"/>
      <c r="BA45" s="520"/>
      <c r="BB45" s="520"/>
      <c r="BC45" s="520"/>
      <c r="BD45" s="520"/>
      <c r="BE45" s="520"/>
      <c r="BF45" s="520"/>
      <c r="BG45" s="520"/>
      <c r="BH45" s="520"/>
      <c r="BI45" s="520"/>
      <c r="BJ45" s="520"/>
      <c r="BK45" s="520"/>
      <c r="BL45" s="520"/>
      <c r="BM45" s="520"/>
      <c r="BN45" s="520"/>
      <c r="BO45" s="520"/>
      <c r="BP45" s="520"/>
      <c r="BQ45" s="520"/>
      <c r="BR45" s="520"/>
      <c r="BS45" s="520"/>
      <c r="BT45" s="520"/>
      <c r="BU45" s="520"/>
      <c r="BV45" s="520"/>
      <c r="BW45" s="520"/>
      <c r="BX45" s="520"/>
      <c r="BY45" s="520"/>
      <c r="BZ45" s="520"/>
      <c r="CA45" s="520"/>
      <c r="CB45" s="520"/>
      <c r="CC45" s="520"/>
      <c r="CD45" s="520"/>
      <c r="CE45" s="520"/>
      <c r="CF45" s="520"/>
      <c r="CG45" s="520"/>
      <c r="CH45" s="520"/>
      <c r="CI45" s="520"/>
      <c r="CJ45" s="520"/>
      <c r="CK45" s="520"/>
      <c r="CL45" s="520"/>
      <c r="CM45" s="520"/>
      <c r="CN45" s="520"/>
      <c r="CO45" s="520"/>
      <c r="CP45" s="520"/>
      <c r="CQ45" s="520"/>
      <c r="CR45" s="520"/>
      <c r="CS45" s="520"/>
      <c r="CT45" s="520"/>
      <c r="CU45" s="520"/>
      <c r="CV45" s="520"/>
      <c r="CW45" s="520"/>
      <c r="CX45" s="520"/>
      <c r="CY45" s="520"/>
      <c r="CZ45" s="520"/>
      <c r="DA45" s="520"/>
      <c r="DB45" s="520"/>
      <c r="DC45" s="520"/>
      <c r="DD45" s="520"/>
      <c r="DE45" s="520"/>
      <c r="DF45" s="520"/>
      <c r="DG45" s="520"/>
      <c r="DH45" s="520"/>
      <c r="DI45" s="520"/>
      <c r="DJ45" s="520"/>
      <c r="DK45" s="520"/>
      <c r="DL45" s="520"/>
      <c r="DM45" s="520"/>
      <c r="DN45" s="520"/>
      <c r="DO45" s="520"/>
      <c r="DP45" s="520"/>
      <c r="DQ45" s="520"/>
      <c r="DR45" s="520"/>
      <c r="DS45" s="520"/>
      <c r="DT45" s="520"/>
      <c r="DU45" s="520"/>
      <c r="DV45" s="520"/>
      <c r="DW45" s="520"/>
      <c r="DX45" s="520"/>
      <c r="DY45" s="520"/>
      <c r="DZ45" s="520"/>
      <c r="EA45" s="520"/>
      <c r="EB45" s="520"/>
      <c r="EC45" s="520"/>
      <c r="ED45" s="520"/>
      <c r="EE45" s="520"/>
      <c r="EF45" s="520"/>
      <c r="EG45" s="520"/>
      <c r="EH45" s="520"/>
      <c r="EI45" s="520"/>
      <c r="EJ45" s="520"/>
      <c r="EK45" s="520"/>
      <c r="EL45" s="520"/>
      <c r="EM45" s="520"/>
      <c r="EN45" s="520"/>
      <c r="EO45" s="520"/>
      <c r="EP45" s="520"/>
      <c r="EQ45" s="520"/>
      <c r="ER45" s="520"/>
      <c r="ES45" s="520"/>
      <c r="ET45" s="520"/>
      <c r="EU45" s="520"/>
      <c r="EV45" s="520"/>
      <c r="EW45" s="520"/>
    </row>
    <row r="46" spans="1:153" s="521" customFormat="1" ht="15">
      <c r="A46" s="566" t="s">
        <v>3518</v>
      </c>
      <c r="B46" s="519"/>
      <c r="C46" s="520"/>
      <c r="D46" s="520"/>
      <c r="E46" s="520"/>
      <c r="F46" s="520"/>
      <c r="G46" s="520"/>
      <c r="H46" s="520"/>
      <c r="I46" s="520"/>
      <c r="J46" s="520"/>
      <c r="K46" s="520"/>
      <c r="L46" s="526"/>
      <c r="M46" s="526"/>
      <c r="N46" s="526"/>
      <c r="O46" s="526"/>
      <c r="P46" s="526"/>
      <c r="Q46" s="537">
        <f t="shared" ref="Q46:Y46" ca="1" si="21">Q44-$Y46</f>
        <v>2.8000000000000001E-2</v>
      </c>
      <c r="R46" s="537">
        <f t="shared" ca="1" si="21"/>
        <v>2.8000000000000001E-2</v>
      </c>
      <c r="S46" s="537">
        <f t="shared" ca="1" si="21"/>
        <v>2.8000000000000001E-2</v>
      </c>
      <c r="T46" s="537">
        <f t="shared" ca="1" si="21"/>
        <v>2.8000000000000001E-2</v>
      </c>
      <c r="U46" s="537">
        <f t="shared" ca="1" si="21"/>
        <v>2.8000000000000001E-2</v>
      </c>
      <c r="V46" s="537">
        <f t="shared" ca="1" si="21"/>
        <v>2.8000000000000001E-2</v>
      </c>
      <c r="W46" s="537">
        <f t="shared" ca="1" si="21"/>
        <v>2.8000000000000001E-2</v>
      </c>
      <c r="X46" s="537">
        <f t="shared" ca="1" si="21"/>
        <v>2.8000000000000001E-2</v>
      </c>
      <c r="Y46" s="537">
        <f t="shared" ca="1" si="21"/>
        <v>2.8000000000000001E-2</v>
      </c>
      <c r="Z46" s="537">
        <f ca="1">Z44-$Y46</f>
        <v>-6.9999999999999993E-3</v>
      </c>
      <c r="AA46" s="538">
        <v>1E-3</v>
      </c>
      <c r="AB46" s="520"/>
      <c r="AC46" s="520"/>
      <c r="AD46" s="520"/>
      <c r="AE46" s="520"/>
      <c r="AF46" s="520"/>
      <c r="AG46" s="520"/>
      <c r="AH46" s="520"/>
      <c r="AI46" s="520"/>
      <c r="AJ46" s="520"/>
      <c r="AK46" s="520"/>
      <c r="AL46" s="520"/>
      <c r="AM46" s="520"/>
      <c r="AN46" s="520"/>
      <c r="AO46" s="520"/>
      <c r="AP46" s="520"/>
      <c r="AQ46" s="520"/>
      <c r="AR46" s="520"/>
      <c r="AS46" s="520"/>
      <c r="AT46" s="520"/>
      <c r="AU46" s="520"/>
      <c r="AV46" s="520"/>
      <c r="AW46" s="520"/>
      <c r="AX46" s="520"/>
      <c r="AY46" s="520"/>
      <c r="AZ46" s="520"/>
      <c r="BA46" s="520"/>
      <c r="BB46" s="520"/>
      <c r="BC46" s="520"/>
      <c r="BD46" s="520"/>
      <c r="BE46" s="520"/>
      <c r="BF46" s="520"/>
      <c r="BG46" s="520"/>
      <c r="BH46" s="520"/>
      <c r="BI46" s="520"/>
      <c r="BJ46" s="520"/>
      <c r="BK46" s="520"/>
      <c r="BL46" s="520"/>
      <c r="BM46" s="520"/>
      <c r="BN46" s="520"/>
      <c r="BO46" s="520"/>
      <c r="BP46" s="520"/>
      <c r="BQ46" s="520"/>
      <c r="BR46" s="520"/>
      <c r="BS46" s="520"/>
      <c r="BT46" s="520"/>
      <c r="BU46" s="520"/>
      <c r="BV46" s="520"/>
      <c r="BW46" s="520"/>
      <c r="BX46" s="520"/>
      <c r="BY46" s="520"/>
      <c r="BZ46" s="520"/>
      <c r="CA46" s="520"/>
      <c r="CB46" s="520"/>
      <c r="CC46" s="520"/>
      <c r="CD46" s="520"/>
      <c r="CE46" s="520"/>
      <c r="CF46" s="520"/>
      <c r="CG46" s="520"/>
      <c r="CH46" s="520"/>
      <c r="CI46" s="520"/>
      <c r="CJ46" s="520"/>
      <c r="CK46" s="520"/>
      <c r="CL46" s="520"/>
      <c r="CM46" s="520"/>
      <c r="CN46" s="520"/>
      <c r="CO46" s="520"/>
      <c r="CP46" s="520"/>
      <c r="CQ46" s="520"/>
      <c r="CR46" s="520"/>
      <c r="CS46" s="520"/>
      <c r="CT46" s="520"/>
      <c r="CU46" s="520"/>
      <c r="CV46" s="520"/>
      <c r="CW46" s="520"/>
      <c r="CX46" s="520"/>
      <c r="CY46" s="520"/>
      <c r="CZ46" s="520"/>
      <c r="DA46" s="520"/>
      <c r="DB46" s="520"/>
      <c r="DC46" s="520"/>
      <c r="DD46" s="520"/>
      <c r="DE46" s="520"/>
      <c r="DF46" s="520"/>
      <c r="DG46" s="520"/>
      <c r="DH46" s="520"/>
      <c r="DI46" s="520"/>
      <c r="DJ46" s="520"/>
      <c r="DK46" s="520"/>
      <c r="DL46" s="520"/>
      <c r="DM46" s="520"/>
      <c r="DN46" s="520"/>
      <c r="DO46" s="520"/>
      <c r="DP46" s="520"/>
      <c r="DQ46" s="520"/>
      <c r="DR46" s="520"/>
      <c r="DS46" s="520"/>
      <c r="DT46" s="520"/>
      <c r="DU46" s="520"/>
      <c r="DV46" s="520"/>
      <c r="DW46" s="520"/>
      <c r="DX46" s="520"/>
      <c r="DY46" s="520"/>
      <c r="DZ46" s="520"/>
      <c r="EA46" s="520"/>
      <c r="EB46" s="520"/>
      <c r="EC46" s="520"/>
      <c r="ED46" s="520"/>
      <c r="EE46" s="520"/>
      <c r="EF46" s="520"/>
      <c r="EG46" s="520"/>
      <c r="EH46" s="520"/>
      <c r="EI46" s="520"/>
      <c r="EJ46" s="520"/>
      <c r="EK46" s="520"/>
      <c r="EL46" s="520"/>
      <c r="EM46" s="520"/>
      <c r="EN46" s="520"/>
      <c r="EO46" s="520"/>
      <c r="EP46" s="520"/>
      <c r="EQ46" s="520"/>
      <c r="ER46" s="520"/>
      <c r="ES46" s="520"/>
      <c r="ET46" s="520"/>
      <c r="EU46" s="520"/>
      <c r="EV46" s="520"/>
      <c r="EW46" s="520"/>
    </row>
    <row r="47" spans="1:153" s="521" customFormat="1">
      <c r="A47" s="689"/>
      <c r="B47" s="519"/>
      <c r="C47" s="520"/>
      <c r="D47" s="520"/>
      <c r="E47" s="520"/>
      <c r="F47" s="520"/>
      <c r="G47" s="520"/>
      <c r="H47" s="520"/>
      <c r="I47" s="520"/>
      <c r="J47" s="520"/>
      <c r="K47" s="520"/>
      <c r="L47" s="526"/>
      <c r="M47" s="526"/>
      <c r="N47" s="526"/>
      <c r="O47" s="526"/>
      <c r="P47" s="526"/>
      <c r="Q47" s="526"/>
      <c r="R47" s="526"/>
      <c r="S47" s="526"/>
      <c r="T47" s="526"/>
      <c r="U47" s="526"/>
      <c r="V47" s="526"/>
      <c r="W47" s="526"/>
      <c r="X47" s="526"/>
      <c r="Y47" s="526"/>
      <c r="Z47" s="526"/>
      <c r="AA47" s="526"/>
      <c r="AB47" s="520"/>
      <c r="AC47" s="520"/>
      <c r="AD47" s="520"/>
      <c r="AE47" s="520"/>
      <c r="AF47" s="520"/>
      <c r="AG47" s="520"/>
      <c r="AH47" s="520"/>
      <c r="AI47" s="520"/>
      <c r="AJ47" s="520"/>
      <c r="AK47" s="520"/>
      <c r="AL47" s="520"/>
      <c r="AM47" s="520"/>
      <c r="AN47" s="520"/>
      <c r="AO47" s="520"/>
      <c r="AP47" s="520"/>
      <c r="AQ47" s="520"/>
      <c r="AR47" s="520"/>
      <c r="AS47" s="520"/>
      <c r="AT47" s="520"/>
      <c r="AU47" s="520"/>
      <c r="AV47" s="520"/>
      <c r="AW47" s="520"/>
      <c r="AX47" s="520"/>
      <c r="AY47" s="520"/>
      <c r="AZ47" s="520"/>
      <c r="BA47" s="520"/>
      <c r="BB47" s="520"/>
      <c r="BC47" s="520"/>
      <c r="BD47" s="520"/>
      <c r="BE47" s="520"/>
      <c r="BF47" s="520"/>
      <c r="BG47" s="520"/>
      <c r="BH47" s="520"/>
      <c r="BI47" s="520"/>
      <c r="BJ47" s="520"/>
      <c r="BK47" s="520"/>
      <c r="BL47" s="520"/>
      <c r="BM47" s="520"/>
      <c r="BN47" s="520"/>
      <c r="BO47" s="520"/>
      <c r="BP47" s="520"/>
      <c r="BQ47" s="520"/>
      <c r="BR47" s="520"/>
      <c r="BS47" s="520"/>
      <c r="BT47" s="520"/>
      <c r="BU47" s="520"/>
      <c r="BV47" s="520"/>
      <c r="BW47" s="520"/>
      <c r="BX47" s="520"/>
      <c r="BY47" s="520"/>
      <c r="BZ47" s="520"/>
      <c r="CA47" s="520"/>
      <c r="CB47" s="520"/>
      <c r="CC47" s="520"/>
      <c r="CD47" s="520"/>
      <c r="CE47" s="520"/>
      <c r="CF47" s="520"/>
      <c r="CG47" s="520"/>
      <c r="CH47" s="520"/>
      <c r="CI47" s="520"/>
      <c r="CJ47" s="520"/>
      <c r="CK47" s="520"/>
      <c r="CL47" s="520"/>
      <c r="CM47" s="520"/>
      <c r="CN47" s="520"/>
      <c r="CO47" s="520"/>
      <c r="CP47" s="520"/>
      <c r="CQ47" s="520"/>
      <c r="CR47" s="520"/>
      <c r="CS47" s="520"/>
      <c r="CT47" s="520"/>
      <c r="CU47" s="520"/>
      <c r="CV47" s="520"/>
      <c r="CW47" s="520"/>
      <c r="CX47" s="520"/>
      <c r="CY47" s="520"/>
      <c r="CZ47" s="520"/>
      <c r="DA47" s="520"/>
      <c r="DB47" s="520"/>
      <c r="DC47" s="520"/>
      <c r="DD47" s="520"/>
      <c r="DE47" s="520"/>
      <c r="DF47" s="520"/>
      <c r="DG47" s="520"/>
      <c r="DH47" s="520"/>
      <c r="DI47" s="520"/>
      <c r="DJ47" s="520"/>
      <c r="DK47" s="520"/>
      <c r="DL47" s="520"/>
      <c r="DM47" s="520"/>
      <c r="DN47" s="520"/>
      <c r="DO47" s="520"/>
      <c r="DP47" s="520"/>
      <c r="DQ47" s="520"/>
      <c r="DR47" s="520"/>
      <c r="DS47" s="520"/>
      <c r="DT47" s="520"/>
      <c r="DU47" s="520"/>
      <c r="DV47" s="520"/>
      <c r="DW47" s="520"/>
      <c r="DX47" s="520"/>
      <c r="DY47" s="520"/>
      <c r="DZ47" s="520"/>
      <c r="EA47" s="520"/>
      <c r="EB47" s="520"/>
      <c r="EC47" s="520"/>
      <c r="ED47" s="520"/>
      <c r="EE47" s="520"/>
      <c r="EF47" s="520"/>
      <c r="EG47" s="520"/>
      <c r="EH47" s="520"/>
      <c r="EI47" s="520"/>
      <c r="EJ47" s="520"/>
      <c r="EK47" s="520"/>
      <c r="EL47" s="520"/>
      <c r="EM47" s="520"/>
      <c r="EN47" s="520"/>
      <c r="EO47" s="520"/>
      <c r="EP47" s="520"/>
      <c r="EQ47" s="520"/>
      <c r="ER47" s="520"/>
      <c r="ES47" s="520"/>
      <c r="ET47" s="520"/>
      <c r="EU47" s="520"/>
      <c r="EV47" s="520"/>
      <c r="EW47" s="520"/>
    </row>
    <row r="48" spans="1:153" s="521" customFormat="1" ht="15">
      <c r="A48" s="697" t="s">
        <v>40</v>
      </c>
      <c r="B48" s="525"/>
      <c r="C48" s="520"/>
      <c r="D48" s="520"/>
      <c r="E48" s="520"/>
      <c r="F48" s="520"/>
      <c r="G48" s="520"/>
      <c r="H48" s="520"/>
      <c r="I48" s="520"/>
      <c r="J48" s="520"/>
      <c r="K48" s="520"/>
      <c r="L48" s="526"/>
      <c r="M48" s="526"/>
      <c r="N48" s="526"/>
      <c r="O48" s="526"/>
      <c r="P48" s="526"/>
      <c r="Q48" s="526"/>
      <c r="R48" s="526"/>
      <c r="S48" s="526"/>
      <c r="T48" s="526"/>
      <c r="U48" s="526"/>
      <c r="V48" s="526"/>
      <c r="W48" s="526"/>
      <c r="X48" s="526"/>
      <c r="Y48" s="526"/>
      <c r="Z48" s="526"/>
      <c r="AA48" s="526"/>
      <c r="AB48" s="520"/>
      <c r="AC48" s="520"/>
      <c r="AD48" s="520"/>
      <c r="AE48" s="520"/>
      <c r="AF48" s="520"/>
      <c r="AG48" s="520"/>
      <c r="AH48" s="520"/>
      <c r="AI48" s="520"/>
      <c r="AJ48" s="520"/>
      <c r="AK48" s="520"/>
      <c r="AL48" s="520"/>
      <c r="AM48" s="520"/>
      <c r="AN48" s="520"/>
      <c r="AO48" s="520"/>
      <c r="AP48" s="520"/>
      <c r="AQ48" s="520"/>
      <c r="AR48" s="520"/>
      <c r="AS48" s="520"/>
      <c r="AT48" s="520"/>
      <c r="AU48" s="520"/>
      <c r="AV48" s="520"/>
      <c r="AW48" s="520"/>
      <c r="AX48" s="520"/>
      <c r="AY48" s="520"/>
      <c r="AZ48" s="520"/>
      <c r="BA48" s="520"/>
      <c r="BB48" s="520"/>
      <c r="BC48" s="520"/>
      <c r="BD48" s="520"/>
      <c r="BE48" s="520"/>
      <c r="BF48" s="520"/>
      <c r="BG48" s="520"/>
      <c r="BH48" s="520"/>
      <c r="BI48" s="520"/>
      <c r="BJ48" s="520"/>
      <c r="BK48" s="520"/>
      <c r="BL48" s="520"/>
      <c r="BM48" s="520"/>
      <c r="BN48" s="520"/>
      <c r="BO48" s="520"/>
      <c r="BP48" s="520"/>
      <c r="BQ48" s="520"/>
      <c r="BR48" s="520"/>
      <c r="BS48" s="520"/>
      <c r="BT48" s="520"/>
      <c r="BU48" s="520"/>
      <c r="BV48" s="520"/>
      <c r="BW48" s="520"/>
      <c r="BX48" s="520"/>
      <c r="BY48" s="520"/>
      <c r="BZ48" s="520"/>
      <c r="CA48" s="520"/>
      <c r="CB48" s="520"/>
      <c r="CC48" s="520"/>
      <c r="CD48" s="520"/>
      <c r="CE48" s="520"/>
      <c r="CF48" s="520"/>
      <c r="CG48" s="520"/>
      <c r="CH48" s="520"/>
      <c r="CI48" s="520"/>
      <c r="CJ48" s="520"/>
      <c r="CK48" s="520"/>
      <c r="CL48" s="520"/>
      <c r="CM48" s="520"/>
      <c r="CN48" s="520"/>
      <c r="CO48" s="520"/>
      <c r="CP48" s="520"/>
      <c r="CQ48" s="520"/>
      <c r="CR48" s="520"/>
      <c r="CS48" s="520"/>
      <c r="CT48" s="520"/>
      <c r="CU48" s="520"/>
      <c r="CV48" s="520"/>
      <c r="CW48" s="520"/>
      <c r="CX48" s="520"/>
      <c r="CY48" s="520"/>
      <c r="CZ48" s="520"/>
      <c r="DA48" s="520"/>
      <c r="DB48" s="520"/>
      <c r="DC48" s="520"/>
      <c r="DD48" s="520"/>
      <c r="DE48" s="520"/>
      <c r="DF48" s="520"/>
      <c r="DG48" s="520"/>
      <c r="DH48" s="520"/>
      <c r="DI48" s="520"/>
      <c r="DJ48" s="520"/>
      <c r="DK48" s="520"/>
      <c r="DL48" s="520"/>
      <c r="DM48" s="520"/>
      <c r="DN48" s="520"/>
      <c r="DO48" s="520"/>
      <c r="DP48" s="520"/>
      <c r="DQ48" s="520"/>
      <c r="DR48" s="520"/>
      <c r="DS48" s="520"/>
      <c r="DT48" s="520"/>
      <c r="DU48" s="520"/>
      <c r="DV48" s="520"/>
      <c r="DW48" s="520"/>
      <c r="DX48" s="520"/>
      <c r="DY48" s="520"/>
      <c r="DZ48" s="520"/>
      <c r="EA48" s="520"/>
      <c r="EB48" s="520"/>
      <c r="EC48" s="520"/>
      <c r="ED48" s="520"/>
      <c r="EE48" s="520"/>
      <c r="EF48" s="520"/>
      <c r="EG48" s="520"/>
      <c r="EH48" s="520"/>
      <c r="EI48" s="520"/>
      <c r="EJ48" s="520"/>
      <c r="EK48" s="520"/>
      <c r="EL48" s="520"/>
      <c r="EM48" s="520"/>
      <c r="EN48" s="520"/>
      <c r="EO48" s="520"/>
      <c r="EP48" s="520"/>
      <c r="EQ48" s="520"/>
      <c r="ER48" s="520"/>
      <c r="ES48" s="520"/>
      <c r="ET48" s="520"/>
      <c r="EU48" s="520"/>
      <c r="EV48" s="520"/>
      <c r="EW48" s="520"/>
    </row>
    <row r="49" spans="1:153" s="521" customFormat="1" ht="15">
      <c r="A49" s="566" t="s">
        <v>3516</v>
      </c>
      <c r="B49" s="528"/>
      <c r="C49" s="520"/>
      <c r="D49" s="520"/>
      <c r="E49" s="520"/>
      <c r="F49" s="520"/>
      <c r="G49" s="520"/>
      <c r="H49" s="520"/>
      <c r="I49" s="520"/>
      <c r="J49" s="520"/>
      <c r="K49" s="520"/>
      <c r="L49" s="526"/>
      <c r="M49" s="526"/>
      <c r="N49" s="526"/>
      <c r="O49" s="526"/>
      <c r="P49" s="526"/>
      <c r="Q49" s="526"/>
      <c r="R49" s="526"/>
      <c r="S49" s="526"/>
      <c r="T49" s="526"/>
      <c r="U49" s="526"/>
      <c r="V49" s="526"/>
      <c r="W49" s="526"/>
      <c r="X49" s="526"/>
      <c r="Y49" s="526"/>
      <c r="Z49" s="526"/>
      <c r="AA49" s="526"/>
      <c r="AB49" s="520"/>
      <c r="AC49" s="520"/>
      <c r="AD49" s="520"/>
      <c r="AE49" s="520"/>
      <c r="AF49" s="520"/>
      <c r="AG49" s="520"/>
      <c r="AH49" s="520"/>
      <c r="AI49" s="520"/>
      <c r="AJ49" s="520"/>
      <c r="AK49" s="520"/>
      <c r="AL49" s="520"/>
      <c r="AM49" s="520"/>
      <c r="AN49" s="520"/>
      <c r="AO49" s="520"/>
      <c r="AP49" s="520"/>
      <c r="AQ49" s="520"/>
      <c r="AR49" s="520"/>
      <c r="AS49" s="520"/>
      <c r="AT49" s="520"/>
      <c r="AU49" s="520"/>
      <c r="AV49" s="520"/>
      <c r="AW49" s="520"/>
      <c r="AX49" s="520"/>
      <c r="AY49" s="520"/>
      <c r="AZ49" s="520"/>
      <c r="BA49" s="520"/>
      <c r="BB49" s="520"/>
      <c r="BC49" s="520"/>
      <c r="BD49" s="520"/>
      <c r="BE49" s="520"/>
      <c r="BF49" s="520"/>
      <c r="BG49" s="520"/>
      <c r="BH49" s="520"/>
      <c r="BI49" s="520"/>
      <c r="BJ49" s="520"/>
      <c r="BK49" s="520"/>
      <c r="BL49" s="520"/>
      <c r="BM49" s="520"/>
      <c r="BN49" s="520"/>
      <c r="BO49" s="520"/>
      <c r="BP49" s="520"/>
      <c r="BQ49" s="520"/>
      <c r="BR49" s="520"/>
      <c r="BS49" s="520"/>
      <c r="BT49" s="520"/>
      <c r="BU49" s="520"/>
      <c r="BV49" s="520"/>
      <c r="BW49" s="520"/>
      <c r="BX49" s="520"/>
      <c r="BY49" s="520"/>
      <c r="BZ49" s="520"/>
      <c r="CA49" s="520"/>
      <c r="CB49" s="520"/>
      <c r="CC49" s="520"/>
      <c r="CD49" s="520"/>
      <c r="CE49" s="520"/>
      <c r="CF49" s="520"/>
      <c r="CG49" s="520"/>
      <c r="CH49" s="520"/>
      <c r="CI49" s="520"/>
      <c r="CJ49" s="520"/>
      <c r="CK49" s="520"/>
      <c r="CL49" s="520"/>
      <c r="CM49" s="520"/>
      <c r="CN49" s="520"/>
      <c r="CO49" s="520"/>
      <c r="CP49" s="520"/>
      <c r="CQ49" s="520"/>
      <c r="CR49" s="520"/>
      <c r="CS49" s="520"/>
      <c r="CT49" s="520"/>
      <c r="CU49" s="520"/>
      <c r="CV49" s="520"/>
      <c r="CW49" s="520"/>
      <c r="CX49" s="520"/>
      <c r="CY49" s="520"/>
      <c r="CZ49" s="520"/>
      <c r="DA49" s="520"/>
      <c r="DB49" s="520"/>
      <c r="DC49" s="520"/>
      <c r="DD49" s="520"/>
      <c r="DE49" s="520"/>
      <c r="DF49" s="520"/>
      <c r="DG49" s="520"/>
      <c r="DH49" s="520"/>
      <c r="DI49" s="520"/>
      <c r="DJ49" s="520"/>
      <c r="DK49" s="520"/>
      <c r="DL49" s="520"/>
      <c r="DM49" s="520"/>
      <c r="DN49" s="520"/>
      <c r="DO49" s="520"/>
      <c r="DP49" s="520"/>
      <c r="DQ49" s="520"/>
      <c r="DR49" s="520"/>
      <c r="DS49" s="520"/>
      <c r="DT49" s="520"/>
      <c r="DU49" s="520"/>
      <c r="DV49" s="520"/>
      <c r="DW49" s="520"/>
      <c r="DX49" s="520"/>
      <c r="DY49" s="520"/>
      <c r="DZ49" s="520"/>
      <c r="EA49" s="520"/>
      <c r="EB49" s="520"/>
      <c r="EC49" s="520"/>
      <c r="ED49" s="520"/>
      <c r="EE49" s="520"/>
      <c r="EF49" s="520"/>
      <c r="EG49" s="520"/>
      <c r="EH49" s="520"/>
      <c r="EI49" s="520"/>
      <c r="EJ49" s="520"/>
      <c r="EK49" s="520"/>
      <c r="EL49" s="520"/>
      <c r="EM49" s="520"/>
      <c r="EN49" s="520"/>
      <c r="EO49" s="520"/>
      <c r="EP49" s="520"/>
      <c r="EQ49" s="520"/>
      <c r="ER49" s="520"/>
      <c r="ES49" s="520"/>
      <c r="ET49" s="520"/>
      <c r="EU49" s="520"/>
      <c r="EV49" s="520"/>
      <c r="EW49" s="520"/>
    </row>
    <row r="50" spans="1:153" s="532" customFormat="1" ht="15">
      <c r="A50" s="566" t="s">
        <v>3517</v>
      </c>
      <c r="B50" s="529"/>
      <c r="C50" s="530"/>
      <c r="D50" s="530"/>
      <c r="E50" s="530"/>
      <c r="F50" s="530"/>
      <c r="G50" s="530"/>
      <c r="H50" s="530"/>
      <c r="I50" s="530"/>
      <c r="J50" s="530"/>
      <c r="K50" s="530"/>
      <c r="L50" s="526"/>
      <c r="M50" s="526"/>
      <c r="N50" s="526"/>
      <c r="O50" s="526"/>
      <c r="P50" s="526"/>
      <c r="Q50" s="526"/>
      <c r="R50" s="526"/>
      <c r="S50" s="526"/>
      <c r="T50" s="526"/>
      <c r="U50" s="526"/>
      <c r="V50" s="526"/>
      <c r="W50" s="526"/>
      <c r="X50" s="526"/>
      <c r="Y50" s="526"/>
      <c r="Z50" s="526"/>
      <c r="AA50" s="526"/>
      <c r="AB50" s="530"/>
      <c r="AC50" s="530"/>
      <c r="AD50" s="530"/>
      <c r="AE50" s="530"/>
      <c r="AF50" s="530"/>
      <c r="AG50" s="530"/>
      <c r="AH50" s="530"/>
      <c r="AI50" s="530"/>
      <c r="AJ50" s="530"/>
      <c r="AK50" s="530"/>
      <c r="AL50" s="530"/>
      <c r="AM50" s="530"/>
      <c r="AN50" s="530"/>
      <c r="AO50" s="530"/>
      <c r="AP50" s="530"/>
      <c r="AQ50" s="530"/>
      <c r="AR50" s="530"/>
      <c r="AS50" s="530"/>
      <c r="AT50" s="530"/>
      <c r="AU50" s="530"/>
      <c r="AV50" s="530"/>
      <c r="AW50" s="530"/>
      <c r="AX50" s="530"/>
      <c r="AY50" s="530"/>
      <c r="AZ50" s="530"/>
      <c r="BA50" s="530"/>
      <c r="BB50" s="530"/>
      <c r="BC50" s="530"/>
      <c r="BD50" s="530"/>
      <c r="BE50" s="530"/>
      <c r="BF50" s="530"/>
      <c r="BG50" s="530"/>
      <c r="BH50" s="530"/>
      <c r="BI50" s="530"/>
      <c r="BJ50" s="530"/>
      <c r="BK50" s="530"/>
      <c r="BL50" s="530"/>
      <c r="BM50" s="530"/>
      <c r="BN50" s="530"/>
      <c r="BO50" s="530"/>
      <c r="BP50" s="530"/>
      <c r="BQ50" s="530"/>
      <c r="BR50" s="530"/>
      <c r="BS50" s="530"/>
      <c r="BT50" s="530"/>
      <c r="BU50" s="530"/>
      <c r="BV50" s="530"/>
      <c r="BW50" s="530"/>
      <c r="BX50" s="530"/>
      <c r="BY50" s="530"/>
      <c r="BZ50" s="530"/>
      <c r="CA50" s="530"/>
      <c r="CB50" s="530"/>
      <c r="CC50" s="530"/>
      <c r="CD50" s="530"/>
      <c r="CE50" s="530"/>
      <c r="CF50" s="530"/>
      <c r="CG50" s="530"/>
      <c r="CH50" s="530"/>
      <c r="CI50" s="530"/>
      <c r="CJ50" s="530"/>
      <c r="CK50" s="530"/>
      <c r="CL50" s="530"/>
      <c r="CM50" s="530"/>
      <c r="CN50" s="530"/>
      <c r="CO50" s="530"/>
      <c r="CP50" s="530"/>
      <c r="CQ50" s="530"/>
      <c r="CR50" s="530"/>
      <c r="CS50" s="530"/>
      <c r="CT50" s="530"/>
      <c r="CU50" s="530"/>
      <c r="CV50" s="530"/>
      <c r="CW50" s="530"/>
      <c r="CX50" s="530"/>
      <c r="CY50" s="530"/>
      <c r="CZ50" s="530"/>
      <c r="DA50" s="530"/>
      <c r="DB50" s="530"/>
      <c r="DC50" s="530"/>
      <c r="DD50" s="530"/>
      <c r="DE50" s="530"/>
      <c r="DF50" s="530"/>
      <c r="DG50" s="530"/>
      <c r="DH50" s="530"/>
      <c r="DI50" s="530"/>
      <c r="DJ50" s="530"/>
      <c r="DK50" s="530"/>
      <c r="DL50" s="530"/>
      <c r="DM50" s="530"/>
      <c r="DN50" s="530"/>
      <c r="DO50" s="530"/>
      <c r="DP50" s="530"/>
      <c r="DQ50" s="530"/>
      <c r="DR50" s="530"/>
      <c r="DS50" s="530"/>
      <c r="DT50" s="530"/>
      <c r="DU50" s="530"/>
      <c r="DV50" s="530"/>
      <c r="DW50" s="530"/>
      <c r="DX50" s="530"/>
      <c r="DY50" s="530"/>
      <c r="DZ50" s="530"/>
      <c r="EA50" s="530"/>
      <c r="EB50" s="530"/>
      <c r="EC50" s="530"/>
      <c r="ED50" s="530"/>
      <c r="EE50" s="530"/>
      <c r="EF50" s="530"/>
      <c r="EG50" s="530"/>
      <c r="EH50" s="530"/>
      <c r="EI50" s="530"/>
      <c r="EJ50" s="530"/>
      <c r="EK50" s="530"/>
      <c r="EL50" s="530"/>
      <c r="EM50" s="530"/>
      <c r="EN50" s="530"/>
      <c r="EO50" s="530"/>
      <c r="EP50" s="530"/>
      <c r="EQ50" s="530"/>
      <c r="ER50" s="530"/>
      <c r="ES50" s="530"/>
      <c r="ET50" s="530"/>
      <c r="EU50" s="530"/>
      <c r="EV50" s="530"/>
      <c r="EW50" s="530"/>
    </row>
    <row r="51" spans="1:153" s="521" customFormat="1" ht="15">
      <c r="A51" s="566" t="s">
        <v>3518</v>
      </c>
      <c r="B51" s="525"/>
      <c r="C51" s="520"/>
      <c r="D51" s="520"/>
      <c r="E51" s="520"/>
      <c r="F51" s="520"/>
      <c r="G51" s="520"/>
      <c r="H51" s="520"/>
      <c r="I51" s="520"/>
      <c r="J51" s="520"/>
      <c r="K51" s="520"/>
      <c r="L51" s="526"/>
      <c r="M51" s="526"/>
      <c r="N51" s="526"/>
      <c r="O51" s="526"/>
      <c r="P51" s="526"/>
      <c r="Q51" s="526"/>
      <c r="R51" s="526"/>
      <c r="S51" s="526"/>
      <c r="T51" s="526"/>
      <c r="U51" s="526"/>
      <c r="V51" s="526"/>
      <c r="W51" s="526"/>
      <c r="X51" s="526"/>
      <c r="Y51" s="526"/>
      <c r="Z51" s="526"/>
      <c r="AA51" s="526"/>
      <c r="AB51" s="520"/>
      <c r="AC51" s="520"/>
      <c r="AD51" s="520"/>
      <c r="AE51" s="520"/>
      <c r="AF51" s="520"/>
      <c r="AG51" s="520"/>
      <c r="AH51" s="520"/>
      <c r="AI51" s="520"/>
      <c r="AJ51" s="520"/>
      <c r="AK51" s="520"/>
      <c r="AL51" s="520"/>
      <c r="AM51" s="520"/>
      <c r="AN51" s="520"/>
      <c r="AO51" s="520"/>
      <c r="AP51" s="520"/>
      <c r="AQ51" s="520"/>
      <c r="AR51" s="520"/>
      <c r="AS51" s="520"/>
      <c r="AT51" s="520"/>
      <c r="AU51" s="520"/>
      <c r="AV51" s="520"/>
      <c r="AW51" s="520"/>
      <c r="AX51" s="520"/>
      <c r="AY51" s="520"/>
      <c r="AZ51" s="520"/>
      <c r="BA51" s="520"/>
      <c r="BB51" s="520"/>
      <c r="BC51" s="520"/>
      <c r="BD51" s="520"/>
      <c r="BE51" s="520"/>
      <c r="BF51" s="520"/>
      <c r="BG51" s="520"/>
      <c r="BH51" s="520"/>
      <c r="BI51" s="520"/>
      <c r="BJ51" s="520"/>
      <c r="BK51" s="520"/>
      <c r="BL51" s="520"/>
      <c r="BM51" s="520"/>
      <c r="BN51" s="520"/>
      <c r="BO51" s="520"/>
      <c r="BP51" s="520"/>
      <c r="BQ51" s="520"/>
      <c r="BR51" s="520"/>
      <c r="BS51" s="520"/>
      <c r="BT51" s="520"/>
      <c r="BU51" s="520"/>
      <c r="BV51" s="520"/>
      <c r="BW51" s="520"/>
      <c r="BX51" s="520"/>
      <c r="BY51" s="520"/>
      <c r="BZ51" s="520"/>
      <c r="CA51" s="520"/>
      <c r="CB51" s="520"/>
      <c r="CC51" s="520"/>
      <c r="CD51" s="520"/>
      <c r="CE51" s="520"/>
      <c r="CF51" s="520"/>
      <c r="CG51" s="520"/>
      <c r="CH51" s="520"/>
      <c r="CI51" s="520"/>
      <c r="CJ51" s="520"/>
      <c r="CK51" s="520"/>
      <c r="CL51" s="520"/>
      <c r="CM51" s="520"/>
      <c r="CN51" s="520"/>
      <c r="CO51" s="520"/>
      <c r="CP51" s="520"/>
      <c r="CQ51" s="520"/>
      <c r="CR51" s="520"/>
      <c r="CS51" s="520"/>
      <c r="CT51" s="520"/>
      <c r="CU51" s="520"/>
      <c r="CV51" s="520"/>
      <c r="CW51" s="520"/>
      <c r="CX51" s="520"/>
      <c r="CY51" s="520"/>
      <c r="CZ51" s="520"/>
      <c r="DA51" s="520"/>
      <c r="DB51" s="520"/>
      <c r="DC51" s="520"/>
      <c r="DD51" s="520"/>
      <c r="DE51" s="520"/>
      <c r="DF51" s="520"/>
      <c r="DG51" s="520"/>
      <c r="DH51" s="520"/>
      <c r="DI51" s="520"/>
      <c r="DJ51" s="520"/>
      <c r="DK51" s="520"/>
      <c r="DL51" s="520"/>
      <c r="DM51" s="520"/>
      <c r="DN51" s="520"/>
      <c r="DO51" s="520"/>
      <c r="DP51" s="520"/>
      <c r="DQ51" s="520"/>
      <c r="DR51" s="520"/>
      <c r="DS51" s="520"/>
      <c r="DT51" s="520"/>
      <c r="DU51" s="520"/>
      <c r="DV51" s="520"/>
      <c r="DW51" s="520"/>
      <c r="DX51" s="520"/>
      <c r="DY51" s="520"/>
      <c r="DZ51" s="520"/>
      <c r="EA51" s="520"/>
      <c r="EB51" s="520"/>
      <c r="EC51" s="520"/>
      <c r="ED51" s="520"/>
      <c r="EE51" s="520"/>
      <c r="EF51" s="520"/>
      <c r="EG51" s="520"/>
      <c r="EH51" s="520"/>
      <c r="EI51" s="520"/>
      <c r="EJ51" s="520"/>
      <c r="EK51" s="520"/>
      <c r="EL51" s="520"/>
      <c r="EM51" s="520"/>
      <c r="EN51" s="520"/>
      <c r="EO51" s="520"/>
      <c r="EP51" s="520"/>
      <c r="EQ51" s="520"/>
      <c r="ER51" s="520"/>
      <c r="ES51" s="520"/>
      <c r="ET51" s="520"/>
      <c r="EU51" s="520"/>
      <c r="EV51" s="520"/>
      <c r="EW51" s="520"/>
    </row>
    <row r="52" spans="1:153" s="521" customFormat="1" ht="15">
      <c r="A52" s="566"/>
      <c r="B52" s="519"/>
      <c r="C52" s="520"/>
      <c r="D52" s="520"/>
      <c r="E52" s="520"/>
      <c r="F52" s="520"/>
      <c r="G52" s="520"/>
      <c r="H52" s="520"/>
      <c r="I52" s="520"/>
      <c r="J52" s="520"/>
      <c r="K52" s="520"/>
      <c r="L52" s="526"/>
      <c r="M52" s="526"/>
      <c r="N52" s="526"/>
      <c r="O52" s="526"/>
      <c r="P52" s="526"/>
      <c r="Q52" s="526"/>
      <c r="R52" s="526"/>
      <c r="S52" s="526"/>
      <c r="T52" s="526"/>
      <c r="U52" s="526"/>
      <c r="V52" s="526"/>
      <c r="W52" s="526"/>
      <c r="X52" s="526"/>
      <c r="Y52" s="526"/>
      <c r="Z52" s="526"/>
      <c r="AA52" s="526"/>
      <c r="AB52" s="520"/>
      <c r="AC52" s="520"/>
      <c r="AD52" s="520"/>
      <c r="AE52" s="520"/>
      <c r="AF52" s="520"/>
      <c r="AG52" s="520"/>
      <c r="AH52" s="520"/>
      <c r="AI52" s="520"/>
      <c r="AJ52" s="520"/>
      <c r="AK52" s="520"/>
      <c r="AL52" s="520"/>
      <c r="AM52" s="520"/>
      <c r="AN52" s="520"/>
      <c r="AO52" s="520"/>
      <c r="AP52" s="520"/>
      <c r="AQ52" s="520"/>
      <c r="AR52" s="520"/>
      <c r="AS52" s="520"/>
      <c r="AT52" s="520"/>
      <c r="AU52" s="520"/>
      <c r="AV52" s="520"/>
      <c r="AW52" s="520"/>
      <c r="AX52" s="520"/>
      <c r="AY52" s="520"/>
      <c r="AZ52" s="520"/>
      <c r="BA52" s="520"/>
      <c r="BB52" s="520"/>
      <c r="BC52" s="520"/>
      <c r="BD52" s="520"/>
      <c r="BE52" s="520"/>
      <c r="BF52" s="520"/>
      <c r="BG52" s="520"/>
      <c r="BH52" s="520"/>
      <c r="BI52" s="520"/>
      <c r="BJ52" s="520"/>
      <c r="BK52" s="520"/>
      <c r="BL52" s="520"/>
      <c r="BM52" s="520"/>
      <c r="BN52" s="520"/>
      <c r="BO52" s="520"/>
      <c r="BP52" s="520"/>
      <c r="BQ52" s="520"/>
      <c r="BR52" s="520"/>
      <c r="BS52" s="520"/>
      <c r="BT52" s="520"/>
      <c r="BU52" s="520"/>
      <c r="BV52" s="520"/>
      <c r="BW52" s="520"/>
      <c r="BX52" s="520"/>
      <c r="BY52" s="520"/>
      <c r="BZ52" s="520"/>
      <c r="CA52" s="520"/>
      <c r="CB52" s="520"/>
      <c r="CC52" s="520"/>
      <c r="CD52" s="520"/>
      <c r="CE52" s="520"/>
      <c r="CF52" s="520"/>
      <c r="CG52" s="520"/>
      <c r="CH52" s="520"/>
      <c r="CI52" s="520"/>
      <c r="CJ52" s="520"/>
      <c r="CK52" s="520"/>
      <c r="CL52" s="520"/>
      <c r="CM52" s="520"/>
      <c r="CN52" s="520"/>
      <c r="CO52" s="520"/>
      <c r="CP52" s="520"/>
      <c r="CQ52" s="520"/>
      <c r="CR52" s="520"/>
      <c r="CS52" s="520"/>
      <c r="CT52" s="520"/>
      <c r="CU52" s="520"/>
      <c r="CV52" s="520"/>
      <c r="CW52" s="520"/>
      <c r="CX52" s="520"/>
      <c r="CY52" s="520"/>
      <c r="CZ52" s="520"/>
      <c r="DA52" s="520"/>
      <c r="DB52" s="520"/>
      <c r="DC52" s="520"/>
      <c r="DD52" s="520"/>
      <c r="DE52" s="520"/>
      <c r="DF52" s="520"/>
      <c r="DG52" s="520"/>
      <c r="DH52" s="520"/>
      <c r="DI52" s="520"/>
      <c r="DJ52" s="520"/>
      <c r="DK52" s="520"/>
      <c r="DL52" s="520"/>
      <c r="DM52" s="520"/>
      <c r="DN52" s="520"/>
      <c r="DO52" s="520"/>
      <c r="DP52" s="520"/>
      <c r="DQ52" s="520"/>
      <c r="DR52" s="520"/>
      <c r="DS52" s="520"/>
      <c r="DT52" s="520"/>
      <c r="DU52" s="520"/>
      <c r="DV52" s="520"/>
      <c r="DW52" s="520"/>
      <c r="DX52" s="520"/>
      <c r="DY52" s="520"/>
      <c r="DZ52" s="520"/>
      <c r="EA52" s="520"/>
      <c r="EB52" s="520"/>
      <c r="EC52" s="520"/>
      <c r="ED52" s="520"/>
      <c r="EE52" s="520"/>
      <c r="EF52" s="520"/>
      <c r="EG52" s="520"/>
      <c r="EH52" s="520"/>
      <c r="EI52" s="520"/>
      <c r="EJ52" s="520"/>
      <c r="EK52" s="520"/>
      <c r="EL52" s="520"/>
      <c r="EM52" s="520"/>
      <c r="EN52" s="520"/>
      <c r="EO52" s="520"/>
      <c r="EP52" s="520"/>
      <c r="EQ52" s="520"/>
      <c r="ER52" s="520"/>
      <c r="ES52" s="520"/>
      <c r="ET52" s="520"/>
      <c r="EU52" s="520"/>
      <c r="EV52" s="520"/>
      <c r="EW52" s="520"/>
    </row>
    <row r="53" spans="1:153" s="521" customFormat="1" ht="15">
      <c r="A53" s="566" t="s">
        <v>3526</v>
      </c>
      <c r="B53" s="525"/>
      <c r="C53" s="520"/>
      <c r="D53" s="520"/>
      <c r="E53" s="520"/>
      <c r="F53" s="520"/>
      <c r="G53" s="520"/>
      <c r="H53" s="520"/>
      <c r="I53" s="520"/>
      <c r="J53" s="520"/>
      <c r="K53" s="526">
        <v>2626</v>
      </c>
      <c r="L53" s="526">
        <v>2141</v>
      </c>
      <c r="M53" s="526">
        <v>45393</v>
      </c>
      <c r="N53" s="526" t="s">
        <v>3632</v>
      </c>
      <c r="O53" s="526">
        <v>270782</v>
      </c>
      <c r="P53" s="526">
        <v>297887</v>
      </c>
      <c r="Q53" s="526">
        <f>Valuation!R76*Q54</f>
        <v>298238.375</v>
      </c>
      <c r="R53" s="526" t="e">
        <f ca="1">Valuation!S76*R54</f>
        <v>#NAME?</v>
      </c>
      <c r="S53" s="526" t="e">
        <f ca="1">Valuation!T76*S54</f>
        <v>#NAME?</v>
      </c>
      <c r="T53" s="526" t="e">
        <f ca="1">Valuation!U76*T54</f>
        <v>#NAME?</v>
      </c>
      <c r="U53" s="526" t="e">
        <f ca="1">Valuation!V76*U54</f>
        <v>#NAME?</v>
      </c>
      <c r="V53" s="526" t="e">
        <f ca="1">Valuation!W76*V54</f>
        <v>#NAME?</v>
      </c>
      <c r="W53" s="526" t="e">
        <f ca="1">Valuation!X76*W54</f>
        <v>#NAME?</v>
      </c>
      <c r="X53" s="526" t="e">
        <f ca="1">Valuation!Y76*X54</f>
        <v>#NAME?</v>
      </c>
      <c r="Y53" s="526" t="e">
        <f ca="1">Valuation!Z76*Y54</f>
        <v>#NAME?</v>
      </c>
      <c r="Z53" s="526" t="e">
        <f ca="1">Valuation!AA76*Z54</f>
        <v>#NAME?</v>
      </c>
      <c r="AA53" s="526"/>
      <c r="AB53" s="520"/>
      <c r="AC53" s="520"/>
      <c r="AD53" s="520"/>
      <c r="AE53" s="520"/>
      <c r="AF53" s="520"/>
      <c r="AG53" s="520"/>
      <c r="AH53" s="520"/>
      <c r="AI53" s="520"/>
      <c r="AJ53" s="520"/>
      <c r="AK53" s="520"/>
      <c r="AL53" s="520"/>
      <c r="AM53" s="520"/>
      <c r="AN53" s="520"/>
      <c r="AO53" s="520"/>
      <c r="AP53" s="520"/>
      <c r="AQ53" s="520"/>
      <c r="AR53" s="520"/>
      <c r="AS53" s="520"/>
      <c r="AT53" s="520"/>
      <c r="AU53" s="520"/>
      <c r="AV53" s="520"/>
      <c r="AW53" s="520"/>
      <c r="AX53" s="520"/>
      <c r="AY53" s="520"/>
      <c r="AZ53" s="520"/>
      <c r="BA53" s="520"/>
      <c r="BB53" s="520"/>
      <c r="BC53" s="520"/>
      <c r="BD53" s="520"/>
      <c r="BE53" s="520"/>
      <c r="BF53" s="520"/>
      <c r="BG53" s="520"/>
      <c r="BH53" s="520"/>
      <c r="BI53" s="520"/>
      <c r="BJ53" s="520"/>
      <c r="BK53" s="520"/>
      <c r="BL53" s="520"/>
      <c r="BM53" s="520"/>
      <c r="BN53" s="520"/>
      <c r="BO53" s="520"/>
      <c r="BP53" s="520"/>
      <c r="BQ53" s="520"/>
      <c r="BR53" s="520"/>
      <c r="BS53" s="520"/>
      <c r="BT53" s="520"/>
      <c r="BU53" s="520"/>
      <c r="BV53" s="520"/>
      <c r="BW53" s="520"/>
      <c r="BX53" s="520"/>
      <c r="BY53" s="520"/>
      <c r="BZ53" s="520"/>
      <c r="CA53" s="520"/>
      <c r="CB53" s="520"/>
      <c r="CC53" s="520"/>
      <c r="CD53" s="520"/>
      <c r="CE53" s="520"/>
      <c r="CF53" s="520"/>
      <c r="CG53" s="520"/>
      <c r="CH53" s="520"/>
      <c r="CI53" s="520"/>
      <c r="CJ53" s="520"/>
      <c r="CK53" s="520"/>
      <c r="CL53" s="520"/>
      <c r="CM53" s="520"/>
      <c r="CN53" s="520"/>
      <c r="CO53" s="520"/>
      <c r="CP53" s="520"/>
      <c r="CQ53" s="520"/>
      <c r="CR53" s="520"/>
      <c r="CS53" s="520"/>
      <c r="CT53" s="520"/>
      <c r="CU53" s="520"/>
      <c r="CV53" s="520"/>
      <c r="CW53" s="520"/>
      <c r="CX53" s="520"/>
      <c r="CY53" s="520"/>
      <c r="CZ53" s="520"/>
      <c r="DA53" s="520"/>
      <c r="DB53" s="520"/>
      <c r="DC53" s="520"/>
      <c r="DD53" s="520"/>
      <c r="DE53" s="520"/>
      <c r="DF53" s="520"/>
      <c r="DG53" s="520"/>
      <c r="DH53" s="520"/>
      <c r="DI53" s="520"/>
      <c r="DJ53" s="520"/>
      <c r="DK53" s="520"/>
      <c r="DL53" s="520"/>
      <c r="DM53" s="520"/>
      <c r="DN53" s="520"/>
      <c r="DO53" s="520"/>
      <c r="DP53" s="520"/>
      <c r="DQ53" s="520"/>
      <c r="DR53" s="520"/>
      <c r="DS53" s="520"/>
      <c r="DT53" s="520"/>
      <c r="DU53" s="520"/>
      <c r="DV53" s="520"/>
      <c r="DW53" s="520"/>
      <c r="DX53" s="520"/>
      <c r="DY53" s="520"/>
      <c r="DZ53" s="520"/>
      <c r="EA53" s="520"/>
      <c r="EB53" s="520"/>
      <c r="EC53" s="520"/>
      <c r="ED53" s="520"/>
      <c r="EE53" s="520"/>
      <c r="EF53" s="520"/>
      <c r="EG53" s="520"/>
      <c r="EH53" s="520"/>
      <c r="EI53" s="520"/>
      <c r="EJ53" s="520"/>
      <c r="EK53" s="520"/>
      <c r="EL53" s="520"/>
      <c r="EM53" s="520"/>
      <c r="EN53" s="520"/>
      <c r="EO53" s="520"/>
      <c r="EP53" s="520"/>
      <c r="EQ53" s="520"/>
      <c r="ER53" s="520"/>
      <c r="ES53" s="520"/>
      <c r="ET53" s="520"/>
      <c r="EU53" s="520"/>
      <c r="EV53" s="520"/>
      <c r="EW53" s="520"/>
    </row>
    <row r="54" spans="1:153" s="532" customFormat="1" ht="15">
      <c r="A54" s="566"/>
      <c r="B54" s="529"/>
      <c r="C54" s="530"/>
      <c r="D54" s="530"/>
      <c r="E54" s="530"/>
      <c r="F54" s="530"/>
      <c r="G54" s="530"/>
      <c r="H54" s="530"/>
      <c r="I54" s="530"/>
      <c r="J54" s="530"/>
      <c r="K54" s="530"/>
      <c r="L54" s="526"/>
      <c r="M54" s="526"/>
      <c r="N54" s="526"/>
      <c r="O54" s="526"/>
      <c r="P54" s="526"/>
      <c r="Q54" s="535">
        <v>2.5000000000000001E-2</v>
      </c>
      <c r="R54" s="535">
        <v>2.5000000000000001E-2</v>
      </c>
      <c r="S54" s="535">
        <v>2.5000000000000001E-2</v>
      </c>
      <c r="T54" s="535">
        <v>2.5000000000000001E-2</v>
      </c>
      <c r="U54" s="535">
        <v>2.5000000000000001E-2</v>
      </c>
      <c r="V54" s="535">
        <v>2.5000000000000001E-2</v>
      </c>
      <c r="W54" s="535">
        <v>2.5000000000000001E-2</v>
      </c>
      <c r="X54" s="535">
        <v>2.5000000000000001E-2</v>
      </c>
      <c r="Y54" s="535">
        <v>2.5000000000000001E-2</v>
      </c>
      <c r="Z54" s="535">
        <v>2.5000000000000001E-2</v>
      </c>
      <c r="AA54" s="526"/>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c r="BY54" s="530"/>
      <c r="BZ54" s="530"/>
      <c r="CA54" s="530"/>
      <c r="CB54" s="530"/>
      <c r="CC54" s="530"/>
      <c r="CD54" s="530"/>
      <c r="CE54" s="530"/>
      <c r="CF54" s="530"/>
      <c r="CG54" s="530"/>
      <c r="CH54" s="530"/>
      <c r="CI54" s="530"/>
      <c r="CJ54" s="530"/>
      <c r="CK54" s="530"/>
      <c r="CL54" s="530"/>
      <c r="CM54" s="530"/>
      <c r="CN54" s="530"/>
      <c r="CO54" s="530"/>
      <c r="CP54" s="530"/>
      <c r="CQ54" s="530"/>
      <c r="CR54" s="530"/>
      <c r="CS54" s="530"/>
      <c r="CT54" s="530"/>
      <c r="CU54" s="530"/>
      <c r="CV54" s="530"/>
      <c r="CW54" s="530"/>
      <c r="CX54" s="530"/>
      <c r="CY54" s="530"/>
      <c r="CZ54" s="530"/>
      <c r="DA54" s="530"/>
      <c r="DB54" s="530"/>
      <c r="DC54" s="530"/>
      <c r="DD54" s="530"/>
      <c r="DE54" s="530"/>
      <c r="DF54" s="530"/>
      <c r="DG54" s="530"/>
      <c r="DH54" s="530"/>
      <c r="DI54" s="530"/>
      <c r="DJ54" s="530"/>
      <c r="DK54" s="530"/>
      <c r="DL54" s="530"/>
      <c r="DM54" s="530"/>
      <c r="DN54" s="530"/>
      <c r="DO54" s="530"/>
      <c r="DP54" s="530"/>
      <c r="DQ54" s="530"/>
      <c r="DR54" s="530"/>
      <c r="DS54" s="530"/>
      <c r="DT54" s="530"/>
      <c r="DU54" s="530"/>
      <c r="DV54" s="530"/>
      <c r="DW54" s="530"/>
      <c r="DX54" s="530"/>
      <c r="DY54" s="530"/>
      <c r="DZ54" s="530"/>
      <c r="EA54" s="530"/>
      <c r="EB54" s="530"/>
      <c r="EC54" s="530"/>
      <c r="ED54" s="530"/>
      <c r="EE54" s="530"/>
      <c r="EF54" s="530"/>
      <c r="EG54" s="530"/>
      <c r="EH54" s="530"/>
      <c r="EI54" s="530"/>
      <c r="EJ54" s="530"/>
      <c r="EK54" s="530"/>
      <c r="EL54" s="530"/>
      <c r="EM54" s="530"/>
      <c r="EN54" s="530"/>
      <c r="EO54" s="530"/>
      <c r="EP54" s="530"/>
      <c r="EQ54" s="530"/>
      <c r="ER54" s="530"/>
      <c r="ES54" s="530"/>
      <c r="ET54" s="530"/>
      <c r="EU54" s="530"/>
      <c r="EV54" s="530"/>
      <c r="EW54" s="530"/>
    </row>
    <row r="55" spans="1:153" s="521" customFormat="1" ht="15">
      <c r="A55" s="566"/>
      <c r="B55" s="519"/>
      <c r="C55" s="520"/>
      <c r="D55" s="520"/>
      <c r="E55" s="520"/>
      <c r="F55" s="520"/>
      <c r="G55" s="520"/>
      <c r="H55" s="520"/>
      <c r="I55" s="520"/>
      <c r="J55" s="520"/>
      <c r="K55" s="520"/>
      <c r="L55" s="526"/>
      <c r="M55" s="526"/>
      <c r="N55" s="526"/>
      <c r="O55" s="526"/>
      <c r="P55" s="526"/>
      <c r="Q55" s="526"/>
      <c r="R55" s="526"/>
      <c r="S55" s="526"/>
      <c r="T55" s="526"/>
      <c r="U55" s="526"/>
      <c r="V55" s="526"/>
      <c r="W55" s="526"/>
      <c r="X55" s="526"/>
      <c r="Y55" s="526"/>
      <c r="Z55" s="526"/>
      <c r="AA55" s="526"/>
      <c r="AB55" s="520"/>
      <c r="AC55" s="520"/>
      <c r="AD55" s="520"/>
      <c r="AE55" s="520"/>
      <c r="AF55" s="520"/>
      <c r="AG55" s="520"/>
      <c r="AH55" s="520"/>
      <c r="AI55" s="520"/>
      <c r="AJ55" s="520"/>
      <c r="AK55" s="520"/>
      <c r="AL55" s="520"/>
      <c r="AM55" s="520"/>
      <c r="AN55" s="520"/>
      <c r="AO55" s="520"/>
      <c r="AP55" s="520"/>
      <c r="AQ55" s="520"/>
      <c r="AR55" s="520"/>
      <c r="AS55" s="520"/>
      <c r="AT55" s="520"/>
      <c r="AU55" s="520"/>
      <c r="AV55" s="520"/>
      <c r="AW55" s="520"/>
      <c r="AX55" s="520"/>
      <c r="AY55" s="520"/>
      <c r="AZ55" s="520"/>
      <c r="BA55" s="520"/>
      <c r="BB55" s="520"/>
      <c r="BC55" s="520"/>
      <c r="BD55" s="520"/>
      <c r="BE55" s="520"/>
      <c r="BF55" s="520"/>
      <c r="BG55" s="520"/>
      <c r="BH55" s="520"/>
      <c r="BI55" s="520"/>
      <c r="BJ55" s="520"/>
      <c r="BK55" s="520"/>
      <c r="BL55" s="520"/>
      <c r="BM55" s="520"/>
      <c r="BN55" s="520"/>
      <c r="BO55" s="520"/>
      <c r="BP55" s="520"/>
      <c r="BQ55" s="520"/>
      <c r="BR55" s="520"/>
      <c r="BS55" s="520"/>
      <c r="BT55" s="520"/>
      <c r="BU55" s="520"/>
      <c r="BV55" s="520"/>
      <c r="BW55" s="520"/>
      <c r="BX55" s="520"/>
      <c r="BY55" s="520"/>
      <c r="BZ55" s="520"/>
      <c r="CA55" s="520"/>
      <c r="CB55" s="520"/>
      <c r="CC55" s="520"/>
      <c r="CD55" s="520"/>
      <c r="CE55" s="520"/>
      <c r="CF55" s="520"/>
      <c r="CG55" s="520"/>
      <c r="CH55" s="520"/>
      <c r="CI55" s="520"/>
      <c r="CJ55" s="520"/>
      <c r="CK55" s="520"/>
      <c r="CL55" s="520"/>
      <c r="CM55" s="520"/>
      <c r="CN55" s="520"/>
      <c r="CO55" s="520"/>
      <c r="CP55" s="520"/>
      <c r="CQ55" s="520"/>
      <c r="CR55" s="520"/>
      <c r="CS55" s="520"/>
      <c r="CT55" s="520"/>
      <c r="CU55" s="520"/>
      <c r="CV55" s="520"/>
      <c r="CW55" s="520"/>
      <c r="CX55" s="520"/>
      <c r="CY55" s="520"/>
      <c r="CZ55" s="520"/>
      <c r="DA55" s="520"/>
      <c r="DB55" s="520"/>
      <c r="DC55" s="520"/>
      <c r="DD55" s="520"/>
      <c r="DE55" s="520"/>
      <c r="DF55" s="520"/>
      <c r="DG55" s="520"/>
      <c r="DH55" s="520"/>
      <c r="DI55" s="520"/>
      <c r="DJ55" s="520"/>
      <c r="DK55" s="520"/>
      <c r="DL55" s="520"/>
      <c r="DM55" s="520"/>
      <c r="DN55" s="520"/>
      <c r="DO55" s="520"/>
      <c r="DP55" s="520"/>
      <c r="DQ55" s="520"/>
      <c r="DR55" s="520"/>
      <c r="DS55" s="520"/>
      <c r="DT55" s="520"/>
      <c r="DU55" s="520"/>
      <c r="DV55" s="520"/>
      <c r="DW55" s="520"/>
      <c r="DX55" s="520"/>
      <c r="DY55" s="520"/>
      <c r="DZ55" s="520"/>
      <c r="EA55" s="520"/>
      <c r="EB55" s="520"/>
      <c r="EC55" s="520"/>
      <c r="ED55" s="520"/>
      <c r="EE55" s="520"/>
      <c r="EF55" s="520"/>
      <c r="EG55" s="520"/>
      <c r="EH55" s="520"/>
      <c r="EI55" s="520"/>
      <c r="EJ55" s="520"/>
      <c r="EK55" s="520"/>
      <c r="EL55" s="520"/>
      <c r="EM55" s="520"/>
      <c r="EN55" s="520"/>
      <c r="EO55" s="520"/>
      <c r="EP55" s="520"/>
      <c r="EQ55" s="520"/>
      <c r="ER55" s="520"/>
      <c r="ES55" s="520"/>
      <c r="ET55" s="520"/>
      <c r="EU55" s="520"/>
      <c r="EV55" s="520"/>
      <c r="EW55" s="520"/>
    </row>
    <row r="56" spans="1:153" s="521" customFormat="1">
      <c r="A56" s="686"/>
      <c r="B56" s="525"/>
      <c r="C56" s="520"/>
      <c r="D56" s="520"/>
      <c r="E56" s="520"/>
      <c r="F56" s="520"/>
      <c r="G56" s="520"/>
      <c r="H56" s="520"/>
      <c r="I56" s="520"/>
      <c r="J56" s="520"/>
      <c r="K56" s="520"/>
      <c r="L56" s="526"/>
      <c r="M56" s="526"/>
      <c r="N56" s="526"/>
      <c r="O56" s="526"/>
      <c r="P56" s="526"/>
      <c r="Q56" s="526"/>
      <c r="R56" s="526"/>
      <c r="S56" s="526"/>
      <c r="T56" s="526"/>
      <c r="U56" s="526"/>
      <c r="V56" s="526"/>
      <c r="W56" s="526"/>
      <c r="X56" s="526"/>
      <c r="Y56" s="526"/>
      <c r="Z56" s="526"/>
      <c r="AA56" s="526"/>
      <c r="AB56" s="520"/>
      <c r="AC56" s="520"/>
      <c r="AD56" s="520"/>
      <c r="AE56" s="520"/>
      <c r="AF56" s="520"/>
      <c r="AG56" s="520"/>
      <c r="AH56" s="520"/>
      <c r="AI56" s="520"/>
      <c r="AJ56" s="520"/>
      <c r="AK56" s="520"/>
      <c r="AL56" s="520"/>
      <c r="AM56" s="520"/>
      <c r="AN56" s="520"/>
      <c r="AO56" s="520"/>
      <c r="AP56" s="520"/>
      <c r="AQ56" s="520"/>
      <c r="AR56" s="520"/>
      <c r="AS56" s="520"/>
      <c r="AT56" s="520"/>
      <c r="AU56" s="520"/>
      <c r="AV56" s="520"/>
      <c r="AW56" s="520"/>
      <c r="AX56" s="520"/>
      <c r="AY56" s="520"/>
      <c r="AZ56" s="520"/>
      <c r="BA56" s="520"/>
      <c r="BB56" s="520"/>
      <c r="BC56" s="520"/>
      <c r="BD56" s="520"/>
      <c r="BE56" s="520"/>
      <c r="BF56" s="520"/>
      <c r="BG56" s="520"/>
      <c r="BH56" s="520"/>
      <c r="BI56" s="520"/>
      <c r="BJ56" s="520"/>
      <c r="BK56" s="520"/>
      <c r="BL56" s="520"/>
      <c r="BM56" s="520"/>
      <c r="BN56" s="520"/>
      <c r="BO56" s="520"/>
      <c r="BP56" s="520"/>
      <c r="BQ56" s="520"/>
      <c r="BR56" s="520"/>
      <c r="BS56" s="520"/>
      <c r="BT56" s="520"/>
      <c r="BU56" s="520"/>
      <c r="BV56" s="520"/>
      <c r="BW56" s="520"/>
      <c r="BX56" s="520"/>
      <c r="BY56" s="520"/>
      <c r="BZ56" s="520"/>
      <c r="CA56" s="520"/>
      <c r="CB56" s="520"/>
      <c r="CC56" s="520"/>
      <c r="CD56" s="520"/>
      <c r="CE56" s="520"/>
      <c r="CF56" s="520"/>
      <c r="CG56" s="520"/>
      <c r="CH56" s="520"/>
      <c r="CI56" s="520"/>
      <c r="CJ56" s="520"/>
      <c r="CK56" s="520"/>
      <c r="CL56" s="520"/>
      <c r="CM56" s="520"/>
      <c r="CN56" s="520"/>
      <c r="CO56" s="520"/>
      <c r="CP56" s="520"/>
      <c r="CQ56" s="520"/>
      <c r="CR56" s="520"/>
      <c r="CS56" s="520"/>
      <c r="CT56" s="520"/>
      <c r="CU56" s="520"/>
      <c r="CV56" s="520"/>
      <c r="CW56" s="520"/>
      <c r="CX56" s="520"/>
      <c r="CY56" s="520"/>
      <c r="CZ56" s="520"/>
      <c r="DA56" s="520"/>
      <c r="DB56" s="520"/>
      <c r="DC56" s="520"/>
      <c r="DD56" s="520"/>
      <c r="DE56" s="520"/>
      <c r="DF56" s="520"/>
      <c r="DG56" s="520"/>
      <c r="DH56" s="520"/>
      <c r="DI56" s="520"/>
      <c r="DJ56" s="520"/>
      <c r="DK56" s="520"/>
      <c r="DL56" s="520"/>
      <c r="DM56" s="520"/>
      <c r="DN56" s="520"/>
      <c r="DO56" s="520"/>
      <c r="DP56" s="520"/>
      <c r="DQ56" s="520"/>
      <c r="DR56" s="520"/>
      <c r="DS56" s="520"/>
      <c r="DT56" s="520"/>
      <c r="DU56" s="520"/>
      <c r="DV56" s="520"/>
      <c r="DW56" s="520"/>
      <c r="DX56" s="520"/>
      <c r="DY56" s="520"/>
      <c r="DZ56" s="520"/>
      <c r="EA56" s="520"/>
      <c r="EB56" s="520"/>
      <c r="EC56" s="520"/>
      <c r="ED56" s="520"/>
      <c r="EE56" s="520"/>
      <c r="EF56" s="520"/>
      <c r="EG56" s="520"/>
      <c r="EH56" s="520"/>
      <c r="EI56" s="520"/>
      <c r="EJ56" s="520"/>
      <c r="EK56" s="520"/>
      <c r="EL56" s="520"/>
      <c r="EM56" s="520"/>
      <c r="EN56" s="520"/>
      <c r="EO56" s="520"/>
      <c r="EP56" s="520"/>
      <c r="EQ56" s="520"/>
      <c r="ER56" s="520"/>
      <c r="ES56" s="520"/>
      <c r="ET56" s="520"/>
      <c r="EU56" s="520"/>
      <c r="EV56" s="520"/>
      <c r="EW56" s="520"/>
    </row>
    <row r="57" spans="1:153" s="521" customFormat="1" ht="16">
      <c r="A57" s="693" t="s">
        <v>3527</v>
      </c>
      <c r="B57" s="528"/>
      <c r="C57" s="520"/>
      <c r="D57" s="520"/>
      <c r="E57" s="520"/>
      <c r="F57" s="520"/>
      <c r="G57" s="520"/>
      <c r="H57" s="520"/>
      <c r="I57" s="520"/>
      <c r="J57" s="520"/>
      <c r="K57" s="520"/>
      <c r="L57" s="526"/>
      <c r="M57" s="526"/>
      <c r="N57" s="526"/>
      <c r="O57" s="526"/>
      <c r="P57" s="526"/>
      <c r="Q57" s="526"/>
      <c r="R57" s="526"/>
      <c r="S57" s="526"/>
      <c r="T57" s="526"/>
      <c r="U57" s="526"/>
      <c r="V57" s="526"/>
      <c r="W57" s="526"/>
      <c r="X57" s="526"/>
      <c r="Y57" s="526"/>
      <c r="Z57" s="526"/>
      <c r="AA57" s="526"/>
      <c r="AB57" s="520"/>
      <c r="AC57" s="520"/>
      <c r="AD57" s="520"/>
      <c r="AE57" s="520"/>
      <c r="AF57" s="520"/>
      <c r="AG57" s="520"/>
      <c r="AH57" s="520"/>
      <c r="AI57" s="520"/>
      <c r="AJ57" s="520"/>
      <c r="AK57" s="520"/>
      <c r="AL57" s="520"/>
      <c r="AM57" s="520"/>
      <c r="AN57" s="520"/>
      <c r="AO57" s="520"/>
      <c r="AP57" s="520"/>
      <c r="AQ57" s="520"/>
      <c r="AR57" s="520"/>
      <c r="AS57" s="520"/>
      <c r="AT57" s="520"/>
      <c r="AU57" s="520"/>
      <c r="AV57" s="520"/>
      <c r="AW57" s="520"/>
      <c r="AX57" s="520"/>
      <c r="AY57" s="520"/>
      <c r="AZ57" s="520"/>
      <c r="BA57" s="520"/>
      <c r="BB57" s="520"/>
      <c r="BC57" s="520"/>
      <c r="BD57" s="520"/>
      <c r="BE57" s="520"/>
      <c r="BF57" s="520"/>
      <c r="BG57" s="520"/>
      <c r="BH57" s="520"/>
      <c r="BI57" s="520"/>
      <c r="BJ57" s="520"/>
      <c r="BK57" s="520"/>
      <c r="BL57" s="520"/>
      <c r="BM57" s="520"/>
      <c r="BN57" s="520"/>
      <c r="BO57" s="520"/>
      <c r="BP57" s="520"/>
      <c r="BQ57" s="520"/>
      <c r="BR57" s="520"/>
      <c r="BS57" s="520"/>
      <c r="BT57" s="520"/>
      <c r="BU57" s="520"/>
      <c r="BV57" s="520"/>
      <c r="BW57" s="520"/>
      <c r="BX57" s="520"/>
      <c r="BY57" s="520"/>
      <c r="BZ57" s="520"/>
      <c r="CA57" s="520"/>
      <c r="CB57" s="520"/>
      <c r="CC57" s="520"/>
      <c r="CD57" s="520"/>
      <c r="CE57" s="520"/>
      <c r="CF57" s="520"/>
      <c r="CG57" s="520"/>
      <c r="CH57" s="520"/>
      <c r="CI57" s="520"/>
      <c r="CJ57" s="520"/>
      <c r="CK57" s="520"/>
      <c r="CL57" s="520"/>
      <c r="CM57" s="520"/>
      <c r="CN57" s="520"/>
      <c r="CO57" s="520"/>
      <c r="CP57" s="520"/>
      <c r="CQ57" s="520"/>
      <c r="CR57" s="520"/>
      <c r="CS57" s="520"/>
      <c r="CT57" s="520"/>
      <c r="CU57" s="520"/>
      <c r="CV57" s="520"/>
      <c r="CW57" s="520"/>
      <c r="CX57" s="520"/>
      <c r="CY57" s="520"/>
      <c r="CZ57" s="520"/>
      <c r="DA57" s="520"/>
      <c r="DB57" s="520"/>
      <c r="DC57" s="520"/>
      <c r="DD57" s="520"/>
      <c r="DE57" s="520"/>
      <c r="DF57" s="520"/>
      <c r="DG57" s="520"/>
      <c r="DH57" s="520"/>
      <c r="DI57" s="520"/>
      <c r="DJ57" s="520"/>
      <c r="DK57" s="520"/>
      <c r="DL57" s="520"/>
      <c r="DM57" s="520"/>
      <c r="DN57" s="520"/>
      <c r="DO57" s="520"/>
      <c r="DP57" s="520"/>
      <c r="DQ57" s="520"/>
      <c r="DR57" s="520"/>
      <c r="DS57" s="520"/>
      <c r="DT57" s="520"/>
      <c r="DU57" s="520"/>
      <c r="DV57" s="520"/>
      <c r="DW57" s="520"/>
      <c r="DX57" s="520"/>
      <c r="DY57" s="520"/>
      <c r="DZ57" s="520"/>
      <c r="EA57" s="520"/>
      <c r="EB57" s="520"/>
      <c r="EC57" s="520"/>
      <c r="ED57" s="520"/>
      <c r="EE57" s="520"/>
      <c r="EF57" s="520"/>
      <c r="EG57" s="520"/>
      <c r="EH57" s="520"/>
      <c r="EI57" s="520"/>
      <c r="EJ57" s="520"/>
      <c r="EK57" s="520"/>
      <c r="EL57" s="520"/>
      <c r="EM57" s="520"/>
      <c r="EN57" s="520"/>
      <c r="EO57" s="520"/>
      <c r="EP57" s="520"/>
      <c r="EQ57" s="520"/>
      <c r="ER57" s="520"/>
      <c r="ES57" s="520"/>
      <c r="ET57" s="520"/>
      <c r="EU57" s="520"/>
      <c r="EV57" s="520"/>
      <c r="EW57" s="520"/>
    </row>
    <row r="58" spans="1:153" s="521" customFormat="1">
      <c r="A58" s="686"/>
      <c r="B58" s="525"/>
      <c r="C58" s="520"/>
      <c r="D58" s="520"/>
      <c r="E58" s="520"/>
      <c r="F58" s="520"/>
      <c r="G58" s="520"/>
      <c r="H58" s="520"/>
      <c r="I58" s="520"/>
      <c r="J58" s="520"/>
      <c r="K58" s="520"/>
      <c r="L58" s="526"/>
      <c r="M58" s="526"/>
      <c r="N58" s="526"/>
      <c r="O58" s="526"/>
      <c r="P58" s="526"/>
      <c r="Q58" s="526"/>
      <c r="R58" s="526"/>
      <c r="S58" s="526"/>
      <c r="T58" s="526"/>
      <c r="U58" s="526"/>
      <c r="V58" s="526"/>
      <c r="W58" s="526"/>
      <c r="X58" s="526"/>
      <c r="Y58" s="526"/>
      <c r="Z58" s="526"/>
      <c r="AA58" s="526"/>
      <c r="AB58" s="520"/>
      <c r="AC58" s="520"/>
      <c r="AD58" s="520"/>
      <c r="AE58" s="520"/>
      <c r="AF58" s="520"/>
      <c r="AG58" s="520"/>
      <c r="AH58" s="520"/>
      <c r="AI58" s="520"/>
      <c r="AJ58" s="520"/>
      <c r="AK58" s="520"/>
      <c r="AL58" s="520"/>
      <c r="AM58" s="520"/>
      <c r="AN58" s="520"/>
      <c r="AO58" s="520"/>
      <c r="AP58" s="520"/>
      <c r="AQ58" s="520"/>
      <c r="AR58" s="520"/>
      <c r="AS58" s="520"/>
      <c r="AT58" s="520"/>
      <c r="AU58" s="520"/>
      <c r="AV58" s="520"/>
      <c r="AW58" s="520"/>
      <c r="AX58" s="520"/>
      <c r="AY58" s="520"/>
      <c r="AZ58" s="520"/>
      <c r="BA58" s="520"/>
      <c r="BB58" s="520"/>
      <c r="BC58" s="520"/>
      <c r="BD58" s="520"/>
      <c r="BE58" s="520"/>
      <c r="BF58" s="520"/>
      <c r="BG58" s="520"/>
      <c r="BH58" s="520"/>
      <c r="BI58" s="520"/>
      <c r="BJ58" s="520"/>
      <c r="BK58" s="520"/>
      <c r="BL58" s="520"/>
      <c r="BM58" s="520"/>
      <c r="BN58" s="520"/>
      <c r="BO58" s="520"/>
      <c r="BP58" s="520"/>
      <c r="BQ58" s="520"/>
      <c r="BR58" s="520"/>
      <c r="BS58" s="520"/>
      <c r="BT58" s="520"/>
      <c r="BU58" s="520"/>
      <c r="BV58" s="520"/>
      <c r="BW58" s="520"/>
      <c r="BX58" s="520"/>
      <c r="BY58" s="520"/>
      <c r="BZ58" s="520"/>
      <c r="CA58" s="520"/>
      <c r="CB58" s="520"/>
      <c r="CC58" s="520"/>
      <c r="CD58" s="520"/>
      <c r="CE58" s="520"/>
      <c r="CF58" s="520"/>
      <c r="CG58" s="520"/>
      <c r="CH58" s="520"/>
      <c r="CI58" s="520"/>
      <c r="CJ58" s="520"/>
      <c r="CK58" s="520"/>
      <c r="CL58" s="520"/>
      <c r="CM58" s="520"/>
      <c r="CN58" s="520"/>
      <c r="CO58" s="520"/>
      <c r="CP58" s="520"/>
      <c r="CQ58" s="520"/>
      <c r="CR58" s="520"/>
      <c r="CS58" s="520"/>
      <c r="CT58" s="520"/>
      <c r="CU58" s="520"/>
      <c r="CV58" s="520"/>
      <c r="CW58" s="520"/>
      <c r="CX58" s="520"/>
      <c r="CY58" s="520"/>
      <c r="CZ58" s="520"/>
      <c r="DA58" s="520"/>
      <c r="DB58" s="520"/>
      <c r="DC58" s="520"/>
      <c r="DD58" s="520"/>
      <c r="DE58" s="520"/>
      <c r="DF58" s="520"/>
      <c r="DG58" s="520"/>
      <c r="DH58" s="520"/>
      <c r="DI58" s="520"/>
      <c r="DJ58" s="520"/>
      <c r="DK58" s="520"/>
      <c r="DL58" s="520"/>
      <c r="DM58" s="520"/>
      <c r="DN58" s="520"/>
      <c r="DO58" s="520"/>
      <c r="DP58" s="520"/>
      <c r="DQ58" s="520"/>
      <c r="DR58" s="520"/>
      <c r="DS58" s="520"/>
      <c r="DT58" s="520"/>
      <c r="DU58" s="520"/>
      <c r="DV58" s="520"/>
      <c r="DW58" s="520"/>
      <c r="DX58" s="520"/>
      <c r="DY58" s="520"/>
      <c r="DZ58" s="520"/>
      <c r="EA58" s="520"/>
      <c r="EB58" s="520"/>
      <c r="EC58" s="520"/>
      <c r="ED58" s="520"/>
      <c r="EE58" s="520"/>
      <c r="EF58" s="520"/>
      <c r="EG58" s="520"/>
      <c r="EH58" s="520"/>
      <c r="EI58" s="520"/>
      <c r="EJ58" s="520"/>
      <c r="EK58" s="520"/>
      <c r="EL58" s="520"/>
      <c r="EM58" s="520"/>
      <c r="EN58" s="520"/>
      <c r="EO58" s="520"/>
      <c r="EP58" s="520"/>
      <c r="EQ58" s="520"/>
      <c r="ER58" s="520"/>
      <c r="ES58" s="520"/>
      <c r="ET58" s="520"/>
      <c r="EU58" s="520"/>
      <c r="EV58" s="520"/>
      <c r="EW58" s="520"/>
    </row>
    <row r="59" spans="1:153" s="521" customFormat="1" ht="15">
      <c r="A59" s="691" t="s">
        <v>3528</v>
      </c>
      <c r="B59" s="519"/>
      <c r="C59" s="520"/>
      <c r="D59" s="520"/>
      <c r="E59" s="520"/>
      <c r="F59" s="520"/>
      <c r="G59" s="520"/>
      <c r="H59" s="520"/>
      <c r="I59" s="520"/>
      <c r="J59" s="520"/>
      <c r="K59" s="520"/>
      <c r="L59" s="526"/>
      <c r="M59" s="526"/>
      <c r="N59" s="526"/>
      <c r="O59" s="526"/>
      <c r="P59" s="526"/>
      <c r="Q59" s="526"/>
      <c r="R59" s="526"/>
      <c r="S59" s="526"/>
      <c r="T59" s="526"/>
      <c r="U59" s="526"/>
      <c r="V59" s="526"/>
      <c r="W59" s="526"/>
      <c r="X59" s="526"/>
      <c r="Y59" s="526"/>
      <c r="Z59" s="526"/>
      <c r="AA59" s="526"/>
      <c r="AB59" s="520"/>
      <c r="AC59" s="520"/>
      <c r="AD59" s="520"/>
      <c r="AE59" s="520"/>
      <c r="AF59" s="520"/>
      <c r="AG59" s="520"/>
      <c r="AH59" s="520"/>
      <c r="AI59" s="520"/>
      <c r="AJ59" s="520"/>
      <c r="AK59" s="520"/>
      <c r="AL59" s="520"/>
      <c r="AM59" s="520"/>
      <c r="AN59" s="520"/>
      <c r="AO59" s="520"/>
      <c r="AP59" s="520"/>
      <c r="AQ59" s="520"/>
      <c r="AR59" s="520"/>
      <c r="AS59" s="520"/>
      <c r="AT59" s="520"/>
      <c r="AU59" s="520"/>
      <c r="AV59" s="520"/>
      <c r="AW59" s="520"/>
      <c r="AX59" s="520"/>
      <c r="AY59" s="520"/>
      <c r="AZ59" s="520"/>
      <c r="BA59" s="520"/>
      <c r="BB59" s="520"/>
      <c r="BC59" s="520"/>
      <c r="BD59" s="520"/>
      <c r="BE59" s="520"/>
      <c r="BF59" s="520"/>
      <c r="BG59" s="520"/>
      <c r="BH59" s="520"/>
      <c r="BI59" s="520"/>
      <c r="BJ59" s="520"/>
      <c r="BK59" s="520"/>
      <c r="BL59" s="520"/>
      <c r="BM59" s="520"/>
      <c r="BN59" s="520"/>
      <c r="BO59" s="520"/>
      <c r="BP59" s="520"/>
      <c r="BQ59" s="520"/>
      <c r="BR59" s="520"/>
      <c r="BS59" s="520"/>
      <c r="BT59" s="520"/>
      <c r="BU59" s="520"/>
      <c r="BV59" s="520"/>
      <c r="BW59" s="520"/>
      <c r="BX59" s="520"/>
      <c r="BY59" s="520"/>
      <c r="BZ59" s="520"/>
      <c r="CA59" s="520"/>
      <c r="CB59" s="520"/>
      <c r="CC59" s="520"/>
      <c r="CD59" s="520"/>
      <c r="CE59" s="520"/>
      <c r="CF59" s="520"/>
      <c r="CG59" s="520"/>
      <c r="CH59" s="520"/>
      <c r="CI59" s="520"/>
      <c r="CJ59" s="520"/>
      <c r="CK59" s="520"/>
      <c r="CL59" s="520"/>
      <c r="CM59" s="520"/>
      <c r="CN59" s="520"/>
      <c r="CO59" s="520"/>
      <c r="CP59" s="520"/>
      <c r="CQ59" s="520"/>
      <c r="CR59" s="520"/>
      <c r="CS59" s="520"/>
      <c r="CT59" s="520"/>
      <c r="CU59" s="520"/>
      <c r="CV59" s="520"/>
      <c r="CW59" s="520"/>
      <c r="CX59" s="520"/>
      <c r="CY59" s="520"/>
      <c r="CZ59" s="520"/>
      <c r="DA59" s="520"/>
      <c r="DB59" s="520"/>
      <c r="DC59" s="520"/>
      <c r="DD59" s="520"/>
      <c r="DE59" s="520"/>
      <c r="DF59" s="520"/>
      <c r="DG59" s="520"/>
      <c r="DH59" s="520"/>
      <c r="DI59" s="520"/>
      <c r="DJ59" s="520"/>
      <c r="DK59" s="520"/>
      <c r="DL59" s="520"/>
      <c r="DM59" s="520"/>
      <c r="DN59" s="520"/>
      <c r="DO59" s="520"/>
      <c r="DP59" s="520"/>
      <c r="DQ59" s="520"/>
      <c r="DR59" s="520"/>
      <c r="DS59" s="520"/>
      <c r="DT59" s="520"/>
      <c r="DU59" s="520"/>
      <c r="DV59" s="520"/>
      <c r="DW59" s="520"/>
      <c r="DX59" s="520"/>
      <c r="DY59" s="520"/>
      <c r="DZ59" s="520"/>
      <c r="EA59" s="520"/>
      <c r="EB59" s="520"/>
      <c r="EC59" s="520"/>
      <c r="ED59" s="520"/>
      <c r="EE59" s="520"/>
      <c r="EF59" s="520"/>
      <c r="EG59" s="520"/>
      <c r="EH59" s="520"/>
      <c r="EI59" s="520"/>
      <c r="EJ59" s="520"/>
      <c r="EK59" s="520"/>
      <c r="EL59" s="520"/>
      <c r="EM59" s="520"/>
      <c r="EN59" s="520"/>
      <c r="EO59" s="520"/>
      <c r="EP59" s="520"/>
      <c r="EQ59" s="520"/>
      <c r="ER59" s="520"/>
      <c r="ES59" s="520"/>
      <c r="ET59" s="520"/>
      <c r="EU59" s="520"/>
      <c r="EV59" s="520"/>
      <c r="EW59" s="520"/>
    </row>
    <row r="60" spans="1:153" s="521" customFormat="1">
      <c r="A60" s="686"/>
      <c r="B60" s="525"/>
      <c r="C60" s="520"/>
      <c r="D60" s="520"/>
      <c r="E60" s="520"/>
      <c r="F60" s="520"/>
      <c r="G60" s="520"/>
      <c r="H60" s="520"/>
      <c r="I60" s="520"/>
      <c r="J60" s="520"/>
      <c r="K60" s="520"/>
      <c r="L60" s="526">
        <f t="shared" ref="L60:P60" si="22">L136</f>
        <v>6837266</v>
      </c>
      <c r="M60" s="526">
        <f t="shared" si="22"/>
        <v>2356244</v>
      </c>
      <c r="N60" s="526">
        <f t="shared" si="22"/>
        <v>1519654</v>
      </c>
      <c r="O60" s="526">
        <f t="shared" si="22"/>
        <v>3986113</v>
      </c>
      <c r="P60" s="542">
        <f t="shared" si="22"/>
        <v>4055390</v>
      </c>
      <c r="Q60" s="542">
        <f ca="1">Q136</f>
        <v>3259136.9775734432</v>
      </c>
      <c r="R60" s="542">
        <f t="shared" ref="R60:Z60" ca="1" si="23">R136</f>
        <v>3499785.2203698508</v>
      </c>
      <c r="S60" s="542">
        <f t="shared" ca="1" si="23"/>
        <v>4163993.7587717064</v>
      </c>
      <c r="T60" s="542">
        <f t="shared" ca="1" si="23"/>
        <v>5007368.8108819434</v>
      </c>
      <c r="U60" s="542">
        <f t="shared" ca="1" si="23"/>
        <v>5902642.8372173226</v>
      </c>
      <c r="V60" s="542">
        <f t="shared" ca="1" si="23"/>
        <v>6467059.1810247926</v>
      </c>
      <c r="W60" s="542">
        <f t="shared" ca="1" si="23"/>
        <v>7051628.6222749837</v>
      </c>
      <c r="X60" s="542">
        <f t="shared" ca="1" si="23"/>
        <v>7725322.2183057293</v>
      </c>
      <c r="Y60" s="542">
        <f t="shared" ca="1" si="23"/>
        <v>8381606.1543879407</v>
      </c>
      <c r="Z60" s="542">
        <f t="shared" ca="1" si="23"/>
        <v>8997825.0189941823</v>
      </c>
      <c r="AA60" s="526"/>
      <c r="AB60" s="520"/>
      <c r="AC60" s="520"/>
      <c r="AD60" s="520"/>
      <c r="AE60" s="520"/>
      <c r="AF60" s="520"/>
      <c r="AG60" s="520"/>
      <c r="AH60" s="520"/>
      <c r="AI60" s="520"/>
      <c r="AJ60" s="520"/>
      <c r="AK60" s="520"/>
      <c r="AL60" s="520"/>
      <c r="AM60" s="520"/>
      <c r="AN60" s="520"/>
      <c r="AO60" s="520"/>
      <c r="AP60" s="520"/>
      <c r="AQ60" s="520"/>
      <c r="AR60" s="520"/>
      <c r="AS60" s="520"/>
      <c r="AT60" s="520"/>
      <c r="AU60" s="520"/>
      <c r="AV60" s="520"/>
      <c r="AW60" s="520"/>
      <c r="AX60" s="520"/>
      <c r="AY60" s="520"/>
      <c r="AZ60" s="520"/>
      <c r="BA60" s="520"/>
      <c r="BB60" s="520"/>
      <c r="BC60" s="520"/>
      <c r="BD60" s="520"/>
      <c r="BE60" s="520"/>
      <c r="BF60" s="520"/>
      <c r="BG60" s="520"/>
      <c r="BH60" s="520"/>
      <c r="BI60" s="520"/>
      <c r="BJ60" s="520"/>
      <c r="BK60" s="520"/>
      <c r="BL60" s="520"/>
      <c r="BM60" s="520"/>
      <c r="BN60" s="520"/>
      <c r="BO60" s="520"/>
      <c r="BP60" s="520"/>
      <c r="BQ60" s="520"/>
      <c r="BR60" s="520"/>
      <c r="BS60" s="520"/>
      <c r="BT60" s="520"/>
      <c r="BU60" s="520"/>
      <c r="BV60" s="520"/>
      <c r="BW60" s="520"/>
      <c r="BX60" s="520"/>
      <c r="BY60" s="520"/>
      <c r="BZ60" s="520"/>
      <c r="CA60" s="520"/>
      <c r="CB60" s="520"/>
      <c r="CC60" s="520"/>
      <c r="CD60" s="520"/>
      <c r="CE60" s="520"/>
      <c r="CF60" s="520"/>
      <c r="CG60" s="520"/>
      <c r="CH60" s="520"/>
      <c r="CI60" s="520"/>
      <c r="CJ60" s="520"/>
      <c r="CK60" s="520"/>
      <c r="CL60" s="520"/>
      <c r="CM60" s="520"/>
      <c r="CN60" s="520"/>
      <c r="CO60" s="520"/>
      <c r="CP60" s="520"/>
      <c r="CQ60" s="520"/>
      <c r="CR60" s="520"/>
      <c r="CS60" s="520"/>
      <c r="CT60" s="520"/>
      <c r="CU60" s="520"/>
      <c r="CV60" s="520"/>
      <c r="CW60" s="520"/>
      <c r="CX60" s="520"/>
      <c r="CY60" s="520"/>
      <c r="CZ60" s="520"/>
      <c r="DA60" s="520"/>
      <c r="DB60" s="520"/>
      <c r="DC60" s="520"/>
      <c r="DD60" s="520"/>
      <c r="DE60" s="520"/>
      <c r="DF60" s="520"/>
      <c r="DG60" s="520"/>
      <c r="DH60" s="520"/>
      <c r="DI60" s="520"/>
      <c r="DJ60" s="520"/>
      <c r="DK60" s="520"/>
      <c r="DL60" s="520"/>
      <c r="DM60" s="520"/>
      <c r="DN60" s="520"/>
      <c r="DO60" s="520"/>
      <c r="DP60" s="520"/>
      <c r="DQ60" s="520"/>
      <c r="DR60" s="520"/>
      <c r="DS60" s="520"/>
      <c r="DT60" s="520"/>
      <c r="DU60" s="520"/>
      <c r="DV60" s="520"/>
      <c r="DW60" s="520"/>
      <c r="DX60" s="520"/>
      <c r="DY60" s="520"/>
      <c r="DZ60" s="520"/>
      <c r="EA60" s="520"/>
      <c r="EB60" s="520"/>
      <c r="EC60" s="520"/>
      <c r="ED60" s="520"/>
      <c r="EE60" s="520"/>
      <c r="EF60" s="520"/>
      <c r="EG60" s="520"/>
      <c r="EH60" s="520"/>
      <c r="EI60" s="520"/>
      <c r="EJ60" s="520"/>
      <c r="EK60" s="520"/>
      <c r="EL60" s="520"/>
      <c r="EM60" s="520"/>
      <c r="EN60" s="520"/>
      <c r="EO60" s="520"/>
      <c r="EP60" s="520"/>
      <c r="EQ60" s="520"/>
      <c r="ER60" s="520"/>
      <c r="ES60" s="520"/>
      <c r="ET60" s="520"/>
      <c r="EU60" s="520"/>
      <c r="EV60" s="520"/>
      <c r="EW60" s="520"/>
    </row>
    <row r="61" spans="1:153" s="544" customFormat="1" ht="15">
      <c r="A61" s="686"/>
      <c r="B61" s="543"/>
      <c r="L61" s="545"/>
      <c r="M61" s="545"/>
      <c r="N61" s="545"/>
      <c r="O61" s="545"/>
      <c r="P61" s="545"/>
      <c r="Q61" s="721">
        <f ca="1">Q62/P62</f>
        <v>1.1401837807954656</v>
      </c>
      <c r="R61" s="545"/>
      <c r="S61" s="545"/>
      <c r="T61" s="545"/>
      <c r="U61" s="545"/>
      <c r="V61" s="545"/>
      <c r="W61" s="545"/>
      <c r="X61" s="545"/>
      <c r="Y61" s="545"/>
      <c r="Z61" s="545"/>
      <c r="AA61" s="545"/>
    </row>
    <row r="62" spans="1:153" s="521" customFormat="1" ht="15">
      <c r="A62" s="698" t="s">
        <v>3454</v>
      </c>
      <c r="B62" s="519"/>
      <c r="C62" s="520"/>
      <c r="D62" s="520"/>
      <c r="E62" s="520"/>
      <c r="F62" s="520"/>
      <c r="G62" s="520"/>
      <c r="H62" s="520"/>
      <c r="I62" s="520"/>
      <c r="J62" s="520"/>
      <c r="K62" s="520"/>
      <c r="L62" s="526">
        <f t="shared" ref="L62:O62" si="24">L70+L77+L83+L92</f>
        <v>268597</v>
      </c>
      <c r="M62" s="526">
        <f t="shared" si="24"/>
        <v>631478</v>
      </c>
      <c r="N62" s="526">
        <f t="shared" si="24"/>
        <v>1245866</v>
      </c>
      <c r="O62" s="526">
        <f t="shared" si="24"/>
        <v>2086313</v>
      </c>
      <c r="P62" s="526">
        <f>P70+P77+P83+P92</f>
        <v>2846800</v>
      </c>
      <c r="Q62" s="526">
        <f ca="1">Q70+Q77+Q83+Q92</f>
        <v>3245875.1871685311</v>
      </c>
      <c r="R62" s="526">
        <f t="shared" ref="R62:Z62" ca="1" si="25">R70+R77+R83+R92</f>
        <v>3471219.8876102935</v>
      </c>
      <c r="S62" s="526">
        <f t="shared" ca="1" si="25"/>
        <v>3688329.5916125635</v>
      </c>
      <c r="T62" s="526">
        <f t="shared" ca="1" si="25"/>
        <v>4162661.7675856687</v>
      </c>
      <c r="U62" s="526">
        <f t="shared" ca="1" si="25"/>
        <v>4687676.8141390216</v>
      </c>
      <c r="V62" s="526">
        <f t="shared" ca="1" si="25"/>
        <v>5181317.7559962841</v>
      </c>
      <c r="W62" s="526">
        <f t="shared" ca="1" si="25"/>
        <v>5705562.7119724071</v>
      </c>
      <c r="X62" s="526">
        <f t="shared" ca="1" si="25"/>
        <v>6272585.1160208806</v>
      </c>
      <c r="Y62" s="526">
        <f t="shared" ca="1" si="25"/>
        <v>6755781.6779055726</v>
      </c>
      <c r="Z62" s="526">
        <f t="shared" ca="1" si="25"/>
        <v>7251556.3127224091</v>
      </c>
      <c r="AA62" s="546">
        <f ca="1">Z62/SUM(Z60:Z62)</f>
        <v>0.44626660945966928</v>
      </c>
      <c r="AB62" s="520"/>
      <c r="AC62" s="520"/>
      <c r="AD62" s="520"/>
      <c r="AE62" s="520"/>
      <c r="AF62" s="520"/>
      <c r="AG62" s="520"/>
      <c r="AH62" s="520"/>
      <c r="AI62" s="520"/>
      <c r="AJ62" s="520"/>
      <c r="AK62" s="520"/>
      <c r="AL62" s="520"/>
      <c r="AM62" s="520"/>
      <c r="AN62" s="520"/>
      <c r="AO62" s="520"/>
      <c r="AP62" s="520"/>
      <c r="AQ62" s="520"/>
      <c r="AR62" s="520"/>
      <c r="AS62" s="520"/>
      <c r="AT62" s="520"/>
      <c r="AU62" s="520"/>
      <c r="AV62" s="520"/>
      <c r="AW62" s="520"/>
      <c r="AX62" s="520"/>
      <c r="AY62" s="520"/>
      <c r="AZ62" s="520"/>
      <c r="BA62" s="520"/>
      <c r="BB62" s="520"/>
      <c r="BC62" s="520"/>
      <c r="BD62" s="520"/>
      <c r="BE62" s="520"/>
      <c r="BF62" s="520"/>
      <c r="BG62" s="520"/>
      <c r="BH62" s="520"/>
      <c r="BI62" s="520"/>
      <c r="BJ62" s="520"/>
      <c r="BK62" s="520"/>
      <c r="BL62" s="520"/>
      <c r="BM62" s="520"/>
      <c r="BN62" s="520"/>
      <c r="BO62" s="520"/>
      <c r="BP62" s="520"/>
      <c r="BQ62" s="520"/>
      <c r="BR62" s="520"/>
      <c r="BS62" s="520"/>
      <c r="BT62" s="520"/>
      <c r="BU62" s="520"/>
      <c r="BV62" s="520"/>
      <c r="BW62" s="520"/>
      <c r="BX62" s="520"/>
      <c r="BY62" s="520"/>
      <c r="BZ62" s="520"/>
      <c r="CA62" s="520"/>
      <c r="CB62" s="520"/>
      <c r="CC62" s="520"/>
      <c r="CD62" s="520"/>
      <c r="CE62" s="520"/>
      <c r="CF62" s="520"/>
      <c r="CG62" s="520"/>
      <c r="CH62" s="520"/>
      <c r="CI62" s="520"/>
      <c r="CJ62" s="520"/>
      <c r="CK62" s="520"/>
      <c r="CL62" s="520"/>
      <c r="CM62" s="520"/>
      <c r="CN62" s="520"/>
      <c r="CO62" s="520"/>
      <c r="CP62" s="520"/>
      <c r="CQ62" s="520"/>
      <c r="CR62" s="520"/>
      <c r="CS62" s="520"/>
      <c r="CT62" s="520"/>
      <c r="CU62" s="520"/>
      <c r="CV62" s="520"/>
      <c r="CW62" s="520"/>
      <c r="CX62" s="520"/>
      <c r="CY62" s="520"/>
      <c r="CZ62" s="520"/>
      <c r="DA62" s="520"/>
      <c r="DB62" s="520"/>
      <c r="DC62" s="520"/>
      <c r="DD62" s="520"/>
      <c r="DE62" s="520"/>
      <c r="DF62" s="520"/>
      <c r="DG62" s="520"/>
      <c r="DH62" s="520"/>
      <c r="DI62" s="520"/>
      <c r="DJ62" s="520"/>
      <c r="DK62" s="520"/>
      <c r="DL62" s="520"/>
      <c r="DM62" s="520"/>
      <c r="DN62" s="520"/>
      <c r="DO62" s="520"/>
      <c r="DP62" s="520"/>
      <c r="DQ62" s="520"/>
      <c r="DR62" s="520"/>
      <c r="DS62" s="520"/>
      <c r="DT62" s="520"/>
      <c r="DU62" s="520"/>
      <c r="DV62" s="520"/>
      <c r="DW62" s="520"/>
      <c r="DX62" s="520"/>
      <c r="DY62" s="520"/>
      <c r="DZ62" s="520"/>
      <c r="EA62" s="520"/>
      <c r="EB62" s="520"/>
      <c r="EC62" s="520"/>
      <c r="ED62" s="520"/>
      <c r="EE62" s="520"/>
      <c r="EF62" s="520"/>
      <c r="EG62" s="520"/>
      <c r="EH62" s="520"/>
      <c r="EI62" s="520"/>
      <c r="EJ62" s="520"/>
      <c r="EK62" s="520"/>
      <c r="EL62" s="520"/>
      <c r="EM62" s="520"/>
      <c r="EN62" s="520"/>
      <c r="EO62" s="520"/>
      <c r="EP62" s="520"/>
      <c r="EQ62" s="520"/>
      <c r="ER62" s="520"/>
      <c r="ES62" s="520"/>
      <c r="ET62" s="520"/>
      <c r="EU62" s="520"/>
      <c r="EV62" s="520"/>
      <c r="EW62" s="520"/>
    </row>
    <row r="63" spans="1:153" s="521" customFormat="1">
      <c r="A63" s="686"/>
      <c r="B63" s="525"/>
      <c r="C63" s="520"/>
      <c r="D63" s="520"/>
      <c r="E63" s="520"/>
      <c r="F63" s="520"/>
      <c r="G63" s="520"/>
      <c r="H63" s="520"/>
      <c r="I63" s="520"/>
      <c r="J63" s="520"/>
      <c r="K63" s="520"/>
      <c r="L63" s="526"/>
      <c r="M63" s="526"/>
      <c r="N63" s="526"/>
      <c r="O63" s="526"/>
      <c r="P63" s="526"/>
      <c r="Q63" s="526"/>
      <c r="R63" s="526"/>
      <c r="S63" s="526"/>
      <c r="T63" s="526"/>
      <c r="U63" s="526"/>
      <c r="V63" s="526"/>
      <c r="W63" s="526"/>
      <c r="X63" s="526"/>
      <c r="Y63" s="526"/>
      <c r="Z63" s="526"/>
      <c r="AA63" s="526"/>
      <c r="AB63" s="520"/>
      <c r="AC63" s="520"/>
      <c r="AD63" s="520"/>
      <c r="AE63" s="520"/>
      <c r="AF63" s="520"/>
      <c r="AG63" s="520"/>
      <c r="AH63" s="520"/>
      <c r="AI63" s="520"/>
      <c r="AJ63" s="520"/>
      <c r="AK63" s="520"/>
      <c r="AL63" s="520"/>
      <c r="AM63" s="520"/>
      <c r="AN63" s="520"/>
      <c r="AO63" s="520"/>
      <c r="AP63" s="520"/>
      <c r="AQ63" s="520"/>
      <c r="AR63" s="520"/>
      <c r="AS63" s="520"/>
      <c r="AT63" s="520"/>
      <c r="AU63" s="520"/>
      <c r="AV63" s="520"/>
      <c r="AW63" s="520"/>
      <c r="AX63" s="520"/>
      <c r="AY63" s="520"/>
      <c r="AZ63" s="520"/>
      <c r="BA63" s="520"/>
      <c r="BB63" s="520"/>
      <c r="BC63" s="520"/>
      <c r="BD63" s="520"/>
      <c r="BE63" s="520"/>
      <c r="BF63" s="520"/>
      <c r="BG63" s="520"/>
      <c r="BH63" s="520"/>
      <c r="BI63" s="520"/>
      <c r="BJ63" s="520"/>
      <c r="BK63" s="520"/>
      <c r="BL63" s="520"/>
      <c r="BM63" s="520"/>
      <c r="BN63" s="520"/>
      <c r="BO63" s="520"/>
      <c r="BP63" s="520"/>
      <c r="BQ63" s="520"/>
      <c r="BR63" s="520"/>
      <c r="BS63" s="520"/>
      <c r="BT63" s="520"/>
      <c r="BU63" s="520"/>
      <c r="BV63" s="520"/>
      <c r="BW63" s="520"/>
      <c r="BX63" s="520"/>
      <c r="BY63" s="520"/>
      <c r="BZ63" s="520"/>
      <c r="CA63" s="520"/>
      <c r="CB63" s="520"/>
      <c r="CC63" s="520"/>
      <c r="CD63" s="520"/>
      <c r="CE63" s="520"/>
      <c r="CF63" s="520"/>
      <c r="CG63" s="520"/>
      <c r="CH63" s="520"/>
      <c r="CI63" s="520"/>
      <c r="CJ63" s="520"/>
      <c r="CK63" s="520"/>
      <c r="CL63" s="520"/>
      <c r="CM63" s="520"/>
      <c r="CN63" s="520"/>
      <c r="CO63" s="520"/>
      <c r="CP63" s="520"/>
      <c r="CQ63" s="520"/>
      <c r="CR63" s="520"/>
      <c r="CS63" s="520"/>
      <c r="CT63" s="520"/>
      <c r="CU63" s="520"/>
      <c r="CV63" s="520"/>
      <c r="CW63" s="520"/>
      <c r="CX63" s="520"/>
      <c r="CY63" s="520"/>
      <c r="CZ63" s="520"/>
      <c r="DA63" s="520"/>
      <c r="DB63" s="520"/>
      <c r="DC63" s="520"/>
      <c r="DD63" s="520"/>
      <c r="DE63" s="520"/>
      <c r="DF63" s="520"/>
      <c r="DG63" s="520"/>
      <c r="DH63" s="520"/>
      <c r="DI63" s="520"/>
      <c r="DJ63" s="520"/>
      <c r="DK63" s="520"/>
      <c r="DL63" s="520"/>
      <c r="DM63" s="520"/>
      <c r="DN63" s="520"/>
      <c r="DO63" s="520"/>
      <c r="DP63" s="520"/>
      <c r="DQ63" s="520"/>
      <c r="DR63" s="520"/>
      <c r="DS63" s="520"/>
      <c r="DT63" s="520"/>
      <c r="DU63" s="520"/>
      <c r="DV63" s="520"/>
      <c r="DW63" s="520"/>
      <c r="DX63" s="520"/>
      <c r="DY63" s="520"/>
      <c r="DZ63" s="520"/>
      <c r="EA63" s="520"/>
      <c r="EB63" s="520"/>
      <c r="EC63" s="520"/>
      <c r="ED63" s="520"/>
      <c r="EE63" s="520"/>
      <c r="EF63" s="520"/>
      <c r="EG63" s="520"/>
      <c r="EH63" s="520"/>
      <c r="EI63" s="520"/>
      <c r="EJ63" s="520"/>
      <c r="EK63" s="520"/>
      <c r="EL63" s="520"/>
      <c r="EM63" s="520"/>
      <c r="EN63" s="520"/>
      <c r="EO63" s="520"/>
      <c r="EP63" s="520"/>
      <c r="EQ63" s="520"/>
      <c r="ER63" s="520"/>
      <c r="ES63" s="520"/>
      <c r="ET63" s="520"/>
      <c r="EU63" s="520"/>
      <c r="EV63" s="520"/>
      <c r="EW63" s="520"/>
    </row>
    <row r="64" spans="1:153" s="521" customFormat="1">
      <c r="A64" s="699" t="s">
        <v>3458</v>
      </c>
      <c r="B64" s="519"/>
      <c r="C64" s="520"/>
      <c r="D64" s="520"/>
      <c r="E64" s="520"/>
      <c r="F64" s="520"/>
      <c r="G64" s="520"/>
      <c r="H64" s="520"/>
      <c r="I64" s="520"/>
      <c r="J64" s="520"/>
      <c r="K64" s="520"/>
      <c r="L64" s="526">
        <f>Metrics!D37</f>
        <v>223055</v>
      </c>
      <c r="M64" s="526">
        <f>Metrics!E37</f>
        <v>79847</v>
      </c>
      <c r="N64" s="526">
        <f>Metrics!F37</f>
        <v>69501</v>
      </c>
      <c r="O64" s="526">
        <f>Metrics!G37</f>
        <v>141706</v>
      </c>
      <c r="P64" s="526">
        <f>O64*0.92</f>
        <v>130369.52</v>
      </c>
      <c r="Q64" s="526">
        <f ca="1">(1+Q65)*P64</f>
        <v>108383.05895147646</v>
      </c>
      <c r="R64" s="526">
        <f t="shared" ref="R64:Z64" ca="1" si="26">(1+R65)*Q64</f>
        <v>126001.39269209445</v>
      </c>
      <c r="S64" s="526">
        <f t="shared" ca="1" si="26"/>
        <v>149698.95315300097</v>
      </c>
      <c r="T64" s="526">
        <f t="shared" ca="1" si="26"/>
        <v>182170.13787334788</v>
      </c>
      <c r="U64" s="526">
        <f t="shared" ca="1" si="26"/>
        <v>217785.24098860865</v>
      </c>
      <c r="V64" s="526">
        <f t="shared" ca="1" si="26"/>
        <v>253521.42618289732</v>
      </c>
      <c r="W64" s="526">
        <f t="shared" ca="1" si="26"/>
        <v>288483.18791136571</v>
      </c>
      <c r="X64" s="526">
        <f t="shared" ca="1" si="26"/>
        <v>316542.11811485479</v>
      </c>
      <c r="Y64" s="526">
        <f t="shared" ca="1" si="26"/>
        <v>343720.67795526708</v>
      </c>
      <c r="Z64" s="526">
        <f t="shared" ca="1" si="26"/>
        <v>368989.95409184886</v>
      </c>
      <c r="AA64" s="526"/>
      <c r="AB64" s="520"/>
      <c r="AC64" s="520"/>
      <c r="AD64" s="520"/>
      <c r="AE64" s="520"/>
      <c r="AF64" s="520"/>
      <c r="AG64" s="520"/>
      <c r="AH64" s="520"/>
      <c r="AI64" s="520"/>
      <c r="AJ64" s="520"/>
      <c r="AK64" s="520"/>
      <c r="AL64" s="520"/>
      <c r="AM64" s="520"/>
      <c r="AN64" s="520"/>
      <c r="AO64" s="520"/>
      <c r="AP64" s="520"/>
      <c r="AQ64" s="520"/>
      <c r="AR64" s="520"/>
      <c r="AS64" s="520"/>
      <c r="AT64" s="520"/>
      <c r="AU64" s="520"/>
      <c r="AV64" s="520"/>
      <c r="AW64" s="520"/>
      <c r="AX64" s="520"/>
      <c r="AY64" s="520"/>
      <c r="AZ64" s="520"/>
      <c r="BA64" s="520"/>
      <c r="BB64" s="520"/>
      <c r="BC64" s="520"/>
      <c r="BD64" s="520"/>
      <c r="BE64" s="520"/>
      <c r="BF64" s="520"/>
      <c r="BG64" s="520"/>
      <c r="BH64" s="520"/>
      <c r="BI64" s="520"/>
      <c r="BJ64" s="520"/>
      <c r="BK64" s="520"/>
      <c r="BL64" s="520"/>
      <c r="BM64" s="520"/>
      <c r="BN64" s="520"/>
      <c r="BO64" s="520"/>
      <c r="BP64" s="520"/>
      <c r="BQ64" s="520"/>
      <c r="BR64" s="520"/>
      <c r="BS64" s="520"/>
      <c r="BT64" s="520"/>
      <c r="BU64" s="520"/>
      <c r="BV64" s="520"/>
      <c r="BW64" s="520"/>
      <c r="BX64" s="520"/>
      <c r="BY64" s="520"/>
      <c r="BZ64" s="520"/>
      <c r="CA64" s="520"/>
      <c r="CB64" s="520"/>
      <c r="CC64" s="520"/>
      <c r="CD64" s="520"/>
      <c r="CE64" s="520"/>
      <c r="CF64" s="520"/>
      <c r="CG64" s="520"/>
      <c r="CH64" s="520"/>
      <c r="CI64" s="520"/>
      <c r="CJ64" s="520"/>
      <c r="CK64" s="520"/>
      <c r="CL64" s="520"/>
      <c r="CM64" s="520"/>
      <c r="CN64" s="520"/>
      <c r="CO64" s="520"/>
      <c r="CP64" s="520"/>
      <c r="CQ64" s="520"/>
      <c r="CR64" s="520"/>
      <c r="CS64" s="520"/>
      <c r="CT64" s="520"/>
      <c r="CU64" s="520"/>
      <c r="CV64" s="520"/>
      <c r="CW64" s="520"/>
      <c r="CX64" s="520"/>
      <c r="CY64" s="520"/>
      <c r="CZ64" s="520"/>
      <c r="DA64" s="520"/>
      <c r="DB64" s="520"/>
      <c r="DC64" s="520"/>
      <c r="DD64" s="520"/>
      <c r="DE64" s="520"/>
      <c r="DF64" s="520"/>
      <c r="DG64" s="520"/>
      <c r="DH64" s="520"/>
      <c r="DI64" s="520"/>
      <c r="DJ64" s="520"/>
      <c r="DK64" s="520"/>
      <c r="DL64" s="520"/>
      <c r="DM64" s="520"/>
      <c r="DN64" s="520"/>
      <c r="DO64" s="520"/>
      <c r="DP64" s="520"/>
      <c r="DQ64" s="520"/>
      <c r="DR64" s="520"/>
      <c r="DS64" s="520"/>
      <c r="DT64" s="520"/>
      <c r="DU64" s="520"/>
      <c r="DV64" s="520"/>
      <c r="DW64" s="520"/>
      <c r="DX64" s="520"/>
      <c r="DY64" s="520"/>
      <c r="DZ64" s="520"/>
      <c r="EA64" s="520"/>
      <c r="EB64" s="520"/>
      <c r="EC64" s="520"/>
      <c r="ED64" s="520"/>
      <c r="EE64" s="520"/>
      <c r="EF64" s="520"/>
      <c r="EG64" s="520"/>
      <c r="EH64" s="520"/>
      <c r="EI64" s="520"/>
      <c r="EJ64" s="520"/>
      <c r="EK64" s="520"/>
      <c r="EL64" s="520"/>
      <c r="EM64" s="520"/>
      <c r="EN64" s="520"/>
      <c r="EO64" s="520"/>
      <c r="EP64" s="520"/>
      <c r="EQ64" s="520"/>
      <c r="ER64" s="520"/>
      <c r="ES64" s="520"/>
      <c r="ET64" s="520"/>
      <c r="EU64" s="520"/>
      <c r="EV64" s="520"/>
      <c r="EW64" s="520"/>
    </row>
    <row r="65" spans="1:153" s="521" customFormat="1">
      <c r="A65" s="689" t="s">
        <v>3515</v>
      </c>
      <c r="B65" s="525"/>
      <c r="C65" s="520"/>
      <c r="D65" s="520"/>
      <c r="E65" s="520"/>
      <c r="F65" s="520"/>
      <c r="G65" s="520"/>
      <c r="H65" s="520"/>
      <c r="I65" s="520"/>
      <c r="J65" s="520"/>
      <c r="K65" s="520"/>
      <c r="L65" s="526"/>
      <c r="M65" s="526"/>
      <c r="N65" s="526"/>
      <c r="O65" s="526"/>
      <c r="P65" s="526"/>
      <c r="Q65" s="536">
        <f ca="1">CHOOSE($O$1,Q66,Q67,Q68)</f>
        <v>-0.16864725012812465</v>
      </c>
      <c r="R65" s="536">
        <f t="shared" ref="R65:Z65" ca="1" si="27">CHOOSE($O$1,R66,R67,R68)</f>
        <v>0.16255615878590213</v>
      </c>
      <c r="S65" s="536">
        <f t="shared" ca="1" si="27"/>
        <v>0.18807379787313527</v>
      </c>
      <c r="T65" s="536">
        <f t="shared" ca="1" si="27"/>
        <v>0.21690989840897212</v>
      </c>
      <c r="U65" s="536">
        <f t="shared" ca="1" si="27"/>
        <v>0.19550461744735492</v>
      </c>
      <c r="V65" s="536">
        <f t="shared" ca="1" si="27"/>
        <v>0.16408910462466952</v>
      </c>
      <c r="W65" s="536">
        <f t="shared" ca="1" si="27"/>
        <v>0.13790456394500561</v>
      </c>
      <c r="X65" s="536">
        <f t="shared" ca="1" si="27"/>
        <v>9.7263658262505048E-2</v>
      </c>
      <c r="Y65" s="536">
        <f t="shared" ca="1" si="27"/>
        <v>8.5860801091091288E-2</v>
      </c>
      <c r="Z65" s="536">
        <f t="shared" ca="1" si="27"/>
        <v>7.3516892515469889E-2</v>
      </c>
      <c r="AA65" s="526"/>
      <c r="AB65" s="520"/>
      <c r="AC65" s="520"/>
      <c r="AD65" s="520"/>
      <c r="AE65" s="520"/>
      <c r="AF65" s="520"/>
      <c r="AG65" s="520"/>
      <c r="AH65" s="520"/>
      <c r="AI65" s="520"/>
      <c r="AJ65" s="520"/>
      <c r="AK65" s="520"/>
      <c r="AL65" s="520"/>
      <c r="AM65" s="520"/>
      <c r="AN65" s="520"/>
      <c r="AO65" s="520"/>
      <c r="AP65" s="520"/>
      <c r="AQ65" s="520"/>
      <c r="AR65" s="520"/>
      <c r="AS65" s="520"/>
      <c r="AT65" s="520"/>
      <c r="AU65" s="520"/>
      <c r="AV65" s="520"/>
      <c r="AW65" s="520"/>
      <c r="AX65" s="520"/>
      <c r="AY65" s="520"/>
      <c r="AZ65" s="520"/>
      <c r="BA65" s="520"/>
      <c r="BB65" s="520"/>
      <c r="BC65" s="520"/>
      <c r="BD65" s="520"/>
      <c r="BE65" s="520"/>
      <c r="BF65" s="520"/>
      <c r="BG65" s="520"/>
      <c r="BH65" s="520"/>
      <c r="BI65" s="520"/>
      <c r="BJ65" s="520"/>
      <c r="BK65" s="520"/>
      <c r="BL65" s="520"/>
      <c r="BM65" s="520"/>
      <c r="BN65" s="520"/>
      <c r="BO65" s="520"/>
      <c r="BP65" s="520"/>
      <c r="BQ65" s="520"/>
      <c r="BR65" s="520"/>
      <c r="BS65" s="520"/>
      <c r="BT65" s="520"/>
      <c r="BU65" s="520"/>
      <c r="BV65" s="520"/>
      <c r="BW65" s="520"/>
      <c r="BX65" s="520"/>
      <c r="BY65" s="520"/>
      <c r="BZ65" s="520"/>
      <c r="CA65" s="520"/>
      <c r="CB65" s="520"/>
      <c r="CC65" s="520"/>
      <c r="CD65" s="520"/>
      <c r="CE65" s="520"/>
      <c r="CF65" s="520"/>
      <c r="CG65" s="520"/>
      <c r="CH65" s="520"/>
      <c r="CI65" s="520"/>
      <c r="CJ65" s="520"/>
      <c r="CK65" s="520"/>
      <c r="CL65" s="520"/>
      <c r="CM65" s="520"/>
      <c r="CN65" s="520"/>
      <c r="CO65" s="520"/>
      <c r="CP65" s="520"/>
      <c r="CQ65" s="520"/>
      <c r="CR65" s="520"/>
      <c r="CS65" s="520"/>
      <c r="CT65" s="520"/>
      <c r="CU65" s="520"/>
      <c r="CV65" s="520"/>
      <c r="CW65" s="520"/>
      <c r="CX65" s="520"/>
      <c r="CY65" s="520"/>
      <c r="CZ65" s="520"/>
      <c r="DA65" s="520"/>
      <c r="DB65" s="520"/>
      <c r="DC65" s="520"/>
      <c r="DD65" s="520"/>
      <c r="DE65" s="520"/>
      <c r="DF65" s="520"/>
      <c r="DG65" s="520"/>
      <c r="DH65" s="520"/>
      <c r="DI65" s="520"/>
      <c r="DJ65" s="520"/>
      <c r="DK65" s="520"/>
      <c r="DL65" s="520"/>
      <c r="DM65" s="520"/>
      <c r="DN65" s="520"/>
      <c r="DO65" s="520"/>
      <c r="DP65" s="520"/>
      <c r="DQ65" s="520"/>
      <c r="DR65" s="520"/>
      <c r="DS65" s="520"/>
      <c r="DT65" s="520"/>
      <c r="DU65" s="520"/>
      <c r="DV65" s="520"/>
      <c r="DW65" s="520"/>
      <c r="DX65" s="520"/>
      <c r="DY65" s="520"/>
      <c r="DZ65" s="520"/>
      <c r="EA65" s="520"/>
      <c r="EB65" s="520"/>
      <c r="EC65" s="520"/>
      <c r="ED65" s="520"/>
      <c r="EE65" s="520"/>
      <c r="EF65" s="520"/>
      <c r="EG65" s="520"/>
      <c r="EH65" s="520"/>
      <c r="EI65" s="520"/>
      <c r="EJ65" s="520"/>
      <c r="EK65" s="520"/>
      <c r="EL65" s="520"/>
      <c r="EM65" s="520"/>
      <c r="EN65" s="520"/>
      <c r="EO65" s="520"/>
      <c r="EP65" s="520"/>
      <c r="EQ65" s="520"/>
      <c r="ER65" s="520"/>
      <c r="ES65" s="520"/>
      <c r="ET65" s="520"/>
      <c r="EU65" s="520"/>
      <c r="EV65" s="520"/>
      <c r="EW65" s="520"/>
    </row>
    <row r="66" spans="1:153" s="521" customFormat="1" ht="15">
      <c r="A66" s="566" t="s">
        <v>3516</v>
      </c>
      <c r="B66" s="528"/>
      <c r="C66" s="520"/>
      <c r="D66" s="520"/>
      <c r="E66" s="520"/>
      <c r="F66" s="520"/>
      <c r="G66" s="520"/>
      <c r="H66" s="520"/>
      <c r="I66" s="520"/>
      <c r="J66" s="520"/>
      <c r="K66" s="520"/>
      <c r="L66" s="526"/>
      <c r="M66" s="526"/>
      <c r="N66" s="526"/>
      <c r="O66" s="526"/>
      <c r="P66" s="526"/>
      <c r="Q66" s="537">
        <f ca="1">1.05*(Q98/P98)-1</f>
        <v>-0.16864725012812465</v>
      </c>
      <c r="R66" s="537">
        <f ca="1">1.1*(R98/Q98)-1</f>
        <v>0.16255615878590213</v>
      </c>
      <c r="S66" s="537">
        <f ca="1">1.025*(S98/R98)-1</f>
        <v>0.18807379787313527</v>
      </c>
      <c r="T66" s="537">
        <f ca="1">1.025*(T98/S98)-1</f>
        <v>0.21690989840897212</v>
      </c>
      <c r="U66" s="537">
        <f ca="1">1.025*(U98/T98)-1</f>
        <v>0.19550461744735492</v>
      </c>
      <c r="V66" s="537">
        <f ca="1">1.025*(V98/U98)-1</f>
        <v>0.16408910462466952</v>
      </c>
      <c r="W66" s="537">
        <f ca="1">1.025*(W98/V98)-1</f>
        <v>0.13790456394500561</v>
      </c>
      <c r="X66" s="537">
        <f ca="1">(X98/W98)-1</f>
        <v>9.7263658262505048E-2</v>
      </c>
      <c r="Y66" s="537">
        <f ca="1">(Y98/X98)-1</f>
        <v>8.5860801091091288E-2</v>
      </c>
      <c r="Z66" s="537">
        <f ca="1">(Z98/Y98)-1</f>
        <v>7.3516892515469889E-2</v>
      </c>
      <c r="AA66" s="526"/>
      <c r="AB66" s="520"/>
      <c r="AC66" s="520"/>
      <c r="AD66" s="520"/>
      <c r="AE66" s="520"/>
      <c r="AF66" s="520"/>
      <c r="AG66" s="520"/>
      <c r="AH66" s="520"/>
      <c r="AI66" s="520"/>
      <c r="AJ66" s="520"/>
      <c r="AK66" s="520"/>
      <c r="AL66" s="520"/>
      <c r="AM66" s="520"/>
      <c r="AN66" s="520"/>
      <c r="AO66" s="520"/>
      <c r="AP66" s="520"/>
      <c r="AQ66" s="520"/>
      <c r="AR66" s="520"/>
      <c r="AS66" s="520"/>
      <c r="AT66" s="520"/>
      <c r="AU66" s="520"/>
      <c r="AV66" s="520"/>
      <c r="AW66" s="520"/>
      <c r="AX66" s="520"/>
      <c r="AY66" s="520"/>
      <c r="AZ66" s="520"/>
      <c r="BA66" s="520"/>
      <c r="BB66" s="520"/>
      <c r="BC66" s="520"/>
      <c r="BD66" s="520"/>
      <c r="BE66" s="520"/>
      <c r="BF66" s="520"/>
      <c r="BG66" s="520"/>
      <c r="BH66" s="520"/>
      <c r="BI66" s="520"/>
      <c r="BJ66" s="520"/>
      <c r="BK66" s="520"/>
      <c r="BL66" s="520"/>
      <c r="BM66" s="520"/>
      <c r="BN66" s="520"/>
      <c r="BO66" s="520"/>
      <c r="BP66" s="520"/>
      <c r="BQ66" s="520"/>
      <c r="BR66" s="520"/>
      <c r="BS66" s="520"/>
      <c r="BT66" s="520"/>
      <c r="BU66" s="520"/>
      <c r="BV66" s="520"/>
      <c r="BW66" s="520"/>
      <c r="BX66" s="520"/>
      <c r="BY66" s="520"/>
      <c r="BZ66" s="520"/>
      <c r="CA66" s="520"/>
      <c r="CB66" s="520"/>
      <c r="CC66" s="520"/>
      <c r="CD66" s="520"/>
      <c r="CE66" s="520"/>
      <c r="CF66" s="520"/>
      <c r="CG66" s="520"/>
      <c r="CH66" s="520"/>
      <c r="CI66" s="520"/>
      <c r="CJ66" s="520"/>
      <c r="CK66" s="520"/>
      <c r="CL66" s="520"/>
      <c r="CM66" s="520"/>
      <c r="CN66" s="520"/>
      <c r="CO66" s="520"/>
      <c r="CP66" s="520"/>
      <c r="CQ66" s="520"/>
      <c r="CR66" s="520"/>
      <c r="CS66" s="520"/>
      <c r="CT66" s="520"/>
      <c r="CU66" s="520"/>
      <c r="CV66" s="520"/>
      <c r="CW66" s="520"/>
      <c r="CX66" s="520"/>
      <c r="CY66" s="520"/>
      <c r="CZ66" s="520"/>
      <c r="DA66" s="520"/>
      <c r="DB66" s="520"/>
      <c r="DC66" s="520"/>
      <c r="DD66" s="520"/>
      <c r="DE66" s="520"/>
      <c r="DF66" s="520"/>
      <c r="DG66" s="520"/>
      <c r="DH66" s="520"/>
      <c r="DI66" s="520"/>
      <c r="DJ66" s="520"/>
      <c r="DK66" s="520"/>
      <c r="DL66" s="520"/>
      <c r="DM66" s="520"/>
      <c r="DN66" s="520"/>
      <c r="DO66" s="520"/>
      <c r="DP66" s="520"/>
      <c r="DQ66" s="520"/>
      <c r="DR66" s="520"/>
      <c r="DS66" s="520"/>
      <c r="DT66" s="520"/>
      <c r="DU66" s="520"/>
      <c r="DV66" s="520"/>
      <c r="DW66" s="520"/>
      <c r="DX66" s="520"/>
      <c r="DY66" s="520"/>
      <c r="DZ66" s="520"/>
      <c r="EA66" s="520"/>
      <c r="EB66" s="520"/>
      <c r="EC66" s="520"/>
      <c r="ED66" s="520"/>
      <c r="EE66" s="520"/>
      <c r="EF66" s="520"/>
      <c r="EG66" s="520"/>
      <c r="EH66" s="520"/>
      <c r="EI66" s="520"/>
      <c r="EJ66" s="520"/>
      <c r="EK66" s="520"/>
      <c r="EL66" s="520"/>
      <c r="EM66" s="520"/>
      <c r="EN66" s="520"/>
      <c r="EO66" s="520"/>
      <c r="EP66" s="520"/>
      <c r="EQ66" s="520"/>
      <c r="ER66" s="520"/>
      <c r="ES66" s="520"/>
      <c r="ET66" s="520"/>
      <c r="EU66" s="520"/>
      <c r="EV66" s="520"/>
      <c r="EW66" s="520"/>
    </row>
    <row r="67" spans="1:153" s="521" customFormat="1" ht="15">
      <c r="A67" s="566" t="s">
        <v>3517</v>
      </c>
      <c r="B67" s="528"/>
      <c r="C67" s="520"/>
      <c r="D67" s="520"/>
      <c r="E67" s="520"/>
      <c r="F67" s="520"/>
      <c r="G67" s="520"/>
      <c r="H67" s="520"/>
      <c r="I67" s="520"/>
      <c r="J67" s="520"/>
      <c r="K67" s="520"/>
      <c r="L67" s="526"/>
      <c r="M67" s="526"/>
      <c r="N67" s="526"/>
      <c r="O67" s="526"/>
      <c r="P67" s="526"/>
      <c r="Q67" s="537">
        <f ca="1">Q66+$AA67</f>
        <v>-0.12864725012812464</v>
      </c>
      <c r="R67" s="537">
        <f t="shared" ref="R67:Z67" ca="1" si="28">R66+$AA67</f>
        <v>0.20255615878590214</v>
      </c>
      <c r="S67" s="537">
        <f t="shared" ca="1" si="28"/>
        <v>0.22807379787313528</v>
      </c>
      <c r="T67" s="537">
        <f t="shared" ca="1" si="28"/>
        <v>0.2569098984089721</v>
      </c>
      <c r="U67" s="537">
        <f t="shared" ca="1" si="28"/>
        <v>0.23550461744735493</v>
      </c>
      <c r="V67" s="537">
        <f t="shared" ca="1" si="28"/>
        <v>0.20408910462466953</v>
      </c>
      <c r="W67" s="537">
        <f t="shared" ca="1" si="28"/>
        <v>0.17790456394500562</v>
      </c>
      <c r="X67" s="537">
        <f t="shared" ca="1" si="28"/>
        <v>0.13726365826250506</v>
      </c>
      <c r="Y67" s="537">
        <f t="shared" ca="1" si="28"/>
        <v>0.1258608010910913</v>
      </c>
      <c r="Z67" s="537">
        <f t="shared" ca="1" si="28"/>
        <v>0.1135168925154699</v>
      </c>
      <c r="AA67" s="538">
        <v>0.04</v>
      </c>
      <c r="AB67" s="520"/>
      <c r="AC67" s="520"/>
      <c r="AD67" s="520"/>
      <c r="AE67" s="520"/>
      <c r="AF67" s="520"/>
      <c r="AG67" s="520"/>
      <c r="AH67" s="520"/>
      <c r="AI67" s="520"/>
      <c r="AJ67" s="520"/>
      <c r="AK67" s="520"/>
      <c r="AL67" s="520"/>
      <c r="AM67" s="520"/>
      <c r="AN67" s="520"/>
      <c r="AO67" s="520"/>
      <c r="AP67" s="520"/>
      <c r="AQ67" s="520"/>
      <c r="AR67" s="520"/>
      <c r="AS67" s="520"/>
      <c r="AT67" s="520"/>
      <c r="AU67" s="520"/>
      <c r="AV67" s="520"/>
      <c r="AW67" s="520"/>
      <c r="AX67" s="520"/>
      <c r="AY67" s="520"/>
      <c r="AZ67" s="520"/>
      <c r="BA67" s="520"/>
      <c r="BB67" s="520"/>
      <c r="BC67" s="520"/>
      <c r="BD67" s="520"/>
      <c r="BE67" s="520"/>
      <c r="BF67" s="520"/>
      <c r="BG67" s="520"/>
      <c r="BH67" s="520"/>
      <c r="BI67" s="520"/>
      <c r="BJ67" s="520"/>
      <c r="BK67" s="520"/>
      <c r="BL67" s="520"/>
      <c r="BM67" s="520"/>
      <c r="BN67" s="520"/>
      <c r="BO67" s="520"/>
      <c r="BP67" s="520"/>
      <c r="BQ67" s="520"/>
      <c r="BR67" s="520"/>
      <c r="BS67" s="520"/>
      <c r="BT67" s="520"/>
      <c r="BU67" s="520"/>
      <c r="BV67" s="520"/>
      <c r="BW67" s="520"/>
      <c r="BX67" s="520"/>
      <c r="BY67" s="520"/>
      <c r="BZ67" s="520"/>
      <c r="CA67" s="520"/>
      <c r="CB67" s="520"/>
      <c r="CC67" s="520"/>
      <c r="CD67" s="520"/>
      <c r="CE67" s="520"/>
      <c r="CF67" s="520"/>
      <c r="CG67" s="520"/>
      <c r="CH67" s="520"/>
      <c r="CI67" s="520"/>
      <c r="CJ67" s="520"/>
      <c r="CK67" s="520"/>
      <c r="CL67" s="520"/>
      <c r="CM67" s="520"/>
      <c r="CN67" s="520"/>
      <c r="CO67" s="520"/>
      <c r="CP67" s="520"/>
      <c r="CQ67" s="520"/>
      <c r="CR67" s="520"/>
      <c r="CS67" s="520"/>
      <c r="CT67" s="520"/>
      <c r="CU67" s="520"/>
      <c r="CV67" s="520"/>
      <c r="CW67" s="520"/>
      <c r="CX67" s="520"/>
      <c r="CY67" s="520"/>
      <c r="CZ67" s="520"/>
      <c r="DA67" s="520"/>
      <c r="DB67" s="520"/>
      <c r="DC67" s="520"/>
      <c r="DD67" s="520"/>
      <c r="DE67" s="520"/>
      <c r="DF67" s="520"/>
      <c r="DG67" s="520"/>
      <c r="DH67" s="520"/>
      <c r="DI67" s="520"/>
      <c r="DJ67" s="520"/>
      <c r="DK67" s="520"/>
      <c r="DL67" s="520"/>
      <c r="DM67" s="520"/>
      <c r="DN67" s="520"/>
      <c r="DO67" s="520"/>
      <c r="DP67" s="520"/>
      <c r="DQ67" s="520"/>
      <c r="DR67" s="520"/>
      <c r="DS67" s="520"/>
      <c r="DT67" s="520"/>
      <c r="DU67" s="520"/>
      <c r="DV67" s="520"/>
      <c r="DW67" s="520"/>
      <c r="DX67" s="520"/>
      <c r="DY67" s="520"/>
      <c r="DZ67" s="520"/>
      <c r="EA67" s="520"/>
      <c r="EB67" s="520"/>
      <c r="EC67" s="520"/>
      <c r="ED67" s="520"/>
      <c r="EE67" s="520"/>
      <c r="EF67" s="520"/>
      <c r="EG67" s="520"/>
      <c r="EH67" s="520"/>
      <c r="EI67" s="520"/>
      <c r="EJ67" s="520"/>
      <c r="EK67" s="520"/>
      <c r="EL67" s="520"/>
      <c r="EM67" s="520"/>
      <c r="EN67" s="520"/>
      <c r="EO67" s="520"/>
      <c r="EP67" s="520"/>
      <c r="EQ67" s="520"/>
      <c r="ER67" s="520"/>
      <c r="ES67" s="520"/>
      <c r="ET67" s="520"/>
      <c r="EU67" s="520"/>
      <c r="EV67" s="520"/>
      <c r="EW67" s="520"/>
    </row>
    <row r="68" spans="1:153" s="521" customFormat="1" ht="15">
      <c r="A68" s="566" t="s">
        <v>3518</v>
      </c>
      <c r="B68" s="525"/>
      <c r="C68" s="520"/>
      <c r="D68" s="520"/>
      <c r="E68" s="520"/>
      <c r="F68" s="520"/>
      <c r="G68" s="520"/>
      <c r="H68" s="520"/>
      <c r="I68" s="520"/>
      <c r="J68" s="520"/>
      <c r="K68" s="520"/>
      <c r="L68" s="526"/>
      <c r="M68" s="526"/>
      <c r="N68" s="526"/>
      <c r="O68" s="526"/>
      <c r="P68" s="526"/>
      <c r="Q68" s="537">
        <f ca="1">Q66-$AA68</f>
        <v>-0.20864725012812466</v>
      </c>
      <c r="R68" s="537">
        <f t="shared" ref="R68:Z68" ca="1" si="29">R66-$AA68</f>
        <v>0.12255615878590212</v>
      </c>
      <c r="S68" s="537">
        <f t="shared" ca="1" si="29"/>
        <v>0.14807379787313527</v>
      </c>
      <c r="T68" s="537">
        <f t="shared" ca="1" si="29"/>
        <v>0.17690989840897212</v>
      </c>
      <c r="U68" s="537">
        <f t="shared" ca="1" si="29"/>
        <v>0.15550461744735491</v>
      </c>
      <c r="V68" s="537">
        <f t="shared" ca="1" si="29"/>
        <v>0.12408910462466952</v>
      </c>
      <c r="W68" s="537">
        <f t="shared" ca="1" si="29"/>
        <v>9.7904563945005602E-2</v>
      </c>
      <c r="X68" s="537">
        <f t="shared" ca="1" si="29"/>
        <v>5.7263658262505047E-2</v>
      </c>
      <c r="Y68" s="537">
        <f t="shared" ca="1" si="29"/>
        <v>4.5860801091091287E-2</v>
      </c>
      <c r="Z68" s="537">
        <f t="shared" ca="1" si="29"/>
        <v>3.3516892515469889E-2</v>
      </c>
      <c r="AA68" s="538">
        <v>0.04</v>
      </c>
      <c r="AB68" s="520"/>
      <c r="AC68" s="520"/>
      <c r="AD68" s="520"/>
      <c r="AE68" s="520"/>
      <c r="AF68" s="520"/>
      <c r="AG68" s="520"/>
      <c r="AH68" s="520"/>
      <c r="AI68" s="520"/>
      <c r="AJ68" s="520"/>
      <c r="AK68" s="520"/>
      <c r="AL68" s="520"/>
      <c r="AM68" s="520"/>
      <c r="AN68" s="520"/>
      <c r="AO68" s="520"/>
      <c r="AP68" s="520"/>
      <c r="AQ68" s="520"/>
      <c r="AR68" s="520"/>
      <c r="AS68" s="520"/>
      <c r="AT68" s="520"/>
      <c r="AU68" s="520"/>
      <c r="AV68" s="520"/>
      <c r="AW68" s="520"/>
      <c r="AX68" s="520"/>
      <c r="AY68" s="520"/>
      <c r="AZ68" s="520"/>
      <c r="BA68" s="520"/>
      <c r="BB68" s="520"/>
      <c r="BC68" s="520"/>
      <c r="BD68" s="520"/>
      <c r="BE68" s="520"/>
      <c r="BF68" s="520"/>
      <c r="BG68" s="520"/>
      <c r="BH68" s="520"/>
      <c r="BI68" s="520"/>
      <c r="BJ68" s="520"/>
      <c r="BK68" s="520"/>
      <c r="BL68" s="520"/>
      <c r="BM68" s="520"/>
      <c r="BN68" s="520"/>
      <c r="BO68" s="520"/>
      <c r="BP68" s="520"/>
      <c r="BQ68" s="520"/>
      <c r="BR68" s="520"/>
      <c r="BS68" s="520"/>
      <c r="BT68" s="520"/>
      <c r="BU68" s="520"/>
      <c r="BV68" s="520"/>
      <c r="BW68" s="520"/>
      <c r="BX68" s="520"/>
      <c r="BY68" s="520"/>
      <c r="BZ68" s="520"/>
      <c r="CA68" s="520"/>
      <c r="CB68" s="520"/>
      <c r="CC68" s="520"/>
      <c r="CD68" s="520"/>
      <c r="CE68" s="520"/>
      <c r="CF68" s="520"/>
      <c r="CG68" s="520"/>
      <c r="CH68" s="520"/>
      <c r="CI68" s="520"/>
      <c r="CJ68" s="520"/>
      <c r="CK68" s="520"/>
      <c r="CL68" s="520"/>
      <c r="CM68" s="520"/>
      <c r="CN68" s="520"/>
      <c r="CO68" s="520"/>
      <c r="CP68" s="520"/>
      <c r="CQ68" s="520"/>
      <c r="CR68" s="520"/>
      <c r="CS68" s="520"/>
      <c r="CT68" s="520"/>
      <c r="CU68" s="520"/>
      <c r="CV68" s="520"/>
      <c r="CW68" s="520"/>
      <c r="CX68" s="520"/>
      <c r="CY68" s="520"/>
      <c r="CZ68" s="520"/>
      <c r="DA68" s="520"/>
      <c r="DB68" s="520"/>
      <c r="DC68" s="520"/>
      <c r="DD68" s="520"/>
      <c r="DE68" s="520"/>
      <c r="DF68" s="520"/>
      <c r="DG68" s="520"/>
      <c r="DH68" s="520"/>
      <c r="DI68" s="520"/>
      <c r="DJ68" s="520"/>
      <c r="DK68" s="520"/>
      <c r="DL68" s="520"/>
      <c r="DM68" s="520"/>
      <c r="DN68" s="520"/>
      <c r="DO68" s="520"/>
      <c r="DP68" s="520"/>
      <c r="DQ68" s="520"/>
      <c r="DR68" s="520"/>
      <c r="DS68" s="520"/>
      <c r="DT68" s="520"/>
      <c r="DU68" s="520"/>
      <c r="DV68" s="520"/>
      <c r="DW68" s="520"/>
      <c r="DX68" s="520"/>
      <c r="DY68" s="520"/>
      <c r="DZ68" s="520"/>
      <c r="EA68" s="520"/>
      <c r="EB68" s="520"/>
      <c r="EC68" s="520"/>
      <c r="ED68" s="520"/>
      <c r="EE68" s="520"/>
      <c r="EF68" s="520"/>
      <c r="EG68" s="520"/>
      <c r="EH68" s="520"/>
      <c r="EI68" s="520"/>
      <c r="EJ68" s="520"/>
      <c r="EK68" s="520"/>
      <c r="EL68" s="520"/>
      <c r="EM68" s="520"/>
      <c r="EN68" s="520"/>
      <c r="EO68" s="520"/>
      <c r="EP68" s="520"/>
      <c r="EQ68" s="520"/>
      <c r="ER68" s="520"/>
      <c r="ES68" s="520"/>
      <c r="ET68" s="520"/>
      <c r="EU68" s="520"/>
      <c r="EV68" s="520"/>
      <c r="EW68" s="520"/>
    </row>
    <row r="69" spans="1:153" s="521" customFormat="1">
      <c r="A69" s="699"/>
      <c r="B69" s="519"/>
      <c r="C69" s="520"/>
      <c r="D69" s="520"/>
      <c r="E69" s="520"/>
      <c r="F69" s="520"/>
      <c r="G69" s="520"/>
      <c r="H69" s="520"/>
      <c r="I69" s="520"/>
      <c r="J69" s="520"/>
      <c r="K69" s="520"/>
      <c r="L69" s="526"/>
      <c r="M69" s="526"/>
      <c r="N69" s="526"/>
      <c r="O69" s="526"/>
      <c r="P69" s="526"/>
      <c r="Q69" s="526">
        <f ca="1">Q70/Q12</f>
        <v>7.8836615531856197E-2</v>
      </c>
      <c r="R69" s="526"/>
      <c r="S69" s="526"/>
      <c r="T69" s="526"/>
      <c r="U69" s="526"/>
      <c r="V69" s="526"/>
      <c r="W69" s="526"/>
      <c r="X69" s="526"/>
      <c r="Y69" s="526"/>
      <c r="Z69" s="526"/>
      <c r="AA69" s="526"/>
      <c r="AB69" s="520"/>
      <c r="AC69" s="520"/>
      <c r="AD69" s="520"/>
      <c r="AE69" s="520"/>
      <c r="AF69" s="520"/>
      <c r="AG69" s="520"/>
      <c r="AH69" s="520"/>
      <c r="AI69" s="520"/>
      <c r="AJ69" s="520"/>
      <c r="AK69" s="520"/>
      <c r="AL69" s="520"/>
      <c r="AM69" s="520"/>
      <c r="AN69" s="520"/>
      <c r="AO69" s="520"/>
      <c r="AP69" s="520"/>
      <c r="AQ69" s="520"/>
      <c r="AR69" s="520"/>
      <c r="AS69" s="520"/>
      <c r="AT69" s="520"/>
      <c r="AU69" s="520"/>
      <c r="AV69" s="520"/>
      <c r="AW69" s="520"/>
      <c r="AX69" s="520"/>
      <c r="AY69" s="520"/>
      <c r="AZ69" s="520"/>
      <c r="BA69" s="520"/>
      <c r="BB69" s="520"/>
      <c r="BC69" s="520"/>
      <c r="BD69" s="520"/>
      <c r="BE69" s="520"/>
      <c r="BF69" s="520"/>
      <c r="BG69" s="520"/>
      <c r="BH69" s="520"/>
      <c r="BI69" s="520"/>
      <c r="BJ69" s="520"/>
      <c r="BK69" s="520"/>
      <c r="BL69" s="520"/>
      <c r="BM69" s="520"/>
      <c r="BN69" s="520"/>
      <c r="BO69" s="520"/>
      <c r="BP69" s="520"/>
      <c r="BQ69" s="520"/>
      <c r="BR69" s="520"/>
      <c r="BS69" s="520"/>
      <c r="BT69" s="520"/>
      <c r="BU69" s="520"/>
      <c r="BV69" s="520"/>
      <c r="BW69" s="520"/>
      <c r="BX69" s="520"/>
      <c r="BY69" s="520"/>
      <c r="BZ69" s="520"/>
      <c r="CA69" s="520"/>
      <c r="CB69" s="520"/>
      <c r="CC69" s="520"/>
      <c r="CD69" s="520"/>
      <c r="CE69" s="520"/>
      <c r="CF69" s="520"/>
      <c r="CG69" s="520"/>
      <c r="CH69" s="520"/>
      <c r="CI69" s="520"/>
      <c r="CJ69" s="520"/>
      <c r="CK69" s="520"/>
      <c r="CL69" s="520"/>
      <c r="CM69" s="520"/>
      <c r="CN69" s="520"/>
      <c r="CO69" s="520"/>
      <c r="CP69" s="520"/>
      <c r="CQ69" s="520"/>
      <c r="CR69" s="520"/>
      <c r="CS69" s="520"/>
      <c r="CT69" s="520"/>
      <c r="CU69" s="520"/>
      <c r="CV69" s="520"/>
      <c r="CW69" s="520"/>
      <c r="CX69" s="520"/>
      <c r="CY69" s="520"/>
      <c r="CZ69" s="520"/>
      <c r="DA69" s="520"/>
      <c r="DB69" s="520"/>
      <c r="DC69" s="520"/>
      <c r="DD69" s="520"/>
      <c r="DE69" s="520"/>
      <c r="DF69" s="520"/>
      <c r="DG69" s="520"/>
      <c r="DH69" s="520"/>
      <c r="DI69" s="520"/>
      <c r="DJ69" s="520"/>
      <c r="DK69" s="520"/>
      <c r="DL69" s="520"/>
      <c r="DM69" s="520"/>
      <c r="DN69" s="520"/>
      <c r="DO69" s="520"/>
      <c r="DP69" s="520"/>
      <c r="DQ69" s="520"/>
      <c r="DR69" s="520"/>
      <c r="DS69" s="520"/>
      <c r="DT69" s="520"/>
      <c r="DU69" s="520"/>
      <c r="DV69" s="520"/>
      <c r="DW69" s="520"/>
      <c r="DX69" s="520"/>
      <c r="DY69" s="520"/>
      <c r="DZ69" s="520"/>
      <c r="EA69" s="520"/>
      <c r="EB69" s="520"/>
      <c r="EC69" s="520"/>
      <c r="ED69" s="520"/>
      <c r="EE69" s="520"/>
      <c r="EF69" s="520"/>
      <c r="EG69" s="520"/>
      <c r="EH69" s="520"/>
      <c r="EI69" s="520"/>
      <c r="EJ69" s="520"/>
      <c r="EK69" s="520"/>
      <c r="EL69" s="520"/>
      <c r="EM69" s="520"/>
      <c r="EN69" s="520"/>
      <c r="EO69" s="520"/>
      <c r="EP69" s="520"/>
      <c r="EQ69" s="520"/>
      <c r="ER69" s="520"/>
      <c r="ES69" s="520"/>
      <c r="ET69" s="520"/>
      <c r="EU69" s="520"/>
      <c r="EV69" s="520"/>
      <c r="EW69" s="520"/>
    </row>
    <row r="70" spans="1:153" s="521" customFormat="1" ht="15">
      <c r="A70" s="698" t="s">
        <v>3529</v>
      </c>
      <c r="B70" s="528"/>
      <c r="C70" s="520"/>
      <c r="D70" s="520"/>
      <c r="E70" s="520"/>
      <c r="F70" s="520"/>
      <c r="G70" s="520"/>
      <c r="H70" s="520"/>
      <c r="I70" s="520"/>
      <c r="J70" s="520"/>
      <c r="K70" s="520"/>
      <c r="L70" s="526">
        <f>Metrics!D38</f>
        <v>136293</v>
      </c>
      <c r="M70" s="526">
        <f>Metrics!E38</f>
        <v>275507</v>
      </c>
      <c r="N70" s="526">
        <f>Metrics!F38</f>
        <v>330885</v>
      </c>
      <c r="O70" s="526">
        <f>Metrics!G38</f>
        <v>705757</v>
      </c>
      <c r="P70" s="526">
        <f>Metrics!H38</f>
        <v>677405</v>
      </c>
      <c r="Q70" s="526">
        <f t="shared" ref="Q70:Z70" ca="1" si="30">(1+Q71)*P70</f>
        <v>536345.24716853118</v>
      </c>
      <c r="R70" s="526">
        <f t="shared" ca="1" si="30"/>
        <v>566846.79121029342</v>
      </c>
      <c r="S70" s="526">
        <f t="shared" ca="1" si="30"/>
        <v>640604.31662856403</v>
      </c>
      <c r="T70" s="526">
        <f t="shared" ca="1" si="30"/>
        <v>741530.52733862889</v>
      </c>
      <c r="U70" s="526">
        <f t="shared" ca="1" si="30"/>
        <v>843259.11236703931</v>
      </c>
      <c r="V70" s="526">
        <f t="shared" ca="1" si="30"/>
        <v>933744.41605355311</v>
      </c>
      <c r="W70" s="526">
        <f t="shared" ca="1" si="30"/>
        <v>1010682.1773374291</v>
      </c>
      <c r="X70" s="526">
        <f t="shared" ca="1" si="30"/>
        <v>1081260.2026648319</v>
      </c>
      <c r="Y70" s="526">
        <f t="shared" ca="1" si="30"/>
        <v>1144745.6181072113</v>
      </c>
      <c r="Z70" s="526">
        <f t="shared" ca="1" si="30"/>
        <v>1198181.1647043754</v>
      </c>
      <c r="AA70" s="526"/>
      <c r="AB70" s="520"/>
      <c r="AC70" s="520"/>
      <c r="AD70" s="520"/>
      <c r="AE70" s="520"/>
      <c r="AF70" s="520"/>
      <c r="AG70" s="520"/>
      <c r="AH70" s="520"/>
      <c r="AI70" s="520"/>
      <c r="AJ70" s="520"/>
      <c r="AK70" s="520"/>
      <c r="AL70" s="520"/>
      <c r="AM70" s="520"/>
      <c r="AN70" s="520"/>
      <c r="AO70" s="520"/>
      <c r="AP70" s="520"/>
      <c r="AQ70" s="520"/>
      <c r="AR70" s="520"/>
      <c r="AS70" s="520"/>
      <c r="AT70" s="520"/>
      <c r="AU70" s="520"/>
      <c r="AV70" s="520"/>
      <c r="AW70" s="520"/>
      <c r="AX70" s="520"/>
      <c r="AY70" s="520"/>
      <c r="AZ70" s="520"/>
      <c r="BA70" s="520"/>
      <c r="BB70" s="520"/>
      <c r="BC70" s="520"/>
      <c r="BD70" s="520"/>
      <c r="BE70" s="520"/>
      <c r="BF70" s="520"/>
      <c r="BG70" s="520"/>
      <c r="BH70" s="520"/>
      <c r="BI70" s="520"/>
      <c r="BJ70" s="520"/>
      <c r="BK70" s="520"/>
      <c r="BL70" s="520"/>
      <c r="BM70" s="520"/>
      <c r="BN70" s="520"/>
      <c r="BO70" s="520"/>
      <c r="BP70" s="520"/>
      <c r="BQ70" s="520"/>
      <c r="BR70" s="520"/>
      <c r="BS70" s="520"/>
      <c r="BT70" s="520"/>
      <c r="BU70" s="520"/>
      <c r="BV70" s="520"/>
      <c r="BW70" s="520"/>
      <c r="BX70" s="520"/>
      <c r="BY70" s="520"/>
      <c r="BZ70" s="520"/>
      <c r="CA70" s="520"/>
      <c r="CB70" s="520"/>
      <c r="CC70" s="520"/>
      <c r="CD70" s="520"/>
      <c r="CE70" s="520"/>
      <c r="CF70" s="520"/>
      <c r="CG70" s="520"/>
      <c r="CH70" s="520"/>
      <c r="CI70" s="520"/>
      <c r="CJ70" s="520"/>
      <c r="CK70" s="520"/>
      <c r="CL70" s="520"/>
      <c r="CM70" s="520"/>
      <c r="CN70" s="520"/>
      <c r="CO70" s="520"/>
      <c r="CP70" s="520"/>
      <c r="CQ70" s="520"/>
      <c r="CR70" s="520"/>
      <c r="CS70" s="520"/>
      <c r="CT70" s="520"/>
      <c r="CU70" s="520"/>
      <c r="CV70" s="520"/>
      <c r="CW70" s="520"/>
      <c r="CX70" s="520"/>
      <c r="CY70" s="520"/>
      <c r="CZ70" s="520"/>
      <c r="DA70" s="520"/>
      <c r="DB70" s="520"/>
      <c r="DC70" s="520"/>
      <c r="DD70" s="520"/>
      <c r="DE70" s="520"/>
      <c r="DF70" s="520"/>
      <c r="DG70" s="520"/>
      <c r="DH70" s="520"/>
      <c r="DI70" s="520"/>
      <c r="DJ70" s="520"/>
      <c r="DK70" s="520"/>
      <c r="DL70" s="520"/>
      <c r="DM70" s="520"/>
      <c r="DN70" s="520"/>
      <c r="DO70" s="520"/>
      <c r="DP70" s="520"/>
      <c r="DQ70" s="520"/>
      <c r="DR70" s="520"/>
      <c r="DS70" s="520"/>
      <c r="DT70" s="520"/>
      <c r="DU70" s="520"/>
      <c r="DV70" s="520"/>
      <c r="DW70" s="520"/>
      <c r="DX70" s="520"/>
      <c r="DY70" s="520"/>
      <c r="DZ70" s="520"/>
      <c r="EA70" s="520"/>
      <c r="EB70" s="520"/>
      <c r="EC70" s="520"/>
      <c r="ED70" s="520"/>
      <c r="EE70" s="520"/>
      <c r="EF70" s="520"/>
      <c r="EG70" s="520"/>
      <c r="EH70" s="520"/>
      <c r="EI70" s="520"/>
      <c r="EJ70" s="520"/>
      <c r="EK70" s="520"/>
      <c r="EL70" s="520"/>
      <c r="EM70" s="520"/>
      <c r="EN70" s="520"/>
      <c r="EO70" s="520"/>
      <c r="EP70" s="520"/>
      <c r="EQ70" s="520"/>
      <c r="ER70" s="520"/>
      <c r="ES70" s="520"/>
      <c r="ET70" s="520"/>
      <c r="EU70" s="520"/>
      <c r="EV70" s="520"/>
      <c r="EW70" s="520"/>
    </row>
    <row r="71" spans="1:153" s="521" customFormat="1">
      <c r="A71" s="689" t="s">
        <v>3515</v>
      </c>
      <c r="B71" s="525"/>
      <c r="C71" s="520"/>
      <c r="D71" s="520"/>
      <c r="E71" s="520"/>
      <c r="F71" s="520"/>
      <c r="G71" s="520"/>
      <c r="H71" s="520"/>
      <c r="I71" s="520"/>
      <c r="J71" s="520"/>
      <c r="K71" s="520"/>
      <c r="L71" s="526"/>
      <c r="M71" s="526"/>
      <c r="N71" s="526"/>
      <c r="O71" s="548">
        <f>(O70/N70)-1</f>
        <v>1.1329374253894859</v>
      </c>
      <c r="P71" s="548">
        <f>(P70/O70)-1</f>
        <v>-4.0172467293983605E-2</v>
      </c>
      <c r="Q71" s="536">
        <f ca="1">CHOOSE($O$1,Q72,Q73,Q74)</f>
        <v>-0.20823547631249972</v>
      </c>
      <c r="R71" s="536">
        <f t="shared" ref="R71:Z71" ca="1" si="31">CHOOSE($O$1,R72,R73,R74)</f>
        <v>5.6869235259910944E-2</v>
      </c>
      <c r="S71" s="536">
        <f t="shared" ca="1" si="31"/>
        <v>0.13011897846468967</v>
      </c>
      <c r="T71" s="536">
        <f t="shared" ca="1" si="31"/>
        <v>0.15754843994999801</v>
      </c>
      <c r="U71" s="536">
        <f t="shared" ca="1" si="31"/>
        <v>0.1371873190352888</v>
      </c>
      <c r="V71" s="536">
        <f t="shared" ca="1" si="31"/>
        <v>0.10730427025273448</v>
      </c>
      <c r="W71" s="536">
        <f t="shared" ca="1" si="31"/>
        <v>8.2397024240371319E-2</v>
      </c>
      <c r="X71" s="536">
        <f t="shared" ca="1" si="31"/>
        <v>6.983206680594245E-2</v>
      </c>
      <c r="Y71" s="536">
        <f t="shared" ca="1" si="31"/>
        <v>5.8714281063813933E-2</v>
      </c>
      <c r="Z71" s="536">
        <f t="shared" ca="1" si="31"/>
        <v>4.6678970202583159E-2</v>
      </c>
      <c r="AA71" s="526"/>
      <c r="AB71" s="520"/>
      <c r="AC71" s="520"/>
      <c r="AD71" s="520"/>
      <c r="AE71" s="520"/>
      <c r="AF71" s="520"/>
      <c r="AG71" s="520"/>
      <c r="AH71" s="520"/>
      <c r="AI71" s="520"/>
      <c r="AJ71" s="520"/>
      <c r="AK71" s="520"/>
      <c r="AL71" s="520"/>
      <c r="AM71" s="520"/>
      <c r="AN71" s="520"/>
      <c r="AO71" s="520"/>
      <c r="AP71" s="520"/>
      <c r="AQ71" s="520"/>
      <c r="AR71" s="520"/>
      <c r="AS71" s="520"/>
      <c r="AT71" s="520"/>
      <c r="AU71" s="520"/>
      <c r="AV71" s="520"/>
      <c r="AW71" s="520"/>
      <c r="AX71" s="520"/>
      <c r="AY71" s="520"/>
      <c r="AZ71" s="520"/>
      <c r="BA71" s="520"/>
      <c r="BB71" s="520"/>
      <c r="BC71" s="520"/>
      <c r="BD71" s="520"/>
      <c r="BE71" s="520"/>
      <c r="BF71" s="520"/>
      <c r="BG71" s="520"/>
      <c r="BH71" s="520"/>
      <c r="BI71" s="520"/>
      <c r="BJ71" s="520"/>
      <c r="BK71" s="520"/>
      <c r="BL71" s="520"/>
      <c r="BM71" s="520"/>
      <c r="BN71" s="520"/>
      <c r="BO71" s="520"/>
      <c r="BP71" s="520"/>
      <c r="BQ71" s="520"/>
      <c r="BR71" s="520"/>
      <c r="BS71" s="520"/>
      <c r="BT71" s="520"/>
      <c r="BU71" s="520"/>
      <c r="BV71" s="520"/>
      <c r="BW71" s="520"/>
      <c r="BX71" s="520"/>
      <c r="BY71" s="520"/>
      <c r="BZ71" s="520"/>
      <c r="CA71" s="520"/>
      <c r="CB71" s="520"/>
      <c r="CC71" s="520"/>
      <c r="CD71" s="520"/>
      <c r="CE71" s="520"/>
      <c r="CF71" s="520"/>
      <c r="CG71" s="520"/>
      <c r="CH71" s="520"/>
      <c r="CI71" s="520"/>
      <c r="CJ71" s="520"/>
      <c r="CK71" s="520"/>
      <c r="CL71" s="520"/>
      <c r="CM71" s="520"/>
      <c r="CN71" s="520"/>
      <c r="CO71" s="520"/>
      <c r="CP71" s="520"/>
      <c r="CQ71" s="520"/>
      <c r="CR71" s="520"/>
      <c r="CS71" s="520"/>
      <c r="CT71" s="520"/>
      <c r="CU71" s="520"/>
      <c r="CV71" s="520"/>
      <c r="CW71" s="520"/>
      <c r="CX71" s="520"/>
      <c r="CY71" s="520"/>
      <c r="CZ71" s="520"/>
      <c r="DA71" s="520"/>
      <c r="DB71" s="520"/>
      <c r="DC71" s="520"/>
      <c r="DD71" s="520"/>
      <c r="DE71" s="520"/>
      <c r="DF71" s="520"/>
      <c r="DG71" s="520"/>
      <c r="DH71" s="520"/>
      <c r="DI71" s="520"/>
      <c r="DJ71" s="520"/>
      <c r="DK71" s="520"/>
      <c r="DL71" s="520"/>
      <c r="DM71" s="520"/>
      <c r="DN71" s="520"/>
      <c r="DO71" s="520"/>
      <c r="DP71" s="520"/>
      <c r="DQ71" s="520"/>
      <c r="DR71" s="520"/>
      <c r="DS71" s="520"/>
      <c r="DT71" s="520"/>
      <c r="DU71" s="520"/>
      <c r="DV71" s="520"/>
      <c r="DW71" s="520"/>
      <c r="DX71" s="520"/>
      <c r="DY71" s="520"/>
      <c r="DZ71" s="520"/>
      <c r="EA71" s="520"/>
      <c r="EB71" s="520"/>
      <c r="EC71" s="520"/>
      <c r="ED71" s="520"/>
      <c r="EE71" s="520"/>
      <c r="EF71" s="520"/>
      <c r="EG71" s="520"/>
      <c r="EH71" s="520"/>
      <c r="EI71" s="520"/>
      <c r="EJ71" s="520"/>
      <c r="EK71" s="520"/>
      <c r="EL71" s="520"/>
      <c r="EM71" s="520"/>
      <c r="EN71" s="520"/>
      <c r="EO71" s="520"/>
      <c r="EP71" s="520"/>
      <c r="EQ71" s="520"/>
      <c r="ER71" s="520"/>
      <c r="ES71" s="520"/>
      <c r="ET71" s="520"/>
      <c r="EU71" s="520"/>
      <c r="EV71" s="520"/>
      <c r="EW71" s="520"/>
    </row>
    <row r="72" spans="1:153" s="521" customFormat="1" ht="15">
      <c r="A72" s="566" t="s">
        <v>3516</v>
      </c>
      <c r="B72" s="519"/>
      <c r="C72" s="520"/>
      <c r="D72" s="520"/>
      <c r="E72" s="520"/>
      <c r="F72" s="520"/>
      <c r="G72" s="520"/>
      <c r="H72" s="520"/>
      <c r="I72" s="520"/>
      <c r="J72" s="520"/>
      <c r="K72" s="520"/>
      <c r="L72" s="526"/>
      <c r="M72" s="526"/>
      <c r="N72" s="526"/>
      <c r="O72" s="526"/>
      <c r="P72" s="526"/>
      <c r="Q72" s="537">
        <f ca="1">1*(Q98/P98)-1</f>
        <v>-0.20823547631249972</v>
      </c>
      <c r="R72" s="537">
        <f ca="1">1*(R98/Q98)-1</f>
        <v>5.6869235259910944E-2</v>
      </c>
      <c r="S72" s="537">
        <f ca="1">0.975*(S98/R98)-1</f>
        <v>0.13011897846468967</v>
      </c>
      <c r="T72" s="537">
        <f t="shared" ref="T72:Z72" ca="1" si="32">0.975*(T98/S98)-1</f>
        <v>0.15754843994999801</v>
      </c>
      <c r="U72" s="537">
        <f t="shared" ca="1" si="32"/>
        <v>0.1371873190352888</v>
      </c>
      <c r="V72" s="537">
        <f t="shared" ca="1" si="32"/>
        <v>0.10730427025273448</v>
      </c>
      <c r="W72" s="537">
        <f t="shared" ca="1" si="32"/>
        <v>8.2397024240371319E-2</v>
      </c>
      <c r="X72" s="537">
        <f t="shared" ca="1" si="32"/>
        <v>6.983206680594245E-2</v>
      </c>
      <c r="Y72" s="537">
        <f t="shared" ca="1" si="32"/>
        <v>5.8714281063813933E-2</v>
      </c>
      <c r="Z72" s="537">
        <f t="shared" ca="1" si="32"/>
        <v>4.6678970202583159E-2</v>
      </c>
      <c r="AA72" s="526"/>
      <c r="AB72" s="520"/>
      <c r="AC72" s="520"/>
      <c r="AD72" s="520"/>
      <c r="AE72" s="520"/>
      <c r="AF72" s="520"/>
      <c r="AG72" s="520"/>
      <c r="AH72" s="520"/>
      <c r="AI72" s="520"/>
      <c r="AJ72" s="520"/>
      <c r="AK72" s="520"/>
      <c r="AL72" s="520"/>
      <c r="AM72" s="520"/>
      <c r="AN72" s="520"/>
      <c r="AO72" s="520"/>
      <c r="AP72" s="520"/>
      <c r="AQ72" s="520"/>
      <c r="AR72" s="520"/>
      <c r="AS72" s="520"/>
      <c r="AT72" s="520"/>
      <c r="AU72" s="520"/>
      <c r="AV72" s="520"/>
      <c r="AW72" s="520"/>
      <c r="AX72" s="520"/>
      <c r="AY72" s="520"/>
      <c r="AZ72" s="520"/>
      <c r="BA72" s="520"/>
      <c r="BB72" s="520"/>
      <c r="BC72" s="520"/>
      <c r="BD72" s="520"/>
      <c r="BE72" s="520"/>
      <c r="BF72" s="520"/>
      <c r="BG72" s="520"/>
      <c r="BH72" s="520"/>
      <c r="BI72" s="520"/>
      <c r="BJ72" s="520"/>
      <c r="BK72" s="520"/>
      <c r="BL72" s="520"/>
      <c r="BM72" s="520"/>
      <c r="BN72" s="520"/>
      <c r="BO72" s="520"/>
      <c r="BP72" s="520"/>
      <c r="BQ72" s="520"/>
      <c r="BR72" s="520"/>
      <c r="BS72" s="520"/>
      <c r="BT72" s="520"/>
      <c r="BU72" s="520"/>
      <c r="BV72" s="520"/>
      <c r="BW72" s="520"/>
      <c r="BX72" s="520"/>
      <c r="BY72" s="520"/>
      <c r="BZ72" s="520"/>
      <c r="CA72" s="520"/>
      <c r="CB72" s="520"/>
      <c r="CC72" s="520"/>
      <c r="CD72" s="520"/>
      <c r="CE72" s="520"/>
      <c r="CF72" s="520"/>
      <c r="CG72" s="520"/>
      <c r="CH72" s="520"/>
      <c r="CI72" s="520"/>
      <c r="CJ72" s="520"/>
      <c r="CK72" s="520"/>
      <c r="CL72" s="520"/>
      <c r="CM72" s="520"/>
      <c r="CN72" s="520"/>
      <c r="CO72" s="520"/>
      <c r="CP72" s="520"/>
      <c r="CQ72" s="520"/>
      <c r="CR72" s="520"/>
      <c r="CS72" s="520"/>
      <c r="CT72" s="520"/>
      <c r="CU72" s="520"/>
      <c r="CV72" s="520"/>
      <c r="CW72" s="520"/>
      <c r="CX72" s="520"/>
      <c r="CY72" s="520"/>
      <c r="CZ72" s="520"/>
      <c r="DA72" s="520"/>
      <c r="DB72" s="520"/>
      <c r="DC72" s="520"/>
      <c r="DD72" s="520"/>
      <c r="DE72" s="520"/>
      <c r="DF72" s="520"/>
      <c r="DG72" s="520"/>
      <c r="DH72" s="520"/>
      <c r="DI72" s="520"/>
      <c r="DJ72" s="520"/>
      <c r="DK72" s="520"/>
      <c r="DL72" s="520"/>
      <c r="DM72" s="520"/>
      <c r="DN72" s="520"/>
      <c r="DO72" s="520"/>
      <c r="DP72" s="520"/>
      <c r="DQ72" s="520"/>
      <c r="DR72" s="520"/>
      <c r="DS72" s="520"/>
      <c r="DT72" s="520"/>
      <c r="DU72" s="520"/>
      <c r="DV72" s="520"/>
      <c r="DW72" s="520"/>
      <c r="DX72" s="520"/>
      <c r="DY72" s="520"/>
      <c r="DZ72" s="520"/>
      <c r="EA72" s="520"/>
      <c r="EB72" s="520"/>
      <c r="EC72" s="520"/>
      <c r="ED72" s="520"/>
      <c r="EE72" s="520"/>
      <c r="EF72" s="520"/>
      <c r="EG72" s="520"/>
      <c r="EH72" s="520"/>
      <c r="EI72" s="520"/>
      <c r="EJ72" s="520"/>
      <c r="EK72" s="520"/>
      <c r="EL72" s="520"/>
      <c r="EM72" s="520"/>
      <c r="EN72" s="520"/>
      <c r="EO72" s="520"/>
      <c r="EP72" s="520"/>
      <c r="EQ72" s="520"/>
      <c r="ER72" s="520"/>
      <c r="ES72" s="520"/>
      <c r="ET72" s="520"/>
      <c r="EU72" s="520"/>
      <c r="EV72" s="520"/>
      <c r="EW72" s="520"/>
    </row>
    <row r="73" spans="1:153" s="521" customFormat="1" ht="15">
      <c r="A73" s="566" t="s">
        <v>3517</v>
      </c>
      <c r="B73" s="525"/>
      <c r="C73" s="520"/>
      <c r="D73" s="520"/>
      <c r="E73" s="520"/>
      <c r="F73" s="520"/>
      <c r="G73" s="520"/>
      <c r="H73" s="520"/>
      <c r="I73" s="520"/>
      <c r="J73" s="520"/>
      <c r="K73" s="520"/>
      <c r="L73" s="526"/>
      <c r="M73" s="526"/>
      <c r="N73" s="526"/>
      <c r="O73" s="526"/>
      <c r="P73" s="526"/>
      <c r="Q73" s="537">
        <f ca="1">Q72+$AA73</f>
        <v>-0.15823547631249973</v>
      </c>
      <c r="R73" s="537">
        <f t="shared" ref="R73:Z73" ca="1" si="33">R72+$AA73</f>
        <v>0.10686923525991095</v>
      </c>
      <c r="S73" s="537">
        <f t="shared" ca="1" si="33"/>
        <v>0.18011897846468966</v>
      </c>
      <c r="T73" s="537">
        <f t="shared" ca="1" si="33"/>
        <v>0.207548439949998</v>
      </c>
      <c r="U73" s="537">
        <f t="shared" ca="1" si="33"/>
        <v>0.18718731903528879</v>
      </c>
      <c r="V73" s="537">
        <f t="shared" ca="1" si="33"/>
        <v>0.15730427025273447</v>
      </c>
      <c r="W73" s="537">
        <f t="shared" ca="1" si="33"/>
        <v>0.13239702424037131</v>
      </c>
      <c r="X73" s="537">
        <f t="shared" ca="1" si="33"/>
        <v>0.11983206680594245</v>
      </c>
      <c r="Y73" s="537">
        <f t="shared" ca="1" si="33"/>
        <v>0.10871428106381394</v>
      </c>
      <c r="Z73" s="537">
        <f t="shared" ca="1" si="33"/>
        <v>9.6678970202583162E-2</v>
      </c>
      <c r="AA73" s="538">
        <v>0.05</v>
      </c>
      <c r="AB73" s="520"/>
      <c r="AC73" s="520"/>
      <c r="AD73" s="520"/>
      <c r="AE73" s="520"/>
      <c r="AF73" s="520"/>
      <c r="AG73" s="520"/>
      <c r="AH73" s="520"/>
      <c r="AI73" s="520"/>
      <c r="AJ73" s="520"/>
      <c r="AK73" s="520"/>
      <c r="AL73" s="520"/>
      <c r="AM73" s="520"/>
      <c r="AN73" s="520"/>
      <c r="AO73" s="520"/>
      <c r="AP73" s="520"/>
      <c r="AQ73" s="520"/>
      <c r="AR73" s="520"/>
      <c r="AS73" s="520"/>
      <c r="AT73" s="520"/>
      <c r="AU73" s="520"/>
      <c r="AV73" s="520"/>
      <c r="AW73" s="520"/>
      <c r="AX73" s="520"/>
      <c r="AY73" s="520"/>
      <c r="AZ73" s="520"/>
      <c r="BA73" s="520"/>
      <c r="BB73" s="520"/>
      <c r="BC73" s="520"/>
      <c r="BD73" s="520"/>
      <c r="BE73" s="520"/>
      <c r="BF73" s="520"/>
      <c r="BG73" s="520"/>
      <c r="BH73" s="520"/>
      <c r="BI73" s="520"/>
      <c r="BJ73" s="520"/>
      <c r="BK73" s="520"/>
      <c r="BL73" s="520"/>
      <c r="BM73" s="520"/>
      <c r="BN73" s="520"/>
      <c r="BO73" s="520"/>
      <c r="BP73" s="520"/>
      <c r="BQ73" s="520"/>
      <c r="BR73" s="520"/>
      <c r="BS73" s="520"/>
      <c r="BT73" s="520"/>
      <c r="BU73" s="520"/>
      <c r="BV73" s="520"/>
      <c r="BW73" s="520"/>
      <c r="BX73" s="520"/>
      <c r="BY73" s="520"/>
      <c r="BZ73" s="520"/>
      <c r="CA73" s="520"/>
      <c r="CB73" s="520"/>
      <c r="CC73" s="520"/>
      <c r="CD73" s="520"/>
      <c r="CE73" s="520"/>
      <c r="CF73" s="520"/>
      <c r="CG73" s="520"/>
      <c r="CH73" s="520"/>
      <c r="CI73" s="520"/>
      <c r="CJ73" s="520"/>
      <c r="CK73" s="520"/>
      <c r="CL73" s="520"/>
      <c r="CM73" s="520"/>
      <c r="CN73" s="520"/>
      <c r="CO73" s="520"/>
      <c r="CP73" s="520"/>
      <c r="CQ73" s="520"/>
      <c r="CR73" s="520"/>
      <c r="CS73" s="520"/>
      <c r="CT73" s="520"/>
      <c r="CU73" s="520"/>
      <c r="CV73" s="520"/>
      <c r="CW73" s="520"/>
      <c r="CX73" s="520"/>
      <c r="CY73" s="520"/>
      <c r="CZ73" s="520"/>
      <c r="DA73" s="520"/>
      <c r="DB73" s="520"/>
      <c r="DC73" s="520"/>
      <c r="DD73" s="520"/>
      <c r="DE73" s="520"/>
      <c r="DF73" s="520"/>
      <c r="DG73" s="520"/>
      <c r="DH73" s="520"/>
      <c r="DI73" s="520"/>
      <c r="DJ73" s="520"/>
      <c r="DK73" s="520"/>
      <c r="DL73" s="520"/>
      <c r="DM73" s="520"/>
      <c r="DN73" s="520"/>
      <c r="DO73" s="520"/>
      <c r="DP73" s="520"/>
      <c r="DQ73" s="520"/>
      <c r="DR73" s="520"/>
      <c r="DS73" s="520"/>
      <c r="DT73" s="520"/>
      <c r="DU73" s="520"/>
      <c r="DV73" s="520"/>
      <c r="DW73" s="520"/>
      <c r="DX73" s="520"/>
      <c r="DY73" s="520"/>
      <c r="DZ73" s="520"/>
      <c r="EA73" s="520"/>
      <c r="EB73" s="520"/>
      <c r="EC73" s="520"/>
      <c r="ED73" s="520"/>
      <c r="EE73" s="520"/>
      <c r="EF73" s="520"/>
      <c r="EG73" s="520"/>
      <c r="EH73" s="520"/>
      <c r="EI73" s="520"/>
      <c r="EJ73" s="520"/>
      <c r="EK73" s="520"/>
      <c r="EL73" s="520"/>
      <c r="EM73" s="520"/>
      <c r="EN73" s="520"/>
      <c r="EO73" s="520"/>
      <c r="EP73" s="520"/>
      <c r="EQ73" s="520"/>
      <c r="ER73" s="520"/>
      <c r="ES73" s="520"/>
      <c r="ET73" s="520"/>
      <c r="EU73" s="520"/>
      <c r="EV73" s="520"/>
      <c r="EW73" s="520"/>
    </row>
    <row r="74" spans="1:153" s="521" customFormat="1" ht="15">
      <c r="A74" s="566" t="s">
        <v>3518</v>
      </c>
      <c r="B74" s="519"/>
      <c r="C74" s="520"/>
      <c r="D74" s="520"/>
      <c r="E74" s="520"/>
      <c r="F74" s="520"/>
      <c r="G74" s="520"/>
      <c r="H74" s="520"/>
      <c r="I74" s="520"/>
      <c r="J74" s="520"/>
      <c r="K74" s="520"/>
      <c r="L74" s="526"/>
      <c r="M74" s="526"/>
      <c r="N74" s="526"/>
      <c r="O74" s="526"/>
      <c r="P74" s="526"/>
      <c r="Q74" s="537">
        <f ca="1">Q72-$AA74</f>
        <v>-0.25823547631249971</v>
      </c>
      <c r="R74" s="537">
        <f t="shared" ref="R74:Z74" ca="1" si="34">R72-$AA74</f>
        <v>6.8692352599109413E-3</v>
      </c>
      <c r="S74" s="537">
        <f t="shared" ca="1" si="34"/>
        <v>8.0118978464689669E-2</v>
      </c>
      <c r="T74" s="537">
        <f t="shared" ca="1" si="34"/>
        <v>0.10754843994999801</v>
      </c>
      <c r="U74" s="537">
        <f t="shared" ca="1" si="34"/>
        <v>8.7187319035288799E-2</v>
      </c>
      <c r="V74" s="537">
        <f t="shared" ca="1" si="34"/>
        <v>5.7304270252734477E-2</v>
      </c>
      <c r="W74" s="537">
        <f t="shared" ca="1" si="34"/>
        <v>3.2397024240371317E-2</v>
      </c>
      <c r="X74" s="537">
        <f t="shared" ca="1" si="34"/>
        <v>1.9832066805942447E-2</v>
      </c>
      <c r="Y74" s="537">
        <f t="shared" ca="1" si="34"/>
        <v>8.7142810638139306E-3</v>
      </c>
      <c r="Z74" s="537">
        <f t="shared" ca="1" si="34"/>
        <v>-3.321029797416844E-3</v>
      </c>
      <c r="AA74" s="538">
        <v>0.05</v>
      </c>
      <c r="AB74" s="520"/>
      <c r="AC74" s="520"/>
      <c r="AD74" s="520"/>
      <c r="AE74" s="520"/>
      <c r="AF74" s="520"/>
      <c r="AG74" s="520"/>
      <c r="AH74" s="520"/>
      <c r="AI74" s="520"/>
      <c r="AJ74" s="520"/>
      <c r="AK74" s="520"/>
      <c r="AL74" s="520"/>
      <c r="AM74" s="520"/>
      <c r="AN74" s="520"/>
      <c r="AO74" s="520"/>
      <c r="AP74" s="520"/>
      <c r="AQ74" s="520"/>
      <c r="AR74" s="520"/>
      <c r="AS74" s="520"/>
      <c r="AT74" s="520"/>
      <c r="AU74" s="520"/>
      <c r="AV74" s="520"/>
      <c r="AW74" s="520"/>
      <c r="AX74" s="520"/>
      <c r="AY74" s="520"/>
      <c r="AZ74" s="520"/>
      <c r="BA74" s="520"/>
      <c r="BB74" s="520"/>
      <c r="BC74" s="520"/>
      <c r="BD74" s="520"/>
      <c r="BE74" s="520"/>
      <c r="BF74" s="520"/>
      <c r="BG74" s="520"/>
      <c r="BH74" s="520"/>
      <c r="BI74" s="520"/>
      <c r="BJ74" s="520"/>
      <c r="BK74" s="520"/>
      <c r="BL74" s="520"/>
      <c r="BM74" s="520"/>
      <c r="BN74" s="520"/>
      <c r="BO74" s="520"/>
      <c r="BP74" s="520"/>
      <c r="BQ74" s="520"/>
      <c r="BR74" s="520"/>
      <c r="BS74" s="520"/>
      <c r="BT74" s="520"/>
      <c r="BU74" s="520"/>
      <c r="BV74" s="520"/>
      <c r="BW74" s="520"/>
      <c r="BX74" s="520"/>
      <c r="BY74" s="520"/>
      <c r="BZ74" s="520"/>
      <c r="CA74" s="520"/>
      <c r="CB74" s="520"/>
      <c r="CC74" s="520"/>
      <c r="CD74" s="520"/>
      <c r="CE74" s="520"/>
      <c r="CF74" s="520"/>
      <c r="CG74" s="520"/>
      <c r="CH74" s="520"/>
      <c r="CI74" s="520"/>
      <c r="CJ74" s="520"/>
      <c r="CK74" s="520"/>
      <c r="CL74" s="520"/>
      <c r="CM74" s="520"/>
      <c r="CN74" s="520"/>
      <c r="CO74" s="520"/>
      <c r="CP74" s="520"/>
      <c r="CQ74" s="520"/>
      <c r="CR74" s="520"/>
      <c r="CS74" s="520"/>
      <c r="CT74" s="520"/>
      <c r="CU74" s="520"/>
      <c r="CV74" s="520"/>
      <c r="CW74" s="520"/>
      <c r="CX74" s="520"/>
      <c r="CY74" s="520"/>
      <c r="CZ74" s="520"/>
      <c r="DA74" s="520"/>
      <c r="DB74" s="520"/>
      <c r="DC74" s="520"/>
      <c r="DD74" s="520"/>
      <c r="DE74" s="520"/>
      <c r="DF74" s="520"/>
      <c r="DG74" s="520"/>
      <c r="DH74" s="520"/>
      <c r="DI74" s="520"/>
      <c r="DJ74" s="520"/>
      <c r="DK74" s="520"/>
      <c r="DL74" s="520"/>
      <c r="DM74" s="520"/>
      <c r="DN74" s="520"/>
      <c r="DO74" s="520"/>
      <c r="DP74" s="520"/>
      <c r="DQ74" s="520"/>
      <c r="DR74" s="520"/>
      <c r="DS74" s="520"/>
      <c r="DT74" s="520"/>
      <c r="DU74" s="520"/>
      <c r="DV74" s="520"/>
      <c r="DW74" s="520"/>
      <c r="DX74" s="520"/>
      <c r="DY74" s="520"/>
      <c r="DZ74" s="520"/>
      <c r="EA74" s="520"/>
      <c r="EB74" s="520"/>
      <c r="EC74" s="520"/>
      <c r="ED74" s="520"/>
      <c r="EE74" s="520"/>
      <c r="EF74" s="520"/>
      <c r="EG74" s="520"/>
      <c r="EH74" s="520"/>
      <c r="EI74" s="520"/>
      <c r="EJ74" s="520"/>
      <c r="EK74" s="520"/>
      <c r="EL74" s="520"/>
      <c r="EM74" s="520"/>
      <c r="EN74" s="520"/>
      <c r="EO74" s="520"/>
      <c r="EP74" s="520"/>
      <c r="EQ74" s="520"/>
      <c r="ER74" s="520"/>
      <c r="ES74" s="520"/>
      <c r="ET74" s="520"/>
      <c r="EU74" s="520"/>
      <c r="EV74" s="520"/>
      <c r="EW74" s="520"/>
    </row>
    <row r="75" spans="1:153" s="521" customFormat="1">
      <c r="A75" s="699"/>
      <c r="B75" s="525"/>
      <c r="C75" s="520"/>
      <c r="D75" s="520"/>
      <c r="E75" s="520"/>
      <c r="F75" s="520"/>
      <c r="G75" s="520"/>
      <c r="H75" s="520"/>
      <c r="I75" s="520"/>
      <c r="J75" s="520"/>
      <c r="K75" s="520"/>
      <c r="L75" s="526"/>
      <c r="M75" s="526"/>
      <c r="N75" s="526"/>
      <c r="O75" s="526"/>
      <c r="P75" s="526"/>
      <c r="Q75" s="526"/>
      <c r="R75" s="526"/>
      <c r="S75" s="526"/>
      <c r="T75" s="526"/>
      <c r="U75" s="526"/>
      <c r="V75" s="526"/>
      <c r="W75" s="526"/>
      <c r="X75" s="526"/>
      <c r="Y75" s="526"/>
      <c r="Z75" s="526"/>
      <c r="AA75" s="526"/>
      <c r="AB75" s="520"/>
      <c r="AC75" s="520"/>
      <c r="AD75" s="520"/>
      <c r="AE75" s="520"/>
      <c r="AF75" s="520"/>
      <c r="AG75" s="520"/>
      <c r="AH75" s="520"/>
      <c r="AI75" s="520"/>
      <c r="AJ75" s="520"/>
      <c r="AK75" s="520"/>
      <c r="AL75" s="520"/>
      <c r="AM75" s="520"/>
      <c r="AN75" s="520"/>
      <c r="AO75" s="520"/>
      <c r="AP75" s="520"/>
      <c r="AQ75" s="520"/>
      <c r="AR75" s="520"/>
      <c r="AS75" s="520"/>
      <c r="AT75" s="520"/>
      <c r="AU75" s="520"/>
      <c r="AV75" s="520"/>
      <c r="AW75" s="520"/>
      <c r="AX75" s="520"/>
      <c r="AY75" s="520"/>
      <c r="AZ75" s="520"/>
      <c r="BA75" s="520"/>
      <c r="BB75" s="520"/>
      <c r="BC75" s="520"/>
      <c r="BD75" s="520"/>
      <c r="BE75" s="520"/>
      <c r="BF75" s="520"/>
      <c r="BG75" s="520"/>
      <c r="BH75" s="520"/>
      <c r="BI75" s="520"/>
      <c r="BJ75" s="520"/>
      <c r="BK75" s="520"/>
      <c r="BL75" s="520"/>
      <c r="BM75" s="520"/>
      <c r="BN75" s="520"/>
      <c r="BO75" s="520"/>
      <c r="BP75" s="520"/>
      <c r="BQ75" s="520"/>
      <c r="BR75" s="520"/>
      <c r="BS75" s="520"/>
      <c r="BT75" s="520"/>
      <c r="BU75" s="520"/>
      <c r="BV75" s="520"/>
      <c r="BW75" s="520"/>
      <c r="BX75" s="520"/>
      <c r="BY75" s="520"/>
      <c r="BZ75" s="520"/>
      <c r="CA75" s="520"/>
      <c r="CB75" s="520"/>
      <c r="CC75" s="520"/>
      <c r="CD75" s="520"/>
      <c r="CE75" s="520"/>
      <c r="CF75" s="520"/>
      <c r="CG75" s="520"/>
      <c r="CH75" s="520"/>
      <c r="CI75" s="520"/>
      <c r="CJ75" s="520"/>
      <c r="CK75" s="520"/>
      <c r="CL75" s="520"/>
      <c r="CM75" s="520"/>
      <c r="CN75" s="520"/>
      <c r="CO75" s="520"/>
      <c r="CP75" s="520"/>
      <c r="CQ75" s="520"/>
      <c r="CR75" s="520"/>
      <c r="CS75" s="520"/>
      <c r="CT75" s="520"/>
      <c r="CU75" s="520"/>
      <c r="CV75" s="520"/>
      <c r="CW75" s="520"/>
      <c r="CX75" s="520"/>
      <c r="CY75" s="520"/>
      <c r="CZ75" s="520"/>
      <c r="DA75" s="520"/>
      <c r="DB75" s="520"/>
      <c r="DC75" s="520"/>
      <c r="DD75" s="520"/>
      <c r="DE75" s="520"/>
      <c r="DF75" s="520"/>
      <c r="DG75" s="520"/>
      <c r="DH75" s="520"/>
      <c r="DI75" s="520"/>
      <c r="DJ75" s="520"/>
      <c r="DK75" s="520"/>
      <c r="DL75" s="520"/>
      <c r="DM75" s="520"/>
      <c r="DN75" s="520"/>
      <c r="DO75" s="520"/>
      <c r="DP75" s="520"/>
      <c r="DQ75" s="520"/>
      <c r="DR75" s="520"/>
      <c r="DS75" s="520"/>
      <c r="DT75" s="520"/>
      <c r="DU75" s="520"/>
      <c r="DV75" s="520"/>
      <c r="DW75" s="520"/>
      <c r="DX75" s="520"/>
      <c r="DY75" s="520"/>
      <c r="DZ75" s="520"/>
      <c r="EA75" s="520"/>
      <c r="EB75" s="520"/>
      <c r="EC75" s="520"/>
      <c r="ED75" s="520"/>
      <c r="EE75" s="520"/>
      <c r="EF75" s="520"/>
      <c r="EG75" s="520"/>
      <c r="EH75" s="520"/>
      <c r="EI75" s="520"/>
      <c r="EJ75" s="520"/>
      <c r="EK75" s="520"/>
      <c r="EL75" s="520"/>
      <c r="EM75" s="520"/>
      <c r="EN75" s="520"/>
      <c r="EO75" s="520"/>
      <c r="EP75" s="520"/>
      <c r="EQ75" s="520"/>
      <c r="ER75" s="520"/>
      <c r="ES75" s="520"/>
      <c r="ET75" s="520"/>
      <c r="EU75" s="520"/>
      <c r="EV75" s="520"/>
      <c r="EW75" s="520"/>
    </row>
    <row r="76" spans="1:153" s="521" customFormat="1">
      <c r="A76" s="699"/>
      <c r="B76" s="525"/>
      <c r="C76" s="520"/>
      <c r="D76" s="520"/>
      <c r="E76" s="520"/>
      <c r="F76" s="520"/>
      <c r="G76" s="520"/>
      <c r="H76" s="520"/>
      <c r="I76" s="520"/>
      <c r="J76" s="520"/>
      <c r="K76" s="520"/>
      <c r="L76" s="526"/>
      <c r="M76" s="526"/>
      <c r="N76" s="526"/>
      <c r="O76" s="526"/>
      <c r="P76" s="526"/>
      <c r="Q76" s="526"/>
      <c r="R76" s="526"/>
      <c r="S76" s="526"/>
      <c r="T76" s="526"/>
      <c r="U76" s="526"/>
      <c r="V76" s="526"/>
      <c r="W76" s="526"/>
      <c r="X76" s="526"/>
      <c r="Y76" s="526"/>
      <c r="Z76" s="526"/>
      <c r="AA76" s="526"/>
      <c r="AB76" s="520"/>
      <c r="AC76" s="520"/>
      <c r="AD76" s="520"/>
      <c r="AE76" s="520"/>
      <c r="AF76" s="520"/>
      <c r="AG76" s="520"/>
      <c r="AH76" s="520"/>
      <c r="AI76" s="520"/>
      <c r="AJ76" s="520"/>
      <c r="AK76" s="520"/>
      <c r="AL76" s="520"/>
      <c r="AM76" s="520"/>
      <c r="AN76" s="520"/>
      <c r="AO76" s="520"/>
      <c r="AP76" s="520"/>
      <c r="AQ76" s="520"/>
      <c r="AR76" s="520"/>
      <c r="AS76" s="520"/>
      <c r="AT76" s="520"/>
      <c r="AU76" s="520"/>
      <c r="AV76" s="520"/>
      <c r="AW76" s="520"/>
      <c r="AX76" s="520"/>
      <c r="AY76" s="520"/>
      <c r="AZ76" s="520"/>
      <c r="BA76" s="520"/>
      <c r="BB76" s="520"/>
      <c r="BC76" s="520"/>
      <c r="BD76" s="520"/>
      <c r="BE76" s="520"/>
      <c r="BF76" s="520"/>
      <c r="BG76" s="520"/>
      <c r="BH76" s="520"/>
      <c r="BI76" s="520"/>
      <c r="BJ76" s="520"/>
      <c r="BK76" s="520"/>
      <c r="BL76" s="520"/>
      <c r="BM76" s="520"/>
      <c r="BN76" s="520"/>
      <c r="BO76" s="520"/>
      <c r="BP76" s="520"/>
      <c r="BQ76" s="520"/>
      <c r="BR76" s="520"/>
      <c r="BS76" s="520"/>
      <c r="BT76" s="520"/>
      <c r="BU76" s="520"/>
      <c r="BV76" s="520"/>
      <c r="BW76" s="520"/>
      <c r="BX76" s="520"/>
      <c r="BY76" s="520"/>
      <c r="BZ76" s="520"/>
      <c r="CA76" s="520"/>
      <c r="CB76" s="520"/>
      <c r="CC76" s="520"/>
      <c r="CD76" s="520"/>
      <c r="CE76" s="520"/>
      <c r="CF76" s="520"/>
      <c r="CG76" s="520"/>
      <c r="CH76" s="520"/>
      <c r="CI76" s="520"/>
      <c r="CJ76" s="520"/>
      <c r="CK76" s="520"/>
      <c r="CL76" s="520"/>
      <c r="CM76" s="520"/>
      <c r="CN76" s="520"/>
      <c r="CO76" s="520"/>
      <c r="CP76" s="520"/>
      <c r="CQ76" s="520"/>
      <c r="CR76" s="520"/>
      <c r="CS76" s="520"/>
      <c r="CT76" s="520"/>
      <c r="CU76" s="520"/>
      <c r="CV76" s="520"/>
      <c r="CW76" s="520"/>
      <c r="CX76" s="520"/>
      <c r="CY76" s="520"/>
      <c r="CZ76" s="520"/>
      <c r="DA76" s="520"/>
      <c r="DB76" s="520"/>
      <c r="DC76" s="520"/>
      <c r="DD76" s="520"/>
      <c r="DE76" s="520"/>
      <c r="DF76" s="520"/>
      <c r="DG76" s="520"/>
      <c r="DH76" s="520"/>
      <c r="DI76" s="520"/>
      <c r="DJ76" s="520"/>
      <c r="DK76" s="520"/>
      <c r="DL76" s="520"/>
      <c r="DM76" s="520"/>
      <c r="DN76" s="520"/>
      <c r="DO76" s="520"/>
      <c r="DP76" s="520"/>
      <c r="DQ76" s="520"/>
      <c r="DR76" s="520"/>
      <c r="DS76" s="520"/>
      <c r="DT76" s="520"/>
      <c r="DU76" s="520"/>
      <c r="DV76" s="520"/>
      <c r="DW76" s="520"/>
      <c r="DX76" s="520"/>
      <c r="DY76" s="520"/>
      <c r="DZ76" s="520"/>
      <c r="EA76" s="520"/>
      <c r="EB76" s="520"/>
      <c r="EC76" s="520"/>
      <c r="ED76" s="520"/>
      <c r="EE76" s="520"/>
      <c r="EF76" s="520"/>
      <c r="EG76" s="520"/>
      <c r="EH76" s="520"/>
      <c r="EI76" s="520"/>
      <c r="EJ76" s="520"/>
      <c r="EK76" s="520"/>
      <c r="EL76" s="520"/>
      <c r="EM76" s="520"/>
      <c r="EN76" s="520"/>
      <c r="EO76" s="520"/>
      <c r="EP76" s="520"/>
      <c r="EQ76" s="520"/>
      <c r="ER76" s="520"/>
      <c r="ES76" s="520"/>
      <c r="ET76" s="520"/>
      <c r="EU76" s="520"/>
      <c r="EV76" s="520"/>
      <c r="EW76" s="520"/>
    </row>
    <row r="77" spans="1:153" s="521" customFormat="1" ht="15">
      <c r="A77" s="698" t="s">
        <v>3698</v>
      </c>
      <c r="B77" s="528"/>
      <c r="C77" s="520"/>
      <c r="D77" s="520"/>
      <c r="E77" s="520"/>
      <c r="F77" s="520"/>
      <c r="G77" s="520"/>
      <c r="H77" s="520"/>
      <c r="I77" s="520"/>
      <c r="J77" s="520"/>
      <c r="K77" s="520"/>
      <c r="L77" s="526">
        <f>Metrics!D39+Metrics!D42</f>
        <v>132304</v>
      </c>
      <c r="M77" s="526">
        <f>Metrics!E39+Metrics!E42</f>
        <v>110261</v>
      </c>
      <c r="N77" s="526">
        <f>Metrics!F39+Metrics!F42</f>
        <v>138339</v>
      </c>
      <c r="O77" s="526">
        <f>Metrics!G39+Metrics!G42</f>
        <v>283407</v>
      </c>
      <c r="P77" s="526">
        <f>Metrics!H39+Metrics!H42</f>
        <v>554775</v>
      </c>
      <c r="Q77" s="526">
        <f t="shared" ref="Q77:Z77" si="35">P77*(1+Q78)</f>
        <v>676825.5</v>
      </c>
      <c r="R77" s="526">
        <f t="shared" si="35"/>
        <v>730971.54</v>
      </c>
      <c r="S77" s="526">
        <f t="shared" si="35"/>
        <v>789449.26320000004</v>
      </c>
      <c r="T77" s="526">
        <f t="shared" si="35"/>
        <v>852605.20425600011</v>
      </c>
      <c r="U77" s="526">
        <f t="shared" si="35"/>
        <v>920813.62059648021</v>
      </c>
      <c r="V77" s="526">
        <f t="shared" si="35"/>
        <v>994478.71024419868</v>
      </c>
      <c r="W77" s="526">
        <f t="shared" si="35"/>
        <v>1074037.0070637346</v>
      </c>
      <c r="X77" s="526">
        <f t="shared" si="35"/>
        <v>1159959.9676288334</v>
      </c>
      <c r="Y77" s="526">
        <f t="shared" si="35"/>
        <v>1229557.5656865635</v>
      </c>
      <c r="Z77" s="526">
        <f t="shared" si="35"/>
        <v>1291035.4439708916</v>
      </c>
      <c r="AA77" s="526"/>
      <c r="AB77" s="520"/>
      <c r="AC77" s="520"/>
      <c r="AD77" s="520"/>
      <c r="AE77" s="520"/>
      <c r="AF77" s="520"/>
      <c r="AG77" s="520"/>
      <c r="AH77" s="520"/>
      <c r="AI77" s="520"/>
      <c r="AJ77" s="520"/>
      <c r="AK77" s="520"/>
      <c r="AL77" s="520"/>
      <c r="AM77" s="520"/>
      <c r="AN77" s="520"/>
      <c r="AO77" s="520"/>
      <c r="AP77" s="520"/>
      <c r="AQ77" s="520"/>
      <c r="AR77" s="520"/>
      <c r="AS77" s="520"/>
      <c r="AT77" s="520"/>
      <c r="AU77" s="520"/>
      <c r="AV77" s="520"/>
      <c r="AW77" s="520"/>
      <c r="AX77" s="520"/>
      <c r="AY77" s="520"/>
      <c r="AZ77" s="520"/>
      <c r="BA77" s="520"/>
      <c r="BB77" s="520"/>
      <c r="BC77" s="520"/>
      <c r="BD77" s="520"/>
      <c r="BE77" s="520"/>
      <c r="BF77" s="520"/>
      <c r="BG77" s="520"/>
      <c r="BH77" s="520"/>
      <c r="BI77" s="520"/>
      <c r="BJ77" s="520"/>
      <c r="BK77" s="520"/>
      <c r="BL77" s="520"/>
      <c r="BM77" s="520"/>
      <c r="BN77" s="520"/>
      <c r="BO77" s="520"/>
      <c r="BP77" s="520"/>
      <c r="BQ77" s="520"/>
      <c r="BR77" s="520"/>
      <c r="BS77" s="520"/>
      <c r="BT77" s="520"/>
      <c r="BU77" s="520"/>
      <c r="BV77" s="520"/>
      <c r="BW77" s="520"/>
      <c r="BX77" s="520"/>
      <c r="BY77" s="520"/>
      <c r="BZ77" s="520"/>
      <c r="CA77" s="520"/>
      <c r="CB77" s="520"/>
      <c r="CC77" s="520"/>
      <c r="CD77" s="520"/>
      <c r="CE77" s="520"/>
      <c r="CF77" s="520"/>
      <c r="CG77" s="520"/>
      <c r="CH77" s="520"/>
      <c r="CI77" s="520"/>
      <c r="CJ77" s="520"/>
      <c r="CK77" s="520"/>
      <c r="CL77" s="520"/>
      <c r="CM77" s="520"/>
      <c r="CN77" s="520"/>
      <c r="CO77" s="520"/>
      <c r="CP77" s="520"/>
      <c r="CQ77" s="520"/>
      <c r="CR77" s="520"/>
      <c r="CS77" s="520"/>
      <c r="CT77" s="520"/>
      <c r="CU77" s="520"/>
      <c r="CV77" s="520"/>
      <c r="CW77" s="520"/>
      <c r="CX77" s="520"/>
      <c r="CY77" s="520"/>
      <c r="CZ77" s="520"/>
      <c r="DA77" s="520"/>
      <c r="DB77" s="520"/>
      <c r="DC77" s="520"/>
      <c r="DD77" s="520"/>
      <c r="DE77" s="520"/>
      <c r="DF77" s="520"/>
      <c r="DG77" s="520"/>
      <c r="DH77" s="520"/>
      <c r="DI77" s="520"/>
      <c r="DJ77" s="520"/>
      <c r="DK77" s="520"/>
      <c r="DL77" s="520"/>
      <c r="DM77" s="520"/>
      <c r="DN77" s="520"/>
      <c r="DO77" s="520"/>
      <c r="DP77" s="520"/>
      <c r="DQ77" s="520"/>
      <c r="DR77" s="520"/>
      <c r="DS77" s="520"/>
      <c r="DT77" s="520"/>
      <c r="DU77" s="520"/>
      <c r="DV77" s="520"/>
      <c r="DW77" s="520"/>
      <c r="DX77" s="520"/>
      <c r="DY77" s="520"/>
      <c r="DZ77" s="520"/>
      <c r="EA77" s="520"/>
      <c r="EB77" s="520"/>
      <c r="EC77" s="520"/>
      <c r="ED77" s="520"/>
      <c r="EE77" s="520"/>
      <c r="EF77" s="520"/>
      <c r="EG77" s="520"/>
      <c r="EH77" s="520"/>
      <c r="EI77" s="520"/>
      <c r="EJ77" s="520"/>
      <c r="EK77" s="520"/>
      <c r="EL77" s="520"/>
      <c r="EM77" s="520"/>
      <c r="EN77" s="520"/>
      <c r="EO77" s="520"/>
      <c r="EP77" s="520"/>
      <c r="EQ77" s="520"/>
      <c r="ER77" s="520"/>
      <c r="ES77" s="520"/>
      <c r="ET77" s="520"/>
      <c r="EU77" s="520"/>
      <c r="EV77" s="520"/>
      <c r="EW77" s="520"/>
    </row>
    <row r="78" spans="1:153" s="521" customFormat="1">
      <c r="A78" s="689" t="s">
        <v>3515</v>
      </c>
      <c r="B78" s="525"/>
      <c r="C78" s="520"/>
      <c r="D78" s="520"/>
      <c r="E78" s="520"/>
      <c r="F78" s="520"/>
      <c r="G78" s="520"/>
      <c r="H78" s="520"/>
      <c r="I78" s="520"/>
      <c r="J78" s="520"/>
      <c r="K78" s="520"/>
      <c r="L78" s="526"/>
      <c r="M78" s="526"/>
      <c r="N78" s="526"/>
      <c r="O78" s="548">
        <f>(O77/N77)-1</f>
        <v>1.0486413809554791</v>
      </c>
      <c r="P78" s="548">
        <f>(P77/O77)-1</f>
        <v>0.95752045644603001</v>
      </c>
      <c r="Q78" s="536">
        <f>CHOOSE($O$1,Q79,Q80,Q81)</f>
        <v>0.22</v>
      </c>
      <c r="R78" s="536">
        <f t="shared" ref="R78:Z78" si="36">CHOOSE($O$1,R79,R80,R81)</f>
        <v>0.08</v>
      </c>
      <c r="S78" s="536">
        <f t="shared" si="36"/>
        <v>0.08</v>
      </c>
      <c r="T78" s="536">
        <f t="shared" si="36"/>
        <v>0.08</v>
      </c>
      <c r="U78" s="536">
        <f t="shared" si="36"/>
        <v>0.08</v>
      </c>
      <c r="V78" s="536">
        <f t="shared" si="36"/>
        <v>0.08</v>
      </c>
      <c r="W78" s="536">
        <f t="shared" si="36"/>
        <v>0.08</v>
      </c>
      <c r="X78" s="536">
        <f t="shared" si="36"/>
        <v>0.08</v>
      </c>
      <c r="Y78" s="536">
        <f t="shared" si="36"/>
        <v>0.06</v>
      </c>
      <c r="Z78" s="536">
        <f t="shared" si="36"/>
        <v>0.05</v>
      </c>
      <c r="AA78" s="526"/>
      <c r="AB78" s="520"/>
      <c r="AC78" s="520"/>
      <c r="AD78" s="520"/>
      <c r="AE78" s="520"/>
      <c r="AF78" s="520"/>
      <c r="AG78" s="520"/>
      <c r="AH78" s="520"/>
      <c r="AI78" s="520"/>
      <c r="AJ78" s="520"/>
      <c r="AK78" s="520"/>
      <c r="AL78" s="520"/>
      <c r="AM78" s="520"/>
      <c r="AN78" s="520"/>
      <c r="AO78" s="520"/>
      <c r="AP78" s="520"/>
      <c r="AQ78" s="520"/>
      <c r="AR78" s="520"/>
      <c r="AS78" s="520"/>
      <c r="AT78" s="520"/>
      <c r="AU78" s="520"/>
      <c r="AV78" s="520"/>
      <c r="AW78" s="520"/>
      <c r="AX78" s="520"/>
      <c r="AY78" s="520"/>
      <c r="AZ78" s="520"/>
      <c r="BA78" s="520"/>
      <c r="BB78" s="520"/>
      <c r="BC78" s="520"/>
      <c r="BD78" s="520"/>
      <c r="BE78" s="520"/>
      <c r="BF78" s="520"/>
      <c r="BG78" s="520"/>
      <c r="BH78" s="520"/>
      <c r="BI78" s="520"/>
      <c r="BJ78" s="520"/>
      <c r="BK78" s="520"/>
      <c r="BL78" s="520"/>
      <c r="BM78" s="520"/>
      <c r="BN78" s="520"/>
      <c r="BO78" s="520"/>
      <c r="BP78" s="520"/>
      <c r="BQ78" s="520"/>
      <c r="BR78" s="520"/>
      <c r="BS78" s="520"/>
      <c r="BT78" s="520"/>
      <c r="BU78" s="520"/>
      <c r="BV78" s="520"/>
      <c r="BW78" s="520"/>
      <c r="BX78" s="520"/>
      <c r="BY78" s="520"/>
      <c r="BZ78" s="520"/>
      <c r="CA78" s="520"/>
      <c r="CB78" s="520"/>
      <c r="CC78" s="520"/>
      <c r="CD78" s="520"/>
      <c r="CE78" s="520"/>
      <c r="CF78" s="520"/>
      <c r="CG78" s="520"/>
      <c r="CH78" s="520"/>
      <c r="CI78" s="520"/>
      <c r="CJ78" s="520"/>
      <c r="CK78" s="520"/>
      <c r="CL78" s="520"/>
      <c r="CM78" s="520"/>
      <c r="CN78" s="520"/>
      <c r="CO78" s="520"/>
      <c r="CP78" s="520"/>
      <c r="CQ78" s="520"/>
      <c r="CR78" s="520"/>
      <c r="CS78" s="520"/>
      <c r="CT78" s="520"/>
      <c r="CU78" s="520"/>
      <c r="CV78" s="520"/>
      <c r="CW78" s="520"/>
      <c r="CX78" s="520"/>
      <c r="CY78" s="520"/>
      <c r="CZ78" s="520"/>
      <c r="DA78" s="520"/>
      <c r="DB78" s="520"/>
      <c r="DC78" s="520"/>
      <c r="DD78" s="520"/>
      <c r="DE78" s="520"/>
      <c r="DF78" s="520"/>
      <c r="DG78" s="520"/>
      <c r="DH78" s="520"/>
      <c r="DI78" s="520"/>
      <c r="DJ78" s="520"/>
      <c r="DK78" s="520"/>
      <c r="DL78" s="520"/>
      <c r="DM78" s="520"/>
      <c r="DN78" s="520"/>
      <c r="DO78" s="520"/>
      <c r="DP78" s="520"/>
      <c r="DQ78" s="520"/>
      <c r="DR78" s="520"/>
      <c r="DS78" s="520"/>
      <c r="DT78" s="520"/>
      <c r="DU78" s="520"/>
      <c r="DV78" s="520"/>
      <c r="DW78" s="520"/>
      <c r="DX78" s="520"/>
      <c r="DY78" s="520"/>
      <c r="DZ78" s="520"/>
      <c r="EA78" s="520"/>
      <c r="EB78" s="520"/>
      <c r="EC78" s="520"/>
      <c r="ED78" s="520"/>
      <c r="EE78" s="520"/>
      <c r="EF78" s="520"/>
      <c r="EG78" s="520"/>
      <c r="EH78" s="520"/>
      <c r="EI78" s="520"/>
      <c r="EJ78" s="520"/>
      <c r="EK78" s="520"/>
      <c r="EL78" s="520"/>
      <c r="EM78" s="520"/>
      <c r="EN78" s="520"/>
      <c r="EO78" s="520"/>
      <c r="EP78" s="520"/>
      <c r="EQ78" s="520"/>
      <c r="ER78" s="520"/>
      <c r="ES78" s="520"/>
      <c r="ET78" s="520"/>
      <c r="EU78" s="520"/>
      <c r="EV78" s="520"/>
      <c r="EW78" s="520"/>
    </row>
    <row r="79" spans="1:153" s="521" customFormat="1" ht="15">
      <c r="A79" s="566" t="s">
        <v>3516</v>
      </c>
      <c r="B79" s="525"/>
      <c r="C79" s="520"/>
      <c r="D79" s="520"/>
      <c r="E79" s="520"/>
      <c r="F79" s="520"/>
      <c r="G79" s="520"/>
      <c r="H79" s="520"/>
      <c r="I79" s="520"/>
      <c r="J79" s="520"/>
      <c r="K79" s="520"/>
      <c r="L79" s="526"/>
      <c r="M79" s="526"/>
      <c r="N79" s="526"/>
      <c r="O79" s="526"/>
      <c r="P79" s="526"/>
      <c r="Q79" s="537">
        <v>0.22</v>
      </c>
      <c r="R79" s="537">
        <v>0.08</v>
      </c>
      <c r="S79" s="537">
        <v>0.08</v>
      </c>
      <c r="T79" s="537">
        <v>0.08</v>
      </c>
      <c r="U79" s="537">
        <v>0.08</v>
      </c>
      <c r="V79" s="537">
        <v>0.08</v>
      </c>
      <c r="W79" s="537">
        <v>0.08</v>
      </c>
      <c r="X79" s="537">
        <v>0.08</v>
      </c>
      <c r="Y79" s="537">
        <v>0.06</v>
      </c>
      <c r="Z79" s="537">
        <v>0.05</v>
      </c>
      <c r="AA79" s="526"/>
      <c r="AB79" s="520"/>
      <c r="AC79" s="520"/>
      <c r="AD79" s="520"/>
      <c r="AE79" s="520"/>
      <c r="AF79" s="520"/>
      <c r="AG79" s="520"/>
      <c r="AH79" s="520"/>
      <c r="AI79" s="520"/>
      <c r="AJ79" s="520"/>
      <c r="AK79" s="520"/>
      <c r="AL79" s="520"/>
      <c r="AM79" s="520"/>
      <c r="AN79" s="520"/>
      <c r="AO79" s="520"/>
      <c r="AP79" s="520"/>
      <c r="AQ79" s="520"/>
      <c r="AR79" s="520"/>
      <c r="AS79" s="520"/>
      <c r="AT79" s="520"/>
      <c r="AU79" s="520"/>
      <c r="AV79" s="520"/>
      <c r="AW79" s="520"/>
      <c r="AX79" s="520"/>
      <c r="AY79" s="520"/>
      <c r="AZ79" s="520"/>
      <c r="BA79" s="520"/>
      <c r="BB79" s="520"/>
      <c r="BC79" s="520"/>
      <c r="BD79" s="520"/>
      <c r="BE79" s="520"/>
      <c r="BF79" s="520"/>
      <c r="BG79" s="520"/>
      <c r="BH79" s="520"/>
      <c r="BI79" s="520"/>
      <c r="BJ79" s="520"/>
      <c r="BK79" s="520"/>
      <c r="BL79" s="520"/>
      <c r="BM79" s="520"/>
      <c r="BN79" s="520"/>
      <c r="BO79" s="520"/>
      <c r="BP79" s="520"/>
      <c r="BQ79" s="520"/>
      <c r="BR79" s="520"/>
      <c r="BS79" s="520"/>
      <c r="BT79" s="520"/>
      <c r="BU79" s="520"/>
      <c r="BV79" s="520"/>
      <c r="BW79" s="520"/>
      <c r="BX79" s="520"/>
      <c r="BY79" s="520"/>
      <c r="BZ79" s="520"/>
      <c r="CA79" s="520"/>
      <c r="CB79" s="520"/>
      <c r="CC79" s="520"/>
      <c r="CD79" s="520"/>
      <c r="CE79" s="520"/>
      <c r="CF79" s="520"/>
      <c r="CG79" s="520"/>
      <c r="CH79" s="520"/>
      <c r="CI79" s="520"/>
      <c r="CJ79" s="520"/>
      <c r="CK79" s="520"/>
      <c r="CL79" s="520"/>
      <c r="CM79" s="520"/>
      <c r="CN79" s="520"/>
      <c r="CO79" s="520"/>
      <c r="CP79" s="520"/>
      <c r="CQ79" s="520"/>
      <c r="CR79" s="520"/>
      <c r="CS79" s="520"/>
      <c r="CT79" s="520"/>
      <c r="CU79" s="520"/>
      <c r="CV79" s="520"/>
      <c r="CW79" s="520"/>
      <c r="CX79" s="520"/>
      <c r="CY79" s="520"/>
      <c r="CZ79" s="520"/>
      <c r="DA79" s="520"/>
      <c r="DB79" s="520"/>
      <c r="DC79" s="520"/>
      <c r="DD79" s="520"/>
      <c r="DE79" s="520"/>
      <c r="DF79" s="520"/>
      <c r="DG79" s="520"/>
      <c r="DH79" s="520"/>
      <c r="DI79" s="520"/>
      <c r="DJ79" s="520"/>
      <c r="DK79" s="520"/>
      <c r="DL79" s="520"/>
      <c r="DM79" s="520"/>
      <c r="DN79" s="520"/>
      <c r="DO79" s="520"/>
      <c r="DP79" s="520"/>
      <c r="DQ79" s="520"/>
      <c r="DR79" s="520"/>
      <c r="DS79" s="520"/>
      <c r="DT79" s="520"/>
      <c r="DU79" s="520"/>
      <c r="DV79" s="520"/>
      <c r="DW79" s="520"/>
      <c r="DX79" s="520"/>
      <c r="DY79" s="520"/>
      <c r="DZ79" s="520"/>
      <c r="EA79" s="520"/>
      <c r="EB79" s="520"/>
      <c r="EC79" s="520"/>
      <c r="ED79" s="520"/>
      <c r="EE79" s="520"/>
      <c r="EF79" s="520"/>
      <c r="EG79" s="520"/>
      <c r="EH79" s="520"/>
      <c r="EI79" s="520"/>
      <c r="EJ79" s="520"/>
      <c r="EK79" s="520"/>
      <c r="EL79" s="520"/>
      <c r="EM79" s="520"/>
      <c r="EN79" s="520"/>
      <c r="EO79" s="520"/>
      <c r="EP79" s="520"/>
      <c r="EQ79" s="520"/>
      <c r="ER79" s="520"/>
      <c r="ES79" s="520"/>
      <c r="ET79" s="520"/>
      <c r="EU79" s="520"/>
      <c r="EV79" s="520"/>
      <c r="EW79" s="520"/>
    </row>
    <row r="80" spans="1:153" s="521" customFormat="1" ht="15">
      <c r="A80" s="566" t="s">
        <v>3517</v>
      </c>
      <c r="B80" s="528"/>
      <c r="C80" s="520"/>
      <c r="D80" s="520"/>
      <c r="E80" s="520"/>
      <c r="F80" s="520"/>
      <c r="G80" s="520"/>
      <c r="H80" s="520"/>
      <c r="I80" s="520"/>
      <c r="J80" s="520"/>
      <c r="K80" s="520"/>
      <c r="L80" s="526"/>
      <c r="M80" s="526"/>
      <c r="N80" s="526"/>
      <c r="O80" s="526"/>
      <c r="P80" s="526"/>
      <c r="Q80" s="537">
        <f>Q79+$AA80</f>
        <v>0.26</v>
      </c>
      <c r="R80" s="537">
        <f>R79+$AA80</f>
        <v>0.12</v>
      </c>
      <c r="S80" s="537">
        <f t="shared" ref="S80:U80" si="37">S79+$AA80</f>
        <v>0.12</v>
      </c>
      <c r="T80" s="537">
        <f t="shared" si="37"/>
        <v>0.12</v>
      </c>
      <c r="U80" s="537">
        <f t="shared" si="37"/>
        <v>0.12</v>
      </c>
      <c r="V80" s="537">
        <f t="shared" ref="V80:Z80" si="38">V79+$AA80</f>
        <v>0.12</v>
      </c>
      <c r="W80" s="537">
        <f t="shared" si="38"/>
        <v>0.12</v>
      </c>
      <c r="X80" s="537">
        <f t="shared" si="38"/>
        <v>0.12</v>
      </c>
      <c r="Y80" s="537">
        <f t="shared" si="38"/>
        <v>0.1</v>
      </c>
      <c r="Z80" s="537">
        <f t="shared" si="38"/>
        <v>0.09</v>
      </c>
      <c r="AA80" s="538">
        <v>0.04</v>
      </c>
      <c r="AB80" s="520"/>
      <c r="AC80" s="520"/>
      <c r="AD80" s="520"/>
      <c r="AE80" s="520"/>
      <c r="AF80" s="520"/>
      <c r="AG80" s="520"/>
      <c r="AH80" s="520"/>
      <c r="AI80" s="520"/>
      <c r="AJ80" s="520"/>
      <c r="AK80" s="520"/>
      <c r="AL80" s="520"/>
      <c r="AM80" s="520"/>
      <c r="AN80" s="520"/>
      <c r="AO80" s="520"/>
      <c r="AP80" s="520"/>
      <c r="AQ80" s="520"/>
      <c r="AR80" s="520"/>
      <c r="AS80" s="520"/>
      <c r="AT80" s="520"/>
      <c r="AU80" s="520"/>
      <c r="AV80" s="520"/>
      <c r="AW80" s="520"/>
      <c r="AX80" s="520"/>
      <c r="AY80" s="520"/>
      <c r="AZ80" s="520"/>
      <c r="BA80" s="520"/>
      <c r="BB80" s="520"/>
      <c r="BC80" s="520"/>
      <c r="BD80" s="520"/>
      <c r="BE80" s="520"/>
      <c r="BF80" s="520"/>
      <c r="BG80" s="520"/>
      <c r="BH80" s="520"/>
      <c r="BI80" s="520"/>
      <c r="BJ80" s="520"/>
      <c r="BK80" s="520"/>
      <c r="BL80" s="520"/>
      <c r="BM80" s="520"/>
      <c r="BN80" s="520"/>
      <c r="BO80" s="520"/>
      <c r="BP80" s="520"/>
      <c r="BQ80" s="520"/>
      <c r="BR80" s="520"/>
      <c r="BS80" s="520"/>
      <c r="BT80" s="520"/>
      <c r="BU80" s="520"/>
      <c r="BV80" s="520"/>
      <c r="BW80" s="520"/>
      <c r="BX80" s="520"/>
      <c r="BY80" s="520"/>
      <c r="BZ80" s="520"/>
      <c r="CA80" s="520"/>
      <c r="CB80" s="520"/>
      <c r="CC80" s="520"/>
      <c r="CD80" s="520"/>
      <c r="CE80" s="520"/>
      <c r="CF80" s="520"/>
      <c r="CG80" s="520"/>
      <c r="CH80" s="520"/>
      <c r="CI80" s="520"/>
      <c r="CJ80" s="520"/>
      <c r="CK80" s="520"/>
      <c r="CL80" s="520"/>
      <c r="CM80" s="520"/>
      <c r="CN80" s="520"/>
      <c r="CO80" s="520"/>
      <c r="CP80" s="520"/>
      <c r="CQ80" s="520"/>
      <c r="CR80" s="520"/>
      <c r="CS80" s="520"/>
      <c r="CT80" s="520"/>
      <c r="CU80" s="520"/>
      <c r="CV80" s="520"/>
      <c r="CW80" s="520"/>
      <c r="CX80" s="520"/>
      <c r="CY80" s="520"/>
      <c r="CZ80" s="520"/>
      <c r="DA80" s="520"/>
      <c r="DB80" s="520"/>
      <c r="DC80" s="520"/>
      <c r="DD80" s="520"/>
      <c r="DE80" s="520"/>
      <c r="DF80" s="520"/>
      <c r="DG80" s="520"/>
      <c r="DH80" s="520"/>
      <c r="DI80" s="520"/>
      <c r="DJ80" s="520"/>
      <c r="DK80" s="520"/>
      <c r="DL80" s="520"/>
      <c r="DM80" s="520"/>
      <c r="DN80" s="520"/>
      <c r="DO80" s="520"/>
      <c r="DP80" s="520"/>
      <c r="DQ80" s="520"/>
      <c r="DR80" s="520"/>
      <c r="DS80" s="520"/>
      <c r="DT80" s="520"/>
      <c r="DU80" s="520"/>
      <c r="DV80" s="520"/>
      <c r="DW80" s="520"/>
      <c r="DX80" s="520"/>
      <c r="DY80" s="520"/>
      <c r="DZ80" s="520"/>
      <c r="EA80" s="520"/>
      <c r="EB80" s="520"/>
      <c r="EC80" s="520"/>
      <c r="ED80" s="520"/>
      <c r="EE80" s="520"/>
      <c r="EF80" s="520"/>
      <c r="EG80" s="520"/>
      <c r="EH80" s="520"/>
      <c r="EI80" s="520"/>
      <c r="EJ80" s="520"/>
      <c r="EK80" s="520"/>
      <c r="EL80" s="520"/>
      <c r="EM80" s="520"/>
      <c r="EN80" s="520"/>
      <c r="EO80" s="520"/>
      <c r="EP80" s="520"/>
      <c r="EQ80" s="520"/>
      <c r="ER80" s="520"/>
      <c r="ES80" s="520"/>
      <c r="ET80" s="520"/>
      <c r="EU80" s="520"/>
      <c r="EV80" s="520"/>
      <c r="EW80" s="520"/>
    </row>
    <row r="81" spans="1:153" s="521" customFormat="1" ht="15">
      <c r="A81" s="566" t="s">
        <v>3518</v>
      </c>
      <c r="B81" s="525"/>
      <c r="C81" s="520"/>
      <c r="D81" s="520"/>
      <c r="E81" s="520"/>
      <c r="F81" s="520"/>
      <c r="G81" s="520"/>
      <c r="H81" s="520"/>
      <c r="I81" s="520"/>
      <c r="J81" s="520"/>
      <c r="K81" s="520"/>
      <c r="L81" s="526"/>
      <c r="M81" s="526"/>
      <c r="N81" s="526"/>
      <c r="O81" s="526"/>
      <c r="P81" s="526"/>
      <c r="Q81" s="537">
        <f ca="1">Q79-$Y81</f>
        <v>0.18</v>
      </c>
      <c r="R81" s="537">
        <f ca="1">R79-$Y81</f>
        <v>4.0000000000000008E-2</v>
      </c>
      <c r="S81" s="537">
        <f ca="1">S79-$Y81</f>
        <v>4.0000000000000008E-2</v>
      </c>
      <c r="T81" s="537">
        <f t="shared" ref="T81:Z81" ca="1" si="39">T79-$Y81*0.5</f>
        <v>6.0000000000000005E-2</v>
      </c>
      <c r="U81" s="537">
        <f t="shared" ca="1" si="39"/>
        <v>6.0000000000000005E-2</v>
      </c>
      <c r="V81" s="537">
        <f t="shared" ca="1" si="39"/>
        <v>6.0000000000000005E-2</v>
      </c>
      <c r="W81" s="537">
        <f t="shared" ca="1" si="39"/>
        <v>6.0000000000000005E-2</v>
      </c>
      <c r="X81" s="537">
        <f t="shared" ca="1" si="39"/>
        <v>6.0000000000000005E-2</v>
      </c>
      <c r="Y81" s="537">
        <f t="shared" ca="1" si="39"/>
        <v>0.04</v>
      </c>
      <c r="Z81" s="537">
        <f t="shared" ca="1" si="39"/>
        <v>3.0000000000000002E-2</v>
      </c>
      <c r="AA81" s="538">
        <v>0.04</v>
      </c>
      <c r="AB81" s="520"/>
      <c r="AC81" s="520"/>
      <c r="AD81" s="520"/>
      <c r="AE81" s="520"/>
      <c r="AF81" s="520"/>
      <c r="AG81" s="520"/>
      <c r="AH81" s="520"/>
      <c r="AI81" s="520"/>
      <c r="AJ81" s="520"/>
      <c r="AK81" s="520"/>
      <c r="AL81" s="520"/>
      <c r="AM81" s="520"/>
      <c r="AN81" s="520"/>
      <c r="AO81" s="520"/>
      <c r="AP81" s="520"/>
      <c r="AQ81" s="520"/>
      <c r="AR81" s="520"/>
      <c r="AS81" s="520"/>
      <c r="AT81" s="520"/>
      <c r="AU81" s="520"/>
      <c r="AV81" s="520"/>
      <c r="AW81" s="520"/>
      <c r="AX81" s="520"/>
      <c r="AY81" s="520"/>
      <c r="AZ81" s="520"/>
      <c r="BA81" s="520"/>
      <c r="BB81" s="520"/>
      <c r="BC81" s="520"/>
      <c r="BD81" s="520"/>
      <c r="BE81" s="520"/>
      <c r="BF81" s="520"/>
      <c r="BG81" s="520"/>
      <c r="BH81" s="520"/>
      <c r="BI81" s="520"/>
      <c r="BJ81" s="520"/>
      <c r="BK81" s="520"/>
      <c r="BL81" s="520"/>
      <c r="BM81" s="520"/>
      <c r="BN81" s="520"/>
      <c r="BO81" s="520"/>
      <c r="BP81" s="520"/>
      <c r="BQ81" s="520"/>
      <c r="BR81" s="520"/>
      <c r="BS81" s="520"/>
      <c r="BT81" s="520"/>
      <c r="BU81" s="520"/>
      <c r="BV81" s="520"/>
      <c r="BW81" s="520"/>
      <c r="BX81" s="520"/>
      <c r="BY81" s="520"/>
      <c r="BZ81" s="520"/>
      <c r="CA81" s="520"/>
      <c r="CB81" s="520"/>
      <c r="CC81" s="520"/>
      <c r="CD81" s="520"/>
      <c r="CE81" s="520"/>
      <c r="CF81" s="520"/>
      <c r="CG81" s="520"/>
      <c r="CH81" s="520"/>
      <c r="CI81" s="520"/>
      <c r="CJ81" s="520"/>
      <c r="CK81" s="520"/>
      <c r="CL81" s="520"/>
      <c r="CM81" s="520"/>
      <c r="CN81" s="520"/>
      <c r="CO81" s="520"/>
      <c r="CP81" s="520"/>
      <c r="CQ81" s="520"/>
      <c r="CR81" s="520"/>
      <c r="CS81" s="520"/>
      <c r="CT81" s="520"/>
      <c r="CU81" s="520"/>
      <c r="CV81" s="520"/>
      <c r="CW81" s="520"/>
      <c r="CX81" s="520"/>
      <c r="CY81" s="520"/>
      <c r="CZ81" s="520"/>
      <c r="DA81" s="520"/>
      <c r="DB81" s="520"/>
      <c r="DC81" s="520"/>
      <c r="DD81" s="520"/>
      <c r="DE81" s="520"/>
      <c r="DF81" s="520"/>
      <c r="DG81" s="520"/>
      <c r="DH81" s="520"/>
      <c r="DI81" s="520"/>
      <c r="DJ81" s="520"/>
      <c r="DK81" s="520"/>
      <c r="DL81" s="520"/>
      <c r="DM81" s="520"/>
      <c r="DN81" s="520"/>
      <c r="DO81" s="520"/>
      <c r="DP81" s="520"/>
      <c r="DQ81" s="520"/>
      <c r="DR81" s="520"/>
      <c r="DS81" s="520"/>
      <c r="DT81" s="520"/>
      <c r="DU81" s="520"/>
      <c r="DV81" s="520"/>
      <c r="DW81" s="520"/>
      <c r="DX81" s="520"/>
      <c r="DY81" s="520"/>
      <c r="DZ81" s="520"/>
      <c r="EA81" s="520"/>
      <c r="EB81" s="520"/>
      <c r="EC81" s="520"/>
      <c r="ED81" s="520"/>
      <c r="EE81" s="520"/>
      <c r="EF81" s="520"/>
      <c r="EG81" s="520"/>
      <c r="EH81" s="520"/>
      <c r="EI81" s="520"/>
      <c r="EJ81" s="520"/>
      <c r="EK81" s="520"/>
      <c r="EL81" s="520"/>
      <c r="EM81" s="520"/>
      <c r="EN81" s="520"/>
      <c r="EO81" s="520"/>
      <c r="EP81" s="520"/>
      <c r="EQ81" s="520"/>
      <c r="ER81" s="520"/>
      <c r="ES81" s="520"/>
      <c r="ET81" s="520"/>
      <c r="EU81" s="520"/>
      <c r="EV81" s="520"/>
      <c r="EW81" s="520"/>
    </row>
    <row r="82" spans="1:153" s="521" customFormat="1">
      <c r="A82" s="699"/>
      <c r="B82" s="525"/>
      <c r="C82" s="520"/>
      <c r="D82" s="520"/>
      <c r="E82" s="520"/>
      <c r="F82" s="520"/>
      <c r="G82" s="520"/>
      <c r="H82" s="520"/>
      <c r="I82" s="520"/>
      <c r="J82" s="520"/>
      <c r="K82" s="520"/>
      <c r="L82" s="526"/>
      <c r="M82" s="526"/>
      <c r="N82" s="526"/>
      <c r="O82" s="526"/>
      <c r="P82" s="526"/>
      <c r="Q82" s="526"/>
      <c r="R82" s="526"/>
      <c r="S82" s="526"/>
      <c r="T82" s="526"/>
      <c r="U82" s="526"/>
      <c r="V82" s="526"/>
      <c r="W82" s="526"/>
      <c r="X82" s="526"/>
      <c r="Y82" s="526"/>
      <c r="Z82" s="526"/>
      <c r="AA82" s="526"/>
      <c r="AB82" s="520"/>
      <c r="AC82" s="520"/>
      <c r="AD82" s="520"/>
      <c r="AE82" s="520"/>
      <c r="AF82" s="520"/>
      <c r="AG82" s="520"/>
      <c r="AH82" s="520"/>
      <c r="AI82" s="520"/>
      <c r="AJ82" s="520"/>
      <c r="AK82" s="520"/>
      <c r="AL82" s="520"/>
      <c r="AM82" s="520"/>
      <c r="AN82" s="520"/>
      <c r="AO82" s="520"/>
      <c r="AP82" s="520"/>
      <c r="AQ82" s="520"/>
      <c r="AR82" s="520"/>
      <c r="AS82" s="520"/>
      <c r="AT82" s="520"/>
      <c r="AU82" s="520"/>
      <c r="AV82" s="520"/>
      <c r="AW82" s="520"/>
      <c r="AX82" s="520"/>
      <c r="AY82" s="520"/>
      <c r="AZ82" s="520"/>
      <c r="BA82" s="520"/>
      <c r="BB82" s="520"/>
      <c r="BC82" s="520"/>
      <c r="BD82" s="520"/>
      <c r="BE82" s="520"/>
      <c r="BF82" s="520"/>
      <c r="BG82" s="520"/>
      <c r="BH82" s="520"/>
      <c r="BI82" s="520"/>
      <c r="BJ82" s="520"/>
      <c r="BK82" s="520"/>
      <c r="BL82" s="520"/>
      <c r="BM82" s="520"/>
      <c r="BN82" s="520"/>
      <c r="BO82" s="520"/>
      <c r="BP82" s="520"/>
      <c r="BQ82" s="520"/>
      <c r="BR82" s="520"/>
      <c r="BS82" s="520"/>
      <c r="BT82" s="520"/>
      <c r="BU82" s="520"/>
      <c r="BV82" s="520"/>
      <c r="BW82" s="520"/>
      <c r="BX82" s="520"/>
      <c r="BY82" s="520"/>
      <c r="BZ82" s="520"/>
      <c r="CA82" s="520"/>
      <c r="CB82" s="520"/>
      <c r="CC82" s="520"/>
      <c r="CD82" s="520"/>
      <c r="CE82" s="520"/>
      <c r="CF82" s="520"/>
      <c r="CG82" s="520"/>
      <c r="CH82" s="520"/>
      <c r="CI82" s="520"/>
      <c r="CJ82" s="520"/>
      <c r="CK82" s="520"/>
      <c r="CL82" s="520"/>
      <c r="CM82" s="520"/>
      <c r="CN82" s="520"/>
      <c r="CO82" s="520"/>
      <c r="CP82" s="520"/>
      <c r="CQ82" s="520"/>
      <c r="CR82" s="520"/>
      <c r="CS82" s="520"/>
      <c r="CT82" s="520"/>
      <c r="CU82" s="520"/>
      <c r="CV82" s="520"/>
      <c r="CW82" s="520"/>
      <c r="CX82" s="520"/>
      <c r="CY82" s="520"/>
      <c r="CZ82" s="520"/>
      <c r="DA82" s="520"/>
      <c r="DB82" s="520"/>
      <c r="DC82" s="520"/>
      <c r="DD82" s="520"/>
      <c r="DE82" s="520"/>
      <c r="DF82" s="520"/>
      <c r="DG82" s="520"/>
      <c r="DH82" s="520"/>
      <c r="DI82" s="520"/>
      <c r="DJ82" s="520"/>
      <c r="DK82" s="520"/>
      <c r="DL82" s="520"/>
      <c r="DM82" s="520"/>
      <c r="DN82" s="520"/>
      <c r="DO82" s="520"/>
      <c r="DP82" s="520"/>
      <c r="DQ82" s="520"/>
      <c r="DR82" s="520"/>
      <c r="DS82" s="520"/>
      <c r="DT82" s="520"/>
      <c r="DU82" s="520"/>
      <c r="DV82" s="520"/>
      <c r="DW82" s="520"/>
      <c r="DX82" s="520"/>
      <c r="DY82" s="520"/>
      <c r="DZ82" s="520"/>
      <c r="EA82" s="520"/>
      <c r="EB82" s="520"/>
      <c r="EC82" s="520"/>
      <c r="ED82" s="520"/>
      <c r="EE82" s="520"/>
      <c r="EF82" s="520"/>
      <c r="EG82" s="520"/>
      <c r="EH82" s="520"/>
      <c r="EI82" s="520"/>
      <c r="EJ82" s="520"/>
      <c r="EK82" s="520"/>
      <c r="EL82" s="520"/>
      <c r="EM82" s="520"/>
      <c r="EN82" s="520"/>
      <c r="EO82" s="520"/>
      <c r="EP82" s="520"/>
      <c r="EQ82" s="520"/>
      <c r="ER82" s="520"/>
      <c r="ES82" s="520"/>
      <c r="ET82" s="520"/>
      <c r="EU82" s="520"/>
      <c r="EV82" s="520"/>
      <c r="EW82" s="520"/>
    </row>
    <row r="83" spans="1:153" s="521" customFormat="1" ht="15">
      <c r="A83" s="698" t="s">
        <v>3693</v>
      </c>
      <c r="B83" s="525"/>
      <c r="C83" s="520"/>
      <c r="D83" s="520"/>
      <c r="E83" s="520"/>
      <c r="F83" s="520"/>
      <c r="G83" s="520"/>
      <c r="H83" s="520"/>
      <c r="I83" s="520"/>
      <c r="J83" s="520"/>
      <c r="K83" s="520"/>
      <c r="L83" s="526">
        <f>Metrics!D40</f>
        <v>0</v>
      </c>
      <c r="M83" s="526">
        <f>Metrics!E40</f>
        <v>245710</v>
      </c>
      <c r="N83" s="526">
        <f>Metrics!F40</f>
        <v>694247</v>
      </c>
      <c r="O83" s="526">
        <f>Metrics!G40</f>
        <v>910464</v>
      </c>
      <c r="P83" s="526">
        <f>Metrics!H40</f>
        <v>1348821</v>
      </c>
      <c r="Q83" s="526">
        <f>Q86*Q89</f>
        <v>1750957.5</v>
      </c>
      <c r="R83" s="526">
        <f t="shared" ref="R83:Z83" si="40">R86*R89</f>
        <v>1874749.8</v>
      </c>
      <c r="S83" s="526">
        <f t="shared" si="40"/>
        <v>1941705.1499999994</v>
      </c>
      <c r="T83" s="526">
        <f t="shared" si="40"/>
        <v>2232960.9224999994</v>
      </c>
      <c r="U83" s="526">
        <f t="shared" si="40"/>
        <v>2567905.060874999</v>
      </c>
      <c r="V83" s="526">
        <f t="shared" si="40"/>
        <v>2876053.6681799991</v>
      </c>
      <c r="W83" s="526">
        <f t="shared" si="40"/>
        <v>3221180.108361599</v>
      </c>
      <c r="X83" s="526">
        <f t="shared" si="40"/>
        <v>3607721.7213649917</v>
      </c>
      <c r="Y83" s="526">
        <f t="shared" si="40"/>
        <v>3932416.6762878411</v>
      </c>
      <c r="Z83" s="526">
        <f t="shared" si="40"/>
        <v>4286334.1771537475</v>
      </c>
      <c r="AA83" s="526">
        <f>Z83/P83</f>
        <v>3.1778376650079943</v>
      </c>
      <c r="AB83" s="520"/>
      <c r="AC83" s="520"/>
      <c r="AD83" s="520"/>
      <c r="AE83" s="520"/>
      <c r="AF83" s="520"/>
      <c r="AG83" s="520"/>
      <c r="AH83" s="520"/>
      <c r="AI83" s="520"/>
      <c r="AJ83" s="520"/>
      <c r="AK83" s="520"/>
      <c r="AL83" s="520"/>
      <c r="AM83" s="520"/>
      <c r="AN83" s="520"/>
      <c r="AO83" s="520"/>
      <c r="AP83" s="520"/>
      <c r="AQ83" s="520"/>
      <c r="AR83" s="520"/>
      <c r="AS83" s="520"/>
      <c r="AT83" s="520"/>
      <c r="AU83" s="520"/>
      <c r="AV83" s="520"/>
      <c r="AW83" s="520"/>
      <c r="AX83" s="520"/>
      <c r="AY83" s="520"/>
      <c r="AZ83" s="520"/>
      <c r="BA83" s="520"/>
      <c r="BB83" s="520"/>
      <c r="BC83" s="520"/>
      <c r="BD83" s="520"/>
      <c r="BE83" s="520"/>
      <c r="BF83" s="520"/>
      <c r="BG83" s="520"/>
      <c r="BH83" s="520"/>
      <c r="BI83" s="520"/>
      <c r="BJ83" s="520"/>
      <c r="BK83" s="520"/>
      <c r="BL83" s="520"/>
      <c r="BM83" s="520"/>
      <c r="BN83" s="520"/>
      <c r="BO83" s="520"/>
      <c r="BP83" s="520"/>
      <c r="BQ83" s="520"/>
      <c r="BR83" s="520"/>
      <c r="BS83" s="520"/>
      <c r="BT83" s="520"/>
      <c r="BU83" s="520"/>
      <c r="BV83" s="520"/>
      <c r="BW83" s="520"/>
      <c r="BX83" s="520"/>
      <c r="BY83" s="520"/>
      <c r="BZ83" s="520"/>
      <c r="CA83" s="520"/>
      <c r="CB83" s="520"/>
      <c r="CC83" s="520"/>
      <c r="CD83" s="520"/>
      <c r="CE83" s="520"/>
      <c r="CF83" s="520"/>
      <c r="CG83" s="520"/>
      <c r="CH83" s="520"/>
      <c r="CI83" s="520"/>
      <c r="CJ83" s="520"/>
      <c r="CK83" s="520"/>
      <c r="CL83" s="520"/>
      <c r="CM83" s="520"/>
      <c r="CN83" s="520"/>
      <c r="CO83" s="520"/>
      <c r="CP83" s="520"/>
      <c r="CQ83" s="520"/>
      <c r="CR83" s="520"/>
      <c r="CS83" s="520"/>
      <c r="CT83" s="520"/>
      <c r="CU83" s="520"/>
      <c r="CV83" s="520"/>
      <c r="CW83" s="520"/>
      <c r="CX83" s="520"/>
      <c r="CY83" s="520"/>
      <c r="CZ83" s="520"/>
      <c r="DA83" s="520"/>
      <c r="DB83" s="520"/>
      <c r="DC83" s="520"/>
      <c r="DD83" s="520"/>
      <c r="DE83" s="520"/>
      <c r="DF83" s="520"/>
      <c r="DG83" s="520"/>
      <c r="DH83" s="520"/>
      <c r="DI83" s="520"/>
      <c r="DJ83" s="520"/>
      <c r="DK83" s="520"/>
      <c r="DL83" s="520"/>
      <c r="DM83" s="520"/>
      <c r="DN83" s="520"/>
      <c r="DO83" s="520"/>
      <c r="DP83" s="520"/>
      <c r="DQ83" s="520"/>
      <c r="DR83" s="520"/>
      <c r="DS83" s="520"/>
      <c r="DT83" s="520"/>
      <c r="DU83" s="520"/>
      <c r="DV83" s="520"/>
      <c r="DW83" s="520"/>
      <c r="DX83" s="520"/>
      <c r="DY83" s="520"/>
      <c r="DZ83" s="520"/>
      <c r="EA83" s="520"/>
      <c r="EB83" s="520"/>
      <c r="EC83" s="520"/>
      <c r="ED83" s="520"/>
      <c r="EE83" s="520"/>
      <c r="EF83" s="520"/>
      <c r="EG83" s="520"/>
      <c r="EH83" s="520"/>
      <c r="EI83" s="520"/>
      <c r="EJ83" s="520"/>
      <c r="EK83" s="520"/>
      <c r="EL83" s="520"/>
      <c r="EM83" s="520"/>
      <c r="EN83" s="520"/>
      <c r="EO83" s="520"/>
      <c r="EP83" s="520"/>
      <c r="EQ83" s="520"/>
      <c r="ER83" s="520"/>
      <c r="ES83" s="520"/>
      <c r="ET83" s="520"/>
      <c r="EU83" s="520"/>
      <c r="EV83" s="520"/>
      <c r="EW83" s="520"/>
    </row>
    <row r="84" spans="1:153" s="521" customFormat="1" ht="16">
      <c r="A84" s="694" t="s">
        <v>3515</v>
      </c>
      <c r="B84" s="549"/>
      <c r="C84" s="520"/>
      <c r="D84" s="520"/>
      <c r="E84" s="520"/>
      <c r="F84" s="520"/>
      <c r="G84" s="520"/>
      <c r="H84" s="520"/>
      <c r="I84" s="520"/>
      <c r="J84" s="520"/>
      <c r="K84" s="520"/>
      <c r="L84" s="526"/>
      <c r="M84" s="526"/>
      <c r="N84" s="526"/>
      <c r="O84" s="548">
        <f>(O83/N83)-1</f>
        <v>0.31144102891334069</v>
      </c>
      <c r="P84" s="548">
        <f>(P83/O83)-1</f>
        <v>0.48146549451708132</v>
      </c>
      <c r="Q84" s="548">
        <f t="shared" ref="Q84:Z84" si="41">(Q83/P83)-1</f>
        <v>0.298139263845981</v>
      </c>
      <c r="R84" s="548">
        <f t="shared" si="41"/>
        <v>7.0699774266365756E-2</v>
      </c>
      <c r="S84" s="548">
        <f t="shared" si="41"/>
        <v>3.5714285714285365E-2</v>
      </c>
      <c r="T84" s="548">
        <f t="shared" si="41"/>
        <v>0.15000000000000013</v>
      </c>
      <c r="U84" s="548">
        <f t="shared" si="41"/>
        <v>0.14999999999999991</v>
      </c>
      <c r="V84" s="548">
        <f t="shared" si="41"/>
        <v>0.12000000000000011</v>
      </c>
      <c r="W84" s="548">
        <f t="shared" si="41"/>
        <v>0.12000000000000011</v>
      </c>
      <c r="X84" s="548">
        <f>(X83/W83)-1</f>
        <v>0.12000000000000033</v>
      </c>
      <c r="Y84" s="548">
        <f t="shared" si="41"/>
        <v>9.000000000000008E-2</v>
      </c>
      <c r="Z84" s="548">
        <f t="shared" si="41"/>
        <v>9.0000000000000302E-2</v>
      </c>
      <c r="AA84" s="553">
        <f>AA83^0.1</f>
        <v>1.122569325450909</v>
      </c>
      <c r="AB84" s="520"/>
      <c r="AC84" s="520"/>
      <c r="AD84" s="520"/>
      <c r="AE84" s="520"/>
      <c r="AF84" s="520"/>
      <c r="AG84" s="520"/>
      <c r="AH84" s="520"/>
      <c r="AI84" s="520"/>
      <c r="AJ84" s="520"/>
      <c r="AK84" s="520"/>
      <c r="AL84" s="520"/>
      <c r="AM84" s="520"/>
      <c r="AN84" s="520"/>
      <c r="AO84" s="520"/>
      <c r="AP84" s="520"/>
      <c r="AQ84" s="520"/>
      <c r="AR84" s="520"/>
      <c r="AS84" s="520"/>
      <c r="AT84" s="520"/>
      <c r="AU84" s="520"/>
      <c r="AV84" s="520"/>
      <c r="AW84" s="520"/>
      <c r="AX84" s="520"/>
      <c r="AY84" s="520"/>
      <c r="AZ84" s="520"/>
      <c r="BA84" s="520"/>
      <c r="BB84" s="520"/>
      <c r="BC84" s="520"/>
      <c r="BD84" s="520"/>
      <c r="BE84" s="520"/>
      <c r="BF84" s="520"/>
      <c r="BG84" s="520"/>
      <c r="BH84" s="520"/>
      <c r="BI84" s="520"/>
      <c r="BJ84" s="520"/>
      <c r="BK84" s="520"/>
      <c r="BL84" s="520"/>
      <c r="BM84" s="520"/>
      <c r="BN84" s="520"/>
      <c r="BO84" s="520"/>
      <c r="BP84" s="520"/>
      <c r="BQ84" s="520"/>
      <c r="BR84" s="520"/>
      <c r="BS84" s="520"/>
      <c r="BT84" s="520"/>
      <c r="BU84" s="520"/>
      <c r="BV84" s="520"/>
      <c r="BW84" s="520"/>
      <c r="BX84" s="520"/>
      <c r="BY84" s="520"/>
      <c r="BZ84" s="520"/>
      <c r="CA84" s="520"/>
      <c r="CB84" s="520"/>
      <c r="CC84" s="520"/>
      <c r="CD84" s="520"/>
      <c r="CE84" s="520"/>
      <c r="CF84" s="520"/>
      <c r="CG84" s="520"/>
      <c r="CH84" s="520"/>
      <c r="CI84" s="520"/>
      <c r="CJ84" s="520"/>
      <c r="CK84" s="520"/>
      <c r="CL84" s="520"/>
      <c r="CM84" s="520"/>
      <c r="CN84" s="520"/>
      <c r="CO84" s="520"/>
      <c r="CP84" s="520"/>
      <c r="CQ84" s="520"/>
      <c r="CR84" s="520"/>
      <c r="CS84" s="520"/>
      <c r="CT84" s="520"/>
      <c r="CU84" s="520"/>
      <c r="CV84" s="520"/>
      <c r="CW84" s="520"/>
      <c r="CX84" s="520"/>
      <c r="CY84" s="520"/>
      <c r="CZ84" s="520"/>
      <c r="DA84" s="520"/>
      <c r="DB84" s="520"/>
      <c r="DC84" s="520"/>
      <c r="DD84" s="520"/>
      <c r="DE84" s="520"/>
      <c r="DF84" s="520"/>
      <c r="DG84" s="520"/>
      <c r="DH84" s="520"/>
      <c r="DI84" s="520"/>
      <c r="DJ84" s="520"/>
      <c r="DK84" s="520"/>
      <c r="DL84" s="520"/>
      <c r="DM84" s="520"/>
      <c r="DN84" s="520"/>
      <c r="DO84" s="520"/>
      <c r="DP84" s="520"/>
      <c r="DQ84" s="520"/>
      <c r="DR84" s="520"/>
      <c r="DS84" s="520"/>
      <c r="DT84" s="520"/>
      <c r="DU84" s="520"/>
      <c r="DV84" s="520"/>
      <c r="DW84" s="520"/>
      <c r="DX84" s="520"/>
      <c r="DY84" s="520"/>
      <c r="DZ84" s="520"/>
      <c r="EA84" s="520"/>
      <c r="EB84" s="520"/>
      <c r="EC84" s="520"/>
      <c r="ED84" s="520"/>
      <c r="EE84" s="520"/>
      <c r="EF84" s="520"/>
      <c r="EG84" s="520"/>
      <c r="EH84" s="520"/>
      <c r="EI84" s="520"/>
      <c r="EJ84" s="520"/>
      <c r="EK84" s="520"/>
      <c r="EL84" s="520"/>
      <c r="EM84" s="520"/>
      <c r="EN84" s="520"/>
      <c r="EO84" s="520"/>
      <c r="EP84" s="520"/>
      <c r="EQ84" s="520"/>
      <c r="ER84" s="520"/>
      <c r="ES84" s="520"/>
      <c r="ET84" s="520"/>
      <c r="EU84" s="520"/>
      <c r="EV84" s="520"/>
      <c r="EW84" s="520"/>
    </row>
    <row r="85" spans="1:153" s="521" customFormat="1" ht="16">
      <c r="A85" s="694"/>
      <c r="B85" s="549"/>
      <c r="C85" s="520"/>
      <c r="D85" s="520"/>
      <c r="E85" s="520"/>
      <c r="F85" s="520"/>
      <c r="G85" s="520"/>
      <c r="H85" s="520"/>
      <c r="I85" s="520"/>
      <c r="J85" s="520"/>
      <c r="K85" s="520"/>
      <c r="L85" s="526"/>
      <c r="M85" s="526"/>
      <c r="N85" s="526"/>
      <c r="O85" s="548"/>
      <c r="P85" s="548"/>
      <c r="Q85" s="704"/>
      <c r="R85" s="690"/>
      <c r="S85" s="690"/>
      <c r="T85" s="690"/>
      <c r="U85" s="690"/>
      <c r="V85" s="690"/>
      <c r="W85" s="690"/>
      <c r="X85" s="690"/>
      <c r="Y85" s="690"/>
      <c r="Z85" s="690"/>
      <c r="AA85" s="526"/>
      <c r="AB85" s="520"/>
      <c r="AC85" s="520"/>
      <c r="AD85" s="520"/>
      <c r="AE85" s="520"/>
      <c r="AF85" s="520"/>
      <c r="AG85" s="520"/>
      <c r="AH85" s="520"/>
      <c r="AI85" s="520"/>
      <c r="AJ85" s="520"/>
      <c r="AK85" s="520"/>
      <c r="AL85" s="520"/>
      <c r="AM85" s="520"/>
      <c r="AN85" s="520"/>
      <c r="AO85" s="520"/>
      <c r="AP85" s="520"/>
      <c r="AQ85" s="520"/>
      <c r="AR85" s="520"/>
      <c r="AS85" s="520"/>
      <c r="AT85" s="520"/>
      <c r="AU85" s="520"/>
      <c r="AV85" s="520"/>
      <c r="AW85" s="520"/>
      <c r="AX85" s="520"/>
      <c r="AY85" s="520"/>
      <c r="AZ85" s="520"/>
      <c r="BA85" s="520"/>
      <c r="BB85" s="520"/>
      <c r="BC85" s="520"/>
      <c r="BD85" s="520"/>
      <c r="BE85" s="520"/>
      <c r="BF85" s="520"/>
      <c r="BG85" s="520"/>
      <c r="BH85" s="520"/>
      <c r="BI85" s="520"/>
      <c r="BJ85" s="520"/>
      <c r="BK85" s="520"/>
      <c r="BL85" s="520"/>
      <c r="BM85" s="520"/>
      <c r="BN85" s="520"/>
      <c r="BO85" s="520"/>
      <c r="BP85" s="520"/>
      <c r="BQ85" s="520"/>
      <c r="BR85" s="520"/>
      <c r="BS85" s="520"/>
      <c r="BT85" s="520"/>
      <c r="BU85" s="520"/>
      <c r="BV85" s="520"/>
      <c r="BW85" s="520"/>
      <c r="BX85" s="520"/>
      <c r="BY85" s="520"/>
      <c r="BZ85" s="520"/>
      <c r="CA85" s="520"/>
      <c r="CB85" s="520"/>
      <c r="CC85" s="520"/>
      <c r="CD85" s="520"/>
      <c r="CE85" s="520"/>
      <c r="CF85" s="520"/>
      <c r="CG85" s="520"/>
      <c r="CH85" s="520"/>
      <c r="CI85" s="520"/>
      <c r="CJ85" s="520"/>
      <c r="CK85" s="520"/>
      <c r="CL85" s="520"/>
      <c r="CM85" s="520"/>
      <c r="CN85" s="520"/>
      <c r="CO85" s="520"/>
      <c r="CP85" s="520"/>
      <c r="CQ85" s="520"/>
      <c r="CR85" s="520"/>
      <c r="CS85" s="520"/>
      <c r="CT85" s="520"/>
      <c r="CU85" s="520"/>
      <c r="CV85" s="520"/>
      <c r="CW85" s="520"/>
      <c r="CX85" s="520"/>
      <c r="CY85" s="520"/>
      <c r="CZ85" s="520"/>
      <c r="DA85" s="520"/>
      <c r="DB85" s="520"/>
      <c r="DC85" s="520"/>
      <c r="DD85" s="520"/>
      <c r="DE85" s="520"/>
      <c r="DF85" s="520"/>
      <c r="DG85" s="520"/>
      <c r="DH85" s="520"/>
      <c r="DI85" s="520"/>
      <c r="DJ85" s="520"/>
      <c r="DK85" s="520"/>
      <c r="DL85" s="520"/>
      <c r="DM85" s="520"/>
      <c r="DN85" s="520"/>
      <c r="DO85" s="520"/>
      <c r="DP85" s="520"/>
      <c r="DQ85" s="520"/>
      <c r="DR85" s="520"/>
      <c r="DS85" s="520"/>
      <c r="DT85" s="520"/>
      <c r="DU85" s="520"/>
      <c r="DV85" s="520"/>
      <c r="DW85" s="520"/>
      <c r="DX85" s="520"/>
      <c r="DY85" s="520"/>
      <c r="DZ85" s="520"/>
      <c r="EA85" s="520"/>
      <c r="EB85" s="520"/>
      <c r="EC85" s="520"/>
      <c r="ED85" s="520"/>
      <c r="EE85" s="520"/>
      <c r="EF85" s="520"/>
      <c r="EG85" s="520"/>
      <c r="EH85" s="520"/>
      <c r="EI85" s="520"/>
      <c r="EJ85" s="520"/>
      <c r="EK85" s="520"/>
      <c r="EL85" s="520"/>
      <c r="EM85" s="520"/>
      <c r="EN85" s="520"/>
      <c r="EO85" s="520"/>
      <c r="EP85" s="520"/>
      <c r="EQ85" s="520"/>
      <c r="ER85" s="520"/>
      <c r="ES85" s="520"/>
      <c r="ET85" s="520"/>
      <c r="EU85" s="520"/>
      <c r="EV85" s="520"/>
      <c r="EW85" s="520"/>
    </row>
    <row r="86" spans="1:153" s="521" customFormat="1" ht="16">
      <c r="A86" s="689" t="s">
        <v>3694</v>
      </c>
      <c r="B86" s="549"/>
      <c r="C86" s="520"/>
      <c r="D86" s="520"/>
      <c r="E86" s="520"/>
      <c r="F86" s="520"/>
      <c r="G86" s="520"/>
      <c r="H86" s="520"/>
      <c r="I86" s="520"/>
      <c r="J86" s="520"/>
      <c r="K86" s="520"/>
      <c r="L86" s="526"/>
      <c r="M86" s="526">
        <v>49861000</v>
      </c>
      <c r="N86" s="703">
        <v>30467000</v>
      </c>
      <c r="O86" s="703">
        <v>33342000</v>
      </c>
      <c r="P86" s="703">
        <v>51000000</v>
      </c>
      <c r="Q86" s="704">
        <f>P86*(1+Q87)</f>
        <v>79050000</v>
      </c>
      <c r="R86" s="704">
        <f>Q86*(1+R87)</f>
        <v>95650500</v>
      </c>
      <c r="S86" s="704">
        <f t="shared" ref="S86:Z86" si="42">R86*(1+S87)</f>
        <v>110954579.99999999</v>
      </c>
      <c r="T86" s="704">
        <f t="shared" si="42"/>
        <v>127597766.99999997</v>
      </c>
      <c r="U86" s="704">
        <f t="shared" si="42"/>
        <v>146737432.04999995</v>
      </c>
      <c r="V86" s="704">
        <f t="shared" si="42"/>
        <v>164345923.89599997</v>
      </c>
      <c r="W86" s="704">
        <f t="shared" si="42"/>
        <v>184067434.76351997</v>
      </c>
      <c r="X86" s="704">
        <f t="shared" si="42"/>
        <v>206155526.9351424</v>
      </c>
      <c r="Y86" s="704">
        <f t="shared" si="42"/>
        <v>224709524.35930523</v>
      </c>
      <c r="Z86" s="704">
        <f t="shared" si="42"/>
        <v>244933381.55164272</v>
      </c>
      <c r="AA86" s="526"/>
      <c r="AB86" s="520"/>
      <c r="AC86" s="520"/>
      <c r="AD86" s="520"/>
      <c r="AE86" s="520"/>
      <c r="AF86" s="520"/>
      <c r="AG86" s="520"/>
      <c r="AH86" s="520"/>
      <c r="AI86" s="520"/>
      <c r="AJ86" s="520"/>
      <c r="AK86" s="520"/>
      <c r="AL86" s="520"/>
      <c r="AM86" s="520"/>
      <c r="AN86" s="520"/>
      <c r="AO86" s="520"/>
      <c r="AP86" s="520"/>
      <c r="AQ86" s="520"/>
      <c r="AR86" s="520"/>
      <c r="AS86" s="520"/>
      <c r="AT86" s="520"/>
      <c r="AU86" s="520"/>
      <c r="AV86" s="520"/>
      <c r="AW86" s="520"/>
      <c r="AX86" s="520"/>
      <c r="AY86" s="520"/>
      <c r="AZ86" s="520"/>
      <c r="BA86" s="520"/>
      <c r="BB86" s="520"/>
      <c r="BC86" s="520"/>
      <c r="BD86" s="520"/>
      <c r="BE86" s="520"/>
      <c r="BF86" s="520"/>
      <c r="BG86" s="520"/>
      <c r="BH86" s="520"/>
      <c r="BI86" s="520"/>
      <c r="BJ86" s="520"/>
      <c r="BK86" s="520"/>
      <c r="BL86" s="520"/>
      <c r="BM86" s="520"/>
      <c r="BN86" s="520"/>
      <c r="BO86" s="520"/>
      <c r="BP86" s="520"/>
      <c r="BQ86" s="520"/>
      <c r="BR86" s="520"/>
      <c r="BS86" s="520"/>
      <c r="BT86" s="520"/>
      <c r="BU86" s="520"/>
      <c r="BV86" s="520"/>
      <c r="BW86" s="520"/>
      <c r="BX86" s="520"/>
      <c r="BY86" s="520"/>
      <c r="BZ86" s="520"/>
      <c r="CA86" s="520"/>
      <c r="CB86" s="520"/>
      <c r="CC86" s="520"/>
      <c r="CD86" s="520"/>
      <c r="CE86" s="520"/>
      <c r="CF86" s="520"/>
      <c r="CG86" s="520"/>
      <c r="CH86" s="520"/>
      <c r="CI86" s="520"/>
      <c r="CJ86" s="520"/>
      <c r="CK86" s="520"/>
      <c r="CL86" s="520"/>
      <c r="CM86" s="520"/>
      <c r="CN86" s="520"/>
      <c r="CO86" s="520"/>
      <c r="CP86" s="520"/>
      <c r="CQ86" s="520"/>
      <c r="CR86" s="520"/>
      <c r="CS86" s="520"/>
      <c r="CT86" s="520"/>
      <c r="CU86" s="520"/>
      <c r="CV86" s="520"/>
      <c r="CW86" s="520"/>
      <c r="CX86" s="520"/>
      <c r="CY86" s="520"/>
      <c r="CZ86" s="520"/>
      <c r="DA86" s="520"/>
      <c r="DB86" s="520"/>
      <c r="DC86" s="520"/>
      <c r="DD86" s="520"/>
      <c r="DE86" s="520"/>
      <c r="DF86" s="520"/>
      <c r="DG86" s="520"/>
      <c r="DH86" s="520"/>
      <c r="DI86" s="520"/>
      <c r="DJ86" s="520"/>
      <c r="DK86" s="520"/>
      <c r="DL86" s="520"/>
      <c r="DM86" s="520"/>
      <c r="DN86" s="520"/>
      <c r="DO86" s="520"/>
      <c r="DP86" s="520"/>
      <c r="DQ86" s="520"/>
      <c r="DR86" s="520"/>
      <c r="DS86" s="520"/>
      <c r="DT86" s="520"/>
      <c r="DU86" s="520"/>
      <c r="DV86" s="520"/>
      <c r="DW86" s="520"/>
      <c r="DX86" s="520"/>
      <c r="DY86" s="520"/>
      <c r="DZ86" s="520"/>
      <c r="EA86" s="520"/>
      <c r="EB86" s="520"/>
      <c r="EC86" s="520"/>
      <c r="ED86" s="520"/>
      <c r="EE86" s="520"/>
      <c r="EF86" s="520"/>
      <c r="EG86" s="520"/>
      <c r="EH86" s="520"/>
      <c r="EI86" s="520"/>
      <c r="EJ86" s="520"/>
      <c r="EK86" s="520"/>
      <c r="EL86" s="520"/>
      <c r="EM86" s="520"/>
      <c r="EN86" s="520"/>
      <c r="EO86" s="520"/>
      <c r="EP86" s="520"/>
      <c r="EQ86" s="520"/>
      <c r="ER86" s="520"/>
      <c r="ES86" s="520"/>
      <c r="ET86" s="520"/>
      <c r="EU86" s="520"/>
      <c r="EV86" s="520"/>
      <c r="EW86" s="520"/>
    </row>
    <row r="87" spans="1:153" s="521" customFormat="1" ht="16">
      <c r="A87" s="694" t="s">
        <v>3515</v>
      </c>
      <c r="B87" s="549"/>
      <c r="C87" s="520"/>
      <c r="D87" s="520"/>
      <c r="E87" s="520"/>
      <c r="F87" s="520"/>
      <c r="G87" s="520"/>
      <c r="H87" s="520"/>
      <c r="I87" s="520"/>
      <c r="J87" s="520"/>
      <c r="K87" s="520"/>
      <c r="L87" s="526"/>
      <c r="M87" s="526"/>
      <c r="N87" s="526"/>
      <c r="O87" s="705">
        <f>O86/N86-1</f>
        <v>9.4364394262644868E-2</v>
      </c>
      <c r="P87" s="705">
        <f>P86/O86-1</f>
        <v>0.52960230340111569</v>
      </c>
      <c r="Q87" s="690">
        <v>0.55000000000000004</v>
      </c>
      <c r="R87" s="690">
        <v>0.21</v>
      </c>
      <c r="S87" s="690">
        <v>0.16</v>
      </c>
      <c r="T87" s="690">
        <v>0.15</v>
      </c>
      <c r="U87" s="690">
        <v>0.15</v>
      </c>
      <c r="V87" s="690">
        <v>0.12</v>
      </c>
      <c r="W87" s="690">
        <v>0.12</v>
      </c>
      <c r="X87" s="690">
        <v>0.12</v>
      </c>
      <c r="Y87" s="690">
        <v>0.09</v>
      </c>
      <c r="Z87" s="690">
        <v>0.09</v>
      </c>
      <c r="AA87" s="526"/>
      <c r="AB87" s="520"/>
      <c r="AC87" s="520"/>
      <c r="AD87" s="520"/>
      <c r="AE87" s="520"/>
      <c r="AF87" s="520"/>
      <c r="AG87" s="520"/>
      <c r="AH87" s="520"/>
      <c r="AI87" s="520"/>
      <c r="AJ87" s="520"/>
      <c r="AK87" s="520"/>
      <c r="AL87" s="520"/>
      <c r="AM87" s="520"/>
      <c r="AN87" s="520"/>
      <c r="AO87" s="520"/>
      <c r="AP87" s="520"/>
      <c r="AQ87" s="520"/>
      <c r="AR87" s="520"/>
      <c r="AS87" s="520"/>
      <c r="AT87" s="520"/>
      <c r="AU87" s="520"/>
      <c r="AV87" s="520"/>
      <c r="AW87" s="520"/>
      <c r="AX87" s="520"/>
      <c r="AY87" s="520"/>
      <c r="AZ87" s="520"/>
      <c r="BA87" s="520"/>
      <c r="BB87" s="520"/>
      <c r="BC87" s="520"/>
      <c r="BD87" s="520"/>
      <c r="BE87" s="520"/>
      <c r="BF87" s="520"/>
      <c r="BG87" s="520"/>
      <c r="BH87" s="520"/>
      <c r="BI87" s="520"/>
      <c r="BJ87" s="520"/>
      <c r="BK87" s="520"/>
      <c r="BL87" s="520"/>
      <c r="BM87" s="520"/>
      <c r="BN87" s="520"/>
      <c r="BO87" s="520"/>
      <c r="BP87" s="520"/>
      <c r="BQ87" s="520"/>
      <c r="BR87" s="520"/>
      <c r="BS87" s="520"/>
      <c r="BT87" s="520"/>
      <c r="BU87" s="520"/>
      <c r="BV87" s="520"/>
      <c r="BW87" s="520"/>
      <c r="BX87" s="520"/>
      <c r="BY87" s="520"/>
      <c r="BZ87" s="520"/>
      <c r="CA87" s="520"/>
      <c r="CB87" s="520"/>
      <c r="CC87" s="520"/>
      <c r="CD87" s="520"/>
      <c r="CE87" s="520"/>
      <c r="CF87" s="520"/>
      <c r="CG87" s="520"/>
      <c r="CH87" s="520"/>
      <c r="CI87" s="520"/>
      <c r="CJ87" s="520"/>
      <c r="CK87" s="520"/>
      <c r="CL87" s="520"/>
      <c r="CM87" s="520"/>
      <c r="CN87" s="520"/>
      <c r="CO87" s="520"/>
      <c r="CP87" s="520"/>
      <c r="CQ87" s="520"/>
      <c r="CR87" s="520"/>
      <c r="CS87" s="520"/>
      <c r="CT87" s="520"/>
      <c r="CU87" s="520"/>
      <c r="CV87" s="520"/>
      <c r="CW87" s="520"/>
      <c r="CX87" s="520"/>
      <c r="CY87" s="520"/>
      <c r="CZ87" s="520"/>
      <c r="DA87" s="520"/>
      <c r="DB87" s="520"/>
      <c r="DC87" s="520"/>
      <c r="DD87" s="520"/>
      <c r="DE87" s="520"/>
      <c r="DF87" s="520"/>
      <c r="DG87" s="520"/>
      <c r="DH87" s="520"/>
      <c r="DI87" s="520"/>
      <c r="DJ87" s="520"/>
      <c r="DK87" s="520"/>
      <c r="DL87" s="520"/>
      <c r="DM87" s="520"/>
      <c r="DN87" s="520"/>
      <c r="DO87" s="520"/>
      <c r="DP87" s="520"/>
      <c r="DQ87" s="520"/>
      <c r="DR87" s="520"/>
      <c r="DS87" s="520"/>
      <c r="DT87" s="520"/>
      <c r="DU87" s="520"/>
      <c r="DV87" s="520"/>
      <c r="DW87" s="520"/>
      <c r="DX87" s="520"/>
      <c r="DY87" s="520"/>
      <c r="DZ87" s="520"/>
      <c r="EA87" s="520"/>
      <c r="EB87" s="520"/>
      <c r="EC87" s="520"/>
      <c r="ED87" s="520"/>
      <c r="EE87" s="520"/>
      <c r="EF87" s="520"/>
      <c r="EG87" s="520"/>
      <c r="EH87" s="520"/>
      <c r="EI87" s="520"/>
      <c r="EJ87" s="520"/>
      <c r="EK87" s="520"/>
      <c r="EL87" s="520"/>
      <c r="EM87" s="520"/>
      <c r="EN87" s="520"/>
      <c r="EO87" s="520"/>
      <c r="EP87" s="520"/>
      <c r="EQ87" s="520"/>
      <c r="ER87" s="520"/>
      <c r="ES87" s="520"/>
      <c r="ET87" s="520"/>
      <c r="EU87" s="520"/>
      <c r="EV87" s="520"/>
      <c r="EW87" s="520"/>
    </row>
    <row r="88" spans="1:153" s="521" customFormat="1" ht="16">
      <c r="A88" s="694"/>
      <c r="B88" s="549"/>
      <c r="C88" s="520"/>
      <c r="D88" s="520"/>
      <c r="E88" s="520"/>
      <c r="F88" s="520"/>
      <c r="G88" s="520"/>
      <c r="H88" s="520"/>
      <c r="I88" s="520"/>
      <c r="J88" s="520"/>
      <c r="K88" s="520"/>
      <c r="L88" s="526"/>
      <c r="M88" s="526"/>
      <c r="N88" s="526"/>
      <c r="O88" s="548"/>
      <c r="P88" s="548"/>
      <c r="Q88" s="690"/>
      <c r="R88" s="690"/>
      <c r="S88" s="690"/>
      <c r="T88" s="690"/>
      <c r="U88" s="690"/>
      <c r="V88" s="690"/>
      <c r="W88" s="690"/>
      <c r="X88" s="690"/>
      <c r="Y88" s="690"/>
      <c r="Z88" s="690"/>
      <c r="AA88" s="526"/>
      <c r="AB88" s="520"/>
      <c r="AC88" s="520"/>
      <c r="AD88" s="520"/>
      <c r="AE88" s="520"/>
      <c r="AF88" s="520"/>
      <c r="AG88" s="520"/>
      <c r="AH88" s="520"/>
      <c r="AI88" s="520"/>
      <c r="AJ88" s="520"/>
      <c r="AK88" s="520"/>
      <c r="AL88" s="520"/>
      <c r="AM88" s="520"/>
      <c r="AN88" s="520"/>
      <c r="AO88" s="520"/>
      <c r="AP88" s="520"/>
      <c r="AQ88" s="520"/>
      <c r="AR88" s="520"/>
      <c r="AS88" s="520"/>
      <c r="AT88" s="520"/>
      <c r="AU88" s="520"/>
      <c r="AV88" s="520"/>
      <c r="AW88" s="520"/>
      <c r="AX88" s="520"/>
      <c r="AY88" s="520"/>
      <c r="AZ88" s="520"/>
      <c r="BA88" s="520"/>
      <c r="BB88" s="520"/>
      <c r="BC88" s="520"/>
      <c r="BD88" s="520"/>
      <c r="BE88" s="520"/>
      <c r="BF88" s="520"/>
      <c r="BG88" s="520"/>
      <c r="BH88" s="520"/>
      <c r="BI88" s="520"/>
      <c r="BJ88" s="520"/>
      <c r="BK88" s="520"/>
      <c r="BL88" s="520"/>
      <c r="BM88" s="520"/>
      <c r="BN88" s="520"/>
      <c r="BO88" s="520"/>
      <c r="BP88" s="520"/>
      <c r="BQ88" s="520"/>
      <c r="BR88" s="520"/>
      <c r="BS88" s="520"/>
      <c r="BT88" s="520"/>
      <c r="BU88" s="520"/>
      <c r="BV88" s="520"/>
      <c r="BW88" s="520"/>
      <c r="BX88" s="520"/>
      <c r="BY88" s="520"/>
      <c r="BZ88" s="520"/>
      <c r="CA88" s="520"/>
      <c r="CB88" s="520"/>
      <c r="CC88" s="520"/>
      <c r="CD88" s="520"/>
      <c r="CE88" s="520"/>
      <c r="CF88" s="520"/>
      <c r="CG88" s="520"/>
      <c r="CH88" s="520"/>
      <c r="CI88" s="520"/>
      <c r="CJ88" s="520"/>
      <c r="CK88" s="520"/>
      <c r="CL88" s="520"/>
      <c r="CM88" s="520"/>
      <c r="CN88" s="520"/>
      <c r="CO88" s="520"/>
      <c r="CP88" s="520"/>
      <c r="CQ88" s="520"/>
      <c r="CR88" s="520"/>
      <c r="CS88" s="520"/>
      <c r="CT88" s="520"/>
      <c r="CU88" s="520"/>
      <c r="CV88" s="520"/>
      <c r="CW88" s="520"/>
      <c r="CX88" s="520"/>
      <c r="CY88" s="520"/>
      <c r="CZ88" s="520"/>
      <c r="DA88" s="520"/>
      <c r="DB88" s="520"/>
      <c r="DC88" s="520"/>
      <c r="DD88" s="520"/>
      <c r="DE88" s="520"/>
      <c r="DF88" s="520"/>
      <c r="DG88" s="520"/>
      <c r="DH88" s="520"/>
      <c r="DI88" s="520"/>
      <c r="DJ88" s="520"/>
      <c r="DK88" s="520"/>
      <c r="DL88" s="520"/>
      <c r="DM88" s="520"/>
      <c r="DN88" s="520"/>
      <c r="DO88" s="520"/>
      <c r="DP88" s="520"/>
      <c r="DQ88" s="520"/>
      <c r="DR88" s="520"/>
      <c r="DS88" s="520"/>
      <c r="DT88" s="520"/>
      <c r="DU88" s="520"/>
      <c r="DV88" s="520"/>
      <c r="DW88" s="520"/>
      <c r="DX88" s="520"/>
      <c r="DY88" s="520"/>
      <c r="DZ88" s="520"/>
      <c r="EA88" s="520"/>
      <c r="EB88" s="520"/>
      <c r="EC88" s="520"/>
      <c r="ED88" s="520"/>
      <c r="EE88" s="520"/>
      <c r="EF88" s="520"/>
      <c r="EG88" s="520"/>
      <c r="EH88" s="520"/>
      <c r="EI88" s="520"/>
      <c r="EJ88" s="520"/>
      <c r="EK88" s="520"/>
      <c r="EL88" s="520"/>
      <c r="EM88" s="520"/>
      <c r="EN88" s="520"/>
      <c r="EO88" s="520"/>
      <c r="EP88" s="520"/>
      <c r="EQ88" s="520"/>
      <c r="ER88" s="520"/>
      <c r="ES88" s="520"/>
      <c r="ET88" s="520"/>
      <c r="EU88" s="520"/>
      <c r="EV88" s="520"/>
      <c r="EW88" s="520"/>
    </row>
    <row r="89" spans="1:153" s="521" customFormat="1" ht="16">
      <c r="A89" s="689" t="s">
        <v>3695</v>
      </c>
      <c r="B89" s="549"/>
      <c r="C89" s="520"/>
      <c r="D89" s="520"/>
      <c r="E89" s="520"/>
      <c r="F89" s="520"/>
      <c r="G89" s="520"/>
      <c r="H89" s="520"/>
      <c r="I89" s="520"/>
      <c r="J89" s="520"/>
      <c r="K89" s="520"/>
      <c r="L89" s="526"/>
      <c r="M89" s="526"/>
      <c r="N89" s="707">
        <f>N83/N86</f>
        <v>2.2786851347359437E-2</v>
      </c>
      <c r="O89" s="707">
        <f>O83/O86</f>
        <v>2.7306820226741049E-2</v>
      </c>
      <c r="P89" s="707">
        <f>P83/P86</f>
        <v>2.6447470588235295E-2</v>
      </c>
      <c r="Q89" s="709">
        <v>2.215E-2</v>
      </c>
      <c r="R89" s="708">
        <v>1.9599999999999999E-2</v>
      </c>
      <c r="S89" s="708">
        <f>0.7*0.025</f>
        <v>1.7499999999999998E-2</v>
      </c>
      <c r="T89" s="708">
        <f t="shared" ref="T89:Z89" si="43">0.7*0.025</f>
        <v>1.7499999999999998E-2</v>
      </c>
      <c r="U89" s="708">
        <f t="shared" si="43"/>
        <v>1.7499999999999998E-2</v>
      </c>
      <c r="V89" s="708">
        <f t="shared" si="43"/>
        <v>1.7499999999999998E-2</v>
      </c>
      <c r="W89" s="708">
        <f t="shared" si="43"/>
        <v>1.7499999999999998E-2</v>
      </c>
      <c r="X89" s="708">
        <f t="shared" si="43"/>
        <v>1.7499999999999998E-2</v>
      </c>
      <c r="Y89" s="708">
        <f t="shared" si="43"/>
        <v>1.7499999999999998E-2</v>
      </c>
      <c r="Z89" s="708">
        <f t="shared" si="43"/>
        <v>1.7499999999999998E-2</v>
      </c>
      <c r="AA89" s="526"/>
      <c r="AB89" s="520"/>
      <c r="AC89" s="520"/>
      <c r="AD89" s="520"/>
      <c r="AE89" s="520"/>
      <c r="AF89" s="520"/>
      <c r="AG89" s="520"/>
      <c r="AH89" s="520"/>
      <c r="AI89" s="520"/>
      <c r="AJ89" s="520"/>
      <c r="AK89" s="520"/>
      <c r="AL89" s="520"/>
      <c r="AM89" s="520"/>
      <c r="AN89" s="520"/>
      <c r="AO89" s="520"/>
      <c r="AP89" s="520"/>
      <c r="AQ89" s="520"/>
      <c r="AR89" s="520"/>
      <c r="AS89" s="520"/>
      <c r="AT89" s="520"/>
      <c r="AU89" s="520"/>
      <c r="AV89" s="520"/>
      <c r="AW89" s="520"/>
      <c r="AX89" s="520"/>
      <c r="AY89" s="520"/>
      <c r="AZ89" s="520"/>
      <c r="BA89" s="520"/>
      <c r="BB89" s="520"/>
      <c r="BC89" s="520"/>
      <c r="BD89" s="520"/>
      <c r="BE89" s="520"/>
      <c r="BF89" s="520"/>
      <c r="BG89" s="520"/>
      <c r="BH89" s="520"/>
      <c r="BI89" s="520"/>
      <c r="BJ89" s="520"/>
      <c r="BK89" s="520"/>
      <c r="BL89" s="520"/>
      <c r="BM89" s="520"/>
      <c r="BN89" s="520"/>
      <c r="BO89" s="520"/>
      <c r="BP89" s="520"/>
      <c r="BQ89" s="520"/>
      <c r="BR89" s="520"/>
      <c r="BS89" s="520"/>
      <c r="BT89" s="520"/>
      <c r="BU89" s="520"/>
      <c r="BV89" s="520"/>
      <c r="BW89" s="520"/>
      <c r="BX89" s="520"/>
      <c r="BY89" s="520"/>
      <c r="BZ89" s="520"/>
      <c r="CA89" s="520"/>
      <c r="CB89" s="520"/>
      <c r="CC89" s="520"/>
      <c r="CD89" s="520"/>
      <c r="CE89" s="520"/>
      <c r="CF89" s="520"/>
      <c r="CG89" s="520"/>
      <c r="CH89" s="520"/>
      <c r="CI89" s="520"/>
      <c r="CJ89" s="520"/>
      <c r="CK89" s="520"/>
      <c r="CL89" s="520"/>
      <c r="CM89" s="520"/>
      <c r="CN89" s="520"/>
      <c r="CO89" s="520"/>
      <c r="CP89" s="520"/>
      <c r="CQ89" s="520"/>
      <c r="CR89" s="520"/>
      <c r="CS89" s="520"/>
      <c r="CT89" s="520"/>
      <c r="CU89" s="520"/>
      <c r="CV89" s="520"/>
      <c r="CW89" s="520"/>
      <c r="CX89" s="520"/>
      <c r="CY89" s="520"/>
      <c r="CZ89" s="520"/>
      <c r="DA89" s="520"/>
      <c r="DB89" s="520"/>
      <c r="DC89" s="520"/>
      <c r="DD89" s="520"/>
      <c r="DE89" s="520"/>
      <c r="DF89" s="520"/>
      <c r="DG89" s="520"/>
      <c r="DH89" s="520"/>
      <c r="DI89" s="520"/>
      <c r="DJ89" s="520"/>
      <c r="DK89" s="520"/>
      <c r="DL89" s="520"/>
      <c r="DM89" s="520"/>
      <c r="DN89" s="520"/>
      <c r="DO89" s="520"/>
      <c r="DP89" s="520"/>
      <c r="DQ89" s="520"/>
      <c r="DR89" s="520"/>
      <c r="DS89" s="520"/>
      <c r="DT89" s="520"/>
      <c r="DU89" s="520"/>
      <c r="DV89" s="520"/>
      <c r="DW89" s="520"/>
      <c r="DX89" s="520"/>
      <c r="DY89" s="520"/>
      <c r="DZ89" s="520"/>
      <c r="EA89" s="520"/>
      <c r="EB89" s="520"/>
      <c r="EC89" s="520"/>
      <c r="ED89" s="520"/>
      <c r="EE89" s="520"/>
      <c r="EF89" s="520"/>
      <c r="EG89" s="520"/>
      <c r="EH89" s="520"/>
      <c r="EI89" s="520"/>
      <c r="EJ89" s="520"/>
      <c r="EK89" s="520"/>
      <c r="EL89" s="520"/>
      <c r="EM89" s="520"/>
      <c r="EN89" s="520"/>
      <c r="EO89" s="520"/>
      <c r="EP89" s="520"/>
      <c r="EQ89" s="520"/>
      <c r="ER89" s="520"/>
      <c r="ES89" s="520"/>
      <c r="ET89" s="520"/>
      <c r="EU89" s="520"/>
      <c r="EV89" s="520"/>
      <c r="EW89" s="520"/>
    </row>
    <row r="90" spans="1:153" s="521" customFormat="1" ht="16">
      <c r="A90" s="694" t="s">
        <v>3696</v>
      </c>
      <c r="B90" s="549"/>
      <c r="C90" s="520"/>
      <c r="D90" s="520"/>
      <c r="E90" s="520"/>
      <c r="F90" s="520"/>
      <c r="G90" s="520"/>
      <c r="H90" s="520"/>
      <c r="I90" s="520"/>
      <c r="J90" s="520"/>
      <c r="K90" s="520"/>
      <c r="L90" s="526"/>
      <c r="M90" s="526"/>
      <c r="N90" s="526"/>
      <c r="O90" s="548"/>
      <c r="P90" s="548"/>
      <c r="Q90" s="708"/>
      <c r="R90" s="708"/>
      <c r="S90" s="708"/>
      <c r="T90" s="708"/>
      <c r="U90" s="708"/>
      <c r="V90" s="708"/>
      <c r="W90" s="708"/>
      <c r="X90" s="708"/>
      <c r="Y90" s="708"/>
      <c r="Z90" s="708"/>
      <c r="AA90" s="526"/>
      <c r="AB90" s="520"/>
      <c r="AC90" s="520"/>
      <c r="AD90" s="520"/>
      <c r="AE90" s="520"/>
      <c r="AF90" s="520"/>
      <c r="AG90" s="520"/>
      <c r="AH90" s="520"/>
      <c r="AI90" s="520"/>
      <c r="AJ90" s="520"/>
      <c r="AK90" s="520"/>
      <c r="AL90" s="520"/>
      <c r="AM90" s="520"/>
      <c r="AN90" s="520"/>
      <c r="AO90" s="520"/>
      <c r="AP90" s="520"/>
      <c r="AQ90" s="520"/>
      <c r="AR90" s="520"/>
      <c r="AS90" s="520"/>
      <c r="AT90" s="520"/>
      <c r="AU90" s="520"/>
      <c r="AV90" s="520"/>
      <c r="AW90" s="520"/>
      <c r="AX90" s="520"/>
      <c r="AY90" s="520"/>
      <c r="AZ90" s="520"/>
      <c r="BA90" s="520"/>
      <c r="BB90" s="520"/>
      <c r="BC90" s="520"/>
      <c r="BD90" s="520"/>
      <c r="BE90" s="520"/>
      <c r="BF90" s="520"/>
      <c r="BG90" s="520"/>
      <c r="BH90" s="520"/>
      <c r="BI90" s="520"/>
      <c r="BJ90" s="520"/>
      <c r="BK90" s="520"/>
      <c r="BL90" s="520"/>
      <c r="BM90" s="520"/>
      <c r="BN90" s="520"/>
      <c r="BO90" s="520"/>
      <c r="BP90" s="520"/>
      <c r="BQ90" s="520"/>
      <c r="BR90" s="520"/>
      <c r="BS90" s="520"/>
      <c r="BT90" s="520"/>
      <c r="BU90" s="520"/>
      <c r="BV90" s="520"/>
      <c r="BW90" s="520"/>
      <c r="BX90" s="520"/>
      <c r="BY90" s="520"/>
      <c r="BZ90" s="520"/>
      <c r="CA90" s="520"/>
      <c r="CB90" s="520"/>
      <c r="CC90" s="520"/>
      <c r="CD90" s="520"/>
      <c r="CE90" s="520"/>
      <c r="CF90" s="520"/>
      <c r="CG90" s="520"/>
      <c r="CH90" s="520"/>
      <c r="CI90" s="520"/>
      <c r="CJ90" s="520"/>
      <c r="CK90" s="520"/>
      <c r="CL90" s="520"/>
      <c r="CM90" s="520"/>
      <c r="CN90" s="520"/>
      <c r="CO90" s="520"/>
      <c r="CP90" s="520"/>
      <c r="CQ90" s="520"/>
      <c r="CR90" s="520"/>
      <c r="CS90" s="520"/>
      <c r="CT90" s="520"/>
      <c r="CU90" s="520"/>
      <c r="CV90" s="520"/>
      <c r="CW90" s="520"/>
      <c r="CX90" s="520"/>
      <c r="CY90" s="520"/>
      <c r="CZ90" s="520"/>
      <c r="DA90" s="520"/>
      <c r="DB90" s="520"/>
      <c r="DC90" s="520"/>
      <c r="DD90" s="520"/>
      <c r="DE90" s="520"/>
      <c r="DF90" s="520"/>
      <c r="DG90" s="520"/>
      <c r="DH90" s="520"/>
      <c r="DI90" s="520"/>
      <c r="DJ90" s="520"/>
      <c r="DK90" s="520"/>
      <c r="DL90" s="520"/>
      <c r="DM90" s="520"/>
      <c r="DN90" s="520"/>
      <c r="DO90" s="520"/>
      <c r="DP90" s="520"/>
      <c r="DQ90" s="520"/>
      <c r="DR90" s="520"/>
      <c r="DS90" s="520"/>
      <c r="DT90" s="520"/>
      <c r="DU90" s="520"/>
      <c r="DV90" s="520"/>
      <c r="DW90" s="520"/>
      <c r="DX90" s="520"/>
      <c r="DY90" s="520"/>
      <c r="DZ90" s="520"/>
      <c r="EA90" s="520"/>
      <c r="EB90" s="520"/>
      <c r="EC90" s="520"/>
      <c r="ED90" s="520"/>
      <c r="EE90" s="520"/>
      <c r="EF90" s="520"/>
      <c r="EG90" s="520"/>
      <c r="EH90" s="520"/>
      <c r="EI90" s="520"/>
      <c r="EJ90" s="520"/>
      <c r="EK90" s="520"/>
      <c r="EL90" s="520"/>
      <c r="EM90" s="520"/>
      <c r="EN90" s="520"/>
      <c r="EO90" s="520"/>
      <c r="EP90" s="520"/>
      <c r="EQ90" s="520"/>
      <c r="ER90" s="520"/>
      <c r="ES90" s="520"/>
      <c r="ET90" s="520"/>
      <c r="EU90" s="520"/>
      <c r="EV90" s="520"/>
      <c r="EW90" s="520"/>
    </row>
    <row r="91" spans="1:153" s="521" customFormat="1" ht="16">
      <c r="A91" s="694"/>
      <c r="B91" s="549"/>
      <c r="C91" s="520"/>
      <c r="D91" s="520"/>
      <c r="E91" s="520"/>
      <c r="F91" s="520"/>
      <c r="G91" s="520"/>
      <c r="H91" s="520"/>
      <c r="I91" s="520"/>
      <c r="J91" s="520"/>
      <c r="K91" s="520"/>
      <c r="L91" s="526"/>
      <c r="M91" s="526"/>
      <c r="N91" s="526"/>
      <c r="O91" s="548"/>
      <c r="P91" s="548"/>
      <c r="Q91" s="690"/>
      <c r="R91" s="690"/>
      <c r="S91" s="690"/>
      <c r="T91" s="690"/>
      <c r="U91" s="690"/>
      <c r="V91" s="690"/>
      <c r="W91" s="690"/>
      <c r="X91" s="690"/>
      <c r="Y91" s="690"/>
      <c r="Z91" s="690"/>
      <c r="AA91" s="526"/>
      <c r="AB91" s="520"/>
      <c r="AC91" s="520"/>
      <c r="AD91" s="520"/>
      <c r="AE91" s="520"/>
      <c r="AF91" s="520"/>
      <c r="AG91" s="520"/>
      <c r="AH91" s="520"/>
      <c r="AI91" s="520"/>
      <c r="AJ91" s="520"/>
      <c r="AK91" s="520"/>
      <c r="AL91" s="520"/>
      <c r="AM91" s="520"/>
      <c r="AN91" s="520"/>
      <c r="AO91" s="520"/>
      <c r="AP91" s="520"/>
      <c r="AQ91" s="520"/>
      <c r="AR91" s="520"/>
      <c r="AS91" s="520"/>
      <c r="AT91" s="520"/>
      <c r="AU91" s="520"/>
      <c r="AV91" s="520"/>
      <c r="AW91" s="520"/>
      <c r="AX91" s="520"/>
      <c r="AY91" s="520"/>
      <c r="AZ91" s="520"/>
      <c r="BA91" s="520"/>
      <c r="BB91" s="520"/>
      <c r="BC91" s="520"/>
      <c r="BD91" s="520"/>
      <c r="BE91" s="520"/>
      <c r="BF91" s="520"/>
      <c r="BG91" s="520"/>
      <c r="BH91" s="520"/>
      <c r="BI91" s="520"/>
      <c r="BJ91" s="520"/>
      <c r="BK91" s="520"/>
      <c r="BL91" s="520"/>
      <c r="BM91" s="520"/>
      <c r="BN91" s="520"/>
      <c r="BO91" s="520"/>
      <c r="BP91" s="520"/>
      <c r="BQ91" s="520"/>
      <c r="BR91" s="520"/>
      <c r="BS91" s="520"/>
      <c r="BT91" s="520"/>
      <c r="BU91" s="520"/>
      <c r="BV91" s="520"/>
      <c r="BW91" s="520"/>
      <c r="BX91" s="520"/>
      <c r="BY91" s="520"/>
      <c r="BZ91" s="520"/>
      <c r="CA91" s="520"/>
      <c r="CB91" s="520"/>
      <c r="CC91" s="520"/>
      <c r="CD91" s="520"/>
      <c r="CE91" s="520"/>
      <c r="CF91" s="520"/>
      <c r="CG91" s="520"/>
      <c r="CH91" s="520"/>
      <c r="CI91" s="520"/>
      <c r="CJ91" s="520"/>
      <c r="CK91" s="520"/>
      <c r="CL91" s="520"/>
      <c r="CM91" s="520"/>
      <c r="CN91" s="520"/>
      <c r="CO91" s="520"/>
      <c r="CP91" s="520"/>
      <c r="CQ91" s="520"/>
      <c r="CR91" s="520"/>
      <c r="CS91" s="520"/>
      <c r="CT91" s="520"/>
      <c r="CU91" s="520"/>
      <c r="CV91" s="520"/>
      <c r="CW91" s="520"/>
      <c r="CX91" s="520"/>
      <c r="CY91" s="520"/>
      <c r="CZ91" s="520"/>
      <c r="DA91" s="520"/>
      <c r="DB91" s="520"/>
      <c r="DC91" s="520"/>
      <c r="DD91" s="520"/>
      <c r="DE91" s="520"/>
      <c r="DF91" s="520"/>
      <c r="DG91" s="520"/>
      <c r="DH91" s="520"/>
      <c r="DI91" s="520"/>
      <c r="DJ91" s="520"/>
      <c r="DK91" s="520"/>
      <c r="DL91" s="520"/>
      <c r="DM91" s="520"/>
      <c r="DN91" s="520"/>
      <c r="DO91" s="520"/>
      <c r="DP91" s="520"/>
      <c r="DQ91" s="520"/>
      <c r="DR91" s="520"/>
      <c r="DS91" s="520"/>
      <c r="DT91" s="520"/>
      <c r="DU91" s="520"/>
      <c r="DV91" s="520"/>
      <c r="DW91" s="520"/>
      <c r="DX91" s="520"/>
      <c r="DY91" s="520"/>
      <c r="DZ91" s="520"/>
      <c r="EA91" s="520"/>
      <c r="EB91" s="520"/>
      <c r="EC91" s="520"/>
      <c r="ED91" s="520"/>
      <c r="EE91" s="520"/>
      <c r="EF91" s="520"/>
      <c r="EG91" s="520"/>
      <c r="EH91" s="520"/>
      <c r="EI91" s="520"/>
      <c r="EJ91" s="520"/>
      <c r="EK91" s="520"/>
      <c r="EL91" s="520"/>
      <c r="EM91" s="520"/>
      <c r="EN91" s="520"/>
      <c r="EO91" s="520"/>
      <c r="EP91" s="520"/>
      <c r="EQ91" s="520"/>
      <c r="ER91" s="520"/>
      <c r="ES91" s="520"/>
      <c r="ET91" s="520"/>
      <c r="EU91" s="520"/>
      <c r="EV91" s="520"/>
      <c r="EW91" s="520"/>
    </row>
    <row r="92" spans="1:153" s="521" customFormat="1" ht="16">
      <c r="A92" s="689" t="s">
        <v>3697</v>
      </c>
      <c r="B92" s="549"/>
      <c r="C92" s="520"/>
      <c r="D92" s="520"/>
      <c r="E92" s="520"/>
      <c r="F92" s="520"/>
      <c r="G92" s="520"/>
      <c r="H92" s="520"/>
      <c r="I92" s="520"/>
      <c r="J92" s="520"/>
      <c r="K92" s="520"/>
      <c r="L92" s="526"/>
      <c r="M92" s="526"/>
      <c r="N92" s="706">
        <f>Metrics!E41</f>
        <v>82395</v>
      </c>
      <c r="O92" s="706">
        <f>Metrics!F41</f>
        <v>186685</v>
      </c>
      <c r="P92" s="706">
        <f>Metrics!G41</f>
        <v>265799</v>
      </c>
      <c r="Q92" s="704">
        <f>P92*(1+Q93)</f>
        <v>281746.94</v>
      </c>
      <c r="R92" s="704">
        <f t="shared" ref="R92:Z92" si="44">Q92*(1+R93)</f>
        <v>298651.75640000001</v>
      </c>
      <c r="S92" s="704">
        <f t="shared" si="44"/>
        <v>316570.86178400001</v>
      </c>
      <c r="T92" s="704">
        <f t="shared" si="44"/>
        <v>335565.11349104001</v>
      </c>
      <c r="U92" s="704">
        <f t="shared" si="44"/>
        <v>355699.02030050242</v>
      </c>
      <c r="V92" s="704">
        <f t="shared" si="44"/>
        <v>377040.9615185326</v>
      </c>
      <c r="W92" s="704">
        <f t="shared" si="44"/>
        <v>399663.41920964455</v>
      </c>
      <c r="X92" s="704">
        <f t="shared" si="44"/>
        <v>423643.22436222323</v>
      </c>
      <c r="Y92" s="704">
        <f t="shared" si="44"/>
        <v>449061.81782395666</v>
      </c>
      <c r="Z92" s="704">
        <f t="shared" si="44"/>
        <v>476005.52689339407</v>
      </c>
      <c r="AA92" s="526"/>
      <c r="AB92" s="520"/>
      <c r="AC92" s="520"/>
      <c r="AD92" s="520"/>
      <c r="AE92" s="520"/>
      <c r="AF92" s="520"/>
      <c r="AG92" s="520"/>
      <c r="AH92" s="520"/>
      <c r="AI92" s="520"/>
      <c r="AJ92" s="520"/>
      <c r="AK92" s="520"/>
      <c r="AL92" s="520"/>
      <c r="AM92" s="520"/>
      <c r="AN92" s="520"/>
      <c r="AO92" s="520"/>
      <c r="AP92" s="520"/>
      <c r="AQ92" s="520"/>
      <c r="AR92" s="520"/>
      <c r="AS92" s="520"/>
      <c r="AT92" s="520"/>
      <c r="AU92" s="520"/>
      <c r="AV92" s="520"/>
      <c r="AW92" s="520"/>
      <c r="AX92" s="520"/>
      <c r="AY92" s="520"/>
      <c r="AZ92" s="520"/>
      <c r="BA92" s="520"/>
      <c r="BB92" s="520"/>
      <c r="BC92" s="520"/>
      <c r="BD92" s="520"/>
      <c r="BE92" s="520"/>
      <c r="BF92" s="520"/>
      <c r="BG92" s="520"/>
      <c r="BH92" s="520"/>
      <c r="BI92" s="520"/>
      <c r="BJ92" s="520"/>
      <c r="BK92" s="520"/>
      <c r="BL92" s="520"/>
      <c r="BM92" s="520"/>
      <c r="BN92" s="520"/>
      <c r="BO92" s="520"/>
      <c r="BP92" s="520"/>
      <c r="BQ92" s="520"/>
      <c r="BR92" s="520"/>
      <c r="BS92" s="520"/>
      <c r="BT92" s="520"/>
      <c r="BU92" s="520"/>
      <c r="BV92" s="520"/>
      <c r="BW92" s="520"/>
      <c r="BX92" s="520"/>
      <c r="BY92" s="520"/>
      <c r="BZ92" s="520"/>
      <c r="CA92" s="520"/>
      <c r="CB92" s="520"/>
      <c r="CC92" s="520"/>
      <c r="CD92" s="520"/>
      <c r="CE92" s="520"/>
      <c r="CF92" s="520"/>
      <c r="CG92" s="520"/>
      <c r="CH92" s="520"/>
      <c r="CI92" s="520"/>
      <c r="CJ92" s="520"/>
      <c r="CK92" s="520"/>
      <c r="CL92" s="520"/>
      <c r="CM92" s="520"/>
      <c r="CN92" s="520"/>
      <c r="CO92" s="520"/>
      <c r="CP92" s="520"/>
      <c r="CQ92" s="520"/>
      <c r="CR92" s="520"/>
      <c r="CS92" s="520"/>
      <c r="CT92" s="520"/>
      <c r="CU92" s="520"/>
      <c r="CV92" s="520"/>
      <c r="CW92" s="520"/>
      <c r="CX92" s="520"/>
      <c r="CY92" s="520"/>
      <c r="CZ92" s="520"/>
      <c r="DA92" s="520"/>
      <c r="DB92" s="520"/>
      <c r="DC92" s="520"/>
      <c r="DD92" s="520"/>
      <c r="DE92" s="520"/>
      <c r="DF92" s="520"/>
      <c r="DG92" s="520"/>
      <c r="DH92" s="520"/>
      <c r="DI92" s="520"/>
      <c r="DJ92" s="520"/>
      <c r="DK92" s="520"/>
      <c r="DL92" s="520"/>
      <c r="DM92" s="520"/>
      <c r="DN92" s="520"/>
      <c r="DO92" s="520"/>
      <c r="DP92" s="520"/>
      <c r="DQ92" s="520"/>
      <c r="DR92" s="520"/>
      <c r="DS92" s="520"/>
      <c r="DT92" s="520"/>
      <c r="DU92" s="520"/>
      <c r="DV92" s="520"/>
      <c r="DW92" s="520"/>
      <c r="DX92" s="520"/>
      <c r="DY92" s="520"/>
      <c r="DZ92" s="520"/>
      <c r="EA92" s="520"/>
      <c r="EB92" s="520"/>
      <c r="EC92" s="520"/>
      <c r="ED92" s="520"/>
      <c r="EE92" s="520"/>
      <c r="EF92" s="520"/>
      <c r="EG92" s="520"/>
      <c r="EH92" s="520"/>
      <c r="EI92" s="520"/>
      <c r="EJ92" s="520"/>
      <c r="EK92" s="520"/>
      <c r="EL92" s="520"/>
      <c r="EM92" s="520"/>
      <c r="EN92" s="520"/>
      <c r="EO92" s="520"/>
      <c r="EP92" s="520"/>
      <c r="EQ92" s="520"/>
      <c r="ER92" s="520"/>
      <c r="ES92" s="520"/>
      <c r="ET92" s="520"/>
      <c r="EU92" s="520"/>
      <c r="EV92" s="520"/>
      <c r="EW92" s="520"/>
    </row>
    <row r="93" spans="1:153" s="521" customFormat="1" ht="16">
      <c r="A93" s="694" t="s">
        <v>3515</v>
      </c>
      <c r="B93" s="549"/>
      <c r="C93" s="520"/>
      <c r="D93" s="520"/>
      <c r="E93" s="520"/>
      <c r="F93" s="520"/>
      <c r="G93" s="520"/>
      <c r="H93" s="520"/>
      <c r="I93" s="520"/>
      <c r="J93" s="520"/>
      <c r="K93" s="520"/>
      <c r="L93" s="526"/>
      <c r="M93" s="526"/>
      <c r="N93" s="703"/>
      <c r="O93" s="705">
        <f>O92/N92-1</f>
        <v>1.2657321439407729</v>
      </c>
      <c r="P93" s="705">
        <f>P92/O92-1</f>
        <v>0.42378337841819103</v>
      </c>
      <c r="Q93" s="690">
        <v>0.06</v>
      </c>
      <c r="R93" s="690">
        <v>0.06</v>
      </c>
      <c r="S93" s="690">
        <v>0.06</v>
      </c>
      <c r="T93" s="690">
        <v>0.06</v>
      </c>
      <c r="U93" s="690">
        <v>0.06</v>
      </c>
      <c r="V93" s="690">
        <v>0.06</v>
      </c>
      <c r="W93" s="690">
        <v>0.06</v>
      </c>
      <c r="X93" s="690">
        <v>0.06</v>
      </c>
      <c r="Y93" s="690">
        <v>0.06</v>
      </c>
      <c r="Z93" s="690">
        <v>0.06</v>
      </c>
      <c r="AA93" s="526"/>
      <c r="AB93" s="520"/>
      <c r="AC93" s="520"/>
      <c r="AD93" s="520"/>
      <c r="AE93" s="520"/>
      <c r="AF93" s="520"/>
      <c r="AG93" s="520"/>
      <c r="AH93" s="520"/>
      <c r="AI93" s="520"/>
      <c r="AJ93" s="520"/>
      <c r="AK93" s="520"/>
      <c r="AL93" s="520"/>
      <c r="AM93" s="520"/>
      <c r="AN93" s="520"/>
      <c r="AO93" s="520"/>
      <c r="AP93" s="520"/>
      <c r="AQ93" s="520"/>
      <c r="AR93" s="520"/>
      <c r="AS93" s="520"/>
      <c r="AT93" s="520"/>
      <c r="AU93" s="520"/>
      <c r="AV93" s="520"/>
      <c r="AW93" s="520"/>
      <c r="AX93" s="520"/>
      <c r="AY93" s="520"/>
      <c r="AZ93" s="520"/>
      <c r="BA93" s="520"/>
      <c r="BB93" s="520"/>
      <c r="BC93" s="520"/>
      <c r="BD93" s="520"/>
      <c r="BE93" s="520"/>
      <c r="BF93" s="520"/>
      <c r="BG93" s="520"/>
      <c r="BH93" s="520"/>
      <c r="BI93" s="520"/>
      <c r="BJ93" s="520"/>
      <c r="BK93" s="520"/>
      <c r="BL93" s="520"/>
      <c r="BM93" s="520"/>
      <c r="BN93" s="520"/>
      <c r="BO93" s="520"/>
      <c r="BP93" s="520"/>
      <c r="BQ93" s="520"/>
      <c r="BR93" s="520"/>
      <c r="BS93" s="520"/>
      <c r="BT93" s="520"/>
      <c r="BU93" s="520"/>
      <c r="BV93" s="520"/>
      <c r="BW93" s="520"/>
      <c r="BX93" s="520"/>
      <c r="BY93" s="520"/>
      <c r="BZ93" s="520"/>
      <c r="CA93" s="520"/>
      <c r="CB93" s="520"/>
      <c r="CC93" s="520"/>
      <c r="CD93" s="520"/>
      <c r="CE93" s="520"/>
      <c r="CF93" s="520"/>
      <c r="CG93" s="520"/>
      <c r="CH93" s="520"/>
      <c r="CI93" s="520"/>
      <c r="CJ93" s="520"/>
      <c r="CK93" s="520"/>
      <c r="CL93" s="520"/>
      <c r="CM93" s="520"/>
      <c r="CN93" s="520"/>
      <c r="CO93" s="520"/>
      <c r="CP93" s="520"/>
      <c r="CQ93" s="520"/>
      <c r="CR93" s="520"/>
      <c r="CS93" s="520"/>
      <c r="CT93" s="520"/>
      <c r="CU93" s="520"/>
      <c r="CV93" s="520"/>
      <c r="CW93" s="520"/>
      <c r="CX93" s="520"/>
      <c r="CY93" s="520"/>
      <c r="CZ93" s="520"/>
      <c r="DA93" s="520"/>
      <c r="DB93" s="520"/>
      <c r="DC93" s="520"/>
      <c r="DD93" s="520"/>
      <c r="DE93" s="520"/>
      <c r="DF93" s="520"/>
      <c r="DG93" s="520"/>
      <c r="DH93" s="520"/>
      <c r="DI93" s="520"/>
      <c r="DJ93" s="520"/>
      <c r="DK93" s="520"/>
      <c r="DL93" s="520"/>
      <c r="DM93" s="520"/>
      <c r="DN93" s="520"/>
      <c r="DO93" s="520"/>
      <c r="DP93" s="520"/>
      <c r="DQ93" s="520"/>
      <c r="DR93" s="520"/>
      <c r="DS93" s="520"/>
      <c r="DT93" s="520"/>
      <c r="DU93" s="520"/>
      <c r="DV93" s="520"/>
      <c r="DW93" s="520"/>
      <c r="DX93" s="520"/>
      <c r="DY93" s="520"/>
      <c r="DZ93" s="520"/>
      <c r="EA93" s="520"/>
      <c r="EB93" s="520"/>
      <c r="EC93" s="520"/>
      <c r="ED93" s="520"/>
      <c r="EE93" s="520"/>
      <c r="EF93" s="520"/>
      <c r="EG93" s="520"/>
      <c r="EH93" s="520"/>
      <c r="EI93" s="520"/>
      <c r="EJ93" s="520"/>
      <c r="EK93" s="520"/>
      <c r="EL93" s="520"/>
      <c r="EM93" s="520"/>
      <c r="EN93" s="520"/>
      <c r="EO93" s="520"/>
      <c r="EP93" s="520"/>
      <c r="EQ93" s="520"/>
      <c r="ER93" s="520"/>
      <c r="ES93" s="520"/>
      <c r="ET93" s="520"/>
      <c r="EU93" s="520"/>
      <c r="EV93" s="520"/>
      <c r="EW93" s="520"/>
    </row>
    <row r="94" spans="1:153" s="521" customFormat="1">
      <c r="A94" s="686"/>
      <c r="B94" s="519"/>
      <c r="C94" s="520"/>
      <c r="D94" s="520"/>
      <c r="E94" s="520"/>
      <c r="F94" s="520"/>
      <c r="G94" s="520"/>
      <c r="H94" s="520"/>
      <c r="I94" s="520"/>
      <c r="J94" s="520"/>
      <c r="K94" s="520"/>
      <c r="L94" s="526"/>
      <c r="M94" s="526"/>
      <c r="N94" s="526"/>
      <c r="O94" s="526"/>
      <c r="P94" s="526"/>
      <c r="Q94" s="526"/>
      <c r="R94" s="526"/>
      <c r="S94" s="526"/>
      <c r="T94" s="526"/>
      <c r="U94" s="526"/>
      <c r="V94" s="526"/>
      <c r="W94" s="526"/>
      <c r="X94" s="526"/>
      <c r="Y94" s="526"/>
      <c r="Z94" s="526"/>
      <c r="AA94" s="526"/>
      <c r="AB94" s="520"/>
      <c r="AC94" s="520"/>
      <c r="AD94" s="520"/>
      <c r="AE94" s="520"/>
      <c r="AF94" s="520"/>
      <c r="AG94" s="520"/>
      <c r="AH94" s="520"/>
      <c r="AI94" s="520"/>
      <c r="AJ94" s="520"/>
      <c r="AK94" s="520"/>
      <c r="AL94" s="520"/>
      <c r="AM94" s="520"/>
      <c r="AN94" s="520"/>
      <c r="AO94" s="520"/>
      <c r="AP94" s="520"/>
      <c r="AQ94" s="520"/>
      <c r="AR94" s="520"/>
      <c r="AS94" s="520"/>
      <c r="AT94" s="520"/>
      <c r="AU94" s="520"/>
      <c r="AV94" s="520"/>
      <c r="AW94" s="520"/>
      <c r="AX94" s="520"/>
      <c r="AY94" s="520"/>
      <c r="AZ94" s="520"/>
      <c r="BA94" s="520"/>
      <c r="BB94" s="520"/>
      <c r="BC94" s="520"/>
      <c r="BD94" s="520"/>
      <c r="BE94" s="520"/>
      <c r="BF94" s="520"/>
      <c r="BG94" s="520"/>
      <c r="BH94" s="520"/>
      <c r="BI94" s="520"/>
      <c r="BJ94" s="520"/>
      <c r="BK94" s="520"/>
      <c r="BL94" s="520"/>
      <c r="BM94" s="520"/>
      <c r="BN94" s="520"/>
      <c r="BO94" s="520"/>
      <c r="BP94" s="520"/>
      <c r="BQ94" s="520"/>
      <c r="BR94" s="520"/>
      <c r="BS94" s="520"/>
      <c r="BT94" s="520"/>
      <c r="BU94" s="520"/>
      <c r="BV94" s="520"/>
      <c r="BW94" s="520"/>
      <c r="BX94" s="520"/>
      <c r="BY94" s="520"/>
      <c r="BZ94" s="520"/>
      <c r="CA94" s="520"/>
      <c r="CB94" s="520"/>
      <c r="CC94" s="520"/>
      <c r="CD94" s="520"/>
      <c r="CE94" s="520"/>
      <c r="CF94" s="520"/>
      <c r="CG94" s="520"/>
      <c r="CH94" s="520"/>
      <c r="CI94" s="520"/>
      <c r="CJ94" s="520"/>
      <c r="CK94" s="520"/>
      <c r="CL94" s="520"/>
      <c r="CM94" s="520"/>
      <c r="CN94" s="520"/>
      <c r="CO94" s="520"/>
      <c r="CP94" s="520"/>
      <c r="CQ94" s="520"/>
      <c r="CR94" s="520"/>
      <c r="CS94" s="520"/>
      <c r="CT94" s="520"/>
      <c r="CU94" s="520"/>
      <c r="CV94" s="520"/>
      <c r="CW94" s="520"/>
      <c r="CX94" s="520"/>
      <c r="CY94" s="520"/>
      <c r="CZ94" s="520"/>
      <c r="DA94" s="520"/>
      <c r="DB94" s="520"/>
      <c r="DC94" s="520"/>
      <c r="DD94" s="520"/>
      <c r="DE94" s="520"/>
      <c r="DF94" s="520"/>
      <c r="DG94" s="520"/>
      <c r="DH94" s="520"/>
      <c r="DI94" s="520"/>
      <c r="DJ94" s="520"/>
      <c r="DK94" s="520"/>
      <c r="DL94" s="520"/>
      <c r="DM94" s="520"/>
      <c r="DN94" s="520"/>
      <c r="DO94" s="520"/>
      <c r="DP94" s="520"/>
      <c r="DQ94" s="520"/>
      <c r="DR94" s="520"/>
      <c r="DS94" s="520"/>
      <c r="DT94" s="520"/>
      <c r="DU94" s="520"/>
      <c r="DV94" s="520"/>
      <c r="DW94" s="520"/>
      <c r="DX94" s="520"/>
      <c r="DY94" s="520"/>
      <c r="DZ94" s="520"/>
      <c r="EA94" s="520"/>
      <c r="EB94" s="520"/>
      <c r="EC94" s="520"/>
      <c r="ED94" s="520"/>
      <c r="EE94" s="520"/>
      <c r="EF94" s="520"/>
      <c r="EG94" s="520"/>
      <c r="EH94" s="520"/>
      <c r="EI94" s="520"/>
      <c r="EJ94" s="520"/>
      <c r="EK94" s="520"/>
      <c r="EL94" s="520"/>
      <c r="EM94" s="520"/>
      <c r="EN94" s="520"/>
      <c r="EO94" s="520"/>
      <c r="EP94" s="520"/>
      <c r="EQ94" s="520"/>
      <c r="ER94" s="520"/>
      <c r="ES94" s="520"/>
      <c r="ET94" s="520"/>
      <c r="EU94" s="520"/>
      <c r="EV94" s="520"/>
      <c r="EW94" s="520"/>
    </row>
    <row r="95" spans="1:153" s="521" customFormat="1" ht="15">
      <c r="A95" s="691" t="s">
        <v>3530</v>
      </c>
      <c r="B95" s="525"/>
      <c r="C95" s="520"/>
      <c r="D95" s="520"/>
      <c r="E95" s="520"/>
      <c r="F95" s="520"/>
      <c r="G95" s="520"/>
      <c r="H95" s="520"/>
      <c r="I95" s="520"/>
      <c r="J95" s="520"/>
      <c r="K95" s="520"/>
      <c r="L95" s="526"/>
      <c r="M95" s="526"/>
      <c r="N95" s="526"/>
      <c r="O95" s="526"/>
      <c r="P95" s="526"/>
      <c r="Q95" s="526"/>
      <c r="R95" s="526"/>
      <c r="S95" s="526"/>
      <c r="T95" s="526"/>
      <c r="U95" s="526"/>
      <c r="V95" s="526"/>
      <c r="W95" s="526"/>
      <c r="X95" s="526"/>
      <c r="Y95" s="526"/>
      <c r="Z95" s="526"/>
      <c r="AA95" s="526"/>
      <c r="AB95" s="520"/>
      <c r="AC95" s="520"/>
      <c r="AD95" s="520"/>
      <c r="AE95" s="520"/>
      <c r="AF95" s="520"/>
      <c r="AG95" s="520"/>
      <c r="AH95" s="520"/>
      <c r="AI95" s="520"/>
      <c r="AJ95" s="520"/>
      <c r="AK95" s="520"/>
      <c r="AL95" s="520"/>
      <c r="AM95" s="520"/>
      <c r="AN95" s="520"/>
      <c r="AO95" s="520"/>
      <c r="AP95" s="520"/>
      <c r="AQ95" s="520"/>
      <c r="AR95" s="520"/>
      <c r="AS95" s="520"/>
      <c r="AT95" s="520"/>
      <c r="AU95" s="520"/>
      <c r="AV95" s="520"/>
      <c r="AW95" s="520"/>
      <c r="AX95" s="520"/>
      <c r="AY95" s="520"/>
      <c r="AZ95" s="520"/>
      <c r="BA95" s="520"/>
      <c r="BB95" s="520"/>
      <c r="BC95" s="520"/>
      <c r="BD95" s="520"/>
      <c r="BE95" s="520"/>
      <c r="BF95" s="520"/>
      <c r="BG95" s="520"/>
      <c r="BH95" s="520"/>
      <c r="BI95" s="520"/>
      <c r="BJ95" s="520"/>
      <c r="BK95" s="520"/>
      <c r="BL95" s="520"/>
      <c r="BM95" s="520"/>
      <c r="BN95" s="520"/>
      <c r="BO95" s="520"/>
      <c r="BP95" s="520"/>
      <c r="BQ95" s="520"/>
      <c r="BR95" s="520"/>
      <c r="BS95" s="520"/>
      <c r="BT95" s="520"/>
      <c r="BU95" s="520"/>
      <c r="BV95" s="520"/>
      <c r="BW95" s="520"/>
      <c r="BX95" s="520"/>
      <c r="BY95" s="520"/>
      <c r="BZ95" s="520"/>
      <c r="CA95" s="520"/>
      <c r="CB95" s="520"/>
      <c r="CC95" s="520"/>
      <c r="CD95" s="520"/>
      <c r="CE95" s="520"/>
      <c r="CF95" s="520"/>
      <c r="CG95" s="520"/>
      <c r="CH95" s="520"/>
      <c r="CI95" s="520"/>
      <c r="CJ95" s="520"/>
      <c r="CK95" s="520"/>
      <c r="CL95" s="520"/>
      <c r="CM95" s="520"/>
      <c r="CN95" s="520"/>
      <c r="CO95" s="520"/>
      <c r="CP95" s="520"/>
      <c r="CQ95" s="520"/>
      <c r="CR95" s="520"/>
      <c r="CS95" s="520"/>
      <c r="CT95" s="520"/>
      <c r="CU95" s="520"/>
      <c r="CV95" s="520"/>
      <c r="CW95" s="520"/>
      <c r="CX95" s="520"/>
      <c r="CY95" s="520"/>
      <c r="CZ95" s="520"/>
      <c r="DA95" s="520"/>
      <c r="DB95" s="520"/>
      <c r="DC95" s="520"/>
      <c r="DD95" s="520"/>
      <c r="DE95" s="520"/>
      <c r="DF95" s="520"/>
      <c r="DG95" s="520"/>
      <c r="DH95" s="520"/>
      <c r="DI95" s="520"/>
      <c r="DJ95" s="520"/>
      <c r="DK95" s="520"/>
      <c r="DL95" s="520"/>
      <c r="DM95" s="520"/>
      <c r="DN95" s="520"/>
      <c r="DO95" s="520"/>
      <c r="DP95" s="520"/>
      <c r="DQ95" s="520"/>
      <c r="DR95" s="520"/>
      <c r="DS95" s="520"/>
      <c r="DT95" s="520"/>
      <c r="DU95" s="520"/>
      <c r="DV95" s="520"/>
      <c r="DW95" s="520"/>
      <c r="DX95" s="520"/>
      <c r="DY95" s="520"/>
      <c r="DZ95" s="520"/>
      <c r="EA95" s="520"/>
      <c r="EB95" s="520"/>
      <c r="EC95" s="520"/>
      <c r="ED95" s="520"/>
      <c r="EE95" s="520"/>
      <c r="EF95" s="520"/>
      <c r="EG95" s="520"/>
      <c r="EH95" s="520"/>
      <c r="EI95" s="520"/>
      <c r="EJ95" s="520"/>
      <c r="EK95" s="520"/>
      <c r="EL95" s="520"/>
      <c r="EM95" s="520"/>
      <c r="EN95" s="520"/>
      <c r="EO95" s="520"/>
      <c r="EP95" s="520"/>
      <c r="EQ95" s="520"/>
      <c r="ER95" s="520"/>
      <c r="ES95" s="520"/>
      <c r="ET95" s="520"/>
      <c r="EU95" s="520"/>
      <c r="EV95" s="520"/>
      <c r="EW95" s="520"/>
    </row>
    <row r="96" spans="1:153" s="521" customFormat="1">
      <c r="A96" s="686"/>
      <c r="B96" s="519"/>
      <c r="C96" s="520"/>
      <c r="D96" s="520"/>
      <c r="E96" s="520"/>
      <c r="F96" s="520"/>
      <c r="G96" s="520"/>
      <c r="H96" s="520"/>
      <c r="I96" s="520"/>
      <c r="J96" s="520"/>
      <c r="K96" s="520"/>
      <c r="L96" s="526"/>
      <c r="M96" s="526"/>
      <c r="N96" s="526"/>
      <c r="O96" s="526"/>
      <c r="P96" s="526"/>
      <c r="Q96" s="526"/>
      <c r="R96" s="526"/>
      <c r="S96" s="526"/>
      <c r="T96" s="526"/>
      <c r="U96" s="526"/>
      <c r="V96" s="526"/>
      <c r="W96" s="526"/>
      <c r="X96" s="526"/>
      <c r="Y96" s="526"/>
      <c r="Z96" s="526"/>
      <c r="AA96" s="526"/>
      <c r="AB96" s="520"/>
      <c r="AC96" s="520"/>
      <c r="AD96" s="520"/>
      <c r="AE96" s="520"/>
      <c r="AF96" s="520"/>
      <c r="AG96" s="520"/>
      <c r="AH96" s="520"/>
      <c r="AI96" s="520"/>
      <c r="AJ96" s="520"/>
      <c r="AK96" s="520"/>
      <c r="AL96" s="520"/>
      <c r="AM96" s="520"/>
      <c r="AN96" s="520"/>
      <c r="AO96" s="520"/>
      <c r="AP96" s="520"/>
      <c r="AQ96" s="520"/>
      <c r="AR96" s="520"/>
      <c r="AS96" s="520"/>
      <c r="AT96" s="520"/>
      <c r="AU96" s="520"/>
      <c r="AV96" s="520"/>
      <c r="AW96" s="520"/>
      <c r="AX96" s="520"/>
      <c r="AY96" s="520"/>
      <c r="AZ96" s="520"/>
      <c r="BA96" s="520"/>
      <c r="BB96" s="520"/>
      <c r="BC96" s="520"/>
      <c r="BD96" s="520"/>
      <c r="BE96" s="520"/>
      <c r="BF96" s="520"/>
      <c r="BG96" s="520"/>
      <c r="BH96" s="520"/>
      <c r="BI96" s="520"/>
      <c r="BJ96" s="520"/>
      <c r="BK96" s="520"/>
      <c r="BL96" s="520"/>
      <c r="BM96" s="520"/>
      <c r="BN96" s="520"/>
      <c r="BO96" s="520"/>
      <c r="BP96" s="520"/>
      <c r="BQ96" s="520"/>
      <c r="BR96" s="520"/>
      <c r="BS96" s="520"/>
      <c r="BT96" s="520"/>
      <c r="BU96" s="520"/>
      <c r="BV96" s="520"/>
      <c r="BW96" s="520"/>
      <c r="BX96" s="520"/>
      <c r="BY96" s="520"/>
      <c r="BZ96" s="520"/>
      <c r="CA96" s="520"/>
      <c r="CB96" s="520"/>
      <c r="CC96" s="520"/>
      <c r="CD96" s="520"/>
      <c r="CE96" s="520"/>
      <c r="CF96" s="520"/>
      <c r="CG96" s="520"/>
      <c r="CH96" s="520"/>
      <c r="CI96" s="520"/>
      <c r="CJ96" s="520"/>
      <c r="CK96" s="520"/>
      <c r="CL96" s="520"/>
      <c r="CM96" s="520"/>
      <c r="CN96" s="520"/>
      <c r="CO96" s="520"/>
      <c r="CP96" s="520"/>
      <c r="CQ96" s="520"/>
      <c r="CR96" s="520"/>
      <c r="CS96" s="520"/>
      <c r="CT96" s="520"/>
      <c r="CU96" s="520"/>
      <c r="CV96" s="520"/>
      <c r="CW96" s="520"/>
      <c r="CX96" s="520"/>
      <c r="CY96" s="520"/>
      <c r="CZ96" s="520"/>
      <c r="DA96" s="520"/>
      <c r="DB96" s="520"/>
      <c r="DC96" s="520"/>
      <c r="DD96" s="520"/>
      <c r="DE96" s="520"/>
      <c r="DF96" s="520"/>
      <c r="DG96" s="520"/>
      <c r="DH96" s="520"/>
      <c r="DI96" s="520"/>
      <c r="DJ96" s="520"/>
      <c r="DK96" s="520"/>
      <c r="DL96" s="520"/>
      <c r="DM96" s="520"/>
      <c r="DN96" s="520"/>
      <c r="DO96" s="520"/>
      <c r="DP96" s="520"/>
      <c r="DQ96" s="520"/>
      <c r="DR96" s="520"/>
      <c r="DS96" s="520"/>
      <c r="DT96" s="520"/>
      <c r="DU96" s="520"/>
      <c r="DV96" s="520"/>
      <c r="DW96" s="520"/>
      <c r="DX96" s="520"/>
      <c r="DY96" s="520"/>
      <c r="DZ96" s="520"/>
      <c r="EA96" s="520"/>
      <c r="EB96" s="520"/>
      <c r="EC96" s="520"/>
      <c r="ED96" s="520"/>
      <c r="EE96" s="520"/>
      <c r="EF96" s="520"/>
      <c r="EG96" s="520"/>
      <c r="EH96" s="520"/>
      <c r="EI96" s="520"/>
      <c r="EJ96" s="520"/>
      <c r="EK96" s="520"/>
      <c r="EL96" s="520"/>
      <c r="EM96" s="520"/>
      <c r="EN96" s="520"/>
      <c r="EO96" s="520"/>
      <c r="EP96" s="520"/>
      <c r="EQ96" s="520"/>
      <c r="ER96" s="520"/>
      <c r="ES96" s="520"/>
      <c r="ET96" s="520"/>
      <c r="EU96" s="520"/>
      <c r="EV96" s="520"/>
      <c r="EW96" s="520"/>
    </row>
    <row r="97" spans="1:153" s="521" customFormat="1" ht="15">
      <c r="A97" s="691" t="s">
        <v>3531</v>
      </c>
      <c r="B97" s="525"/>
      <c r="C97" s="520"/>
      <c r="D97" s="520"/>
      <c r="E97" s="520"/>
      <c r="F97" s="520"/>
      <c r="G97" s="520"/>
      <c r="H97" s="520"/>
      <c r="I97" s="520"/>
      <c r="J97" s="520"/>
      <c r="K97" s="526">
        <v>782</v>
      </c>
      <c r="L97" s="550">
        <v>2240</v>
      </c>
      <c r="M97" s="550">
        <v>798</v>
      </c>
      <c r="N97" s="550">
        <v>1710</v>
      </c>
      <c r="O97" s="551">
        <f>Metrics!AA73/1000000</f>
        <v>3400</v>
      </c>
      <c r="P97" s="551">
        <f>Metrics!AE73/1000000</f>
        <v>2990</v>
      </c>
      <c r="Q97" s="526">
        <f ca="1">Q171</f>
        <v>2560.9623518672197</v>
      </c>
      <c r="R97" s="526">
        <f t="shared" ref="R97:Z97" ca="1" si="45">R171</f>
        <v>2852.2422928274427</v>
      </c>
      <c r="S97" s="526">
        <f t="shared" ca="1" si="45"/>
        <v>3422.1836592573218</v>
      </c>
      <c r="T97" s="526">
        <f t="shared" ca="1" si="45"/>
        <v>4026.9978509144739</v>
      </c>
      <c r="U97" s="526">
        <f t="shared" ca="1" si="45"/>
        <v>4661.3249701722034</v>
      </c>
      <c r="V97" s="526">
        <f t="shared" ca="1" si="45"/>
        <v>5205.9744771340138</v>
      </c>
      <c r="W97" s="526">
        <f t="shared" ca="1" si="45"/>
        <v>5748.2158398433294</v>
      </c>
      <c r="X97" s="526">
        <f t="shared" ca="1" si="45"/>
        <v>6271.4191006669389</v>
      </c>
      <c r="Y97" s="526">
        <f t="shared" ca="1" si="45"/>
        <v>6780.2313246580125</v>
      </c>
      <c r="Z97" s="526">
        <f t="shared" ca="1" si="45"/>
        <v>7230.9358821350415</v>
      </c>
      <c r="AA97" s="526"/>
      <c r="AB97" s="520"/>
      <c r="AC97" s="520"/>
      <c r="AD97" s="520"/>
      <c r="AE97" s="520"/>
      <c r="AF97" s="520"/>
      <c r="AG97" s="520"/>
      <c r="AH97" s="520"/>
      <c r="AI97" s="520"/>
      <c r="AJ97" s="520"/>
      <c r="AK97" s="520"/>
      <c r="AL97" s="520"/>
      <c r="AM97" s="520"/>
      <c r="AN97" s="520"/>
      <c r="AO97" s="520"/>
      <c r="AP97" s="520"/>
      <c r="AQ97" s="520"/>
      <c r="AR97" s="520"/>
      <c r="AS97" s="520"/>
      <c r="AT97" s="520"/>
      <c r="AU97" s="520"/>
      <c r="AV97" s="520"/>
      <c r="AW97" s="520"/>
      <c r="AX97" s="520"/>
      <c r="AY97" s="520"/>
      <c r="AZ97" s="520"/>
      <c r="BA97" s="520"/>
      <c r="BB97" s="520"/>
      <c r="BC97" s="520"/>
      <c r="BD97" s="520"/>
      <c r="BE97" s="520"/>
      <c r="BF97" s="520"/>
      <c r="BG97" s="520"/>
      <c r="BH97" s="520"/>
      <c r="BI97" s="520"/>
      <c r="BJ97" s="520"/>
      <c r="BK97" s="520"/>
      <c r="BL97" s="520"/>
      <c r="BM97" s="520"/>
      <c r="BN97" s="520"/>
      <c r="BO97" s="520"/>
      <c r="BP97" s="520"/>
      <c r="BQ97" s="520"/>
      <c r="BR97" s="520"/>
      <c r="BS97" s="520"/>
      <c r="BT97" s="520"/>
      <c r="BU97" s="520"/>
      <c r="BV97" s="520"/>
      <c r="BW97" s="520"/>
      <c r="BX97" s="520"/>
      <c r="BY97" s="520"/>
      <c r="BZ97" s="520"/>
      <c r="CA97" s="520"/>
      <c r="CB97" s="520"/>
      <c r="CC97" s="520"/>
      <c r="CD97" s="520"/>
      <c r="CE97" s="520"/>
      <c r="CF97" s="520"/>
      <c r="CG97" s="520"/>
      <c r="CH97" s="520"/>
      <c r="CI97" s="520"/>
      <c r="CJ97" s="520"/>
      <c r="CK97" s="520"/>
      <c r="CL97" s="520"/>
      <c r="CM97" s="520"/>
      <c r="CN97" s="520"/>
      <c r="CO97" s="520"/>
      <c r="CP97" s="520"/>
      <c r="CQ97" s="520"/>
      <c r="CR97" s="520"/>
      <c r="CS97" s="520"/>
      <c r="CT97" s="520"/>
      <c r="CU97" s="520"/>
      <c r="CV97" s="520"/>
      <c r="CW97" s="520"/>
      <c r="CX97" s="520"/>
      <c r="CY97" s="520"/>
      <c r="CZ97" s="520"/>
      <c r="DA97" s="520"/>
      <c r="DB97" s="520"/>
      <c r="DC97" s="520"/>
      <c r="DD97" s="520"/>
      <c r="DE97" s="520"/>
      <c r="DF97" s="520"/>
      <c r="DG97" s="520"/>
      <c r="DH97" s="520"/>
      <c r="DI97" s="520"/>
      <c r="DJ97" s="520"/>
      <c r="DK97" s="520"/>
      <c r="DL97" s="520"/>
      <c r="DM97" s="520"/>
      <c r="DN97" s="520"/>
      <c r="DO97" s="520"/>
      <c r="DP97" s="520"/>
      <c r="DQ97" s="520"/>
      <c r="DR97" s="520"/>
      <c r="DS97" s="520"/>
      <c r="DT97" s="520"/>
      <c r="DU97" s="520"/>
      <c r="DV97" s="520"/>
      <c r="DW97" s="520"/>
      <c r="DX97" s="520"/>
      <c r="DY97" s="520"/>
      <c r="DZ97" s="520"/>
      <c r="EA97" s="520"/>
      <c r="EB97" s="520"/>
      <c r="EC97" s="520"/>
      <c r="ED97" s="520"/>
      <c r="EE97" s="520"/>
      <c r="EF97" s="520"/>
      <c r="EG97" s="520"/>
      <c r="EH97" s="520"/>
      <c r="EI97" s="520"/>
      <c r="EJ97" s="520"/>
      <c r="EK97" s="520"/>
      <c r="EL97" s="520"/>
      <c r="EM97" s="520"/>
      <c r="EN97" s="520"/>
      <c r="EO97" s="520"/>
      <c r="EP97" s="520"/>
      <c r="EQ97" s="520"/>
      <c r="ER97" s="520"/>
      <c r="ES97" s="520"/>
      <c r="ET97" s="520"/>
      <c r="EU97" s="520"/>
      <c r="EV97" s="520"/>
      <c r="EW97" s="520"/>
    </row>
    <row r="98" spans="1:153" s="532" customFormat="1" ht="15">
      <c r="A98" s="691" t="s">
        <v>3495</v>
      </c>
      <c r="B98" s="552"/>
      <c r="C98" s="530"/>
      <c r="D98" s="530"/>
      <c r="E98" s="530"/>
      <c r="F98" s="530"/>
      <c r="G98" s="530"/>
      <c r="H98" s="530"/>
      <c r="I98" s="530"/>
      <c r="J98" s="530"/>
      <c r="K98" s="526">
        <v>321.75</v>
      </c>
      <c r="L98" s="526">
        <v>1693</v>
      </c>
      <c r="M98" s="526">
        <v>1385.25</v>
      </c>
      <c r="N98" s="526">
        <v>1176</v>
      </c>
      <c r="O98" s="526">
        <f>AVERAGE(Metrics!X74:AA74)/1000000</f>
        <v>2453.75</v>
      </c>
      <c r="P98" s="526">
        <f>AVERAGE(Metrics!AA4:AE74)/1000000</f>
        <v>3234.5</v>
      </c>
      <c r="Q98" s="526">
        <f ca="1">Q97</f>
        <v>2560.9623518672197</v>
      </c>
      <c r="R98" s="526">
        <f ca="1">(R97+Q97)/2</f>
        <v>2706.6023223473312</v>
      </c>
      <c r="S98" s="526">
        <f t="shared" ref="S98:Z98" ca="1" si="46">(S97+R97)/2</f>
        <v>3137.2129760423823</v>
      </c>
      <c r="T98" s="526">
        <f t="shared" ca="1" si="46"/>
        <v>3724.5907550858979</v>
      </c>
      <c r="U98" s="526">
        <f t="shared" ca="1" si="46"/>
        <v>4344.1614105433382</v>
      </c>
      <c r="V98" s="526">
        <f t="shared" ca="1" si="46"/>
        <v>4933.6497236531086</v>
      </c>
      <c r="W98" s="526">
        <f t="shared" ca="1" si="46"/>
        <v>5477.0951584886716</v>
      </c>
      <c r="X98" s="526">
        <f t="shared" ca="1" si="46"/>
        <v>6009.8174702551341</v>
      </c>
      <c r="Y98" s="526">
        <f t="shared" ca="1" si="46"/>
        <v>6525.8252126624757</v>
      </c>
      <c r="Z98" s="526">
        <f t="shared" ca="1" si="46"/>
        <v>7005.583603396527</v>
      </c>
      <c r="AA98" s="526"/>
      <c r="AB98" s="530"/>
      <c r="AC98" s="530"/>
      <c r="AD98" s="530"/>
      <c r="AE98" s="530"/>
      <c r="AF98" s="530"/>
      <c r="AG98" s="530"/>
      <c r="AH98" s="530"/>
      <c r="AI98" s="530"/>
      <c r="AJ98" s="530"/>
      <c r="AK98" s="530"/>
      <c r="AL98" s="530"/>
      <c r="AM98" s="530"/>
      <c r="AN98" s="530"/>
      <c r="AO98" s="530"/>
      <c r="AP98" s="530"/>
      <c r="AQ98" s="530"/>
      <c r="AR98" s="530"/>
      <c r="AS98" s="530"/>
      <c r="AT98" s="530"/>
      <c r="AU98" s="530"/>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c r="BY98" s="530"/>
      <c r="BZ98" s="530"/>
      <c r="CA98" s="530"/>
      <c r="CB98" s="530"/>
      <c r="CC98" s="530"/>
      <c r="CD98" s="530"/>
      <c r="CE98" s="530"/>
      <c r="CF98" s="530"/>
      <c r="CG98" s="530"/>
      <c r="CH98" s="530"/>
      <c r="CI98" s="530"/>
      <c r="CJ98" s="530"/>
      <c r="CK98" s="530"/>
      <c r="CL98" s="530"/>
      <c r="CM98" s="530"/>
      <c r="CN98" s="530"/>
      <c r="CO98" s="530"/>
      <c r="CP98" s="530"/>
      <c r="CQ98" s="530"/>
      <c r="CR98" s="530"/>
      <c r="CS98" s="530"/>
      <c r="CT98" s="530"/>
      <c r="CU98" s="530"/>
      <c r="CV98" s="530"/>
      <c r="CW98" s="530"/>
      <c r="CX98" s="530"/>
      <c r="CY98" s="530"/>
      <c r="CZ98" s="530"/>
      <c r="DA98" s="530"/>
      <c r="DB98" s="530"/>
      <c r="DC98" s="530"/>
      <c r="DD98" s="530"/>
      <c r="DE98" s="530"/>
      <c r="DF98" s="530"/>
      <c r="DG98" s="530"/>
      <c r="DH98" s="530"/>
      <c r="DI98" s="530"/>
      <c r="DJ98" s="530"/>
      <c r="DK98" s="530"/>
      <c r="DL98" s="530"/>
      <c r="DM98" s="530"/>
      <c r="DN98" s="530"/>
      <c r="DO98" s="530"/>
      <c r="DP98" s="530"/>
      <c r="DQ98" s="530"/>
      <c r="DR98" s="530"/>
      <c r="DS98" s="530"/>
      <c r="DT98" s="530"/>
      <c r="DU98" s="530"/>
      <c r="DV98" s="530"/>
      <c r="DW98" s="530"/>
      <c r="DX98" s="530"/>
      <c r="DY98" s="530"/>
      <c r="DZ98" s="530"/>
      <c r="EA98" s="530"/>
      <c r="EB98" s="530"/>
      <c r="EC98" s="530"/>
      <c r="ED98" s="530"/>
      <c r="EE98" s="530"/>
      <c r="EF98" s="530"/>
      <c r="EG98" s="530"/>
      <c r="EH98" s="530"/>
      <c r="EI98" s="530"/>
      <c r="EJ98" s="530"/>
      <c r="EK98" s="530"/>
      <c r="EL98" s="530"/>
      <c r="EM98" s="530"/>
      <c r="EN98" s="530"/>
      <c r="EO98" s="530"/>
      <c r="EP98" s="530"/>
      <c r="EQ98" s="530"/>
      <c r="ER98" s="530"/>
      <c r="ES98" s="530"/>
      <c r="ET98" s="530"/>
      <c r="EU98" s="530"/>
      <c r="EV98" s="530"/>
      <c r="EW98" s="530"/>
    </row>
    <row r="99" spans="1:153" s="521" customFormat="1">
      <c r="A99" s="686"/>
      <c r="B99" s="519"/>
      <c r="C99" s="520"/>
      <c r="D99" s="520"/>
      <c r="E99" s="520"/>
      <c r="F99" s="520"/>
      <c r="G99" s="520"/>
      <c r="H99" s="520"/>
      <c r="I99" s="520"/>
      <c r="J99" s="520"/>
      <c r="K99" s="520"/>
      <c r="L99" s="526"/>
      <c r="M99" s="526"/>
      <c r="N99" s="526"/>
      <c r="O99" s="526"/>
      <c r="P99" s="526"/>
      <c r="Q99" s="526">
        <v>1</v>
      </c>
      <c r="R99" s="526"/>
      <c r="S99" s="526"/>
      <c r="T99" s="526"/>
      <c r="U99" s="526"/>
      <c r="V99" s="526"/>
      <c r="W99" s="526"/>
      <c r="X99" s="526"/>
      <c r="Y99" s="526"/>
      <c r="Z99" s="526"/>
      <c r="AA99" s="526"/>
      <c r="AB99" s="520"/>
      <c r="AC99" s="520"/>
      <c r="AD99" s="520"/>
      <c r="AE99" s="520"/>
      <c r="AF99" s="520"/>
      <c r="AG99" s="520"/>
      <c r="AH99" s="520"/>
      <c r="AI99" s="520"/>
      <c r="AJ99" s="520"/>
      <c r="AK99" s="520"/>
      <c r="AL99" s="520"/>
      <c r="AM99" s="520"/>
      <c r="AN99" s="520"/>
      <c r="AO99" s="520"/>
      <c r="AP99" s="520"/>
      <c r="AQ99" s="520"/>
      <c r="AR99" s="520"/>
      <c r="AS99" s="520"/>
      <c r="AT99" s="520"/>
      <c r="AU99" s="520"/>
      <c r="AV99" s="520"/>
      <c r="AW99" s="520"/>
      <c r="AX99" s="520"/>
      <c r="AY99" s="520"/>
      <c r="AZ99" s="520"/>
      <c r="BA99" s="520"/>
      <c r="BB99" s="520"/>
      <c r="BC99" s="520"/>
      <c r="BD99" s="520"/>
      <c r="BE99" s="520"/>
      <c r="BF99" s="520"/>
      <c r="BG99" s="520"/>
      <c r="BH99" s="520"/>
      <c r="BI99" s="520"/>
      <c r="BJ99" s="520"/>
      <c r="BK99" s="520"/>
      <c r="BL99" s="520"/>
      <c r="BM99" s="520"/>
      <c r="BN99" s="520"/>
      <c r="BO99" s="520"/>
      <c r="BP99" s="520"/>
      <c r="BQ99" s="520"/>
      <c r="BR99" s="520"/>
      <c r="BS99" s="520"/>
      <c r="BT99" s="520"/>
      <c r="BU99" s="520"/>
      <c r="BV99" s="520"/>
      <c r="BW99" s="520"/>
      <c r="BX99" s="520"/>
      <c r="BY99" s="520"/>
      <c r="BZ99" s="520"/>
      <c r="CA99" s="520"/>
      <c r="CB99" s="520"/>
      <c r="CC99" s="520"/>
      <c r="CD99" s="520"/>
      <c r="CE99" s="520"/>
      <c r="CF99" s="520"/>
      <c r="CG99" s="520"/>
      <c r="CH99" s="520"/>
      <c r="CI99" s="520"/>
      <c r="CJ99" s="520"/>
      <c r="CK99" s="520"/>
      <c r="CL99" s="520"/>
      <c r="CM99" s="520"/>
      <c r="CN99" s="520"/>
      <c r="CO99" s="520"/>
      <c r="CP99" s="520"/>
      <c r="CQ99" s="520"/>
      <c r="CR99" s="520"/>
      <c r="CS99" s="520"/>
      <c r="CT99" s="520"/>
      <c r="CU99" s="520"/>
      <c r="CV99" s="520"/>
      <c r="CW99" s="520"/>
      <c r="CX99" s="520"/>
      <c r="CY99" s="520"/>
      <c r="CZ99" s="520"/>
      <c r="DA99" s="520"/>
      <c r="DB99" s="520"/>
      <c r="DC99" s="520"/>
      <c r="DD99" s="520"/>
      <c r="DE99" s="520"/>
      <c r="DF99" s="520"/>
      <c r="DG99" s="520"/>
      <c r="DH99" s="520"/>
      <c r="DI99" s="520"/>
      <c r="DJ99" s="520"/>
      <c r="DK99" s="520"/>
      <c r="DL99" s="520"/>
      <c r="DM99" s="520"/>
      <c r="DN99" s="520"/>
      <c r="DO99" s="520"/>
      <c r="DP99" s="520"/>
      <c r="DQ99" s="520"/>
      <c r="DR99" s="520"/>
      <c r="DS99" s="520"/>
      <c r="DT99" s="520"/>
      <c r="DU99" s="520"/>
      <c r="DV99" s="520"/>
      <c r="DW99" s="520"/>
      <c r="DX99" s="520"/>
      <c r="DY99" s="520"/>
      <c r="DZ99" s="520"/>
      <c r="EA99" s="520"/>
      <c r="EB99" s="520"/>
      <c r="EC99" s="520"/>
      <c r="ED99" s="520"/>
      <c r="EE99" s="520"/>
      <c r="EF99" s="520"/>
      <c r="EG99" s="520"/>
      <c r="EH99" s="520"/>
      <c r="EI99" s="520"/>
      <c r="EJ99" s="520"/>
      <c r="EK99" s="520"/>
      <c r="EL99" s="520"/>
      <c r="EM99" s="520"/>
      <c r="EN99" s="520"/>
      <c r="EO99" s="520"/>
      <c r="EP99" s="520"/>
      <c r="EQ99" s="520"/>
      <c r="ER99" s="520"/>
      <c r="ES99" s="520"/>
      <c r="ET99" s="520"/>
      <c r="EU99" s="520"/>
      <c r="EV99" s="520"/>
      <c r="EW99" s="520"/>
    </row>
    <row r="100" spans="1:153" s="521" customFormat="1">
      <c r="A100" s="686"/>
      <c r="B100" s="525"/>
      <c r="C100" s="520"/>
      <c r="D100" s="520"/>
      <c r="E100" s="520"/>
      <c r="F100" s="520"/>
      <c r="G100" s="520"/>
      <c r="H100" s="520"/>
      <c r="I100" s="520"/>
      <c r="J100" s="520"/>
      <c r="K100" s="520"/>
      <c r="L100" s="526"/>
      <c r="M100" s="526"/>
      <c r="N100" s="526"/>
      <c r="O100" s="526"/>
      <c r="P100" s="526"/>
      <c r="Q100" s="526"/>
      <c r="R100" s="526"/>
      <c r="S100" s="526"/>
      <c r="T100" s="526"/>
      <c r="U100" s="526"/>
      <c r="V100" s="526"/>
      <c r="W100" s="526"/>
      <c r="X100" s="526"/>
      <c r="Y100" s="526"/>
      <c r="Z100" s="526"/>
      <c r="AA100" s="526"/>
      <c r="AB100" s="520"/>
      <c r="AC100" s="520"/>
      <c r="AD100" s="520"/>
      <c r="AE100" s="520"/>
      <c r="AF100" s="520"/>
      <c r="AG100" s="520"/>
      <c r="AH100" s="520"/>
      <c r="AI100" s="520"/>
      <c r="AJ100" s="520"/>
      <c r="AK100" s="520"/>
      <c r="AL100" s="520"/>
      <c r="AM100" s="520"/>
      <c r="AN100" s="520"/>
      <c r="AO100" s="520"/>
      <c r="AP100" s="520"/>
      <c r="AQ100" s="520"/>
      <c r="AR100" s="520"/>
      <c r="AS100" s="520"/>
      <c r="AT100" s="520"/>
      <c r="AU100" s="520"/>
      <c r="AV100" s="520"/>
      <c r="AW100" s="520"/>
      <c r="AX100" s="520"/>
      <c r="AY100" s="520"/>
      <c r="AZ100" s="520"/>
      <c r="BA100" s="520"/>
      <c r="BB100" s="520"/>
      <c r="BC100" s="520"/>
      <c r="BD100" s="520"/>
      <c r="BE100" s="520"/>
      <c r="BF100" s="520"/>
      <c r="BG100" s="520"/>
      <c r="BH100" s="520"/>
      <c r="BI100" s="520"/>
      <c r="BJ100" s="520"/>
      <c r="BK100" s="520"/>
      <c r="BL100" s="520"/>
      <c r="BM100" s="520"/>
      <c r="BN100" s="520"/>
      <c r="BO100" s="520"/>
      <c r="BP100" s="520"/>
      <c r="BQ100" s="520"/>
      <c r="BR100" s="520"/>
      <c r="BS100" s="520"/>
      <c r="BT100" s="520"/>
      <c r="BU100" s="520"/>
      <c r="BV100" s="520"/>
      <c r="BW100" s="520"/>
      <c r="BX100" s="520"/>
      <c r="BY100" s="520"/>
      <c r="BZ100" s="520"/>
      <c r="CA100" s="520"/>
      <c r="CB100" s="520"/>
      <c r="CC100" s="520"/>
      <c r="CD100" s="520"/>
      <c r="CE100" s="520"/>
      <c r="CF100" s="520"/>
      <c r="CG100" s="520"/>
      <c r="CH100" s="520"/>
      <c r="CI100" s="520"/>
      <c r="CJ100" s="520"/>
      <c r="CK100" s="520"/>
      <c r="CL100" s="520"/>
      <c r="CM100" s="520"/>
      <c r="CN100" s="520"/>
      <c r="CO100" s="520"/>
      <c r="CP100" s="520"/>
      <c r="CQ100" s="520"/>
      <c r="CR100" s="520"/>
      <c r="CS100" s="520"/>
      <c r="CT100" s="520"/>
      <c r="CU100" s="520"/>
      <c r="CV100" s="520"/>
      <c r="CW100" s="520"/>
      <c r="CX100" s="520"/>
      <c r="CY100" s="520"/>
      <c r="CZ100" s="520"/>
      <c r="DA100" s="520"/>
      <c r="DB100" s="520"/>
      <c r="DC100" s="520"/>
      <c r="DD100" s="520"/>
      <c r="DE100" s="520"/>
      <c r="DF100" s="520"/>
      <c r="DG100" s="520"/>
      <c r="DH100" s="520"/>
      <c r="DI100" s="520"/>
      <c r="DJ100" s="520"/>
      <c r="DK100" s="520"/>
      <c r="DL100" s="520"/>
      <c r="DM100" s="520"/>
      <c r="DN100" s="520"/>
      <c r="DO100" s="520"/>
      <c r="DP100" s="520"/>
      <c r="DQ100" s="520"/>
      <c r="DR100" s="520"/>
      <c r="DS100" s="520"/>
      <c r="DT100" s="520"/>
      <c r="DU100" s="520"/>
      <c r="DV100" s="520"/>
      <c r="DW100" s="520"/>
      <c r="DX100" s="520"/>
      <c r="DY100" s="520"/>
      <c r="DZ100" s="520"/>
      <c r="EA100" s="520"/>
      <c r="EB100" s="520"/>
      <c r="EC100" s="520"/>
      <c r="ED100" s="520"/>
      <c r="EE100" s="520"/>
      <c r="EF100" s="520"/>
      <c r="EG100" s="520"/>
      <c r="EH100" s="520"/>
      <c r="EI100" s="520"/>
      <c r="EJ100" s="520"/>
      <c r="EK100" s="520"/>
      <c r="EL100" s="520"/>
      <c r="EM100" s="520"/>
      <c r="EN100" s="520"/>
      <c r="EO100" s="520"/>
      <c r="EP100" s="520"/>
      <c r="EQ100" s="520"/>
      <c r="ER100" s="520"/>
      <c r="ES100" s="520"/>
      <c r="ET100" s="520"/>
      <c r="EU100" s="520"/>
      <c r="EV100" s="520"/>
      <c r="EW100" s="520"/>
    </row>
    <row r="101" spans="1:153" s="532" customFormat="1" ht="15">
      <c r="A101" s="691" t="s">
        <v>3499</v>
      </c>
      <c r="B101" s="552"/>
      <c r="C101" s="530"/>
      <c r="D101" s="530"/>
      <c r="E101" s="530"/>
      <c r="F101" s="530"/>
      <c r="G101" s="530"/>
      <c r="H101" s="530"/>
      <c r="I101" s="530"/>
      <c r="J101" s="530"/>
      <c r="K101" s="530"/>
      <c r="L101" s="553">
        <f>L106/L98/1000</f>
        <v>0.98700531600708807</v>
      </c>
      <c r="M101" s="553">
        <f>M106/M98/1000</f>
        <v>0.5991698249413463</v>
      </c>
      <c r="N101" s="553">
        <f>N106/N98/1000</f>
        <v>0.39795918367346939</v>
      </c>
      <c r="O101" s="553">
        <f>O106/O98/1000</f>
        <v>0.47356087620988285</v>
      </c>
      <c r="P101" s="553">
        <f>P106/P98/1000</f>
        <v>0.3774926572886072</v>
      </c>
      <c r="Q101" s="536">
        <f>CHOOSE($O$1,Q102,Q103,Q104)</f>
        <v>0.35</v>
      </c>
      <c r="R101" s="536">
        <f t="shared" ref="R101:Z101" si="47">CHOOSE($O$1,R102,R103,R104)</f>
        <v>0.4</v>
      </c>
      <c r="S101" s="536">
        <f t="shared" si="47"/>
        <v>0.4163</v>
      </c>
      <c r="T101" s="536">
        <f t="shared" si="47"/>
        <v>0.4163</v>
      </c>
      <c r="U101" s="536">
        <f t="shared" si="47"/>
        <v>0.4163</v>
      </c>
      <c r="V101" s="536">
        <f t="shared" si="47"/>
        <v>0.4163</v>
      </c>
      <c r="W101" s="536">
        <f t="shared" si="47"/>
        <v>0.4163</v>
      </c>
      <c r="X101" s="536">
        <f t="shared" si="47"/>
        <v>0.4163</v>
      </c>
      <c r="Y101" s="536">
        <f t="shared" si="47"/>
        <v>0.4163</v>
      </c>
      <c r="Z101" s="536">
        <f t="shared" si="47"/>
        <v>0.4163</v>
      </c>
      <c r="AA101" s="526"/>
      <c r="AB101" s="530"/>
      <c r="AC101" s="530"/>
      <c r="AD101" s="530"/>
      <c r="AE101" s="530"/>
      <c r="AF101" s="530"/>
      <c r="AG101" s="530"/>
      <c r="AH101" s="530"/>
      <c r="AI101" s="530"/>
      <c r="AJ101" s="530"/>
      <c r="AK101" s="530"/>
      <c r="AL101" s="530"/>
      <c r="AM101" s="530"/>
      <c r="AN101" s="530"/>
      <c r="AO101" s="530"/>
      <c r="AP101" s="530"/>
      <c r="AQ101" s="530"/>
      <c r="AR101" s="530"/>
      <c r="AS101" s="530"/>
      <c r="AT101" s="530"/>
      <c r="AU101" s="530"/>
      <c r="AV101" s="530"/>
      <c r="AW101" s="530"/>
      <c r="AX101" s="530"/>
      <c r="AY101" s="530"/>
      <c r="AZ101" s="530"/>
      <c r="BA101" s="530"/>
      <c r="BB101" s="530"/>
      <c r="BC101" s="530"/>
      <c r="BD101" s="530"/>
      <c r="BE101" s="530"/>
      <c r="BF101" s="530"/>
      <c r="BG101" s="530"/>
      <c r="BH101" s="530"/>
      <c r="BI101" s="530"/>
      <c r="BJ101" s="530"/>
      <c r="BK101" s="530"/>
      <c r="BL101" s="530"/>
      <c r="BM101" s="530"/>
      <c r="BN101" s="530"/>
      <c r="BO101" s="530"/>
      <c r="BP101" s="530"/>
      <c r="BQ101" s="530"/>
      <c r="BR101" s="530"/>
      <c r="BS101" s="530"/>
      <c r="BT101" s="530"/>
      <c r="BU101" s="530"/>
      <c r="BV101" s="530"/>
      <c r="BW101" s="530"/>
      <c r="BX101" s="530"/>
      <c r="BY101" s="530"/>
      <c r="BZ101" s="530"/>
      <c r="CA101" s="530"/>
      <c r="CB101" s="530"/>
      <c r="CC101" s="530"/>
      <c r="CD101" s="530"/>
      <c r="CE101" s="530"/>
      <c r="CF101" s="530"/>
      <c r="CG101" s="530"/>
      <c r="CH101" s="530"/>
      <c r="CI101" s="530"/>
      <c r="CJ101" s="530"/>
      <c r="CK101" s="530"/>
      <c r="CL101" s="530"/>
      <c r="CM101" s="530"/>
      <c r="CN101" s="530"/>
      <c r="CO101" s="530"/>
      <c r="CP101" s="530"/>
      <c r="CQ101" s="530"/>
      <c r="CR101" s="530"/>
      <c r="CS101" s="530"/>
      <c r="CT101" s="530"/>
      <c r="CU101" s="530"/>
      <c r="CV101" s="530"/>
      <c r="CW101" s="530"/>
      <c r="CX101" s="530"/>
      <c r="CY101" s="530"/>
      <c r="CZ101" s="530"/>
      <c r="DA101" s="530"/>
      <c r="DB101" s="530"/>
      <c r="DC101" s="530"/>
      <c r="DD101" s="530"/>
      <c r="DE101" s="530"/>
      <c r="DF101" s="530"/>
      <c r="DG101" s="530"/>
      <c r="DH101" s="530"/>
      <c r="DI101" s="530"/>
      <c r="DJ101" s="530"/>
      <c r="DK101" s="530"/>
      <c r="DL101" s="530"/>
      <c r="DM101" s="530"/>
      <c r="DN101" s="530"/>
      <c r="DO101" s="530"/>
      <c r="DP101" s="530"/>
      <c r="DQ101" s="530"/>
      <c r="DR101" s="530"/>
      <c r="DS101" s="530"/>
      <c r="DT101" s="530"/>
      <c r="DU101" s="530"/>
      <c r="DV101" s="530"/>
      <c r="DW101" s="530"/>
      <c r="DX101" s="530"/>
      <c r="DY101" s="530"/>
      <c r="DZ101" s="530"/>
      <c r="EA101" s="530"/>
      <c r="EB101" s="530"/>
      <c r="EC101" s="530"/>
      <c r="ED101" s="530"/>
      <c r="EE101" s="530"/>
      <c r="EF101" s="530"/>
      <c r="EG101" s="530"/>
      <c r="EH101" s="530"/>
      <c r="EI101" s="530"/>
      <c r="EJ101" s="530"/>
      <c r="EK101" s="530"/>
      <c r="EL101" s="530"/>
      <c r="EM101" s="530"/>
      <c r="EN101" s="530"/>
      <c r="EO101" s="530"/>
      <c r="EP101" s="530"/>
      <c r="EQ101" s="530"/>
      <c r="ER101" s="530"/>
      <c r="ES101" s="530"/>
      <c r="ET101" s="530"/>
      <c r="EU101" s="530"/>
      <c r="EV101" s="530"/>
      <c r="EW101" s="530"/>
    </row>
    <row r="102" spans="1:153" s="521" customFormat="1" ht="15">
      <c r="A102" s="566" t="s">
        <v>3516</v>
      </c>
      <c r="B102" s="519"/>
      <c r="C102" s="520"/>
      <c r="D102" s="520"/>
      <c r="E102" s="520"/>
      <c r="F102" s="520"/>
      <c r="G102" s="520"/>
      <c r="H102" s="520"/>
      <c r="I102" s="520"/>
      <c r="J102" s="520"/>
      <c r="K102" s="520"/>
      <c r="L102" s="526"/>
      <c r="M102" s="526"/>
      <c r="N102" s="526"/>
      <c r="O102" s="526"/>
      <c r="P102" s="526"/>
      <c r="Q102" s="537">
        <v>0.35</v>
      </c>
      <c r="R102" s="537">
        <v>0.4</v>
      </c>
      <c r="S102" s="537">
        <v>0.4163</v>
      </c>
      <c r="T102" s="537">
        <v>0.4163</v>
      </c>
      <c r="U102" s="537">
        <v>0.4163</v>
      </c>
      <c r="V102" s="537">
        <v>0.4163</v>
      </c>
      <c r="W102" s="537">
        <v>0.4163</v>
      </c>
      <c r="X102" s="537">
        <v>0.4163</v>
      </c>
      <c r="Y102" s="537">
        <v>0.4163</v>
      </c>
      <c r="Z102" s="537">
        <v>0.4163</v>
      </c>
      <c r="AA102" s="526"/>
      <c r="AB102" s="520"/>
      <c r="AC102" s="520"/>
      <c r="AD102" s="520"/>
      <c r="AE102" s="520"/>
      <c r="AF102" s="520"/>
      <c r="AG102" s="520"/>
      <c r="AH102" s="520"/>
      <c r="AI102" s="520"/>
      <c r="AJ102" s="520"/>
      <c r="AK102" s="520"/>
      <c r="AL102" s="520"/>
      <c r="AM102" s="520"/>
      <c r="AN102" s="520"/>
      <c r="AO102" s="520"/>
      <c r="AP102" s="520"/>
      <c r="AQ102" s="520"/>
      <c r="AR102" s="520"/>
      <c r="AS102" s="520"/>
      <c r="AT102" s="520"/>
      <c r="AU102" s="520"/>
      <c r="AV102" s="520"/>
      <c r="AW102" s="520"/>
      <c r="AX102" s="520"/>
      <c r="AY102" s="520"/>
      <c r="AZ102" s="520"/>
      <c r="BA102" s="520"/>
      <c r="BB102" s="520"/>
      <c r="BC102" s="520"/>
      <c r="BD102" s="520"/>
      <c r="BE102" s="520"/>
      <c r="BF102" s="520"/>
      <c r="BG102" s="520"/>
      <c r="BH102" s="520"/>
      <c r="BI102" s="520"/>
      <c r="BJ102" s="520"/>
      <c r="BK102" s="520"/>
      <c r="BL102" s="520"/>
      <c r="BM102" s="520"/>
      <c r="BN102" s="520"/>
      <c r="BO102" s="520"/>
      <c r="BP102" s="520"/>
      <c r="BQ102" s="520"/>
      <c r="BR102" s="520"/>
      <c r="BS102" s="520"/>
      <c r="BT102" s="520"/>
      <c r="BU102" s="520"/>
      <c r="BV102" s="520"/>
      <c r="BW102" s="520"/>
      <c r="BX102" s="520"/>
      <c r="BY102" s="520"/>
      <c r="BZ102" s="520"/>
      <c r="CA102" s="520"/>
      <c r="CB102" s="520"/>
      <c r="CC102" s="520"/>
      <c r="CD102" s="520"/>
      <c r="CE102" s="520"/>
      <c r="CF102" s="520"/>
      <c r="CG102" s="520"/>
      <c r="CH102" s="520"/>
      <c r="CI102" s="520"/>
      <c r="CJ102" s="520"/>
      <c r="CK102" s="520"/>
      <c r="CL102" s="520"/>
      <c r="CM102" s="520"/>
      <c r="CN102" s="520"/>
      <c r="CO102" s="520"/>
      <c r="CP102" s="520"/>
      <c r="CQ102" s="520"/>
      <c r="CR102" s="520"/>
      <c r="CS102" s="520"/>
      <c r="CT102" s="520"/>
      <c r="CU102" s="520"/>
      <c r="CV102" s="520"/>
      <c r="CW102" s="520"/>
      <c r="CX102" s="520"/>
      <c r="CY102" s="520"/>
      <c r="CZ102" s="520"/>
      <c r="DA102" s="520"/>
      <c r="DB102" s="520"/>
      <c r="DC102" s="520"/>
      <c r="DD102" s="520"/>
      <c r="DE102" s="520"/>
      <c r="DF102" s="520"/>
      <c r="DG102" s="520"/>
      <c r="DH102" s="520"/>
      <c r="DI102" s="520"/>
      <c r="DJ102" s="520"/>
      <c r="DK102" s="520"/>
      <c r="DL102" s="520"/>
      <c r="DM102" s="520"/>
      <c r="DN102" s="520"/>
      <c r="DO102" s="520"/>
      <c r="DP102" s="520"/>
      <c r="DQ102" s="520"/>
      <c r="DR102" s="520"/>
      <c r="DS102" s="520"/>
      <c r="DT102" s="520"/>
      <c r="DU102" s="520"/>
      <c r="DV102" s="520"/>
      <c r="DW102" s="520"/>
      <c r="DX102" s="520"/>
      <c r="DY102" s="520"/>
      <c r="DZ102" s="520"/>
      <c r="EA102" s="520"/>
      <c r="EB102" s="520"/>
      <c r="EC102" s="520"/>
      <c r="ED102" s="520"/>
      <c r="EE102" s="520"/>
      <c r="EF102" s="520"/>
      <c r="EG102" s="520"/>
      <c r="EH102" s="520"/>
      <c r="EI102" s="520"/>
      <c r="EJ102" s="520"/>
      <c r="EK102" s="520"/>
      <c r="EL102" s="520"/>
      <c r="EM102" s="520"/>
      <c r="EN102" s="520"/>
      <c r="EO102" s="520"/>
      <c r="EP102" s="520"/>
      <c r="EQ102" s="520"/>
      <c r="ER102" s="520"/>
      <c r="ES102" s="520"/>
      <c r="ET102" s="520"/>
      <c r="EU102" s="520"/>
      <c r="EV102" s="520"/>
      <c r="EW102" s="520"/>
    </row>
    <row r="103" spans="1:153" s="521" customFormat="1" ht="15">
      <c r="A103" s="566" t="s">
        <v>3517</v>
      </c>
      <c r="B103" s="519"/>
      <c r="C103" s="520"/>
      <c r="D103" s="520"/>
      <c r="E103" s="520"/>
      <c r="F103" s="520"/>
      <c r="G103" s="520"/>
      <c r="H103" s="520"/>
      <c r="I103" s="520"/>
      <c r="J103" s="520"/>
      <c r="K103" s="520"/>
      <c r="L103" s="526"/>
      <c r="M103" s="526"/>
      <c r="N103" s="526"/>
      <c r="O103" s="526"/>
      <c r="P103" s="526"/>
      <c r="Q103" s="537">
        <f>Q102+$AA103</f>
        <v>0.36</v>
      </c>
      <c r="R103" s="537">
        <f t="shared" ref="R103:Z103" si="48">R102+$AA103</f>
        <v>0.41000000000000003</v>
      </c>
      <c r="S103" s="537">
        <f t="shared" si="48"/>
        <v>0.42630000000000001</v>
      </c>
      <c r="T103" s="537">
        <f t="shared" si="48"/>
        <v>0.42630000000000001</v>
      </c>
      <c r="U103" s="537">
        <f t="shared" si="48"/>
        <v>0.42630000000000001</v>
      </c>
      <c r="V103" s="537">
        <f t="shared" si="48"/>
        <v>0.42630000000000001</v>
      </c>
      <c r="W103" s="537">
        <f t="shared" si="48"/>
        <v>0.42630000000000001</v>
      </c>
      <c r="X103" s="537">
        <f t="shared" si="48"/>
        <v>0.42630000000000001</v>
      </c>
      <c r="Y103" s="537">
        <f t="shared" si="48"/>
        <v>0.42630000000000001</v>
      </c>
      <c r="Z103" s="537">
        <f t="shared" si="48"/>
        <v>0.42630000000000001</v>
      </c>
      <c r="AA103" s="538">
        <v>0.01</v>
      </c>
      <c r="AB103" s="520"/>
      <c r="AC103" s="520"/>
      <c r="AD103" s="520"/>
      <c r="AE103" s="520"/>
      <c r="AF103" s="520"/>
      <c r="AG103" s="520"/>
      <c r="AH103" s="520"/>
      <c r="AI103" s="520"/>
      <c r="AJ103" s="520"/>
      <c r="AK103" s="520"/>
      <c r="AL103" s="520"/>
      <c r="AM103" s="520"/>
      <c r="AN103" s="520"/>
      <c r="AO103" s="520"/>
      <c r="AP103" s="520"/>
      <c r="AQ103" s="520"/>
      <c r="AR103" s="520"/>
      <c r="AS103" s="520"/>
      <c r="AT103" s="520"/>
      <c r="AU103" s="520"/>
      <c r="AV103" s="520"/>
      <c r="AW103" s="520"/>
      <c r="AX103" s="520"/>
      <c r="AY103" s="520"/>
      <c r="AZ103" s="520"/>
      <c r="BA103" s="520"/>
      <c r="BB103" s="520"/>
      <c r="BC103" s="520"/>
      <c r="BD103" s="520"/>
      <c r="BE103" s="520"/>
      <c r="BF103" s="520"/>
      <c r="BG103" s="520"/>
      <c r="BH103" s="520"/>
      <c r="BI103" s="520"/>
      <c r="BJ103" s="520"/>
      <c r="BK103" s="520"/>
      <c r="BL103" s="520"/>
      <c r="BM103" s="520"/>
      <c r="BN103" s="520"/>
      <c r="BO103" s="520"/>
      <c r="BP103" s="520"/>
      <c r="BQ103" s="520"/>
      <c r="BR103" s="520"/>
      <c r="BS103" s="520"/>
      <c r="BT103" s="520"/>
      <c r="BU103" s="520"/>
      <c r="BV103" s="520"/>
      <c r="BW103" s="520"/>
      <c r="BX103" s="520"/>
      <c r="BY103" s="520"/>
      <c r="BZ103" s="520"/>
      <c r="CA103" s="520"/>
      <c r="CB103" s="520"/>
      <c r="CC103" s="520"/>
      <c r="CD103" s="520"/>
      <c r="CE103" s="520"/>
      <c r="CF103" s="520"/>
      <c r="CG103" s="520"/>
      <c r="CH103" s="520"/>
      <c r="CI103" s="520"/>
      <c r="CJ103" s="520"/>
      <c r="CK103" s="520"/>
      <c r="CL103" s="520"/>
      <c r="CM103" s="520"/>
      <c r="CN103" s="520"/>
      <c r="CO103" s="520"/>
      <c r="CP103" s="520"/>
      <c r="CQ103" s="520"/>
      <c r="CR103" s="520"/>
      <c r="CS103" s="520"/>
      <c r="CT103" s="520"/>
      <c r="CU103" s="520"/>
      <c r="CV103" s="520"/>
      <c r="CW103" s="520"/>
      <c r="CX103" s="520"/>
      <c r="CY103" s="520"/>
      <c r="CZ103" s="520"/>
      <c r="DA103" s="520"/>
      <c r="DB103" s="520"/>
      <c r="DC103" s="520"/>
      <c r="DD103" s="520"/>
      <c r="DE103" s="520"/>
      <c r="DF103" s="520"/>
      <c r="DG103" s="520"/>
      <c r="DH103" s="520"/>
      <c r="DI103" s="520"/>
      <c r="DJ103" s="520"/>
      <c r="DK103" s="520"/>
      <c r="DL103" s="520"/>
      <c r="DM103" s="520"/>
      <c r="DN103" s="520"/>
      <c r="DO103" s="520"/>
      <c r="DP103" s="520"/>
      <c r="DQ103" s="520"/>
      <c r="DR103" s="520"/>
      <c r="DS103" s="520"/>
      <c r="DT103" s="520"/>
      <c r="DU103" s="520"/>
      <c r="DV103" s="520"/>
      <c r="DW103" s="520"/>
      <c r="DX103" s="520"/>
      <c r="DY103" s="520"/>
      <c r="DZ103" s="520"/>
      <c r="EA103" s="520"/>
      <c r="EB103" s="520"/>
      <c r="EC103" s="520"/>
      <c r="ED103" s="520"/>
      <c r="EE103" s="520"/>
      <c r="EF103" s="520"/>
      <c r="EG103" s="520"/>
      <c r="EH103" s="520"/>
      <c r="EI103" s="520"/>
      <c r="EJ103" s="520"/>
      <c r="EK103" s="520"/>
      <c r="EL103" s="520"/>
      <c r="EM103" s="520"/>
      <c r="EN103" s="520"/>
      <c r="EO103" s="520"/>
      <c r="EP103" s="520"/>
      <c r="EQ103" s="520"/>
      <c r="ER103" s="520"/>
      <c r="ES103" s="520"/>
      <c r="ET103" s="520"/>
      <c r="EU103" s="520"/>
      <c r="EV103" s="520"/>
      <c r="EW103" s="520"/>
    </row>
    <row r="104" spans="1:153" s="521" customFormat="1" ht="15">
      <c r="A104" s="566" t="s">
        <v>3518</v>
      </c>
      <c r="B104" s="519"/>
      <c r="C104" s="520"/>
      <c r="D104" s="520"/>
      <c r="E104" s="520"/>
      <c r="F104" s="520"/>
      <c r="G104" s="520"/>
      <c r="H104" s="520"/>
      <c r="I104" s="520"/>
      <c r="J104" s="520"/>
      <c r="K104" s="520"/>
      <c r="L104" s="526"/>
      <c r="M104" s="526"/>
      <c r="N104" s="526"/>
      <c r="O104" s="526"/>
      <c r="P104" s="526"/>
      <c r="Q104" s="537">
        <f>Q102-$AA104*0.5</f>
        <v>0.34499999999999997</v>
      </c>
      <c r="R104" s="537">
        <f t="shared" ref="R104:Z104" si="49">R102-$AA104*0.5</f>
        <v>0.39500000000000002</v>
      </c>
      <c r="S104" s="537">
        <f t="shared" si="49"/>
        <v>0.4113</v>
      </c>
      <c r="T104" s="537">
        <f t="shared" si="49"/>
        <v>0.4113</v>
      </c>
      <c r="U104" s="537">
        <f t="shared" si="49"/>
        <v>0.4113</v>
      </c>
      <c r="V104" s="537">
        <f t="shared" si="49"/>
        <v>0.4113</v>
      </c>
      <c r="W104" s="537">
        <f t="shared" si="49"/>
        <v>0.4113</v>
      </c>
      <c r="X104" s="537">
        <f t="shared" si="49"/>
        <v>0.4113</v>
      </c>
      <c r="Y104" s="537">
        <f t="shared" si="49"/>
        <v>0.4113</v>
      </c>
      <c r="Z104" s="537">
        <f t="shared" si="49"/>
        <v>0.4113</v>
      </c>
      <c r="AA104" s="538">
        <v>0.01</v>
      </c>
      <c r="AB104" s="520"/>
      <c r="AC104" s="520"/>
      <c r="AD104" s="520"/>
      <c r="AE104" s="520"/>
      <c r="AF104" s="520"/>
      <c r="AG104" s="520"/>
      <c r="AH104" s="520"/>
      <c r="AI104" s="520"/>
      <c r="AJ104" s="520"/>
      <c r="AK104" s="520"/>
      <c r="AL104" s="520"/>
      <c r="AM104" s="520"/>
      <c r="AN104" s="520"/>
      <c r="AO104" s="520"/>
      <c r="AP104" s="520"/>
      <c r="AQ104" s="520"/>
      <c r="AR104" s="520"/>
      <c r="AS104" s="520"/>
      <c r="AT104" s="520"/>
      <c r="AU104" s="520"/>
      <c r="AV104" s="520"/>
      <c r="AW104" s="520"/>
      <c r="AX104" s="520"/>
      <c r="AY104" s="520"/>
      <c r="AZ104" s="520"/>
      <c r="BA104" s="520"/>
      <c r="BB104" s="520"/>
      <c r="BC104" s="520"/>
      <c r="BD104" s="520"/>
      <c r="BE104" s="520"/>
      <c r="BF104" s="520"/>
      <c r="BG104" s="520"/>
      <c r="BH104" s="520"/>
      <c r="BI104" s="520"/>
      <c r="BJ104" s="520"/>
      <c r="BK104" s="520"/>
      <c r="BL104" s="520"/>
      <c r="BM104" s="520"/>
      <c r="BN104" s="520"/>
      <c r="BO104" s="520"/>
      <c r="BP104" s="520"/>
      <c r="BQ104" s="520"/>
      <c r="BR104" s="520"/>
      <c r="BS104" s="520"/>
      <c r="BT104" s="520"/>
      <c r="BU104" s="520"/>
      <c r="BV104" s="520"/>
      <c r="BW104" s="520"/>
      <c r="BX104" s="520"/>
      <c r="BY104" s="520"/>
      <c r="BZ104" s="520"/>
      <c r="CA104" s="520"/>
      <c r="CB104" s="520"/>
      <c r="CC104" s="520"/>
      <c r="CD104" s="520"/>
      <c r="CE104" s="520"/>
      <c r="CF104" s="520"/>
      <c r="CG104" s="520"/>
      <c r="CH104" s="520"/>
      <c r="CI104" s="520"/>
      <c r="CJ104" s="520"/>
      <c r="CK104" s="520"/>
      <c r="CL104" s="520"/>
      <c r="CM104" s="520"/>
      <c r="CN104" s="520"/>
      <c r="CO104" s="520"/>
      <c r="CP104" s="520"/>
      <c r="CQ104" s="520"/>
      <c r="CR104" s="520"/>
      <c r="CS104" s="520"/>
      <c r="CT104" s="520"/>
      <c r="CU104" s="520"/>
      <c r="CV104" s="520"/>
      <c r="CW104" s="520"/>
      <c r="CX104" s="520"/>
      <c r="CY104" s="520"/>
      <c r="CZ104" s="520"/>
      <c r="DA104" s="520"/>
      <c r="DB104" s="520"/>
      <c r="DC104" s="520"/>
      <c r="DD104" s="520"/>
      <c r="DE104" s="520"/>
      <c r="DF104" s="520"/>
      <c r="DG104" s="520"/>
      <c r="DH104" s="520"/>
      <c r="DI104" s="520"/>
      <c r="DJ104" s="520"/>
      <c r="DK104" s="520"/>
      <c r="DL104" s="520"/>
      <c r="DM104" s="520"/>
      <c r="DN104" s="520"/>
      <c r="DO104" s="520"/>
      <c r="DP104" s="520"/>
      <c r="DQ104" s="520"/>
      <c r="DR104" s="520"/>
      <c r="DS104" s="520"/>
      <c r="DT104" s="520"/>
      <c r="DU104" s="520"/>
      <c r="DV104" s="520"/>
      <c r="DW104" s="520"/>
      <c r="DX104" s="520"/>
      <c r="DY104" s="520"/>
      <c r="DZ104" s="520"/>
      <c r="EA104" s="520"/>
      <c r="EB104" s="520"/>
      <c r="EC104" s="520"/>
      <c r="ED104" s="520"/>
      <c r="EE104" s="520"/>
      <c r="EF104" s="520"/>
      <c r="EG104" s="520"/>
      <c r="EH104" s="520"/>
      <c r="EI104" s="520"/>
      <c r="EJ104" s="520"/>
      <c r="EK104" s="520"/>
      <c r="EL104" s="520"/>
      <c r="EM104" s="520"/>
      <c r="EN104" s="520"/>
      <c r="EO104" s="520"/>
      <c r="EP104" s="520"/>
      <c r="EQ104" s="520"/>
      <c r="ER104" s="520"/>
      <c r="ES104" s="520"/>
      <c r="ET104" s="520"/>
      <c r="EU104" s="520"/>
      <c r="EV104" s="520"/>
      <c r="EW104" s="520"/>
    </row>
    <row r="105" spans="1:153" s="521" customFormat="1">
      <c r="A105" s="686"/>
      <c r="B105" s="525"/>
      <c r="C105" s="520"/>
      <c r="D105" s="520"/>
      <c r="E105" s="520"/>
      <c r="F105" s="520"/>
      <c r="G105" s="520"/>
      <c r="H105" s="520"/>
      <c r="I105" s="520"/>
      <c r="J105" s="520"/>
      <c r="K105" s="520"/>
      <c r="L105" s="526"/>
      <c r="M105" s="526"/>
      <c r="N105" s="526"/>
      <c r="O105" s="526"/>
      <c r="P105" s="526"/>
      <c r="Q105" s="526"/>
      <c r="R105" s="526"/>
      <c r="S105" s="526"/>
      <c r="T105" s="526"/>
      <c r="U105" s="526"/>
      <c r="V105" s="526"/>
      <c r="W105" s="526"/>
      <c r="X105" s="526"/>
      <c r="Y105" s="526"/>
      <c r="Z105" s="526"/>
      <c r="AA105" s="526"/>
      <c r="AB105" s="520"/>
      <c r="AC105" s="520"/>
      <c r="AD105" s="520"/>
      <c r="AE105" s="520"/>
      <c r="AF105" s="520"/>
      <c r="AG105" s="520"/>
      <c r="AH105" s="520"/>
      <c r="AI105" s="520"/>
      <c r="AJ105" s="520"/>
      <c r="AK105" s="520"/>
      <c r="AL105" s="520"/>
      <c r="AM105" s="520"/>
      <c r="AN105" s="520"/>
      <c r="AO105" s="520"/>
      <c r="AP105" s="520"/>
      <c r="AQ105" s="520"/>
      <c r="AR105" s="520"/>
      <c r="AS105" s="520"/>
      <c r="AT105" s="520"/>
      <c r="AU105" s="520"/>
      <c r="AV105" s="520"/>
      <c r="AW105" s="520"/>
      <c r="AX105" s="520"/>
      <c r="AY105" s="520"/>
      <c r="AZ105" s="520"/>
      <c r="BA105" s="520"/>
      <c r="BB105" s="520"/>
      <c r="BC105" s="520"/>
      <c r="BD105" s="520"/>
      <c r="BE105" s="520"/>
      <c r="BF105" s="520"/>
      <c r="BG105" s="520"/>
      <c r="BH105" s="520"/>
      <c r="BI105" s="520"/>
      <c r="BJ105" s="520"/>
      <c r="BK105" s="520"/>
      <c r="BL105" s="520"/>
      <c r="BM105" s="520"/>
      <c r="BN105" s="520"/>
      <c r="BO105" s="520"/>
      <c r="BP105" s="520"/>
      <c r="BQ105" s="520"/>
      <c r="BR105" s="520"/>
      <c r="BS105" s="520"/>
      <c r="BT105" s="520"/>
      <c r="BU105" s="520"/>
      <c r="BV105" s="520"/>
      <c r="BW105" s="520"/>
      <c r="BX105" s="520"/>
      <c r="BY105" s="520"/>
      <c r="BZ105" s="520"/>
      <c r="CA105" s="520"/>
      <c r="CB105" s="520"/>
      <c r="CC105" s="520"/>
      <c r="CD105" s="520"/>
      <c r="CE105" s="520"/>
      <c r="CF105" s="520"/>
      <c r="CG105" s="520"/>
      <c r="CH105" s="520"/>
      <c r="CI105" s="520"/>
      <c r="CJ105" s="520"/>
      <c r="CK105" s="520"/>
      <c r="CL105" s="520"/>
      <c r="CM105" s="520"/>
      <c r="CN105" s="520"/>
      <c r="CO105" s="520"/>
      <c r="CP105" s="520"/>
      <c r="CQ105" s="520"/>
      <c r="CR105" s="520"/>
      <c r="CS105" s="520"/>
      <c r="CT105" s="520"/>
      <c r="CU105" s="520"/>
      <c r="CV105" s="520"/>
      <c r="CW105" s="520"/>
      <c r="CX105" s="520"/>
      <c r="CY105" s="520"/>
      <c r="CZ105" s="520"/>
      <c r="DA105" s="520"/>
      <c r="DB105" s="520"/>
      <c r="DC105" s="520"/>
      <c r="DD105" s="520"/>
      <c r="DE105" s="520"/>
      <c r="DF105" s="520"/>
      <c r="DG105" s="520"/>
      <c r="DH105" s="520"/>
      <c r="DI105" s="520"/>
      <c r="DJ105" s="520"/>
      <c r="DK105" s="520"/>
      <c r="DL105" s="520"/>
      <c r="DM105" s="520"/>
      <c r="DN105" s="520"/>
      <c r="DO105" s="520"/>
      <c r="DP105" s="520"/>
      <c r="DQ105" s="520"/>
      <c r="DR105" s="520"/>
      <c r="DS105" s="520"/>
      <c r="DT105" s="520"/>
      <c r="DU105" s="520"/>
      <c r="DV105" s="520"/>
      <c r="DW105" s="520"/>
      <c r="DX105" s="520"/>
      <c r="DY105" s="520"/>
      <c r="DZ105" s="520"/>
      <c r="EA105" s="520"/>
      <c r="EB105" s="520"/>
      <c r="EC105" s="520"/>
      <c r="ED105" s="520"/>
      <c r="EE105" s="520"/>
      <c r="EF105" s="520"/>
      <c r="EG105" s="520"/>
      <c r="EH105" s="520"/>
      <c r="EI105" s="520"/>
      <c r="EJ105" s="520"/>
      <c r="EK105" s="520"/>
      <c r="EL105" s="520"/>
      <c r="EM105" s="520"/>
      <c r="EN105" s="520"/>
      <c r="EO105" s="520"/>
      <c r="EP105" s="520"/>
      <c r="EQ105" s="520"/>
      <c r="ER105" s="520"/>
      <c r="ES105" s="520"/>
      <c r="ET105" s="520"/>
      <c r="EU105" s="520"/>
      <c r="EV105" s="520"/>
      <c r="EW105" s="520"/>
    </row>
    <row r="106" spans="1:153" s="521" customFormat="1" ht="15">
      <c r="A106" s="691" t="s">
        <v>3564</v>
      </c>
      <c r="B106" s="525"/>
      <c r="C106" s="520"/>
      <c r="D106" s="520"/>
      <c r="E106" s="520"/>
      <c r="F106" s="520"/>
      <c r="G106" s="520"/>
      <c r="H106" s="520"/>
      <c r="I106" s="520"/>
      <c r="J106" s="520"/>
      <c r="K106" s="520"/>
      <c r="L106" s="526">
        <f>Metrics!D7</f>
        <v>1671000</v>
      </c>
      <c r="M106" s="526">
        <f>Metrics!E7</f>
        <v>830000</v>
      </c>
      <c r="N106" s="526">
        <f>Metrics!F7</f>
        <v>468000</v>
      </c>
      <c r="O106" s="526">
        <f>Metrics!G7</f>
        <v>1162000</v>
      </c>
      <c r="P106" s="526">
        <f>Metrics!H7</f>
        <v>1221000</v>
      </c>
      <c r="Q106" s="554">
        <f ca="1">(Q109+Q115)*1000</f>
        <v>1009019.1666356846</v>
      </c>
      <c r="R106" s="554">
        <f t="shared" ref="R106:Z106" ca="1" si="50">(R109+R115)*1000</f>
        <v>1082640.9289389325</v>
      </c>
      <c r="S106" s="554">
        <f t="shared" ca="1" si="50"/>
        <v>1349001.5796982243</v>
      </c>
      <c r="T106" s="554">
        <f t="shared" ca="1" si="50"/>
        <v>1620196.9784623657</v>
      </c>
      <c r="U106" s="554">
        <f t="shared" ca="1" si="50"/>
        <v>1911431.0206390687</v>
      </c>
      <c r="V106" s="554">
        <f t="shared" ca="1" si="50"/>
        <v>2170805.8784073675</v>
      </c>
      <c r="W106" s="554">
        <f t="shared" ca="1" si="50"/>
        <v>2409921.8697350151</v>
      </c>
      <c r="X106" s="554">
        <f t="shared" ca="1" si="50"/>
        <v>2644319.6869122591</v>
      </c>
      <c r="Y106" s="554">
        <f t="shared" ca="1" si="50"/>
        <v>2871363.0935714892</v>
      </c>
      <c r="Z106" s="554">
        <f t="shared" ca="1" si="50"/>
        <v>3082456.7854944714</v>
      </c>
      <c r="AA106" s="526"/>
      <c r="AB106" s="520"/>
      <c r="AC106" s="520"/>
      <c r="AD106" s="520"/>
      <c r="AE106" s="520"/>
      <c r="AF106" s="520"/>
      <c r="AG106" s="520"/>
      <c r="AH106" s="520"/>
      <c r="AI106" s="520"/>
      <c r="AJ106" s="520"/>
      <c r="AK106" s="520"/>
      <c r="AL106" s="520"/>
      <c r="AM106" s="520"/>
      <c r="AN106" s="520"/>
      <c r="AO106" s="520"/>
      <c r="AP106" s="520"/>
      <c r="AQ106" s="520"/>
      <c r="AR106" s="520"/>
      <c r="AS106" s="520"/>
      <c r="AT106" s="520"/>
      <c r="AU106" s="520"/>
      <c r="AV106" s="520"/>
      <c r="AW106" s="520"/>
      <c r="AX106" s="520"/>
      <c r="AY106" s="520"/>
      <c r="AZ106" s="520"/>
      <c r="BA106" s="520"/>
      <c r="BB106" s="520"/>
      <c r="BC106" s="520"/>
      <c r="BD106" s="520"/>
      <c r="BE106" s="520"/>
      <c r="BF106" s="520"/>
      <c r="BG106" s="520"/>
      <c r="BH106" s="520"/>
      <c r="BI106" s="520"/>
      <c r="BJ106" s="520"/>
      <c r="BK106" s="520"/>
      <c r="BL106" s="520"/>
      <c r="BM106" s="520"/>
      <c r="BN106" s="520"/>
      <c r="BO106" s="520"/>
      <c r="BP106" s="520"/>
      <c r="BQ106" s="520"/>
      <c r="BR106" s="520"/>
      <c r="BS106" s="520"/>
      <c r="BT106" s="520"/>
      <c r="BU106" s="520"/>
      <c r="BV106" s="520"/>
      <c r="BW106" s="520"/>
      <c r="BX106" s="520"/>
      <c r="BY106" s="520"/>
      <c r="BZ106" s="520"/>
      <c r="CA106" s="520"/>
      <c r="CB106" s="520"/>
      <c r="CC106" s="520"/>
      <c r="CD106" s="520"/>
      <c r="CE106" s="520"/>
      <c r="CF106" s="520"/>
      <c r="CG106" s="520"/>
      <c r="CH106" s="520"/>
      <c r="CI106" s="520"/>
      <c r="CJ106" s="520"/>
      <c r="CK106" s="520"/>
      <c r="CL106" s="520"/>
      <c r="CM106" s="520"/>
      <c r="CN106" s="520"/>
      <c r="CO106" s="520"/>
      <c r="CP106" s="520"/>
      <c r="CQ106" s="520"/>
      <c r="CR106" s="520"/>
      <c r="CS106" s="520"/>
      <c r="CT106" s="520"/>
      <c r="CU106" s="520"/>
      <c r="CV106" s="520"/>
      <c r="CW106" s="520"/>
      <c r="CX106" s="520"/>
      <c r="CY106" s="520"/>
      <c r="CZ106" s="520"/>
      <c r="DA106" s="520"/>
      <c r="DB106" s="520"/>
      <c r="DC106" s="520"/>
      <c r="DD106" s="520"/>
      <c r="DE106" s="520"/>
      <c r="DF106" s="520"/>
      <c r="DG106" s="520"/>
      <c r="DH106" s="520"/>
      <c r="DI106" s="520"/>
      <c r="DJ106" s="520"/>
      <c r="DK106" s="520"/>
      <c r="DL106" s="520"/>
      <c r="DM106" s="520"/>
      <c r="DN106" s="520"/>
      <c r="DO106" s="520"/>
      <c r="DP106" s="520"/>
      <c r="DQ106" s="520"/>
      <c r="DR106" s="520"/>
      <c r="DS106" s="520"/>
      <c r="DT106" s="520"/>
      <c r="DU106" s="520"/>
      <c r="DV106" s="520"/>
      <c r="DW106" s="520"/>
      <c r="DX106" s="520"/>
      <c r="DY106" s="520"/>
      <c r="DZ106" s="520"/>
      <c r="EA106" s="520"/>
      <c r="EB106" s="520"/>
      <c r="EC106" s="520"/>
      <c r="ED106" s="520"/>
      <c r="EE106" s="520"/>
      <c r="EF106" s="520"/>
      <c r="EG106" s="520"/>
      <c r="EH106" s="520"/>
      <c r="EI106" s="520"/>
      <c r="EJ106" s="520"/>
      <c r="EK106" s="520"/>
      <c r="EL106" s="520"/>
      <c r="EM106" s="520"/>
      <c r="EN106" s="520"/>
      <c r="EO106" s="520"/>
      <c r="EP106" s="520"/>
      <c r="EQ106" s="520"/>
      <c r="ER106" s="520"/>
      <c r="ES106" s="520"/>
      <c r="ET106" s="520"/>
      <c r="EU106" s="520"/>
      <c r="EV106" s="520"/>
      <c r="EW106" s="520"/>
    </row>
    <row r="107" spans="1:153" s="521" customFormat="1">
      <c r="A107" s="686" t="s">
        <v>3532</v>
      </c>
      <c r="B107" s="519"/>
      <c r="C107" s="520"/>
      <c r="D107" s="520"/>
      <c r="E107" s="520"/>
      <c r="F107" s="520"/>
      <c r="G107" s="520"/>
      <c r="H107" s="520"/>
      <c r="I107" s="520"/>
      <c r="J107" s="520"/>
      <c r="K107" s="520"/>
      <c r="L107" s="526"/>
      <c r="M107" s="526"/>
      <c r="N107" s="534">
        <f>(N106/M106)-1</f>
        <v>-0.43614457831325304</v>
      </c>
      <c r="O107" s="534">
        <f>(O106/N106)-1</f>
        <v>1.482905982905983</v>
      </c>
      <c r="P107" s="534">
        <f t="shared" ref="P107:Z107" si="51">(P106/O106)-1</f>
        <v>5.0774526678141196E-2</v>
      </c>
      <c r="Q107" s="535">
        <f t="shared" ca="1" si="51"/>
        <v>-0.17361247613785047</v>
      </c>
      <c r="R107" s="534">
        <f t="shared" ca="1" si="51"/>
        <v>7.2963690619198829E-2</v>
      </c>
      <c r="S107" s="534">
        <f t="shared" ca="1" si="51"/>
        <v>0.24602861728158087</v>
      </c>
      <c r="T107" s="534">
        <f t="shared" ca="1" si="51"/>
        <v>0.20103415951878167</v>
      </c>
      <c r="U107" s="534">
        <f t="shared" ca="1" si="51"/>
        <v>0.17975224373834853</v>
      </c>
      <c r="V107" s="534">
        <f t="shared" ca="1" si="51"/>
        <v>0.135696687438702</v>
      </c>
      <c r="W107" s="534">
        <f t="shared" ca="1" si="51"/>
        <v>0.11015079409268846</v>
      </c>
      <c r="X107" s="534">
        <f t="shared" ca="1" si="51"/>
        <v>9.726365826250527E-2</v>
      </c>
      <c r="Y107" s="534">
        <f t="shared" ca="1" si="51"/>
        <v>8.5860801091091288E-2</v>
      </c>
      <c r="Z107" s="534">
        <f t="shared" ca="1" si="51"/>
        <v>7.3516892515469889E-2</v>
      </c>
      <c r="AA107" s="526"/>
      <c r="AB107" s="520"/>
      <c r="AC107" s="520"/>
      <c r="AD107" s="520"/>
      <c r="AE107" s="520"/>
      <c r="AF107" s="520"/>
      <c r="AG107" s="520"/>
      <c r="AH107" s="520"/>
      <c r="AI107" s="520"/>
      <c r="AJ107" s="520"/>
      <c r="AK107" s="520"/>
      <c r="AL107" s="520"/>
      <c r="AM107" s="520"/>
      <c r="AN107" s="520"/>
      <c r="AO107" s="520"/>
      <c r="AP107" s="520"/>
      <c r="AQ107" s="520"/>
      <c r="AR107" s="520"/>
      <c r="AS107" s="520"/>
      <c r="AT107" s="520"/>
      <c r="AU107" s="520"/>
      <c r="AV107" s="520"/>
      <c r="AW107" s="520"/>
      <c r="AX107" s="520"/>
      <c r="AY107" s="520"/>
      <c r="AZ107" s="520"/>
      <c r="BA107" s="520"/>
      <c r="BB107" s="520"/>
      <c r="BC107" s="520"/>
      <c r="BD107" s="520"/>
      <c r="BE107" s="520"/>
      <c r="BF107" s="520"/>
      <c r="BG107" s="520"/>
      <c r="BH107" s="520"/>
      <c r="BI107" s="520"/>
      <c r="BJ107" s="520"/>
      <c r="BK107" s="520"/>
      <c r="BL107" s="520"/>
      <c r="BM107" s="520"/>
      <c r="BN107" s="520"/>
      <c r="BO107" s="520"/>
      <c r="BP107" s="520"/>
      <c r="BQ107" s="520"/>
      <c r="BR107" s="520"/>
      <c r="BS107" s="520"/>
      <c r="BT107" s="520"/>
      <c r="BU107" s="520"/>
      <c r="BV107" s="520"/>
      <c r="BW107" s="520"/>
      <c r="BX107" s="520"/>
      <c r="BY107" s="520"/>
      <c r="BZ107" s="520"/>
      <c r="CA107" s="520"/>
      <c r="CB107" s="520"/>
      <c r="CC107" s="520"/>
      <c r="CD107" s="520"/>
      <c r="CE107" s="520"/>
      <c r="CF107" s="520"/>
      <c r="CG107" s="520"/>
      <c r="CH107" s="520"/>
      <c r="CI107" s="520"/>
      <c r="CJ107" s="520"/>
      <c r="CK107" s="520"/>
      <c r="CL107" s="520"/>
      <c r="CM107" s="520"/>
      <c r="CN107" s="520"/>
      <c r="CO107" s="520"/>
      <c r="CP107" s="520"/>
      <c r="CQ107" s="520"/>
      <c r="CR107" s="520"/>
      <c r="CS107" s="520"/>
      <c r="CT107" s="520"/>
      <c r="CU107" s="520"/>
      <c r="CV107" s="520"/>
      <c r="CW107" s="520"/>
      <c r="CX107" s="520"/>
      <c r="CY107" s="520"/>
      <c r="CZ107" s="520"/>
      <c r="DA107" s="520"/>
      <c r="DB107" s="520"/>
      <c r="DC107" s="520"/>
      <c r="DD107" s="520"/>
      <c r="DE107" s="520"/>
      <c r="DF107" s="520"/>
      <c r="DG107" s="520"/>
      <c r="DH107" s="520"/>
      <c r="DI107" s="520"/>
      <c r="DJ107" s="520"/>
      <c r="DK107" s="520"/>
      <c r="DL107" s="520"/>
      <c r="DM107" s="520"/>
      <c r="DN107" s="520"/>
      <c r="DO107" s="520"/>
      <c r="DP107" s="520"/>
      <c r="DQ107" s="520"/>
      <c r="DR107" s="520"/>
      <c r="DS107" s="520"/>
      <c r="DT107" s="520"/>
      <c r="DU107" s="520"/>
      <c r="DV107" s="520"/>
      <c r="DW107" s="520"/>
      <c r="DX107" s="520"/>
      <c r="DY107" s="520"/>
      <c r="DZ107" s="520"/>
      <c r="EA107" s="520"/>
      <c r="EB107" s="520"/>
      <c r="EC107" s="520"/>
      <c r="ED107" s="520"/>
      <c r="EE107" s="520"/>
      <c r="EF107" s="520"/>
      <c r="EG107" s="520"/>
      <c r="EH107" s="520"/>
      <c r="EI107" s="520"/>
      <c r="EJ107" s="520"/>
      <c r="EK107" s="520"/>
      <c r="EL107" s="520"/>
      <c r="EM107" s="520"/>
      <c r="EN107" s="520"/>
      <c r="EO107" s="520"/>
      <c r="EP107" s="520"/>
      <c r="EQ107" s="520"/>
      <c r="ER107" s="520"/>
      <c r="ES107" s="520"/>
      <c r="ET107" s="520"/>
      <c r="EU107" s="520"/>
      <c r="EV107" s="520"/>
      <c r="EW107" s="520"/>
    </row>
    <row r="108" spans="1:153" s="521" customFormat="1">
      <c r="A108" s="686"/>
      <c r="B108" s="519"/>
      <c r="C108" s="520"/>
      <c r="D108" s="520"/>
      <c r="E108" s="520"/>
      <c r="F108" s="520"/>
      <c r="G108" s="520"/>
      <c r="H108" s="520"/>
      <c r="I108" s="520"/>
      <c r="J108" s="520"/>
      <c r="K108" s="520"/>
      <c r="L108" s="526"/>
      <c r="M108" s="526"/>
      <c r="N108" s="526"/>
      <c r="O108" s="526"/>
      <c r="P108" s="526"/>
      <c r="Q108" s="527"/>
      <c r="R108" s="526"/>
      <c r="S108" s="526"/>
      <c r="T108" s="526"/>
      <c r="U108" s="555"/>
      <c r="V108" s="526"/>
      <c r="W108" s="526"/>
      <c r="X108" s="526"/>
      <c r="Y108" s="526"/>
      <c r="Z108" s="526"/>
      <c r="AA108" s="526"/>
      <c r="AB108" s="520"/>
      <c r="AC108" s="520"/>
      <c r="AD108" s="520"/>
      <c r="AE108" s="520"/>
      <c r="AF108" s="520"/>
      <c r="AG108" s="520"/>
      <c r="AH108" s="520"/>
      <c r="AI108" s="520"/>
      <c r="AJ108" s="520"/>
      <c r="AK108" s="520"/>
      <c r="AL108" s="520"/>
      <c r="AM108" s="520"/>
      <c r="AN108" s="520"/>
      <c r="AO108" s="520"/>
      <c r="AP108" s="520"/>
      <c r="AQ108" s="520"/>
      <c r="AR108" s="520"/>
      <c r="AS108" s="520"/>
      <c r="AT108" s="520"/>
      <c r="AU108" s="520"/>
      <c r="AV108" s="520"/>
      <c r="AW108" s="520"/>
      <c r="AX108" s="520"/>
      <c r="AY108" s="520"/>
      <c r="AZ108" s="520"/>
      <c r="BA108" s="520"/>
      <c r="BB108" s="520"/>
      <c r="BC108" s="520"/>
      <c r="BD108" s="520"/>
      <c r="BE108" s="520"/>
      <c r="BF108" s="520"/>
      <c r="BG108" s="520"/>
      <c r="BH108" s="520"/>
      <c r="BI108" s="520"/>
      <c r="BJ108" s="520"/>
      <c r="BK108" s="520"/>
      <c r="BL108" s="520"/>
      <c r="BM108" s="520"/>
      <c r="BN108" s="520"/>
      <c r="BO108" s="520"/>
      <c r="BP108" s="520"/>
      <c r="BQ108" s="520"/>
      <c r="BR108" s="520"/>
      <c r="BS108" s="520"/>
      <c r="BT108" s="520"/>
      <c r="BU108" s="520"/>
      <c r="BV108" s="520"/>
      <c r="BW108" s="520"/>
      <c r="BX108" s="520"/>
      <c r="BY108" s="520"/>
      <c r="BZ108" s="520"/>
      <c r="CA108" s="520"/>
      <c r="CB108" s="520"/>
      <c r="CC108" s="520"/>
      <c r="CD108" s="520"/>
      <c r="CE108" s="520"/>
      <c r="CF108" s="520"/>
      <c r="CG108" s="520"/>
      <c r="CH108" s="520"/>
      <c r="CI108" s="520"/>
      <c r="CJ108" s="520"/>
      <c r="CK108" s="520"/>
      <c r="CL108" s="520"/>
      <c r="CM108" s="520"/>
      <c r="CN108" s="520"/>
      <c r="CO108" s="520"/>
      <c r="CP108" s="520"/>
      <c r="CQ108" s="520"/>
      <c r="CR108" s="520"/>
      <c r="CS108" s="520"/>
      <c r="CT108" s="520"/>
      <c r="CU108" s="520"/>
      <c r="CV108" s="520"/>
      <c r="CW108" s="520"/>
      <c r="CX108" s="520"/>
      <c r="CY108" s="520"/>
      <c r="CZ108" s="520"/>
      <c r="DA108" s="520"/>
      <c r="DB108" s="520"/>
      <c r="DC108" s="520"/>
      <c r="DD108" s="520"/>
      <c r="DE108" s="520"/>
      <c r="DF108" s="520"/>
      <c r="DG108" s="520"/>
      <c r="DH108" s="520"/>
      <c r="DI108" s="520"/>
      <c r="DJ108" s="520"/>
      <c r="DK108" s="520"/>
      <c r="DL108" s="520"/>
      <c r="DM108" s="520"/>
      <c r="DN108" s="520"/>
      <c r="DO108" s="520"/>
      <c r="DP108" s="520"/>
      <c r="DQ108" s="520"/>
      <c r="DR108" s="520"/>
      <c r="DS108" s="520"/>
      <c r="DT108" s="520"/>
      <c r="DU108" s="520"/>
      <c r="DV108" s="520"/>
      <c r="DW108" s="520"/>
      <c r="DX108" s="520"/>
      <c r="DY108" s="520"/>
      <c r="DZ108" s="520"/>
      <c r="EA108" s="520"/>
      <c r="EB108" s="520"/>
      <c r="EC108" s="520"/>
      <c r="ED108" s="520"/>
      <c r="EE108" s="520"/>
      <c r="EF108" s="520"/>
      <c r="EG108" s="520"/>
      <c r="EH108" s="520"/>
      <c r="EI108" s="520"/>
      <c r="EJ108" s="520"/>
      <c r="EK108" s="520"/>
      <c r="EL108" s="520"/>
      <c r="EM108" s="520"/>
      <c r="EN108" s="520"/>
      <c r="EO108" s="520"/>
      <c r="EP108" s="520"/>
      <c r="EQ108" s="520"/>
      <c r="ER108" s="520"/>
      <c r="ES108" s="520"/>
      <c r="ET108" s="520"/>
      <c r="EU108" s="520"/>
      <c r="EV108" s="520"/>
      <c r="EW108" s="520"/>
    </row>
    <row r="109" spans="1:153" s="521" customFormat="1" ht="15">
      <c r="A109" s="691" t="s">
        <v>3550</v>
      </c>
      <c r="B109" s="525"/>
      <c r="C109" s="520"/>
      <c r="D109" s="520"/>
      <c r="E109" s="520"/>
      <c r="F109" s="520"/>
      <c r="G109" s="520"/>
      <c r="H109" s="520"/>
      <c r="I109" s="520"/>
      <c r="J109" s="520"/>
      <c r="K109" s="520"/>
      <c r="L109" s="556">
        <f>Metrics!D92</f>
        <v>535</v>
      </c>
      <c r="M109" s="556">
        <f>Metrics!E92</f>
        <v>167</v>
      </c>
      <c r="N109" s="556">
        <f>Metrics!F92</f>
        <v>75</v>
      </c>
      <c r="O109" s="556">
        <f>Metrics!G92</f>
        <v>224</v>
      </c>
      <c r="P109" s="556">
        <f>Metrics!H92</f>
        <v>239</v>
      </c>
      <c r="Q109" s="557">
        <f ca="1">Q98*Q110</f>
        <v>189.51121403817424</v>
      </c>
      <c r="R109" s="558">
        <f t="shared" ref="R109:Z109" ca="1" si="52">R98*R110</f>
        <v>202.99517417604983</v>
      </c>
      <c r="S109" s="558">
        <f t="shared" ca="1" si="52"/>
        <v>250.9770380833906</v>
      </c>
      <c r="T109" s="558">
        <f t="shared" ca="1" si="52"/>
        <v>316.59021418230134</v>
      </c>
      <c r="U109" s="558">
        <f t="shared" ca="1" si="52"/>
        <v>390.9745269489004</v>
      </c>
      <c r="V109" s="558">
        <f t="shared" ca="1" si="52"/>
        <v>444.02847512877975</v>
      </c>
      <c r="W109" s="558">
        <f t="shared" ca="1" si="52"/>
        <v>492.93856426398042</v>
      </c>
      <c r="X109" s="558">
        <f t="shared" ca="1" si="52"/>
        <v>540.8835723229621</v>
      </c>
      <c r="Y109" s="558">
        <f t="shared" ca="1" si="52"/>
        <v>587.32426913962274</v>
      </c>
      <c r="Z109" s="558">
        <f t="shared" ca="1" si="52"/>
        <v>630.50252430568742</v>
      </c>
      <c r="AA109" s="526"/>
      <c r="AB109" s="520"/>
      <c r="AC109" s="520"/>
      <c r="AD109" s="520"/>
      <c r="AE109" s="520"/>
      <c r="AF109" s="520"/>
      <c r="AG109" s="520"/>
      <c r="AH109" s="520"/>
      <c r="AI109" s="520"/>
      <c r="AJ109" s="520"/>
      <c r="AK109" s="520"/>
      <c r="AL109" s="520"/>
      <c r="AM109" s="520"/>
      <c r="AN109" s="520"/>
      <c r="AO109" s="520"/>
      <c r="AP109" s="520"/>
      <c r="AQ109" s="520"/>
      <c r="AR109" s="520"/>
      <c r="AS109" s="520"/>
      <c r="AT109" s="520"/>
      <c r="AU109" s="520"/>
      <c r="AV109" s="520"/>
      <c r="AW109" s="520"/>
      <c r="AX109" s="520"/>
      <c r="AY109" s="520"/>
      <c r="AZ109" s="520"/>
      <c r="BA109" s="520"/>
      <c r="BB109" s="520"/>
      <c r="BC109" s="520"/>
      <c r="BD109" s="520"/>
      <c r="BE109" s="520"/>
      <c r="BF109" s="520"/>
      <c r="BG109" s="520"/>
      <c r="BH109" s="520"/>
      <c r="BI109" s="520"/>
      <c r="BJ109" s="520"/>
      <c r="BK109" s="520"/>
      <c r="BL109" s="520"/>
      <c r="BM109" s="520"/>
      <c r="BN109" s="520"/>
      <c r="BO109" s="520"/>
      <c r="BP109" s="520"/>
      <c r="BQ109" s="520"/>
      <c r="BR109" s="520"/>
      <c r="BS109" s="520"/>
      <c r="BT109" s="520"/>
      <c r="BU109" s="520"/>
      <c r="BV109" s="520"/>
      <c r="BW109" s="520"/>
      <c r="BX109" s="520"/>
      <c r="BY109" s="520"/>
      <c r="BZ109" s="520"/>
      <c r="CA109" s="520"/>
      <c r="CB109" s="520"/>
      <c r="CC109" s="520"/>
      <c r="CD109" s="520"/>
      <c r="CE109" s="520"/>
      <c r="CF109" s="520"/>
      <c r="CG109" s="520"/>
      <c r="CH109" s="520"/>
      <c r="CI109" s="520"/>
      <c r="CJ109" s="520"/>
      <c r="CK109" s="520"/>
      <c r="CL109" s="520"/>
      <c r="CM109" s="520"/>
      <c r="CN109" s="520"/>
      <c r="CO109" s="520"/>
      <c r="CP109" s="520"/>
      <c r="CQ109" s="520"/>
      <c r="CR109" s="520"/>
      <c r="CS109" s="520"/>
      <c r="CT109" s="520"/>
      <c r="CU109" s="520"/>
      <c r="CV109" s="520"/>
      <c r="CW109" s="520"/>
      <c r="CX109" s="520"/>
      <c r="CY109" s="520"/>
      <c r="CZ109" s="520"/>
      <c r="DA109" s="520"/>
      <c r="DB109" s="520"/>
      <c r="DC109" s="520"/>
      <c r="DD109" s="520"/>
      <c r="DE109" s="520"/>
      <c r="DF109" s="520"/>
      <c r="DG109" s="520"/>
      <c r="DH109" s="520"/>
      <c r="DI109" s="520"/>
      <c r="DJ109" s="520"/>
      <c r="DK109" s="520"/>
      <c r="DL109" s="520"/>
      <c r="DM109" s="520"/>
      <c r="DN109" s="520"/>
      <c r="DO109" s="520"/>
      <c r="DP109" s="520"/>
      <c r="DQ109" s="520"/>
      <c r="DR109" s="520"/>
      <c r="DS109" s="520"/>
      <c r="DT109" s="520"/>
      <c r="DU109" s="520"/>
      <c r="DV109" s="520"/>
      <c r="DW109" s="520"/>
      <c r="DX109" s="520"/>
      <c r="DY109" s="520"/>
      <c r="DZ109" s="520"/>
      <c r="EA109" s="520"/>
      <c r="EB109" s="520"/>
      <c r="EC109" s="520"/>
      <c r="ED109" s="520"/>
      <c r="EE109" s="520"/>
      <c r="EF109" s="520"/>
      <c r="EG109" s="520"/>
      <c r="EH109" s="520"/>
      <c r="EI109" s="520"/>
      <c r="EJ109" s="520"/>
      <c r="EK109" s="520"/>
      <c r="EL109" s="520"/>
      <c r="EM109" s="520"/>
      <c r="EN109" s="520"/>
      <c r="EO109" s="520"/>
      <c r="EP109" s="520"/>
      <c r="EQ109" s="520"/>
      <c r="ER109" s="520"/>
      <c r="ES109" s="520"/>
      <c r="ET109" s="520"/>
      <c r="EU109" s="520"/>
      <c r="EV109" s="520"/>
      <c r="EW109" s="520"/>
    </row>
    <row r="110" spans="1:153" s="521" customFormat="1">
      <c r="A110" s="686" t="s">
        <v>887</v>
      </c>
      <c r="B110" s="519"/>
      <c r="C110" s="520"/>
      <c r="D110" s="520"/>
      <c r="E110" s="520"/>
      <c r="F110" s="520"/>
      <c r="G110" s="520"/>
      <c r="H110" s="520"/>
      <c r="I110" s="520"/>
      <c r="J110" s="520"/>
      <c r="K110" s="520"/>
      <c r="L110" s="526"/>
      <c r="M110" s="559">
        <f>M109/M98</f>
        <v>0.12055585634362029</v>
      </c>
      <c r="N110" s="559">
        <f>N109/N98</f>
        <v>6.3775510204081634E-2</v>
      </c>
      <c r="O110" s="559">
        <f>O109/O98</f>
        <v>9.1288843606724401E-2</v>
      </c>
      <c r="P110" s="559">
        <f>P109/P98</f>
        <v>7.3890864121193389E-2</v>
      </c>
      <c r="Q110" s="536">
        <f>CHOOSE($O$1,Q111,Q112,Q113)</f>
        <v>7.3999999999999996E-2</v>
      </c>
      <c r="R110" s="536">
        <f t="shared" ref="R110:Z110" si="53">CHOOSE($O$1,R111,R112,R113)</f>
        <v>7.4999999999999997E-2</v>
      </c>
      <c r="S110" s="536">
        <f t="shared" si="53"/>
        <v>0.08</v>
      </c>
      <c r="T110" s="536">
        <f t="shared" si="53"/>
        <v>8.5000000000000006E-2</v>
      </c>
      <c r="U110" s="536">
        <f t="shared" si="53"/>
        <v>0.09</v>
      </c>
      <c r="V110" s="536">
        <f t="shared" si="53"/>
        <v>0.09</v>
      </c>
      <c r="W110" s="536">
        <f t="shared" si="53"/>
        <v>0.09</v>
      </c>
      <c r="X110" s="536">
        <f t="shared" si="53"/>
        <v>0.09</v>
      </c>
      <c r="Y110" s="536">
        <f t="shared" si="53"/>
        <v>0.09</v>
      </c>
      <c r="Z110" s="536">
        <f t="shared" si="53"/>
        <v>0.09</v>
      </c>
      <c r="AA110" s="526"/>
      <c r="AB110" s="520"/>
      <c r="AC110" s="520"/>
      <c r="AD110" s="520"/>
      <c r="AE110" s="520"/>
      <c r="AF110" s="520"/>
      <c r="AG110" s="520"/>
      <c r="AH110" s="520"/>
      <c r="AI110" s="520"/>
      <c r="AJ110" s="520"/>
      <c r="AK110" s="520"/>
      <c r="AL110" s="520"/>
      <c r="AM110" s="520"/>
      <c r="AN110" s="520"/>
      <c r="AO110" s="520"/>
      <c r="AP110" s="520"/>
      <c r="AQ110" s="520"/>
      <c r="AR110" s="520"/>
      <c r="AS110" s="520"/>
      <c r="AT110" s="520"/>
      <c r="AU110" s="520"/>
      <c r="AV110" s="520"/>
      <c r="AW110" s="520"/>
      <c r="AX110" s="520"/>
      <c r="AY110" s="520"/>
      <c r="AZ110" s="520"/>
      <c r="BA110" s="520"/>
      <c r="BB110" s="520"/>
      <c r="BC110" s="520"/>
      <c r="BD110" s="520"/>
      <c r="BE110" s="520"/>
      <c r="BF110" s="520"/>
      <c r="BG110" s="520"/>
      <c r="BH110" s="520"/>
      <c r="BI110" s="520"/>
      <c r="BJ110" s="520"/>
      <c r="BK110" s="520"/>
      <c r="BL110" s="520"/>
      <c r="BM110" s="520"/>
      <c r="BN110" s="520"/>
      <c r="BO110" s="520"/>
      <c r="BP110" s="520"/>
      <c r="BQ110" s="520"/>
      <c r="BR110" s="520"/>
      <c r="BS110" s="520"/>
      <c r="BT110" s="520"/>
      <c r="BU110" s="520"/>
      <c r="BV110" s="520"/>
      <c r="BW110" s="520"/>
      <c r="BX110" s="520"/>
      <c r="BY110" s="520"/>
      <c r="BZ110" s="520"/>
      <c r="CA110" s="520"/>
      <c r="CB110" s="520"/>
      <c r="CC110" s="520"/>
      <c r="CD110" s="520"/>
      <c r="CE110" s="520"/>
      <c r="CF110" s="520"/>
      <c r="CG110" s="520"/>
      <c r="CH110" s="520"/>
      <c r="CI110" s="520"/>
      <c r="CJ110" s="520"/>
      <c r="CK110" s="520"/>
      <c r="CL110" s="520"/>
      <c r="CM110" s="520"/>
      <c r="CN110" s="520"/>
      <c r="CO110" s="520"/>
      <c r="CP110" s="520"/>
      <c r="CQ110" s="520"/>
      <c r="CR110" s="520"/>
      <c r="CS110" s="520"/>
      <c r="CT110" s="520"/>
      <c r="CU110" s="520"/>
      <c r="CV110" s="520"/>
      <c r="CW110" s="520"/>
      <c r="CX110" s="520"/>
      <c r="CY110" s="520"/>
      <c r="CZ110" s="520"/>
      <c r="DA110" s="520"/>
      <c r="DB110" s="520"/>
      <c r="DC110" s="520"/>
      <c r="DD110" s="520"/>
      <c r="DE110" s="520"/>
      <c r="DF110" s="520"/>
      <c r="DG110" s="520"/>
      <c r="DH110" s="520"/>
      <c r="DI110" s="520"/>
      <c r="DJ110" s="520"/>
      <c r="DK110" s="520"/>
      <c r="DL110" s="520"/>
      <c r="DM110" s="520"/>
      <c r="DN110" s="520"/>
      <c r="DO110" s="520"/>
      <c r="DP110" s="520"/>
      <c r="DQ110" s="520"/>
      <c r="DR110" s="520"/>
      <c r="DS110" s="520"/>
      <c r="DT110" s="520"/>
      <c r="DU110" s="520"/>
      <c r="DV110" s="520"/>
      <c r="DW110" s="520"/>
      <c r="DX110" s="520"/>
      <c r="DY110" s="520"/>
      <c r="DZ110" s="520"/>
      <c r="EA110" s="520"/>
      <c r="EB110" s="520"/>
      <c r="EC110" s="520"/>
      <c r="ED110" s="520"/>
      <c r="EE110" s="520"/>
      <c r="EF110" s="520"/>
      <c r="EG110" s="520"/>
      <c r="EH110" s="520"/>
      <c r="EI110" s="520"/>
      <c r="EJ110" s="520"/>
      <c r="EK110" s="520"/>
      <c r="EL110" s="520"/>
      <c r="EM110" s="520"/>
      <c r="EN110" s="520"/>
      <c r="EO110" s="520"/>
      <c r="EP110" s="520"/>
      <c r="EQ110" s="520"/>
      <c r="ER110" s="520"/>
      <c r="ES110" s="520"/>
      <c r="ET110" s="520"/>
      <c r="EU110" s="520"/>
      <c r="EV110" s="520"/>
      <c r="EW110" s="520"/>
    </row>
    <row r="111" spans="1:153" s="521" customFormat="1" ht="15">
      <c r="A111" s="566" t="s">
        <v>3516</v>
      </c>
      <c r="B111" s="525"/>
      <c r="C111" s="520"/>
      <c r="D111" s="520"/>
      <c r="E111" s="520"/>
      <c r="F111" s="520"/>
      <c r="G111" s="520"/>
      <c r="H111" s="520"/>
      <c r="I111" s="520"/>
      <c r="J111" s="520"/>
      <c r="K111" s="520"/>
      <c r="L111" s="526"/>
      <c r="M111" s="526"/>
      <c r="N111" s="526"/>
      <c r="O111" s="526"/>
      <c r="P111" s="526"/>
      <c r="Q111" s="537">
        <v>7.3999999999999996E-2</v>
      </c>
      <c r="R111" s="537">
        <v>7.4999999999999997E-2</v>
      </c>
      <c r="S111" s="537">
        <v>0.08</v>
      </c>
      <c r="T111" s="537">
        <v>8.5000000000000006E-2</v>
      </c>
      <c r="U111" s="537">
        <v>0.09</v>
      </c>
      <c r="V111" s="537">
        <v>0.09</v>
      </c>
      <c r="W111" s="537">
        <v>0.09</v>
      </c>
      <c r="X111" s="537">
        <v>0.09</v>
      </c>
      <c r="Y111" s="537">
        <v>0.09</v>
      </c>
      <c r="Z111" s="537">
        <v>0.09</v>
      </c>
      <c r="AA111" s="526"/>
      <c r="AB111" s="520"/>
      <c r="AC111" s="520"/>
      <c r="AD111" s="520"/>
      <c r="AE111" s="520"/>
      <c r="AF111" s="520"/>
      <c r="AG111" s="520"/>
      <c r="AH111" s="520"/>
      <c r="AI111" s="520"/>
      <c r="AJ111" s="520"/>
      <c r="AK111" s="520"/>
      <c r="AL111" s="520"/>
      <c r="AM111" s="520"/>
      <c r="AN111" s="520"/>
      <c r="AO111" s="520"/>
      <c r="AP111" s="520"/>
      <c r="AQ111" s="520"/>
      <c r="AR111" s="520"/>
      <c r="AS111" s="520"/>
      <c r="AT111" s="520"/>
      <c r="AU111" s="520"/>
      <c r="AV111" s="520"/>
      <c r="AW111" s="520"/>
      <c r="AX111" s="520"/>
      <c r="AY111" s="520"/>
      <c r="AZ111" s="520"/>
      <c r="BA111" s="520"/>
      <c r="BB111" s="520"/>
      <c r="BC111" s="520"/>
      <c r="BD111" s="520"/>
      <c r="BE111" s="520"/>
      <c r="BF111" s="520"/>
      <c r="BG111" s="520"/>
      <c r="BH111" s="520"/>
      <c r="BI111" s="520"/>
      <c r="BJ111" s="520"/>
      <c r="BK111" s="520"/>
      <c r="BL111" s="520"/>
      <c r="BM111" s="520"/>
      <c r="BN111" s="520"/>
      <c r="BO111" s="520"/>
      <c r="BP111" s="520"/>
      <c r="BQ111" s="520"/>
      <c r="BR111" s="520"/>
      <c r="BS111" s="520"/>
      <c r="BT111" s="520"/>
      <c r="BU111" s="520"/>
      <c r="BV111" s="520"/>
      <c r="BW111" s="520"/>
      <c r="BX111" s="520"/>
      <c r="BY111" s="520"/>
      <c r="BZ111" s="520"/>
      <c r="CA111" s="520"/>
      <c r="CB111" s="520"/>
      <c r="CC111" s="520"/>
      <c r="CD111" s="520"/>
      <c r="CE111" s="520"/>
      <c r="CF111" s="520"/>
      <c r="CG111" s="520"/>
      <c r="CH111" s="520"/>
      <c r="CI111" s="520"/>
      <c r="CJ111" s="520"/>
      <c r="CK111" s="520"/>
      <c r="CL111" s="520"/>
      <c r="CM111" s="520"/>
      <c r="CN111" s="520"/>
      <c r="CO111" s="520"/>
      <c r="CP111" s="520"/>
      <c r="CQ111" s="520"/>
      <c r="CR111" s="520"/>
      <c r="CS111" s="520"/>
      <c r="CT111" s="520"/>
      <c r="CU111" s="520"/>
      <c r="CV111" s="520"/>
      <c r="CW111" s="520"/>
      <c r="CX111" s="520"/>
      <c r="CY111" s="520"/>
      <c r="CZ111" s="520"/>
      <c r="DA111" s="520"/>
      <c r="DB111" s="520"/>
      <c r="DC111" s="520"/>
      <c r="DD111" s="520"/>
      <c r="DE111" s="520"/>
      <c r="DF111" s="520"/>
      <c r="DG111" s="520"/>
      <c r="DH111" s="520"/>
      <c r="DI111" s="520"/>
      <c r="DJ111" s="520"/>
      <c r="DK111" s="520"/>
      <c r="DL111" s="520"/>
      <c r="DM111" s="520"/>
      <c r="DN111" s="520"/>
      <c r="DO111" s="520"/>
      <c r="DP111" s="520"/>
      <c r="DQ111" s="520"/>
      <c r="DR111" s="520"/>
      <c r="DS111" s="520"/>
      <c r="DT111" s="520"/>
      <c r="DU111" s="520"/>
      <c r="DV111" s="520"/>
      <c r="DW111" s="520"/>
      <c r="DX111" s="520"/>
      <c r="DY111" s="520"/>
      <c r="DZ111" s="520"/>
      <c r="EA111" s="520"/>
      <c r="EB111" s="520"/>
      <c r="EC111" s="520"/>
      <c r="ED111" s="520"/>
      <c r="EE111" s="520"/>
      <c r="EF111" s="520"/>
      <c r="EG111" s="520"/>
      <c r="EH111" s="520"/>
      <c r="EI111" s="520"/>
      <c r="EJ111" s="520"/>
      <c r="EK111" s="520"/>
      <c r="EL111" s="520"/>
      <c r="EM111" s="520"/>
      <c r="EN111" s="520"/>
      <c r="EO111" s="520"/>
      <c r="EP111" s="520"/>
      <c r="EQ111" s="520"/>
      <c r="ER111" s="520"/>
      <c r="ES111" s="520"/>
      <c r="ET111" s="520"/>
      <c r="EU111" s="520"/>
      <c r="EV111" s="520"/>
      <c r="EW111" s="520"/>
    </row>
    <row r="112" spans="1:153" s="521" customFormat="1" ht="15">
      <c r="A112" s="566" t="s">
        <v>3517</v>
      </c>
      <c r="B112" s="519"/>
      <c r="C112" s="520"/>
      <c r="D112" s="520"/>
      <c r="E112" s="520"/>
      <c r="F112" s="520"/>
      <c r="G112" s="520"/>
      <c r="H112" s="520"/>
      <c r="I112" s="520"/>
      <c r="J112" s="520"/>
      <c r="K112" s="520"/>
      <c r="L112" s="526"/>
      <c r="M112" s="526"/>
      <c r="N112" s="526"/>
      <c r="O112" s="526"/>
      <c r="P112" s="526"/>
      <c r="Q112" s="537">
        <f t="shared" ref="Q112:Z112" si="54">Q111+$AA112*0.5</f>
        <v>7.4200000000000002E-2</v>
      </c>
      <c r="R112" s="537">
        <f t="shared" si="54"/>
        <v>7.5200000000000003E-2</v>
      </c>
      <c r="S112" s="537">
        <f t="shared" si="54"/>
        <v>8.0200000000000007E-2</v>
      </c>
      <c r="T112" s="537">
        <f t="shared" si="54"/>
        <v>8.5200000000000012E-2</v>
      </c>
      <c r="U112" s="537">
        <f t="shared" si="54"/>
        <v>9.0200000000000002E-2</v>
      </c>
      <c r="V112" s="537">
        <f t="shared" si="54"/>
        <v>9.0200000000000002E-2</v>
      </c>
      <c r="W112" s="537">
        <f t="shared" si="54"/>
        <v>9.0200000000000002E-2</v>
      </c>
      <c r="X112" s="537">
        <f t="shared" si="54"/>
        <v>9.0200000000000002E-2</v>
      </c>
      <c r="Y112" s="537">
        <f t="shared" si="54"/>
        <v>9.0200000000000002E-2</v>
      </c>
      <c r="Z112" s="537">
        <f t="shared" si="54"/>
        <v>9.0200000000000002E-2</v>
      </c>
      <c r="AA112" s="538">
        <v>4.0000000000000002E-4</v>
      </c>
      <c r="AB112" s="520"/>
      <c r="AC112" s="520"/>
      <c r="AD112" s="520"/>
      <c r="AE112" s="520"/>
      <c r="AF112" s="520"/>
      <c r="AG112" s="520"/>
      <c r="AH112" s="520"/>
      <c r="AI112" s="520"/>
      <c r="AJ112" s="520"/>
      <c r="AK112" s="520"/>
      <c r="AL112" s="520"/>
      <c r="AM112" s="520"/>
      <c r="AN112" s="520"/>
      <c r="AO112" s="520"/>
      <c r="AP112" s="520"/>
      <c r="AQ112" s="520"/>
      <c r="AR112" s="520"/>
      <c r="AS112" s="520"/>
      <c r="AT112" s="520"/>
      <c r="AU112" s="520"/>
      <c r="AV112" s="520"/>
      <c r="AW112" s="520"/>
      <c r="AX112" s="520"/>
      <c r="AY112" s="520"/>
      <c r="AZ112" s="520"/>
      <c r="BA112" s="520"/>
      <c r="BB112" s="520"/>
      <c r="BC112" s="520"/>
      <c r="BD112" s="520"/>
      <c r="BE112" s="520"/>
      <c r="BF112" s="520"/>
      <c r="BG112" s="520"/>
      <c r="BH112" s="520"/>
      <c r="BI112" s="520"/>
      <c r="BJ112" s="520"/>
      <c r="BK112" s="520"/>
      <c r="BL112" s="520"/>
      <c r="BM112" s="520"/>
      <c r="BN112" s="520"/>
      <c r="BO112" s="520"/>
      <c r="BP112" s="520"/>
      <c r="BQ112" s="520"/>
      <c r="BR112" s="520"/>
      <c r="BS112" s="520"/>
      <c r="BT112" s="520"/>
      <c r="BU112" s="520"/>
      <c r="BV112" s="520"/>
      <c r="BW112" s="520"/>
      <c r="BX112" s="520"/>
      <c r="BY112" s="520"/>
      <c r="BZ112" s="520"/>
      <c r="CA112" s="520"/>
      <c r="CB112" s="520"/>
      <c r="CC112" s="520"/>
      <c r="CD112" s="520"/>
      <c r="CE112" s="520"/>
      <c r="CF112" s="520"/>
      <c r="CG112" s="520"/>
      <c r="CH112" s="520"/>
      <c r="CI112" s="520"/>
      <c r="CJ112" s="520"/>
      <c r="CK112" s="520"/>
      <c r="CL112" s="520"/>
      <c r="CM112" s="520"/>
      <c r="CN112" s="520"/>
      <c r="CO112" s="520"/>
      <c r="CP112" s="520"/>
      <c r="CQ112" s="520"/>
      <c r="CR112" s="520"/>
      <c r="CS112" s="520"/>
      <c r="CT112" s="520"/>
      <c r="CU112" s="520"/>
      <c r="CV112" s="520"/>
      <c r="CW112" s="520"/>
      <c r="CX112" s="520"/>
      <c r="CY112" s="520"/>
      <c r="CZ112" s="520"/>
      <c r="DA112" s="520"/>
      <c r="DB112" s="520"/>
      <c r="DC112" s="520"/>
      <c r="DD112" s="520"/>
      <c r="DE112" s="520"/>
      <c r="DF112" s="520"/>
      <c r="DG112" s="520"/>
      <c r="DH112" s="520"/>
      <c r="DI112" s="520"/>
      <c r="DJ112" s="520"/>
      <c r="DK112" s="520"/>
      <c r="DL112" s="520"/>
      <c r="DM112" s="520"/>
      <c r="DN112" s="520"/>
      <c r="DO112" s="520"/>
      <c r="DP112" s="520"/>
      <c r="DQ112" s="520"/>
      <c r="DR112" s="520"/>
      <c r="DS112" s="520"/>
      <c r="DT112" s="520"/>
      <c r="DU112" s="520"/>
      <c r="DV112" s="520"/>
      <c r="DW112" s="520"/>
      <c r="DX112" s="520"/>
      <c r="DY112" s="520"/>
      <c r="DZ112" s="520"/>
      <c r="EA112" s="520"/>
      <c r="EB112" s="520"/>
      <c r="EC112" s="520"/>
      <c r="ED112" s="520"/>
      <c r="EE112" s="520"/>
      <c r="EF112" s="520"/>
      <c r="EG112" s="520"/>
      <c r="EH112" s="520"/>
      <c r="EI112" s="520"/>
      <c r="EJ112" s="520"/>
      <c r="EK112" s="520"/>
      <c r="EL112" s="520"/>
      <c r="EM112" s="520"/>
      <c r="EN112" s="520"/>
      <c r="EO112" s="520"/>
      <c r="EP112" s="520"/>
      <c r="EQ112" s="520"/>
      <c r="ER112" s="520"/>
      <c r="ES112" s="520"/>
      <c r="ET112" s="520"/>
      <c r="EU112" s="520"/>
      <c r="EV112" s="520"/>
      <c r="EW112" s="520"/>
    </row>
    <row r="113" spans="1:153" s="521" customFormat="1" ht="15">
      <c r="A113" s="566" t="s">
        <v>3518</v>
      </c>
      <c r="B113" s="519"/>
      <c r="C113" s="520"/>
      <c r="D113" s="520"/>
      <c r="E113" s="520"/>
      <c r="F113" s="520"/>
      <c r="G113" s="520"/>
      <c r="H113" s="520"/>
      <c r="I113" s="520"/>
      <c r="J113" s="520"/>
      <c r="K113" s="520"/>
      <c r="L113" s="526"/>
      <c r="M113" s="526"/>
      <c r="N113" s="526"/>
      <c r="O113" s="526"/>
      <c r="P113" s="526"/>
      <c r="Q113" s="537">
        <f t="shared" ref="Q113:Z113" si="55">Q111-$AA113*0.5</f>
        <v>7.3799999999999991E-2</v>
      </c>
      <c r="R113" s="537">
        <f t="shared" si="55"/>
        <v>7.4799999999999991E-2</v>
      </c>
      <c r="S113" s="537">
        <f t="shared" si="55"/>
        <v>7.9799999999999996E-2</v>
      </c>
      <c r="T113" s="537">
        <f t="shared" si="55"/>
        <v>8.48E-2</v>
      </c>
      <c r="U113" s="537">
        <f t="shared" si="55"/>
        <v>8.9799999999999991E-2</v>
      </c>
      <c r="V113" s="537">
        <f t="shared" si="55"/>
        <v>8.9799999999999991E-2</v>
      </c>
      <c r="W113" s="537">
        <f t="shared" si="55"/>
        <v>8.9799999999999991E-2</v>
      </c>
      <c r="X113" s="537">
        <f t="shared" si="55"/>
        <v>8.9799999999999991E-2</v>
      </c>
      <c r="Y113" s="537">
        <f t="shared" si="55"/>
        <v>8.9799999999999991E-2</v>
      </c>
      <c r="Z113" s="537">
        <f t="shared" si="55"/>
        <v>8.9799999999999991E-2</v>
      </c>
      <c r="AA113" s="538">
        <v>4.0000000000000002E-4</v>
      </c>
      <c r="AB113" s="520"/>
      <c r="AC113" s="520"/>
      <c r="AD113" s="520"/>
      <c r="AE113" s="520"/>
      <c r="AF113" s="520"/>
      <c r="AG113" s="520"/>
      <c r="AH113" s="520"/>
      <c r="AI113" s="520"/>
      <c r="AJ113" s="520"/>
      <c r="AK113" s="520"/>
      <c r="AL113" s="520"/>
      <c r="AM113" s="520"/>
      <c r="AN113" s="520"/>
      <c r="AO113" s="520"/>
      <c r="AP113" s="520"/>
      <c r="AQ113" s="520"/>
      <c r="AR113" s="520"/>
      <c r="AS113" s="520"/>
      <c r="AT113" s="520"/>
      <c r="AU113" s="520"/>
      <c r="AV113" s="520"/>
      <c r="AW113" s="520"/>
      <c r="AX113" s="520"/>
      <c r="AY113" s="520"/>
      <c r="AZ113" s="520"/>
      <c r="BA113" s="520"/>
      <c r="BB113" s="520"/>
      <c r="BC113" s="520"/>
      <c r="BD113" s="520"/>
      <c r="BE113" s="520"/>
      <c r="BF113" s="520"/>
      <c r="BG113" s="520"/>
      <c r="BH113" s="520"/>
      <c r="BI113" s="520"/>
      <c r="BJ113" s="520"/>
      <c r="BK113" s="520"/>
      <c r="BL113" s="520"/>
      <c r="BM113" s="520"/>
      <c r="BN113" s="520"/>
      <c r="BO113" s="520"/>
      <c r="BP113" s="520"/>
      <c r="BQ113" s="520"/>
      <c r="BR113" s="520"/>
      <c r="BS113" s="520"/>
      <c r="BT113" s="520"/>
      <c r="BU113" s="520"/>
      <c r="BV113" s="520"/>
      <c r="BW113" s="520"/>
      <c r="BX113" s="520"/>
      <c r="BY113" s="520"/>
      <c r="BZ113" s="520"/>
      <c r="CA113" s="520"/>
      <c r="CB113" s="520"/>
      <c r="CC113" s="520"/>
      <c r="CD113" s="520"/>
      <c r="CE113" s="520"/>
      <c r="CF113" s="520"/>
      <c r="CG113" s="520"/>
      <c r="CH113" s="520"/>
      <c r="CI113" s="520"/>
      <c r="CJ113" s="520"/>
      <c r="CK113" s="520"/>
      <c r="CL113" s="520"/>
      <c r="CM113" s="520"/>
      <c r="CN113" s="520"/>
      <c r="CO113" s="520"/>
      <c r="CP113" s="520"/>
      <c r="CQ113" s="520"/>
      <c r="CR113" s="520"/>
      <c r="CS113" s="520"/>
      <c r="CT113" s="520"/>
      <c r="CU113" s="520"/>
      <c r="CV113" s="520"/>
      <c r="CW113" s="520"/>
      <c r="CX113" s="520"/>
      <c r="CY113" s="520"/>
      <c r="CZ113" s="520"/>
      <c r="DA113" s="520"/>
      <c r="DB113" s="520"/>
      <c r="DC113" s="520"/>
      <c r="DD113" s="520"/>
      <c r="DE113" s="520"/>
      <c r="DF113" s="520"/>
      <c r="DG113" s="520"/>
      <c r="DH113" s="520"/>
      <c r="DI113" s="520"/>
      <c r="DJ113" s="520"/>
      <c r="DK113" s="520"/>
      <c r="DL113" s="520"/>
      <c r="DM113" s="520"/>
      <c r="DN113" s="520"/>
      <c r="DO113" s="520"/>
      <c r="DP113" s="520"/>
      <c r="DQ113" s="520"/>
      <c r="DR113" s="520"/>
      <c r="DS113" s="520"/>
      <c r="DT113" s="520"/>
      <c r="DU113" s="520"/>
      <c r="DV113" s="520"/>
      <c r="DW113" s="520"/>
      <c r="DX113" s="520"/>
      <c r="DY113" s="520"/>
      <c r="DZ113" s="520"/>
      <c r="EA113" s="520"/>
      <c r="EB113" s="520"/>
      <c r="EC113" s="520"/>
      <c r="ED113" s="520"/>
      <c r="EE113" s="520"/>
      <c r="EF113" s="520"/>
      <c r="EG113" s="520"/>
      <c r="EH113" s="520"/>
      <c r="EI113" s="520"/>
      <c r="EJ113" s="520"/>
      <c r="EK113" s="520"/>
      <c r="EL113" s="520"/>
      <c r="EM113" s="520"/>
      <c r="EN113" s="520"/>
      <c r="EO113" s="520"/>
      <c r="EP113" s="520"/>
      <c r="EQ113" s="520"/>
      <c r="ER113" s="520"/>
      <c r="ES113" s="520"/>
      <c r="ET113" s="520"/>
      <c r="EU113" s="520"/>
      <c r="EV113" s="520"/>
      <c r="EW113" s="520"/>
    </row>
    <row r="114" spans="1:153" s="521" customFormat="1">
      <c r="A114" s="686"/>
      <c r="B114" s="519"/>
      <c r="C114" s="520"/>
      <c r="D114" s="520"/>
      <c r="E114" s="520"/>
      <c r="F114" s="520"/>
      <c r="G114" s="520"/>
      <c r="H114" s="520"/>
      <c r="I114" s="520"/>
      <c r="J114" s="520"/>
      <c r="K114" s="520"/>
      <c r="L114" s="526"/>
      <c r="M114" s="526"/>
      <c r="N114" s="526"/>
      <c r="O114" s="526"/>
      <c r="P114" s="526"/>
      <c r="Q114" s="526"/>
      <c r="R114" s="526"/>
      <c r="S114" s="526"/>
      <c r="T114" s="526"/>
      <c r="U114" s="526"/>
      <c r="V114" s="526"/>
      <c r="W114" s="526"/>
      <c r="X114" s="526"/>
      <c r="Y114" s="526"/>
      <c r="Z114" s="526"/>
      <c r="AA114" s="526"/>
      <c r="AB114" s="520"/>
      <c r="AC114" s="520"/>
      <c r="AD114" s="520"/>
      <c r="AE114" s="520"/>
      <c r="AF114" s="520"/>
      <c r="AG114" s="520"/>
      <c r="AH114" s="520"/>
      <c r="AI114" s="520"/>
      <c r="AJ114" s="520"/>
      <c r="AK114" s="520"/>
      <c r="AL114" s="520"/>
      <c r="AM114" s="520"/>
      <c r="AN114" s="520"/>
      <c r="AO114" s="520"/>
      <c r="AP114" s="520"/>
      <c r="AQ114" s="520"/>
      <c r="AR114" s="520"/>
      <c r="AS114" s="520"/>
      <c r="AT114" s="520"/>
      <c r="AU114" s="520"/>
      <c r="AV114" s="520"/>
      <c r="AW114" s="520"/>
      <c r="AX114" s="520"/>
      <c r="AY114" s="520"/>
      <c r="AZ114" s="520"/>
      <c r="BA114" s="520"/>
      <c r="BB114" s="520"/>
      <c r="BC114" s="520"/>
      <c r="BD114" s="520"/>
      <c r="BE114" s="520"/>
      <c r="BF114" s="520"/>
      <c r="BG114" s="520"/>
      <c r="BH114" s="520"/>
      <c r="BI114" s="520"/>
      <c r="BJ114" s="520"/>
      <c r="BK114" s="520"/>
      <c r="BL114" s="520"/>
      <c r="BM114" s="520"/>
      <c r="BN114" s="520"/>
      <c r="BO114" s="520"/>
      <c r="BP114" s="520"/>
      <c r="BQ114" s="520"/>
      <c r="BR114" s="520"/>
      <c r="BS114" s="520"/>
      <c r="BT114" s="520"/>
      <c r="BU114" s="520"/>
      <c r="BV114" s="520"/>
      <c r="BW114" s="520"/>
      <c r="BX114" s="520"/>
      <c r="BY114" s="520"/>
      <c r="BZ114" s="520"/>
      <c r="CA114" s="520"/>
      <c r="CB114" s="520"/>
      <c r="CC114" s="520"/>
      <c r="CD114" s="520"/>
      <c r="CE114" s="520"/>
      <c r="CF114" s="520"/>
      <c r="CG114" s="520"/>
      <c r="CH114" s="520"/>
      <c r="CI114" s="520"/>
      <c r="CJ114" s="520"/>
      <c r="CK114" s="520"/>
      <c r="CL114" s="520"/>
      <c r="CM114" s="520"/>
      <c r="CN114" s="520"/>
      <c r="CO114" s="520"/>
      <c r="CP114" s="520"/>
      <c r="CQ114" s="520"/>
      <c r="CR114" s="520"/>
      <c r="CS114" s="520"/>
      <c r="CT114" s="520"/>
      <c r="CU114" s="520"/>
      <c r="CV114" s="520"/>
      <c r="CW114" s="520"/>
      <c r="CX114" s="520"/>
      <c r="CY114" s="520"/>
      <c r="CZ114" s="520"/>
      <c r="DA114" s="520"/>
      <c r="DB114" s="520"/>
      <c r="DC114" s="520"/>
      <c r="DD114" s="520"/>
      <c r="DE114" s="520"/>
      <c r="DF114" s="520"/>
      <c r="DG114" s="520"/>
      <c r="DH114" s="520"/>
      <c r="DI114" s="520"/>
      <c r="DJ114" s="520"/>
      <c r="DK114" s="520"/>
      <c r="DL114" s="520"/>
      <c r="DM114" s="520"/>
      <c r="DN114" s="520"/>
      <c r="DO114" s="520"/>
      <c r="DP114" s="520"/>
      <c r="DQ114" s="520"/>
      <c r="DR114" s="520"/>
      <c r="DS114" s="520"/>
      <c r="DT114" s="520"/>
      <c r="DU114" s="520"/>
      <c r="DV114" s="520"/>
      <c r="DW114" s="520"/>
      <c r="DX114" s="520"/>
      <c r="DY114" s="520"/>
      <c r="DZ114" s="520"/>
      <c r="EA114" s="520"/>
      <c r="EB114" s="520"/>
      <c r="EC114" s="520"/>
      <c r="ED114" s="520"/>
      <c r="EE114" s="520"/>
      <c r="EF114" s="520"/>
      <c r="EG114" s="520"/>
      <c r="EH114" s="520"/>
      <c r="EI114" s="520"/>
      <c r="EJ114" s="520"/>
      <c r="EK114" s="520"/>
      <c r="EL114" s="520"/>
      <c r="EM114" s="520"/>
      <c r="EN114" s="520"/>
      <c r="EO114" s="520"/>
      <c r="EP114" s="520"/>
      <c r="EQ114" s="520"/>
      <c r="ER114" s="520"/>
      <c r="ES114" s="520"/>
      <c r="ET114" s="520"/>
      <c r="EU114" s="520"/>
      <c r="EV114" s="520"/>
      <c r="EW114" s="520"/>
    </row>
    <row r="115" spans="1:153" s="521" customFormat="1" ht="15">
      <c r="A115" s="691" t="s">
        <v>3562</v>
      </c>
      <c r="B115" s="519"/>
      <c r="C115" s="520"/>
      <c r="D115" s="520"/>
      <c r="E115" s="520"/>
      <c r="F115" s="520"/>
      <c r="G115" s="520"/>
      <c r="H115" s="520"/>
      <c r="I115" s="520"/>
      <c r="J115" s="520"/>
      <c r="K115" s="520"/>
      <c r="L115" s="526">
        <f>Metrics!D93</f>
        <v>1136</v>
      </c>
      <c r="M115" s="526">
        <f>Metrics!E93</f>
        <v>663</v>
      </c>
      <c r="N115" s="526">
        <f>Metrics!F93</f>
        <v>393</v>
      </c>
      <c r="O115" s="526">
        <f>Metrics!G93</f>
        <v>965</v>
      </c>
      <c r="P115" s="526">
        <f>Metrics!H93</f>
        <v>982</v>
      </c>
      <c r="Q115" s="558">
        <f ca="1">Q98*(Q116)</f>
        <v>819.50795259751033</v>
      </c>
      <c r="R115" s="558">
        <f t="shared" ref="R115:Z115" ca="1" si="56">R98*(R116)</f>
        <v>879.64575476288269</v>
      </c>
      <c r="S115" s="558">
        <f t="shared" ca="1" si="56"/>
        <v>1098.0245416148337</v>
      </c>
      <c r="T115" s="558">
        <f t="shared" ca="1" si="56"/>
        <v>1303.6067642800642</v>
      </c>
      <c r="U115" s="558">
        <f t="shared" ca="1" si="56"/>
        <v>1520.4564936901684</v>
      </c>
      <c r="V115" s="558">
        <f t="shared" ca="1" si="56"/>
        <v>1726.7774032785878</v>
      </c>
      <c r="W115" s="558">
        <f t="shared" ca="1" si="56"/>
        <v>1916.983305471035</v>
      </c>
      <c r="X115" s="558">
        <f t="shared" ca="1" si="56"/>
        <v>2103.4361145892967</v>
      </c>
      <c r="Y115" s="558">
        <f t="shared" ca="1" si="56"/>
        <v>2284.0388244318665</v>
      </c>
      <c r="Z115" s="558">
        <f t="shared" ca="1" si="56"/>
        <v>2451.9542611887841</v>
      </c>
      <c r="AA115" s="526"/>
      <c r="AB115" s="520"/>
      <c r="AC115" s="520"/>
      <c r="AD115" s="520"/>
      <c r="AE115" s="520"/>
      <c r="AF115" s="520"/>
      <c r="AG115" s="520"/>
      <c r="AH115" s="520"/>
      <c r="AI115" s="520"/>
      <c r="AJ115" s="520"/>
      <c r="AK115" s="520"/>
      <c r="AL115" s="520"/>
      <c r="AM115" s="520"/>
      <c r="AN115" s="520"/>
      <c r="AO115" s="520"/>
      <c r="AP115" s="520"/>
      <c r="AQ115" s="520"/>
      <c r="AR115" s="520"/>
      <c r="AS115" s="520"/>
      <c r="AT115" s="520"/>
      <c r="AU115" s="520"/>
      <c r="AV115" s="520"/>
      <c r="AW115" s="520"/>
      <c r="AX115" s="520"/>
      <c r="AY115" s="520"/>
      <c r="AZ115" s="520"/>
      <c r="BA115" s="520"/>
      <c r="BB115" s="520"/>
      <c r="BC115" s="520"/>
      <c r="BD115" s="520"/>
      <c r="BE115" s="520"/>
      <c r="BF115" s="520"/>
      <c r="BG115" s="520"/>
      <c r="BH115" s="520"/>
      <c r="BI115" s="520"/>
      <c r="BJ115" s="520"/>
      <c r="BK115" s="520"/>
      <c r="BL115" s="520"/>
      <c r="BM115" s="520"/>
      <c r="BN115" s="520"/>
      <c r="BO115" s="520"/>
      <c r="BP115" s="520"/>
      <c r="BQ115" s="520"/>
      <c r="BR115" s="520"/>
      <c r="BS115" s="520"/>
      <c r="BT115" s="520"/>
      <c r="BU115" s="520"/>
      <c r="BV115" s="520"/>
      <c r="BW115" s="520"/>
      <c r="BX115" s="520"/>
      <c r="BY115" s="520"/>
      <c r="BZ115" s="520"/>
      <c r="CA115" s="520"/>
      <c r="CB115" s="520"/>
      <c r="CC115" s="520"/>
      <c r="CD115" s="520"/>
      <c r="CE115" s="520"/>
      <c r="CF115" s="520"/>
      <c r="CG115" s="520"/>
      <c r="CH115" s="520"/>
      <c r="CI115" s="520"/>
      <c r="CJ115" s="520"/>
      <c r="CK115" s="520"/>
      <c r="CL115" s="520"/>
      <c r="CM115" s="520"/>
      <c r="CN115" s="520"/>
      <c r="CO115" s="520"/>
      <c r="CP115" s="520"/>
      <c r="CQ115" s="520"/>
      <c r="CR115" s="520"/>
      <c r="CS115" s="520"/>
      <c r="CT115" s="520"/>
      <c r="CU115" s="520"/>
      <c r="CV115" s="520"/>
      <c r="CW115" s="520"/>
      <c r="CX115" s="520"/>
      <c r="CY115" s="520"/>
      <c r="CZ115" s="520"/>
      <c r="DA115" s="520"/>
      <c r="DB115" s="520"/>
      <c r="DC115" s="520"/>
      <c r="DD115" s="520"/>
      <c r="DE115" s="520"/>
      <c r="DF115" s="520"/>
      <c r="DG115" s="520"/>
      <c r="DH115" s="520"/>
      <c r="DI115" s="520"/>
      <c r="DJ115" s="520"/>
      <c r="DK115" s="520"/>
      <c r="DL115" s="520"/>
      <c r="DM115" s="520"/>
      <c r="DN115" s="520"/>
      <c r="DO115" s="520"/>
      <c r="DP115" s="520"/>
      <c r="DQ115" s="520"/>
      <c r="DR115" s="520"/>
      <c r="DS115" s="520"/>
      <c r="DT115" s="520"/>
      <c r="DU115" s="520"/>
      <c r="DV115" s="520"/>
      <c r="DW115" s="520"/>
      <c r="DX115" s="520"/>
      <c r="DY115" s="520"/>
      <c r="DZ115" s="520"/>
      <c r="EA115" s="520"/>
      <c r="EB115" s="520"/>
      <c r="EC115" s="520"/>
      <c r="ED115" s="520"/>
      <c r="EE115" s="520"/>
      <c r="EF115" s="520"/>
      <c r="EG115" s="520"/>
      <c r="EH115" s="520"/>
      <c r="EI115" s="520"/>
      <c r="EJ115" s="520"/>
      <c r="EK115" s="520"/>
      <c r="EL115" s="520"/>
      <c r="EM115" s="520"/>
      <c r="EN115" s="520"/>
      <c r="EO115" s="520"/>
      <c r="EP115" s="520"/>
      <c r="EQ115" s="520"/>
      <c r="ER115" s="520"/>
      <c r="ES115" s="520"/>
      <c r="ET115" s="520"/>
      <c r="EU115" s="520"/>
      <c r="EV115" s="520"/>
      <c r="EW115" s="520"/>
    </row>
    <row r="116" spans="1:153" s="521" customFormat="1">
      <c r="A116" s="686" t="s">
        <v>887</v>
      </c>
      <c r="B116" s="525"/>
      <c r="C116" s="520"/>
      <c r="D116" s="520"/>
      <c r="E116" s="520"/>
      <c r="F116" s="520"/>
      <c r="G116" s="520"/>
      <c r="H116" s="520"/>
      <c r="I116" s="520"/>
      <c r="J116" s="520"/>
      <c r="K116" s="520"/>
      <c r="L116" s="526"/>
      <c r="M116" s="526"/>
      <c r="N116" s="534">
        <f>N115/N98</f>
        <v>0.33418367346938777</v>
      </c>
      <c r="O116" s="534">
        <f>O115/O98</f>
        <v>0.39327559857361183</v>
      </c>
      <c r="P116" s="534">
        <f>P115/P98</f>
        <v>0.30360179316741381</v>
      </c>
      <c r="Q116" s="536">
        <f>CHOOSE($O$1,Q117,Q118,Q119)</f>
        <v>0.32</v>
      </c>
      <c r="R116" s="536">
        <f t="shared" ref="R116:Z116" si="57">CHOOSE($O$1,R117,R118,R119)</f>
        <v>0.32500000000000001</v>
      </c>
      <c r="S116" s="536">
        <f t="shared" si="57"/>
        <v>0.35</v>
      </c>
      <c r="T116" s="536">
        <f t="shared" si="57"/>
        <v>0.35</v>
      </c>
      <c r="U116" s="536">
        <f t="shared" si="57"/>
        <v>0.35</v>
      </c>
      <c r="V116" s="536">
        <f t="shared" si="57"/>
        <v>0.35</v>
      </c>
      <c r="W116" s="536">
        <f t="shared" si="57"/>
        <v>0.35</v>
      </c>
      <c r="X116" s="536">
        <f t="shared" si="57"/>
        <v>0.35</v>
      </c>
      <c r="Y116" s="536">
        <f t="shared" si="57"/>
        <v>0.35</v>
      </c>
      <c r="Z116" s="536">
        <f t="shared" si="57"/>
        <v>0.35</v>
      </c>
      <c r="AA116" s="526"/>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0"/>
      <c r="BC116" s="520"/>
      <c r="BD116" s="520"/>
      <c r="BE116" s="520"/>
      <c r="BF116" s="520"/>
      <c r="BG116" s="520"/>
      <c r="BH116" s="520"/>
      <c r="BI116" s="520"/>
      <c r="BJ116" s="520"/>
      <c r="BK116" s="520"/>
      <c r="BL116" s="520"/>
      <c r="BM116" s="520"/>
      <c r="BN116" s="520"/>
      <c r="BO116" s="520"/>
      <c r="BP116" s="520"/>
      <c r="BQ116" s="520"/>
      <c r="BR116" s="520"/>
      <c r="BS116" s="520"/>
      <c r="BT116" s="520"/>
      <c r="BU116" s="520"/>
      <c r="BV116" s="520"/>
      <c r="BW116" s="520"/>
      <c r="BX116" s="520"/>
      <c r="BY116" s="520"/>
      <c r="BZ116" s="520"/>
      <c r="CA116" s="520"/>
      <c r="CB116" s="520"/>
      <c r="CC116" s="520"/>
      <c r="CD116" s="520"/>
      <c r="CE116" s="520"/>
      <c r="CF116" s="520"/>
      <c r="CG116" s="520"/>
      <c r="CH116" s="520"/>
      <c r="CI116" s="520"/>
      <c r="CJ116" s="520"/>
      <c r="CK116" s="520"/>
      <c r="CL116" s="520"/>
      <c r="CM116" s="520"/>
      <c r="CN116" s="520"/>
      <c r="CO116" s="520"/>
      <c r="CP116" s="520"/>
      <c r="CQ116" s="520"/>
      <c r="CR116" s="520"/>
      <c r="CS116" s="520"/>
      <c r="CT116" s="520"/>
      <c r="CU116" s="520"/>
      <c r="CV116" s="520"/>
      <c r="CW116" s="520"/>
      <c r="CX116" s="520"/>
      <c r="CY116" s="520"/>
      <c r="CZ116" s="520"/>
      <c r="DA116" s="520"/>
      <c r="DB116" s="520"/>
      <c r="DC116" s="520"/>
      <c r="DD116" s="520"/>
      <c r="DE116" s="520"/>
      <c r="DF116" s="520"/>
      <c r="DG116" s="520"/>
      <c r="DH116" s="520"/>
      <c r="DI116" s="520"/>
      <c r="DJ116" s="520"/>
      <c r="DK116" s="520"/>
      <c r="DL116" s="520"/>
      <c r="DM116" s="520"/>
      <c r="DN116" s="520"/>
      <c r="DO116" s="520"/>
      <c r="DP116" s="520"/>
      <c r="DQ116" s="520"/>
      <c r="DR116" s="520"/>
      <c r="DS116" s="520"/>
      <c r="DT116" s="520"/>
      <c r="DU116" s="520"/>
      <c r="DV116" s="520"/>
      <c r="DW116" s="520"/>
      <c r="DX116" s="520"/>
      <c r="DY116" s="520"/>
      <c r="DZ116" s="520"/>
      <c r="EA116" s="520"/>
      <c r="EB116" s="520"/>
      <c r="EC116" s="520"/>
      <c r="ED116" s="520"/>
      <c r="EE116" s="520"/>
      <c r="EF116" s="520"/>
      <c r="EG116" s="520"/>
      <c r="EH116" s="520"/>
      <c r="EI116" s="520"/>
      <c r="EJ116" s="520"/>
      <c r="EK116" s="520"/>
      <c r="EL116" s="520"/>
      <c r="EM116" s="520"/>
      <c r="EN116" s="520"/>
      <c r="EO116" s="520"/>
      <c r="EP116" s="520"/>
      <c r="EQ116" s="520"/>
      <c r="ER116" s="520"/>
      <c r="ES116" s="520"/>
      <c r="ET116" s="520"/>
      <c r="EU116" s="520"/>
      <c r="EV116" s="520"/>
      <c r="EW116" s="520"/>
    </row>
    <row r="117" spans="1:153" s="521" customFormat="1" ht="15">
      <c r="A117" s="566" t="s">
        <v>3516</v>
      </c>
      <c r="B117" s="525"/>
      <c r="C117" s="520"/>
      <c r="D117" s="520"/>
      <c r="E117" s="520"/>
      <c r="F117" s="520"/>
      <c r="G117" s="520"/>
      <c r="H117" s="520"/>
      <c r="I117" s="520"/>
      <c r="J117" s="520"/>
      <c r="K117" s="520"/>
      <c r="L117" s="526"/>
      <c r="M117" s="526"/>
      <c r="N117" s="526"/>
      <c r="O117" s="526"/>
      <c r="P117" s="534"/>
      <c r="Q117" s="537">
        <v>0.32</v>
      </c>
      <c r="R117" s="537">
        <v>0.32500000000000001</v>
      </c>
      <c r="S117" s="537">
        <v>0.35</v>
      </c>
      <c r="T117" s="537">
        <v>0.35</v>
      </c>
      <c r="U117" s="537">
        <v>0.35</v>
      </c>
      <c r="V117" s="537">
        <v>0.35</v>
      </c>
      <c r="W117" s="537">
        <v>0.35</v>
      </c>
      <c r="X117" s="537">
        <v>0.35</v>
      </c>
      <c r="Y117" s="537">
        <v>0.35</v>
      </c>
      <c r="Z117" s="537">
        <v>0.35</v>
      </c>
      <c r="AA117" s="526"/>
      <c r="AB117" s="520"/>
      <c r="AC117" s="520"/>
      <c r="AD117" s="520"/>
      <c r="AE117" s="520"/>
      <c r="AF117" s="520"/>
      <c r="AG117" s="520"/>
      <c r="AH117" s="520"/>
      <c r="AI117" s="520"/>
      <c r="AJ117" s="520"/>
      <c r="AK117" s="520"/>
      <c r="AL117" s="520"/>
      <c r="AM117" s="520"/>
      <c r="AN117" s="520"/>
      <c r="AO117" s="520"/>
      <c r="AP117" s="520"/>
      <c r="AQ117" s="520"/>
      <c r="AR117" s="520"/>
      <c r="AS117" s="520"/>
      <c r="AT117" s="520"/>
      <c r="AU117" s="520"/>
      <c r="AV117" s="520"/>
      <c r="AW117" s="520"/>
      <c r="AX117" s="520"/>
      <c r="AY117" s="520"/>
      <c r="AZ117" s="520"/>
      <c r="BA117" s="520"/>
      <c r="BB117" s="520"/>
      <c r="BC117" s="520"/>
      <c r="BD117" s="520"/>
      <c r="BE117" s="520"/>
      <c r="BF117" s="520"/>
      <c r="BG117" s="520"/>
      <c r="BH117" s="520"/>
      <c r="BI117" s="520"/>
      <c r="BJ117" s="520"/>
      <c r="BK117" s="520"/>
      <c r="BL117" s="520"/>
      <c r="BM117" s="520"/>
      <c r="BN117" s="520"/>
      <c r="BO117" s="520"/>
      <c r="BP117" s="520"/>
      <c r="BQ117" s="520"/>
      <c r="BR117" s="520"/>
      <c r="BS117" s="520"/>
      <c r="BT117" s="520"/>
      <c r="BU117" s="520"/>
      <c r="BV117" s="520"/>
      <c r="BW117" s="520"/>
      <c r="BX117" s="520"/>
      <c r="BY117" s="520"/>
      <c r="BZ117" s="520"/>
      <c r="CA117" s="520"/>
      <c r="CB117" s="520"/>
      <c r="CC117" s="520"/>
      <c r="CD117" s="520"/>
      <c r="CE117" s="520"/>
      <c r="CF117" s="520"/>
      <c r="CG117" s="520"/>
      <c r="CH117" s="520"/>
      <c r="CI117" s="520"/>
      <c r="CJ117" s="520"/>
      <c r="CK117" s="520"/>
      <c r="CL117" s="520"/>
      <c r="CM117" s="520"/>
      <c r="CN117" s="520"/>
      <c r="CO117" s="520"/>
      <c r="CP117" s="520"/>
      <c r="CQ117" s="520"/>
      <c r="CR117" s="520"/>
      <c r="CS117" s="520"/>
      <c r="CT117" s="520"/>
      <c r="CU117" s="520"/>
      <c r="CV117" s="520"/>
      <c r="CW117" s="520"/>
      <c r="CX117" s="520"/>
      <c r="CY117" s="520"/>
      <c r="CZ117" s="520"/>
      <c r="DA117" s="520"/>
      <c r="DB117" s="520"/>
      <c r="DC117" s="520"/>
      <c r="DD117" s="520"/>
      <c r="DE117" s="520"/>
      <c r="DF117" s="520"/>
      <c r="DG117" s="520"/>
      <c r="DH117" s="520"/>
      <c r="DI117" s="520"/>
      <c r="DJ117" s="520"/>
      <c r="DK117" s="520"/>
      <c r="DL117" s="520"/>
      <c r="DM117" s="520"/>
      <c r="DN117" s="520"/>
      <c r="DO117" s="520"/>
      <c r="DP117" s="520"/>
      <c r="DQ117" s="520"/>
      <c r="DR117" s="520"/>
      <c r="DS117" s="520"/>
      <c r="DT117" s="520"/>
      <c r="DU117" s="520"/>
      <c r="DV117" s="520"/>
      <c r="DW117" s="520"/>
      <c r="DX117" s="520"/>
      <c r="DY117" s="520"/>
      <c r="DZ117" s="520"/>
      <c r="EA117" s="520"/>
      <c r="EB117" s="520"/>
      <c r="EC117" s="520"/>
      <c r="ED117" s="520"/>
      <c r="EE117" s="520"/>
      <c r="EF117" s="520"/>
      <c r="EG117" s="520"/>
      <c r="EH117" s="520"/>
      <c r="EI117" s="520"/>
      <c r="EJ117" s="520"/>
      <c r="EK117" s="520"/>
      <c r="EL117" s="520"/>
      <c r="EM117" s="520"/>
      <c r="EN117" s="520"/>
      <c r="EO117" s="520"/>
      <c r="EP117" s="520"/>
      <c r="EQ117" s="520"/>
      <c r="ER117" s="520"/>
      <c r="ES117" s="520"/>
      <c r="ET117" s="520"/>
      <c r="EU117" s="520"/>
      <c r="EV117" s="520"/>
      <c r="EW117" s="520"/>
    </row>
    <row r="118" spans="1:153" s="521" customFormat="1" ht="15">
      <c r="A118" s="566" t="s">
        <v>3517</v>
      </c>
      <c r="B118" s="525"/>
      <c r="C118" s="520"/>
      <c r="D118" s="520"/>
      <c r="E118" s="520"/>
      <c r="F118" s="520"/>
      <c r="G118" s="520"/>
      <c r="H118" s="520"/>
      <c r="I118" s="520"/>
      <c r="J118" s="520"/>
      <c r="K118" s="520"/>
      <c r="L118" s="526"/>
      <c r="M118" s="526"/>
      <c r="N118" s="526"/>
      <c r="O118" s="526"/>
      <c r="P118" s="534"/>
      <c r="Q118" s="537">
        <f>Q117+$AA118*0.5</f>
        <v>0.32019999999999998</v>
      </c>
      <c r="R118" s="537">
        <f t="shared" ref="R118:Z118" si="58">R117+$AA118*0.5</f>
        <v>0.32519999999999999</v>
      </c>
      <c r="S118" s="537">
        <f t="shared" si="58"/>
        <v>0.35019999999999996</v>
      </c>
      <c r="T118" s="537">
        <f t="shared" si="58"/>
        <v>0.35019999999999996</v>
      </c>
      <c r="U118" s="537">
        <f t="shared" si="58"/>
        <v>0.35019999999999996</v>
      </c>
      <c r="V118" s="537">
        <f t="shared" si="58"/>
        <v>0.35019999999999996</v>
      </c>
      <c r="W118" s="537">
        <f t="shared" si="58"/>
        <v>0.35019999999999996</v>
      </c>
      <c r="X118" s="537">
        <f t="shared" si="58"/>
        <v>0.35019999999999996</v>
      </c>
      <c r="Y118" s="537">
        <f t="shared" si="58"/>
        <v>0.35019999999999996</v>
      </c>
      <c r="Z118" s="537">
        <f t="shared" si="58"/>
        <v>0.35019999999999996</v>
      </c>
      <c r="AA118" s="538">
        <v>4.0000000000000002E-4</v>
      </c>
      <c r="AB118" s="520"/>
      <c r="AC118" s="520"/>
      <c r="AD118" s="520"/>
      <c r="AE118" s="520"/>
      <c r="AF118" s="520"/>
      <c r="AG118" s="520"/>
      <c r="AH118" s="520"/>
      <c r="AI118" s="520"/>
      <c r="AJ118" s="520"/>
      <c r="AK118" s="520"/>
      <c r="AL118" s="520"/>
      <c r="AM118" s="520"/>
      <c r="AN118" s="520"/>
      <c r="AO118" s="520"/>
      <c r="AP118" s="520"/>
      <c r="AQ118" s="520"/>
      <c r="AR118" s="520"/>
      <c r="AS118" s="520"/>
      <c r="AT118" s="520"/>
      <c r="AU118" s="520"/>
      <c r="AV118" s="520"/>
      <c r="AW118" s="520"/>
      <c r="AX118" s="520"/>
      <c r="AY118" s="520"/>
      <c r="AZ118" s="520"/>
      <c r="BA118" s="520"/>
      <c r="BB118" s="520"/>
      <c r="BC118" s="520"/>
      <c r="BD118" s="520"/>
      <c r="BE118" s="520"/>
      <c r="BF118" s="520"/>
      <c r="BG118" s="520"/>
      <c r="BH118" s="520"/>
      <c r="BI118" s="520"/>
      <c r="BJ118" s="520"/>
      <c r="BK118" s="520"/>
      <c r="BL118" s="520"/>
      <c r="BM118" s="520"/>
      <c r="BN118" s="520"/>
      <c r="BO118" s="520"/>
      <c r="BP118" s="520"/>
      <c r="BQ118" s="520"/>
      <c r="BR118" s="520"/>
      <c r="BS118" s="520"/>
      <c r="BT118" s="520"/>
      <c r="BU118" s="520"/>
      <c r="BV118" s="520"/>
      <c r="BW118" s="520"/>
      <c r="BX118" s="520"/>
      <c r="BY118" s="520"/>
      <c r="BZ118" s="520"/>
      <c r="CA118" s="520"/>
      <c r="CB118" s="520"/>
      <c r="CC118" s="520"/>
      <c r="CD118" s="520"/>
      <c r="CE118" s="520"/>
      <c r="CF118" s="520"/>
      <c r="CG118" s="520"/>
      <c r="CH118" s="520"/>
      <c r="CI118" s="520"/>
      <c r="CJ118" s="520"/>
      <c r="CK118" s="520"/>
      <c r="CL118" s="520"/>
      <c r="CM118" s="520"/>
      <c r="CN118" s="520"/>
      <c r="CO118" s="520"/>
      <c r="CP118" s="520"/>
      <c r="CQ118" s="520"/>
      <c r="CR118" s="520"/>
      <c r="CS118" s="520"/>
      <c r="CT118" s="520"/>
      <c r="CU118" s="520"/>
      <c r="CV118" s="520"/>
      <c r="CW118" s="520"/>
      <c r="CX118" s="520"/>
      <c r="CY118" s="520"/>
      <c r="CZ118" s="520"/>
      <c r="DA118" s="520"/>
      <c r="DB118" s="520"/>
      <c r="DC118" s="520"/>
      <c r="DD118" s="520"/>
      <c r="DE118" s="520"/>
      <c r="DF118" s="520"/>
      <c r="DG118" s="520"/>
      <c r="DH118" s="520"/>
      <c r="DI118" s="520"/>
      <c r="DJ118" s="520"/>
      <c r="DK118" s="520"/>
      <c r="DL118" s="520"/>
      <c r="DM118" s="520"/>
      <c r="DN118" s="520"/>
      <c r="DO118" s="520"/>
      <c r="DP118" s="520"/>
      <c r="DQ118" s="520"/>
      <c r="DR118" s="520"/>
      <c r="DS118" s="520"/>
      <c r="DT118" s="520"/>
      <c r="DU118" s="520"/>
      <c r="DV118" s="520"/>
      <c r="DW118" s="520"/>
      <c r="DX118" s="520"/>
      <c r="DY118" s="520"/>
      <c r="DZ118" s="520"/>
      <c r="EA118" s="520"/>
      <c r="EB118" s="520"/>
      <c r="EC118" s="520"/>
      <c r="ED118" s="520"/>
      <c r="EE118" s="520"/>
      <c r="EF118" s="520"/>
      <c r="EG118" s="520"/>
      <c r="EH118" s="520"/>
      <c r="EI118" s="520"/>
      <c r="EJ118" s="520"/>
      <c r="EK118" s="520"/>
      <c r="EL118" s="520"/>
      <c r="EM118" s="520"/>
      <c r="EN118" s="520"/>
      <c r="EO118" s="520"/>
      <c r="EP118" s="520"/>
      <c r="EQ118" s="520"/>
      <c r="ER118" s="520"/>
      <c r="ES118" s="520"/>
      <c r="ET118" s="520"/>
      <c r="EU118" s="520"/>
      <c r="EV118" s="520"/>
      <c r="EW118" s="520"/>
    </row>
    <row r="119" spans="1:153" s="521" customFormat="1" ht="15">
      <c r="A119" s="566" t="s">
        <v>3518</v>
      </c>
      <c r="B119" s="525"/>
      <c r="C119" s="520"/>
      <c r="D119" s="520"/>
      <c r="E119" s="520"/>
      <c r="F119" s="520"/>
      <c r="G119" s="520"/>
      <c r="H119" s="520"/>
      <c r="I119" s="520"/>
      <c r="J119" s="520"/>
      <c r="K119" s="520"/>
      <c r="L119" s="526"/>
      <c r="M119" s="526"/>
      <c r="N119" s="526"/>
      <c r="O119" s="526"/>
      <c r="P119" s="534"/>
      <c r="Q119" s="537">
        <f>Q117-$AA119*0.5</f>
        <v>0.31980000000000003</v>
      </c>
      <c r="R119" s="537">
        <f t="shared" ref="R119:Z119" si="59">R117-$AA119*0.5</f>
        <v>0.32480000000000003</v>
      </c>
      <c r="S119" s="537">
        <f t="shared" si="59"/>
        <v>0.3498</v>
      </c>
      <c r="T119" s="537">
        <f t="shared" si="59"/>
        <v>0.3498</v>
      </c>
      <c r="U119" s="537">
        <f t="shared" si="59"/>
        <v>0.3498</v>
      </c>
      <c r="V119" s="537">
        <f t="shared" si="59"/>
        <v>0.3498</v>
      </c>
      <c r="W119" s="537">
        <f t="shared" si="59"/>
        <v>0.3498</v>
      </c>
      <c r="X119" s="537">
        <f t="shared" si="59"/>
        <v>0.3498</v>
      </c>
      <c r="Y119" s="537">
        <f t="shared" si="59"/>
        <v>0.3498</v>
      </c>
      <c r="Z119" s="537">
        <f t="shared" si="59"/>
        <v>0.3498</v>
      </c>
      <c r="AA119" s="538">
        <v>4.0000000000000002E-4</v>
      </c>
      <c r="AB119" s="520"/>
      <c r="AC119" s="520"/>
      <c r="AD119" s="520"/>
      <c r="AE119" s="520"/>
      <c r="AF119" s="520"/>
      <c r="AG119" s="520"/>
      <c r="AH119" s="520"/>
      <c r="AI119" s="520"/>
      <c r="AJ119" s="520"/>
      <c r="AK119" s="520"/>
      <c r="AL119" s="520"/>
      <c r="AM119" s="520"/>
      <c r="AN119" s="520"/>
      <c r="AO119" s="520"/>
      <c r="AP119" s="520"/>
      <c r="AQ119" s="520"/>
      <c r="AR119" s="520"/>
      <c r="AS119" s="520"/>
      <c r="AT119" s="520"/>
      <c r="AU119" s="520"/>
      <c r="AV119" s="520"/>
      <c r="AW119" s="520"/>
      <c r="AX119" s="520"/>
      <c r="AY119" s="520"/>
      <c r="AZ119" s="520"/>
      <c r="BA119" s="520"/>
      <c r="BB119" s="520"/>
      <c r="BC119" s="520"/>
      <c r="BD119" s="520"/>
      <c r="BE119" s="520"/>
      <c r="BF119" s="520"/>
      <c r="BG119" s="520"/>
      <c r="BH119" s="520"/>
      <c r="BI119" s="520"/>
      <c r="BJ119" s="520"/>
      <c r="BK119" s="520"/>
      <c r="BL119" s="520"/>
      <c r="BM119" s="520"/>
      <c r="BN119" s="520"/>
      <c r="BO119" s="520"/>
      <c r="BP119" s="520"/>
      <c r="BQ119" s="520"/>
      <c r="BR119" s="520"/>
      <c r="BS119" s="520"/>
      <c r="BT119" s="520"/>
      <c r="BU119" s="520"/>
      <c r="BV119" s="520"/>
      <c r="BW119" s="520"/>
      <c r="BX119" s="520"/>
      <c r="BY119" s="520"/>
      <c r="BZ119" s="520"/>
      <c r="CA119" s="520"/>
      <c r="CB119" s="520"/>
      <c r="CC119" s="520"/>
      <c r="CD119" s="520"/>
      <c r="CE119" s="520"/>
      <c r="CF119" s="520"/>
      <c r="CG119" s="520"/>
      <c r="CH119" s="520"/>
      <c r="CI119" s="520"/>
      <c r="CJ119" s="520"/>
      <c r="CK119" s="520"/>
      <c r="CL119" s="520"/>
      <c r="CM119" s="520"/>
      <c r="CN119" s="520"/>
      <c r="CO119" s="520"/>
      <c r="CP119" s="520"/>
      <c r="CQ119" s="520"/>
      <c r="CR119" s="520"/>
      <c r="CS119" s="520"/>
      <c r="CT119" s="520"/>
      <c r="CU119" s="520"/>
      <c r="CV119" s="520"/>
      <c r="CW119" s="520"/>
      <c r="CX119" s="520"/>
      <c r="CY119" s="520"/>
      <c r="CZ119" s="520"/>
      <c r="DA119" s="520"/>
      <c r="DB119" s="520"/>
      <c r="DC119" s="520"/>
      <c r="DD119" s="520"/>
      <c r="DE119" s="520"/>
      <c r="DF119" s="520"/>
      <c r="DG119" s="520"/>
      <c r="DH119" s="520"/>
      <c r="DI119" s="520"/>
      <c r="DJ119" s="520"/>
      <c r="DK119" s="520"/>
      <c r="DL119" s="520"/>
      <c r="DM119" s="520"/>
      <c r="DN119" s="520"/>
      <c r="DO119" s="520"/>
      <c r="DP119" s="520"/>
      <c r="DQ119" s="520"/>
      <c r="DR119" s="520"/>
      <c r="DS119" s="520"/>
      <c r="DT119" s="520"/>
      <c r="DU119" s="520"/>
      <c r="DV119" s="520"/>
      <c r="DW119" s="520"/>
      <c r="DX119" s="520"/>
      <c r="DY119" s="520"/>
      <c r="DZ119" s="520"/>
      <c r="EA119" s="520"/>
      <c r="EB119" s="520"/>
      <c r="EC119" s="520"/>
      <c r="ED119" s="520"/>
      <c r="EE119" s="520"/>
      <c r="EF119" s="520"/>
      <c r="EG119" s="520"/>
      <c r="EH119" s="520"/>
      <c r="EI119" s="520"/>
      <c r="EJ119" s="520"/>
      <c r="EK119" s="520"/>
      <c r="EL119" s="520"/>
      <c r="EM119" s="520"/>
      <c r="EN119" s="520"/>
      <c r="EO119" s="520"/>
      <c r="EP119" s="520"/>
      <c r="EQ119" s="520"/>
      <c r="ER119" s="520"/>
      <c r="ES119" s="520"/>
      <c r="ET119" s="520"/>
      <c r="EU119" s="520"/>
      <c r="EV119" s="520"/>
      <c r="EW119" s="520"/>
    </row>
    <row r="120" spans="1:153" s="521" customFormat="1" ht="15">
      <c r="A120" s="692"/>
      <c r="B120" s="525"/>
      <c r="C120" s="520"/>
      <c r="D120" s="520"/>
      <c r="E120" s="520"/>
      <c r="F120" s="520"/>
      <c r="G120" s="520"/>
      <c r="H120" s="520"/>
      <c r="I120" s="520"/>
      <c r="J120" s="520"/>
      <c r="K120" s="520"/>
      <c r="L120" s="526"/>
      <c r="M120" s="526"/>
      <c r="N120" s="526"/>
      <c r="O120" s="526"/>
      <c r="P120" s="560"/>
      <c r="Q120" s="534"/>
      <c r="R120" s="534"/>
      <c r="S120" s="534"/>
      <c r="T120" s="534"/>
      <c r="U120" s="534"/>
      <c r="V120" s="534"/>
      <c r="W120" s="534"/>
      <c r="X120" s="534"/>
      <c r="Y120" s="534"/>
      <c r="Z120" s="534"/>
      <c r="AA120" s="526"/>
      <c r="AB120" s="520"/>
      <c r="AC120" s="520"/>
      <c r="AD120" s="520"/>
      <c r="AE120" s="520"/>
      <c r="AF120" s="520"/>
      <c r="AG120" s="520"/>
      <c r="AH120" s="520"/>
      <c r="AI120" s="520"/>
      <c r="AJ120" s="520"/>
      <c r="AK120" s="520"/>
      <c r="AL120" s="520"/>
      <c r="AM120" s="520"/>
      <c r="AN120" s="520"/>
      <c r="AO120" s="520"/>
      <c r="AP120" s="520"/>
      <c r="AQ120" s="520"/>
      <c r="AR120" s="520"/>
      <c r="AS120" s="520"/>
      <c r="AT120" s="520"/>
      <c r="AU120" s="520"/>
      <c r="AV120" s="520"/>
      <c r="AW120" s="520"/>
      <c r="AX120" s="520"/>
      <c r="AY120" s="520"/>
      <c r="AZ120" s="520"/>
      <c r="BA120" s="520"/>
      <c r="BB120" s="520"/>
      <c r="BC120" s="520"/>
      <c r="BD120" s="520"/>
      <c r="BE120" s="520"/>
      <c r="BF120" s="520"/>
      <c r="BG120" s="520"/>
      <c r="BH120" s="520"/>
      <c r="BI120" s="520"/>
      <c r="BJ120" s="520"/>
      <c r="BK120" s="520"/>
      <c r="BL120" s="520"/>
      <c r="BM120" s="520"/>
      <c r="BN120" s="520"/>
      <c r="BO120" s="520"/>
      <c r="BP120" s="520"/>
      <c r="BQ120" s="520"/>
      <c r="BR120" s="520"/>
      <c r="BS120" s="520"/>
      <c r="BT120" s="520"/>
      <c r="BU120" s="520"/>
      <c r="BV120" s="520"/>
      <c r="BW120" s="520"/>
      <c r="BX120" s="520"/>
      <c r="BY120" s="520"/>
      <c r="BZ120" s="520"/>
      <c r="CA120" s="520"/>
      <c r="CB120" s="520"/>
      <c r="CC120" s="520"/>
      <c r="CD120" s="520"/>
      <c r="CE120" s="520"/>
      <c r="CF120" s="520"/>
      <c r="CG120" s="520"/>
      <c r="CH120" s="520"/>
      <c r="CI120" s="520"/>
      <c r="CJ120" s="520"/>
      <c r="CK120" s="520"/>
      <c r="CL120" s="520"/>
      <c r="CM120" s="520"/>
      <c r="CN120" s="520"/>
      <c r="CO120" s="520"/>
      <c r="CP120" s="520"/>
      <c r="CQ120" s="520"/>
      <c r="CR120" s="520"/>
      <c r="CS120" s="520"/>
      <c r="CT120" s="520"/>
      <c r="CU120" s="520"/>
      <c r="CV120" s="520"/>
      <c r="CW120" s="520"/>
      <c r="CX120" s="520"/>
      <c r="CY120" s="520"/>
      <c r="CZ120" s="520"/>
      <c r="DA120" s="520"/>
      <c r="DB120" s="520"/>
      <c r="DC120" s="520"/>
      <c r="DD120" s="520"/>
      <c r="DE120" s="520"/>
      <c r="DF120" s="520"/>
      <c r="DG120" s="520"/>
      <c r="DH120" s="520"/>
      <c r="DI120" s="520"/>
      <c r="DJ120" s="520"/>
      <c r="DK120" s="520"/>
      <c r="DL120" s="520"/>
      <c r="DM120" s="520"/>
      <c r="DN120" s="520"/>
      <c r="DO120" s="520"/>
      <c r="DP120" s="520"/>
      <c r="DQ120" s="520"/>
      <c r="DR120" s="520"/>
      <c r="DS120" s="520"/>
      <c r="DT120" s="520"/>
      <c r="DU120" s="520"/>
      <c r="DV120" s="520"/>
      <c r="DW120" s="520"/>
      <c r="DX120" s="520"/>
      <c r="DY120" s="520"/>
      <c r="DZ120" s="520"/>
      <c r="EA120" s="520"/>
      <c r="EB120" s="520"/>
      <c r="EC120" s="520"/>
      <c r="ED120" s="520"/>
      <c r="EE120" s="520"/>
      <c r="EF120" s="520"/>
      <c r="EG120" s="520"/>
      <c r="EH120" s="520"/>
      <c r="EI120" s="520"/>
      <c r="EJ120" s="520"/>
      <c r="EK120" s="520"/>
      <c r="EL120" s="520"/>
      <c r="EM120" s="520"/>
      <c r="EN120" s="520"/>
      <c r="EO120" s="520"/>
      <c r="EP120" s="520"/>
      <c r="EQ120" s="520"/>
      <c r="ER120" s="520"/>
      <c r="ES120" s="520"/>
      <c r="ET120" s="520"/>
      <c r="EU120" s="520"/>
      <c r="EV120" s="520"/>
      <c r="EW120" s="520"/>
    </row>
    <row r="121" spans="1:153" s="521" customFormat="1" ht="15">
      <c r="A121" s="692"/>
      <c r="B121" s="525"/>
      <c r="C121" s="520"/>
      <c r="D121" s="520"/>
      <c r="E121" s="520"/>
      <c r="F121" s="520"/>
      <c r="G121" s="520"/>
      <c r="H121" s="520"/>
      <c r="I121" s="520"/>
      <c r="J121" s="520"/>
      <c r="K121" s="520"/>
      <c r="L121" s="526"/>
      <c r="M121" s="526"/>
      <c r="N121" s="526"/>
      <c r="O121" s="526"/>
      <c r="P121" s="534"/>
      <c r="Q121" s="561">
        <f ca="1">Q122*Q109*1000000</f>
        <v>2653156.9965344393</v>
      </c>
      <c r="R121" s="561">
        <f ca="1">R122*R109*1000000</f>
        <v>2841932.4384646979</v>
      </c>
      <c r="S121" s="561">
        <f t="shared" ref="S121:Z121" ca="1" si="60">S122*S109*1000000</f>
        <v>3388190.0141257728</v>
      </c>
      <c r="T121" s="561">
        <f t="shared" ca="1" si="60"/>
        <v>4115672.7843699176</v>
      </c>
      <c r="U121" s="561">
        <f t="shared" ca="1" si="60"/>
        <v>4887181.5868612556</v>
      </c>
      <c r="V121" s="561">
        <f t="shared" ca="1" si="60"/>
        <v>5328341.7015453568</v>
      </c>
      <c r="W121" s="561">
        <f t="shared" ca="1" si="60"/>
        <v>5792028.1301017702</v>
      </c>
      <c r="X121" s="561">
        <f t="shared" ca="1" si="60"/>
        <v>6341859.8854867304</v>
      </c>
      <c r="Y121" s="561">
        <f t="shared" ca="1" si="60"/>
        <v>6871693.9489335855</v>
      </c>
      <c r="Z121" s="561">
        <f t="shared" ca="1" si="60"/>
        <v>7361116.9712688988</v>
      </c>
      <c r="AA121" s="526"/>
      <c r="AB121" s="520"/>
      <c r="AC121" s="520"/>
      <c r="AD121" s="520"/>
      <c r="AE121" s="520"/>
      <c r="AF121" s="520"/>
      <c r="AG121" s="520"/>
      <c r="AH121" s="520"/>
      <c r="AI121" s="520"/>
      <c r="AJ121" s="520"/>
      <c r="AK121" s="520"/>
      <c r="AL121" s="520"/>
      <c r="AM121" s="520"/>
      <c r="AN121" s="520"/>
      <c r="AO121" s="520"/>
      <c r="AP121" s="520"/>
      <c r="AQ121" s="520"/>
      <c r="AR121" s="520"/>
      <c r="AS121" s="520"/>
      <c r="AT121" s="520"/>
      <c r="AU121" s="520"/>
      <c r="AV121" s="520"/>
      <c r="AW121" s="520"/>
      <c r="AX121" s="520"/>
      <c r="AY121" s="520"/>
      <c r="AZ121" s="520"/>
      <c r="BA121" s="520"/>
      <c r="BB121" s="520"/>
      <c r="BC121" s="520"/>
      <c r="BD121" s="520"/>
      <c r="BE121" s="520"/>
      <c r="BF121" s="520"/>
      <c r="BG121" s="520"/>
      <c r="BH121" s="520"/>
      <c r="BI121" s="520"/>
      <c r="BJ121" s="520"/>
      <c r="BK121" s="520"/>
      <c r="BL121" s="520"/>
      <c r="BM121" s="520"/>
      <c r="BN121" s="520"/>
      <c r="BO121" s="520"/>
      <c r="BP121" s="520"/>
      <c r="BQ121" s="520"/>
      <c r="BR121" s="520"/>
      <c r="BS121" s="520"/>
      <c r="BT121" s="520"/>
      <c r="BU121" s="520"/>
      <c r="BV121" s="520"/>
      <c r="BW121" s="520"/>
      <c r="BX121" s="520"/>
      <c r="BY121" s="520"/>
      <c r="BZ121" s="520"/>
      <c r="CA121" s="520"/>
      <c r="CB121" s="520"/>
      <c r="CC121" s="520"/>
      <c r="CD121" s="520"/>
      <c r="CE121" s="520"/>
      <c r="CF121" s="520"/>
      <c r="CG121" s="520"/>
      <c r="CH121" s="520"/>
      <c r="CI121" s="520"/>
      <c r="CJ121" s="520"/>
      <c r="CK121" s="520"/>
      <c r="CL121" s="520"/>
      <c r="CM121" s="520"/>
      <c r="CN121" s="520"/>
      <c r="CO121" s="520"/>
      <c r="CP121" s="520"/>
      <c r="CQ121" s="520"/>
      <c r="CR121" s="520"/>
      <c r="CS121" s="520"/>
      <c r="CT121" s="520"/>
      <c r="CU121" s="520"/>
      <c r="CV121" s="520"/>
      <c r="CW121" s="520"/>
      <c r="CX121" s="520"/>
      <c r="CY121" s="520"/>
      <c r="CZ121" s="520"/>
      <c r="DA121" s="520"/>
      <c r="DB121" s="520"/>
      <c r="DC121" s="520"/>
      <c r="DD121" s="520"/>
      <c r="DE121" s="520"/>
      <c r="DF121" s="520"/>
      <c r="DG121" s="520"/>
      <c r="DH121" s="520"/>
      <c r="DI121" s="520"/>
      <c r="DJ121" s="520"/>
      <c r="DK121" s="520"/>
      <c r="DL121" s="520"/>
      <c r="DM121" s="520"/>
      <c r="DN121" s="520"/>
      <c r="DO121" s="520"/>
      <c r="DP121" s="520"/>
      <c r="DQ121" s="520"/>
      <c r="DR121" s="520"/>
      <c r="DS121" s="520"/>
      <c r="DT121" s="520"/>
      <c r="DU121" s="520"/>
      <c r="DV121" s="520"/>
      <c r="DW121" s="520"/>
      <c r="DX121" s="520"/>
      <c r="DY121" s="520"/>
      <c r="DZ121" s="520"/>
      <c r="EA121" s="520"/>
      <c r="EB121" s="520"/>
      <c r="EC121" s="520"/>
      <c r="ED121" s="520"/>
      <c r="EE121" s="520"/>
      <c r="EF121" s="520"/>
      <c r="EG121" s="520"/>
      <c r="EH121" s="520"/>
      <c r="EI121" s="520"/>
      <c r="EJ121" s="520"/>
      <c r="EK121" s="520"/>
      <c r="EL121" s="520"/>
      <c r="EM121" s="520"/>
      <c r="EN121" s="520"/>
      <c r="EO121" s="520"/>
      <c r="EP121" s="520"/>
      <c r="EQ121" s="520"/>
      <c r="ER121" s="520"/>
      <c r="ES121" s="520"/>
      <c r="ET121" s="520"/>
      <c r="EU121" s="520"/>
      <c r="EV121" s="520"/>
      <c r="EW121" s="520"/>
    </row>
    <row r="122" spans="1:153" s="521" customFormat="1" ht="15">
      <c r="A122" s="695" t="s">
        <v>3561</v>
      </c>
      <c r="B122" s="525"/>
      <c r="C122" s="520"/>
      <c r="D122" s="520"/>
      <c r="E122" s="520"/>
      <c r="F122" s="520"/>
      <c r="G122" s="520"/>
      <c r="H122" s="520"/>
      <c r="I122" s="520"/>
      <c r="J122" s="520"/>
      <c r="K122" s="520"/>
      <c r="L122" s="562">
        <f>Metrics!D32/Metrics!D92/1000000</f>
        <v>1.2132695327102804E-2</v>
      </c>
      <c r="M122" s="562">
        <f>Metrics!E32/Metrics!E92/1000000</f>
        <v>1.3394610778443113E-2</v>
      </c>
      <c r="N122" s="562">
        <f>Metrics!F32/Metrics!F92/1000000</f>
        <v>1.7786906666666664E-2</v>
      </c>
      <c r="O122" s="562">
        <f>Metrics!G32/Metrics!G92/1000000</f>
        <v>1.5313937499999999E-2</v>
      </c>
      <c r="P122" s="562">
        <f>Metrics!H32/Metrics!H92/1000000</f>
        <v>1.3903075313807531E-2</v>
      </c>
      <c r="Q122" s="536">
        <f>CHOOSE($O$1,Q123,Q124,Q125)</f>
        <v>1.4E-2</v>
      </c>
      <c r="R122" s="536">
        <f t="shared" ref="R122:Z122" si="61">CHOOSE($O$1,R123,R124,R125)</f>
        <v>1.4E-2</v>
      </c>
      <c r="S122" s="536">
        <f t="shared" si="61"/>
        <v>1.35E-2</v>
      </c>
      <c r="T122" s="536">
        <f t="shared" si="61"/>
        <v>1.2999999999999999E-2</v>
      </c>
      <c r="U122" s="536">
        <f t="shared" si="61"/>
        <v>1.2500000000000001E-2</v>
      </c>
      <c r="V122" s="536">
        <f t="shared" si="61"/>
        <v>1.2E-2</v>
      </c>
      <c r="W122" s="536">
        <f t="shared" si="61"/>
        <v>1.175E-2</v>
      </c>
      <c r="X122" s="536">
        <f t="shared" si="61"/>
        <v>1.1724999999999999E-2</v>
      </c>
      <c r="Y122" s="536">
        <f t="shared" si="61"/>
        <v>1.1699999999999999E-2</v>
      </c>
      <c r="Z122" s="536">
        <f t="shared" si="61"/>
        <v>1.1674999999999998E-2</v>
      </c>
      <c r="AA122" s="526"/>
      <c r="AB122" s="520"/>
      <c r="AC122" s="520"/>
      <c r="AD122" s="520"/>
      <c r="AE122" s="520"/>
      <c r="AF122" s="520"/>
      <c r="AG122" s="520"/>
      <c r="AH122" s="520"/>
      <c r="AI122" s="520"/>
      <c r="AJ122" s="520"/>
      <c r="AK122" s="520"/>
      <c r="AL122" s="520"/>
      <c r="AM122" s="520"/>
      <c r="AN122" s="520"/>
      <c r="AO122" s="520"/>
      <c r="AP122" s="520"/>
      <c r="AQ122" s="520"/>
      <c r="AR122" s="520"/>
      <c r="AS122" s="520"/>
      <c r="AT122" s="520"/>
      <c r="AU122" s="520"/>
      <c r="AV122" s="520"/>
      <c r="AW122" s="520"/>
      <c r="AX122" s="520"/>
      <c r="AY122" s="520"/>
      <c r="AZ122" s="520"/>
      <c r="BA122" s="520"/>
      <c r="BB122" s="520"/>
      <c r="BC122" s="520"/>
      <c r="BD122" s="520"/>
      <c r="BE122" s="520"/>
      <c r="BF122" s="520"/>
      <c r="BG122" s="520"/>
      <c r="BH122" s="520"/>
      <c r="BI122" s="520"/>
      <c r="BJ122" s="520"/>
      <c r="BK122" s="520"/>
      <c r="BL122" s="520"/>
      <c r="BM122" s="520"/>
      <c r="BN122" s="520"/>
      <c r="BO122" s="520"/>
      <c r="BP122" s="520"/>
      <c r="BQ122" s="520"/>
      <c r="BR122" s="520"/>
      <c r="BS122" s="520"/>
      <c r="BT122" s="520"/>
      <c r="BU122" s="520"/>
      <c r="BV122" s="520"/>
      <c r="BW122" s="520"/>
      <c r="BX122" s="520"/>
      <c r="BY122" s="520"/>
      <c r="BZ122" s="520"/>
      <c r="CA122" s="520"/>
      <c r="CB122" s="520"/>
      <c r="CC122" s="520"/>
      <c r="CD122" s="520"/>
      <c r="CE122" s="520"/>
      <c r="CF122" s="520"/>
      <c r="CG122" s="520"/>
      <c r="CH122" s="520"/>
      <c r="CI122" s="520"/>
      <c r="CJ122" s="520"/>
      <c r="CK122" s="520"/>
      <c r="CL122" s="520"/>
      <c r="CM122" s="520"/>
      <c r="CN122" s="520"/>
      <c r="CO122" s="520"/>
      <c r="CP122" s="520"/>
      <c r="CQ122" s="520"/>
      <c r="CR122" s="520"/>
      <c r="CS122" s="520"/>
      <c r="CT122" s="520"/>
      <c r="CU122" s="520"/>
      <c r="CV122" s="520"/>
      <c r="CW122" s="520"/>
      <c r="CX122" s="520"/>
      <c r="CY122" s="520"/>
      <c r="CZ122" s="520"/>
      <c r="DA122" s="520"/>
      <c r="DB122" s="520"/>
      <c r="DC122" s="520"/>
      <c r="DD122" s="520"/>
      <c r="DE122" s="520"/>
      <c r="DF122" s="520"/>
      <c r="DG122" s="520"/>
      <c r="DH122" s="520"/>
      <c r="DI122" s="520"/>
      <c r="DJ122" s="520"/>
      <c r="DK122" s="520"/>
      <c r="DL122" s="520"/>
      <c r="DM122" s="520"/>
      <c r="DN122" s="520"/>
      <c r="DO122" s="520"/>
      <c r="DP122" s="520"/>
      <c r="DQ122" s="520"/>
      <c r="DR122" s="520"/>
      <c r="DS122" s="520"/>
      <c r="DT122" s="520"/>
      <c r="DU122" s="520"/>
      <c r="DV122" s="520"/>
      <c r="DW122" s="520"/>
      <c r="DX122" s="520"/>
      <c r="DY122" s="520"/>
      <c r="DZ122" s="520"/>
      <c r="EA122" s="520"/>
      <c r="EB122" s="520"/>
      <c r="EC122" s="520"/>
      <c r="ED122" s="520"/>
      <c r="EE122" s="520"/>
      <c r="EF122" s="520"/>
      <c r="EG122" s="520"/>
      <c r="EH122" s="520"/>
      <c r="EI122" s="520"/>
      <c r="EJ122" s="520"/>
      <c r="EK122" s="520"/>
      <c r="EL122" s="520"/>
      <c r="EM122" s="520"/>
      <c r="EN122" s="520"/>
      <c r="EO122" s="520"/>
      <c r="EP122" s="520"/>
      <c r="EQ122" s="520"/>
      <c r="ER122" s="520"/>
      <c r="ES122" s="520"/>
      <c r="ET122" s="520"/>
      <c r="EU122" s="520"/>
      <c r="EV122" s="520"/>
      <c r="EW122" s="520"/>
    </row>
    <row r="123" spans="1:153" s="521" customFormat="1" ht="15">
      <c r="A123" s="566" t="s">
        <v>3516</v>
      </c>
      <c r="B123" s="525"/>
      <c r="C123" s="520"/>
      <c r="D123" s="520"/>
      <c r="E123" s="520"/>
      <c r="F123" s="520"/>
      <c r="G123" s="520"/>
      <c r="H123" s="520"/>
      <c r="I123" s="520"/>
      <c r="J123" s="520"/>
      <c r="K123" s="520"/>
      <c r="L123" s="526"/>
      <c r="M123" s="526"/>
      <c r="N123" s="526"/>
      <c r="O123" s="526"/>
      <c r="P123" s="534"/>
      <c r="Q123" s="537">
        <v>1.4E-2</v>
      </c>
      <c r="R123" s="537">
        <v>1.4E-2</v>
      </c>
      <c r="S123" s="537">
        <v>1.35E-2</v>
      </c>
      <c r="T123" s="537">
        <v>1.2999999999999999E-2</v>
      </c>
      <c r="U123" s="537">
        <v>1.2500000000000001E-2</v>
      </c>
      <c r="V123" s="537">
        <v>1.2E-2</v>
      </c>
      <c r="W123" s="537">
        <v>1.175E-2</v>
      </c>
      <c r="X123" s="537">
        <f>W123-0.000025</f>
        <v>1.1724999999999999E-2</v>
      </c>
      <c r="Y123" s="537">
        <f t="shared" ref="Y123:Z123" si="62">X123-0.000025</f>
        <v>1.1699999999999999E-2</v>
      </c>
      <c r="Z123" s="537">
        <f t="shared" si="62"/>
        <v>1.1674999999999998E-2</v>
      </c>
      <c r="AA123" s="526"/>
      <c r="AB123" s="520"/>
      <c r="AC123" s="520"/>
      <c r="AD123" s="520"/>
      <c r="AE123" s="520"/>
      <c r="AF123" s="520"/>
      <c r="AG123" s="520"/>
      <c r="AH123" s="520"/>
      <c r="AI123" s="520"/>
      <c r="AJ123" s="520"/>
      <c r="AK123" s="520"/>
      <c r="AL123" s="520"/>
      <c r="AM123" s="520"/>
      <c r="AN123" s="520"/>
      <c r="AO123" s="520"/>
      <c r="AP123" s="520"/>
      <c r="AQ123" s="520"/>
      <c r="AR123" s="520"/>
      <c r="AS123" s="520"/>
      <c r="AT123" s="520"/>
      <c r="AU123" s="520"/>
      <c r="AV123" s="520"/>
      <c r="AW123" s="520"/>
      <c r="AX123" s="520"/>
      <c r="AY123" s="520"/>
      <c r="AZ123" s="520"/>
      <c r="BA123" s="520"/>
      <c r="BB123" s="520"/>
      <c r="BC123" s="520"/>
      <c r="BD123" s="520"/>
      <c r="BE123" s="520"/>
      <c r="BF123" s="520"/>
      <c r="BG123" s="520"/>
      <c r="BH123" s="520"/>
      <c r="BI123" s="520"/>
      <c r="BJ123" s="520"/>
      <c r="BK123" s="520"/>
      <c r="BL123" s="520"/>
      <c r="BM123" s="520"/>
      <c r="BN123" s="520"/>
      <c r="BO123" s="520"/>
      <c r="BP123" s="520"/>
      <c r="BQ123" s="520"/>
      <c r="BR123" s="520"/>
      <c r="BS123" s="520"/>
      <c r="BT123" s="520"/>
      <c r="BU123" s="520"/>
      <c r="BV123" s="520"/>
      <c r="BW123" s="520"/>
      <c r="BX123" s="520"/>
      <c r="BY123" s="520"/>
      <c r="BZ123" s="520"/>
      <c r="CA123" s="520"/>
      <c r="CB123" s="520"/>
      <c r="CC123" s="520"/>
      <c r="CD123" s="520"/>
      <c r="CE123" s="520"/>
      <c r="CF123" s="520"/>
      <c r="CG123" s="520"/>
      <c r="CH123" s="520"/>
      <c r="CI123" s="520"/>
      <c r="CJ123" s="520"/>
      <c r="CK123" s="520"/>
      <c r="CL123" s="520"/>
      <c r="CM123" s="520"/>
      <c r="CN123" s="520"/>
      <c r="CO123" s="520"/>
      <c r="CP123" s="520"/>
      <c r="CQ123" s="520"/>
      <c r="CR123" s="520"/>
      <c r="CS123" s="520"/>
      <c r="CT123" s="520"/>
      <c r="CU123" s="520"/>
      <c r="CV123" s="520"/>
      <c r="CW123" s="520"/>
      <c r="CX123" s="520"/>
      <c r="CY123" s="520"/>
      <c r="CZ123" s="520"/>
      <c r="DA123" s="520"/>
      <c r="DB123" s="520"/>
      <c r="DC123" s="520"/>
      <c r="DD123" s="520"/>
      <c r="DE123" s="520"/>
      <c r="DF123" s="520"/>
      <c r="DG123" s="520"/>
      <c r="DH123" s="520"/>
      <c r="DI123" s="520"/>
      <c r="DJ123" s="520"/>
      <c r="DK123" s="520"/>
      <c r="DL123" s="520"/>
      <c r="DM123" s="520"/>
      <c r="DN123" s="520"/>
      <c r="DO123" s="520"/>
      <c r="DP123" s="520"/>
      <c r="DQ123" s="520"/>
      <c r="DR123" s="520"/>
      <c r="DS123" s="520"/>
      <c r="DT123" s="520"/>
      <c r="DU123" s="520"/>
      <c r="DV123" s="520"/>
      <c r="DW123" s="520"/>
      <c r="DX123" s="520"/>
      <c r="DY123" s="520"/>
      <c r="DZ123" s="520"/>
      <c r="EA123" s="520"/>
      <c r="EB123" s="520"/>
      <c r="EC123" s="520"/>
      <c r="ED123" s="520"/>
      <c r="EE123" s="520"/>
      <c r="EF123" s="520"/>
      <c r="EG123" s="520"/>
      <c r="EH123" s="520"/>
      <c r="EI123" s="520"/>
      <c r="EJ123" s="520"/>
      <c r="EK123" s="520"/>
      <c r="EL123" s="520"/>
      <c r="EM123" s="520"/>
      <c r="EN123" s="520"/>
      <c r="EO123" s="520"/>
      <c r="EP123" s="520"/>
      <c r="EQ123" s="520"/>
      <c r="ER123" s="520"/>
      <c r="ES123" s="520"/>
      <c r="ET123" s="520"/>
      <c r="EU123" s="520"/>
      <c r="EV123" s="520"/>
      <c r="EW123" s="520"/>
    </row>
    <row r="124" spans="1:153" s="521" customFormat="1" ht="15">
      <c r="A124" s="566" t="s">
        <v>3517</v>
      </c>
      <c r="B124" s="525"/>
      <c r="C124" s="520"/>
      <c r="D124" s="520"/>
      <c r="E124" s="520"/>
      <c r="F124" s="520"/>
      <c r="G124" s="520"/>
      <c r="H124" s="520"/>
      <c r="I124" s="520"/>
      <c r="J124" s="520"/>
      <c r="K124" s="520"/>
      <c r="L124" s="526"/>
      <c r="M124" s="526"/>
      <c r="N124" s="526"/>
      <c r="O124" s="526"/>
      <c r="P124" s="534"/>
      <c r="Q124" s="537">
        <f t="shared" ref="Q124:W124" si="63">Q123+$AA124*0.5</f>
        <v>1.4200000000000001E-2</v>
      </c>
      <c r="R124" s="537">
        <f t="shared" si="63"/>
        <v>1.4200000000000001E-2</v>
      </c>
      <c r="S124" s="537">
        <f t="shared" si="63"/>
        <v>1.37E-2</v>
      </c>
      <c r="T124" s="537">
        <f t="shared" si="63"/>
        <v>1.32E-2</v>
      </c>
      <c r="U124" s="537">
        <f t="shared" si="63"/>
        <v>1.2700000000000001E-2</v>
      </c>
      <c r="V124" s="537">
        <f t="shared" si="63"/>
        <v>1.2200000000000001E-2</v>
      </c>
      <c r="W124" s="537">
        <f t="shared" si="63"/>
        <v>1.1950000000000001E-2</v>
      </c>
      <c r="X124" s="537">
        <f>X123+$AA124*0.5</f>
        <v>1.1925E-2</v>
      </c>
      <c r="Y124" s="537">
        <f>Y123+$AA124*0.5</f>
        <v>1.1899999999999999E-2</v>
      </c>
      <c r="Z124" s="537">
        <f>Z123+$AA124*0.5</f>
        <v>1.1874999999999998E-2</v>
      </c>
      <c r="AA124" s="538">
        <v>4.0000000000000002E-4</v>
      </c>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c r="AV124" s="520"/>
      <c r="AW124" s="520"/>
      <c r="AX124" s="520"/>
      <c r="AY124" s="520"/>
      <c r="AZ124" s="520"/>
      <c r="BA124" s="520"/>
      <c r="BB124" s="520"/>
      <c r="BC124" s="520"/>
      <c r="BD124" s="520"/>
      <c r="BE124" s="520"/>
      <c r="BF124" s="520"/>
      <c r="BG124" s="520"/>
      <c r="BH124" s="520"/>
      <c r="BI124" s="520"/>
      <c r="BJ124" s="520"/>
      <c r="BK124" s="520"/>
      <c r="BL124" s="520"/>
      <c r="BM124" s="520"/>
      <c r="BN124" s="520"/>
      <c r="BO124" s="520"/>
      <c r="BP124" s="520"/>
      <c r="BQ124" s="520"/>
      <c r="BR124" s="520"/>
      <c r="BS124" s="520"/>
      <c r="BT124" s="520"/>
      <c r="BU124" s="520"/>
      <c r="BV124" s="520"/>
      <c r="BW124" s="520"/>
      <c r="BX124" s="520"/>
      <c r="BY124" s="520"/>
      <c r="BZ124" s="520"/>
      <c r="CA124" s="520"/>
      <c r="CB124" s="520"/>
      <c r="CC124" s="520"/>
      <c r="CD124" s="520"/>
      <c r="CE124" s="520"/>
      <c r="CF124" s="520"/>
      <c r="CG124" s="520"/>
      <c r="CH124" s="520"/>
      <c r="CI124" s="520"/>
      <c r="CJ124" s="520"/>
      <c r="CK124" s="520"/>
      <c r="CL124" s="520"/>
      <c r="CM124" s="520"/>
      <c r="CN124" s="520"/>
      <c r="CO124" s="520"/>
      <c r="CP124" s="520"/>
      <c r="CQ124" s="520"/>
      <c r="CR124" s="520"/>
      <c r="CS124" s="520"/>
      <c r="CT124" s="520"/>
      <c r="CU124" s="520"/>
      <c r="CV124" s="520"/>
      <c r="CW124" s="520"/>
      <c r="CX124" s="520"/>
      <c r="CY124" s="520"/>
      <c r="CZ124" s="520"/>
      <c r="DA124" s="520"/>
      <c r="DB124" s="520"/>
      <c r="DC124" s="520"/>
      <c r="DD124" s="520"/>
      <c r="DE124" s="520"/>
      <c r="DF124" s="520"/>
      <c r="DG124" s="520"/>
      <c r="DH124" s="520"/>
      <c r="DI124" s="520"/>
      <c r="DJ124" s="520"/>
      <c r="DK124" s="520"/>
      <c r="DL124" s="520"/>
      <c r="DM124" s="520"/>
      <c r="DN124" s="520"/>
      <c r="DO124" s="520"/>
      <c r="DP124" s="520"/>
      <c r="DQ124" s="520"/>
      <c r="DR124" s="520"/>
      <c r="DS124" s="520"/>
      <c r="DT124" s="520"/>
      <c r="DU124" s="520"/>
      <c r="DV124" s="520"/>
      <c r="DW124" s="520"/>
      <c r="DX124" s="520"/>
      <c r="DY124" s="520"/>
      <c r="DZ124" s="520"/>
      <c r="EA124" s="520"/>
      <c r="EB124" s="520"/>
      <c r="EC124" s="520"/>
      <c r="ED124" s="520"/>
      <c r="EE124" s="520"/>
      <c r="EF124" s="520"/>
      <c r="EG124" s="520"/>
      <c r="EH124" s="520"/>
      <c r="EI124" s="520"/>
      <c r="EJ124" s="520"/>
      <c r="EK124" s="520"/>
      <c r="EL124" s="520"/>
      <c r="EM124" s="520"/>
      <c r="EN124" s="520"/>
      <c r="EO124" s="520"/>
      <c r="EP124" s="520"/>
      <c r="EQ124" s="520"/>
      <c r="ER124" s="520"/>
      <c r="ES124" s="520"/>
      <c r="ET124" s="520"/>
      <c r="EU124" s="520"/>
      <c r="EV124" s="520"/>
      <c r="EW124" s="520"/>
    </row>
    <row r="125" spans="1:153" s="521" customFormat="1" ht="15">
      <c r="A125" s="566" t="s">
        <v>3518</v>
      </c>
      <c r="B125" s="525"/>
      <c r="C125" s="520"/>
      <c r="D125" s="520"/>
      <c r="E125" s="520"/>
      <c r="F125" s="520"/>
      <c r="G125" s="520"/>
      <c r="H125" s="520"/>
      <c r="I125" s="520"/>
      <c r="J125" s="520"/>
      <c r="K125" s="520"/>
      <c r="L125" s="526"/>
      <c r="M125" s="526"/>
      <c r="N125" s="526"/>
      <c r="O125" s="526"/>
      <c r="P125" s="534"/>
      <c r="Q125" s="537">
        <f t="shared" ref="Q125:W125" si="64">Q123-$AA125*0.5</f>
        <v>1.38E-2</v>
      </c>
      <c r="R125" s="537">
        <f t="shared" si="64"/>
        <v>1.38E-2</v>
      </c>
      <c r="S125" s="537">
        <f t="shared" si="64"/>
        <v>1.3299999999999999E-2</v>
      </c>
      <c r="T125" s="537">
        <f t="shared" si="64"/>
        <v>1.2799999999999999E-2</v>
      </c>
      <c r="U125" s="537">
        <f t="shared" si="64"/>
        <v>1.23E-2</v>
      </c>
      <c r="V125" s="537">
        <f t="shared" si="64"/>
        <v>1.18E-2</v>
      </c>
      <c r="W125" s="537">
        <f t="shared" si="64"/>
        <v>1.155E-2</v>
      </c>
      <c r="X125" s="537">
        <f>X123-$AA125*0.5</f>
        <v>1.1524999999999999E-2</v>
      </c>
      <c r="Y125" s="537">
        <f>Y123-$AA125*0.5</f>
        <v>1.1499999999999998E-2</v>
      </c>
      <c r="Z125" s="537">
        <f>Z123-$AA125*0.5</f>
        <v>1.1474999999999997E-2</v>
      </c>
      <c r="AA125" s="538">
        <v>4.0000000000000002E-4</v>
      </c>
      <c r="AB125" s="520"/>
      <c r="AC125" s="520"/>
      <c r="AD125" s="520"/>
      <c r="AE125" s="520"/>
      <c r="AF125" s="520"/>
      <c r="AG125" s="520"/>
      <c r="AH125" s="520"/>
      <c r="AI125" s="520"/>
      <c r="AJ125" s="520"/>
      <c r="AK125" s="520"/>
      <c r="AL125" s="520"/>
      <c r="AM125" s="520"/>
      <c r="AN125" s="520"/>
      <c r="AO125" s="520"/>
      <c r="AP125" s="520"/>
      <c r="AQ125" s="520"/>
      <c r="AR125" s="520"/>
      <c r="AS125" s="520"/>
      <c r="AT125" s="520"/>
      <c r="AU125" s="520"/>
      <c r="AV125" s="520"/>
      <c r="AW125" s="520"/>
      <c r="AX125" s="520"/>
      <c r="AY125" s="520"/>
      <c r="AZ125" s="520"/>
      <c r="BA125" s="520"/>
      <c r="BB125" s="520"/>
      <c r="BC125" s="520"/>
      <c r="BD125" s="520"/>
      <c r="BE125" s="520"/>
      <c r="BF125" s="520"/>
      <c r="BG125" s="520"/>
      <c r="BH125" s="520"/>
      <c r="BI125" s="520"/>
      <c r="BJ125" s="520"/>
      <c r="BK125" s="520"/>
      <c r="BL125" s="520"/>
      <c r="BM125" s="520"/>
      <c r="BN125" s="520"/>
      <c r="BO125" s="520"/>
      <c r="BP125" s="520"/>
      <c r="BQ125" s="520"/>
      <c r="BR125" s="520"/>
      <c r="BS125" s="520"/>
      <c r="BT125" s="520"/>
      <c r="BU125" s="520"/>
      <c r="BV125" s="520"/>
      <c r="BW125" s="520"/>
      <c r="BX125" s="520"/>
      <c r="BY125" s="520"/>
      <c r="BZ125" s="520"/>
      <c r="CA125" s="520"/>
      <c r="CB125" s="520"/>
      <c r="CC125" s="520"/>
      <c r="CD125" s="520"/>
      <c r="CE125" s="520"/>
      <c r="CF125" s="520"/>
      <c r="CG125" s="520"/>
      <c r="CH125" s="520"/>
      <c r="CI125" s="520"/>
      <c r="CJ125" s="520"/>
      <c r="CK125" s="520"/>
      <c r="CL125" s="520"/>
      <c r="CM125" s="520"/>
      <c r="CN125" s="520"/>
      <c r="CO125" s="520"/>
      <c r="CP125" s="520"/>
      <c r="CQ125" s="520"/>
      <c r="CR125" s="520"/>
      <c r="CS125" s="520"/>
      <c r="CT125" s="520"/>
      <c r="CU125" s="520"/>
      <c r="CV125" s="520"/>
      <c r="CW125" s="520"/>
      <c r="CX125" s="520"/>
      <c r="CY125" s="520"/>
      <c r="CZ125" s="520"/>
      <c r="DA125" s="520"/>
      <c r="DB125" s="520"/>
      <c r="DC125" s="520"/>
      <c r="DD125" s="520"/>
      <c r="DE125" s="520"/>
      <c r="DF125" s="520"/>
      <c r="DG125" s="520"/>
      <c r="DH125" s="520"/>
      <c r="DI125" s="520"/>
      <c r="DJ125" s="520"/>
      <c r="DK125" s="520"/>
      <c r="DL125" s="520"/>
      <c r="DM125" s="520"/>
      <c r="DN125" s="520"/>
      <c r="DO125" s="520"/>
      <c r="DP125" s="520"/>
      <c r="DQ125" s="520"/>
      <c r="DR125" s="520"/>
      <c r="DS125" s="520"/>
      <c r="DT125" s="520"/>
      <c r="DU125" s="520"/>
      <c r="DV125" s="520"/>
      <c r="DW125" s="520"/>
      <c r="DX125" s="520"/>
      <c r="DY125" s="520"/>
      <c r="DZ125" s="520"/>
      <c r="EA125" s="520"/>
      <c r="EB125" s="520"/>
      <c r="EC125" s="520"/>
      <c r="ED125" s="520"/>
      <c r="EE125" s="520"/>
      <c r="EF125" s="520"/>
      <c r="EG125" s="520"/>
      <c r="EH125" s="520"/>
      <c r="EI125" s="520"/>
      <c r="EJ125" s="520"/>
      <c r="EK125" s="520"/>
      <c r="EL125" s="520"/>
      <c r="EM125" s="520"/>
      <c r="EN125" s="520"/>
      <c r="EO125" s="520"/>
      <c r="EP125" s="520"/>
      <c r="EQ125" s="520"/>
      <c r="ER125" s="520"/>
      <c r="ES125" s="520"/>
      <c r="ET125" s="520"/>
      <c r="EU125" s="520"/>
      <c r="EV125" s="520"/>
      <c r="EW125" s="520"/>
    </row>
    <row r="126" spans="1:153" s="521" customFormat="1" ht="15">
      <c r="A126" s="692"/>
      <c r="B126" s="525"/>
      <c r="C126" s="520"/>
      <c r="D126" s="520"/>
      <c r="E126" s="520"/>
      <c r="F126" s="520"/>
      <c r="G126" s="520"/>
      <c r="H126" s="520"/>
      <c r="I126" s="520"/>
      <c r="J126" s="520"/>
      <c r="K126" s="520"/>
      <c r="L126" s="526"/>
      <c r="M126" s="526"/>
      <c r="N126" s="526"/>
      <c r="O126" s="526"/>
      <c r="P126" s="534"/>
      <c r="Q126" s="534"/>
      <c r="R126" s="534"/>
      <c r="S126" s="534"/>
      <c r="T126" s="534"/>
      <c r="U126" s="534"/>
      <c r="V126" s="534"/>
      <c r="W126" s="534"/>
      <c r="X126" s="534"/>
      <c r="Y126" s="534"/>
      <c r="Z126" s="534"/>
      <c r="AA126" s="526"/>
      <c r="AB126" s="520"/>
      <c r="AC126" s="520"/>
      <c r="AD126" s="520"/>
      <c r="AE126" s="520"/>
      <c r="AF126" s="520"/>
      <c r="AG126" s="520"/>
      <c r="AH126" s="520"/>
      <c r="AI126" s="520"/>
      <c r="AJ126" s="520"/>
      <c r="AK126" s="520"/>
      <c r="AL126" s="520"/>
      <c r="AM126" s="520"/>
      <c r="AN126" s="520"/>
      <c r="AO126" s="520"/>
      <c r="AP126" s="520"/>
      <c r="AQ126" s="520"/>
      <c r="AR126" s="520"/>
      <c r="AS126" s="520"/>
      <c r="AT126" s="520"/>
      <c r="AU126" s="520"/>
      <c r="AV126" s="520"/>
      <c r="AW126" s="520"/>
      <c r="AX126" s="520"/>
      <c r="AY126" s="520"/>
      <c r="AZ126" s="520"/>
      <c r="BA126" s="520"/>
      <c r="BB126" s="520"/>
      <c r="BC126" s="520"/>
      <c r="BD126" s="520"/>
      <c r="BE126" s="520"/>
      <c r="BF126" s="520"/>
      <c r="BG126" s="520"/>
      <c r="BH126" s="520"/>
      <c r="BI126" s="520"/>
      <c r="BJ126" s="520"/>
      <c r="BK126" s="520"/>
      <c r="BL126" s="520"/>
      <c r="BM126" s="520"/>
      <c r="BN126" s="520"/>
      <c r="BO126" s="520"/>
      <c r="BP126" s="520"/>
      <c r="BQ126" s="520"/>
      <c r="BR126" s="520"/>
      <c r="BS126" s="520"/>
      <c r="BT126" s="520"/>
      <c r="BU126" s="520"/>
      <c r="BV126" s="520"/>
      <c r="BW126" s="520"/>
      <c r="BX126" s="520"/>
      <c r="BY126" s="520"/>
      <c r="BZ126" s="520"/>
      <c r="CA126" s="520"/>
      <c r="CB126" s="520"/>
      <c r="CC126" s="520"/>
      <c r="CD126" s="520"/>
      <c r="CE126" s="520"/>
      <c r="CF126" s="520"/>
      <c r="CG126" s="520"/>
      <c r="CH126" s="520"/>
      <c r="CI126" s="520"/>
      <c r="CJ126" s="520"/>
      <c r="CK126" s="520"/>
      <c r="CL126" s="520"/>
      <c r="CM126" s="520"/>
      <c r="CN126" s="520"/>
      <c r="CO126" s="520"/>
      <c r="CP126" s="520"/>
      <c r="CQ126" s="520"/>
      <c r="CR126" s="520"/>
      <c r="CS126" s="520"/>
      <c r="CT126" s="520"/>
      <c r="CU126" s="520"/>
      <c r="CV126" s="520"/>
      <c r="CW126" s="520"/>
      <c r="CX126" s="520"/>
      <c r="CY126" s="520"/>
      <c r="CZ126" s="520"/>
      <c r="DA126" s="520"/>
      <c r="DB126" s="520"/>
      <c r="DC126" s="520"/>
      <c r="DD126" s="520"/>
      <c r="DE126" s="520"/>
      <c r="DF126" s="520"/>
      <c r="DG126" s="520"/>
      <c r="DH126" s="520"/>
      <c r="DI126" s="520"/>
      <c r="DJ126" s="520"/>
      <c r="DK126" s="520"/>
      <c r="DL126" s="520"/>
      <c r="DM126" s="520"/>
      <c r="DN126" s="520"/>
      <c r="DO126" s="520"/>
      <c r="DP126" s="520"/>
      <c r="DQ126" s="520"/>
      <c r="DR126" s="520"/>
      <c r="DS126" s="520"/>
      <c r="DT126" s="520"/>
      <c r="DU126" s="520"/>
      <c r="DV126" s="520"/>
      <c r="DW126" s="520"/>
      <c r="DX126" s="520"/>
      <c r="DY126" s="520"/>
      <c r="DZ126" s="520"/>
      <c r="EA126" s="520"/>
      <c r="EB126" s="520"/>
      <c r="EC126" s="520"/>
      <c r="ED126" s="520"/>
      <c r="EE126" s="520"/>
      <c r="EF126" s="520"/>
      <c r="EG126" s="520"/>
      <c r="EH126" s="520"/>
      <c r="EI126" s="520"/>
      <c r="EJ126" s="520"/>
      <c r="EK126" s="520"/>
      <c r="EL126" s="520"/>
      <c r="EM126" s="520"/>
      <c r="EN126" s="520"/>
      <c r="EO126" s="520"/>
      <c r="EP126" s="520"/>
      <c r="EQ126" s="520"/>
      <c r="ER126" s="520"/>
      <c r="ES126" s="520"/>
      <c r="ET126" s="520"/>
      <c r="EU126" s="520"/>
      <c r="EV126" s="520"/>
      <c r="EW126" s="520"/>
    </row>
    <row r="127" spans="1:153" s="521" customFormat="1" ht="15">
      <c r="A127" s="692"/>
      <c r="B127" s="525"/>
      <c r="C127" s="520"/>
      <c r="D127" s="520"/>
      <c r="E127" s="520"/>
      <c r="F127" s="520"/>
      <c r="G127" s="520"/>
      <c r="H127" s="520"/>
      <c r="I127" s="520"/>
      <c r="J127" s="520"/>
      <c r="K127" s="520"/>
      <c r="L127" s="526"/>
      <c r="M127" s="526"/>
      <c r="N127" s="526"/>
      <c r="O127" s="526"/>
      <c r="P127" s="534"/>
      <c r="Q127" s="561">
        <f ca="1">Q128*Q115*1000000</f>
        <v>327803.18103900412</v>
      </c>
      <c r="R127" s="561">
        <f t="shared" ref="R127:Z127" ca="1" si="65">R128*R115*1000000</f>
        <v>351858.30190515309</v>
      </c>
      <c r="S127" s="561">
        <f t="shared" ca="1" si="65"/>
        <v>439209.81664593349</v>
      </c>
      <c r="T127" s="561">
        <f t="shared" ca="1" si="65"/>
        <v>521442.70571202569</v>
      </c>
      <c r="U127" s="561">
        <f t="shared" ca="1" si="65"/>
        <v>608182.59747606737</v>
      </c>
      <c r="V127" s="561">
        <f t="shared" ca="1" si="65"/>
        <v>690710.96131143521</v>
      </c>
      <c r="W127" s="561">
        <f t="shared" ca="1" si="65"/>
        <v>766793.32218841405</v>
      </c>
      <c r="X127" s="561">
        <f t="shared" ca="1" si="65"/>
        <v>841374.44583571877</v>
      </c>
      <c r="Y127" s="561">
        <f t="shared" ca="1" si="65"/>
        <v>913615.52977274661</v>
      </c>
      <c r="Z127" s="561">
        <f t="shared" ca="1" si="65"/>
        <v>980781.70447551366</v>
      </c>
      <c r="AA127" s="526"/>
      <c r="AB127" s="520"/>
      <c r="AC127" s="520"/>
      <c r="AD127" s="520"/>
      <c r="AE127" s="520"/>
      <c r="AF127" s="520"/>
      <c r="AG127" s="520"/>
      <c r="AH127" s="520"/>
      <c r="AI127" s="520"/>
      <c r="AJ127" s="520"/>
      <c r="AK127" s="520"/>
      <c r="AL127" s="520"/>
      <c r="AM127" s="520"/>
      <c r="AN127" s="520"/>
      <c r="AO127" s="520"/>
      <c r="AP127" s="520"/>
      <c r="AQ127" s="520"/>
      <c r="AR127" s="520"/>
      <c r="AS127" s="520"/>
      <c r="AT127" s="520"/>
      <c r="AU127" s="520"/>
      <c r="AV127" s="520"/>
      <c r="AW127" s="520"/>
      <c r="AX127" s="520"/>
      <c r="AY127" s="520"/>
      <c r="AZ127" s="520"/>
      <c r="BA127" s="520"/>
      <c r="BB127" s="520"/>
      <c r="BC127" s="520"/>
      <c r="BD127" s="520"/>
      <c r="BE127" s="520"/>
      <c r="BF127" s="520"/>
      <c r="BG127" s="520"/>
      <c r="BH127" s="520"/>
      <c r="BI127" s="520"/>
      <c r="BJ127" s="520"/>
      <c r="BK127" s="520"/>
      <c r="BL127" s="520"/>
      <c r="BM127" s="520"/>
      <c r="BN127" s="520"/>
      <c r="BO127" s="520"/>
      <c r="BP127" s="520"/>
      <c r="BQ127" s="520"/>
      <c r="BR127" s="520"/>
      <c r="BS127" s="520"/>
      <c r="BT127" s="520"/>
      <c r="BU127" s="520"/>
      <c r="BV127" s="520"/>
      <c r="BW127" s="520"/>
      <c r="BX127" s="520"/>
      <c r="BY127" s="520"/>
      <c r="BZ127" s="520"/>
      <c r="CA127" s="520"/>
      <c r="CB127" s="520"/>
      <c r="CC127" s="520"/>
      <c r="CD127" s="520"/>
      <c r="CE127" s="520"/>
      <c r="CF127" s="520"/>
      <c r="CG127" s="520"/>
      <c r="CH127" s="520"/>
      <c r="CI127" s="520"/>
      <c r="CJ127" s="520"/>
      <c r="CK127" s="520"/>
      <c r="CL127" s="520"/>
      <c r="CM127" s="520"/>
      <c r="CN127" s="520"/>
      <c r="CO127" s="520"/>
      <c r="CP127" s="520"/>
      <c r="CQ127" s="520"/>
      <c r="CR127" s="520"/>
      <c r="CS127" s="520"/>
      <c r="CT127" s="520"/>
      <c r="CU127" s="520"/>
      <c r="CV127" s="520"/>
      <c r="CW127" s="520"/>
      <c r="CX127" s="520"/>
      <c r="CY127" s="520"/>
      <c r="CZ127" s="520"/>
      <c r="DA127" s="520"/>
      <c r="DB127" s="520"/>
      <c r="DC127" s="520"/>
      <c r="DD127" s="520"/>
      <c r="DE127" s="520"/>
      <c r="DF127" s="520"/>
      <c r="DG127" s="520"/>
      <c r="DH127" s="520"/>
      <c r="DI127" s="520"/>
      <c r="DJ127" s="520"/>
      <c r="DK127" s="520"/>
      <c r="DL127" s="520"/>
      <c r="DM127" s="520"/>
      <c r="DN127" s="520"/>
      <c r="DO127" s="520"/>
      <c r="DP127" s="520"/>
      <c r="DQ127" s="520"/>
      <c r="DR127" s="520"/>
      <c r="DS127" s="520"/>
      <c r="DT127" s="520"/>
      <c r="DU127" s="520"/>
      <c r="DV127" s="520"/>
      <c r="DW127" s="520"/>
      <c r="DX127" s="520"/>
      <c r="DY127" s="520"/>
      <c r="DZ127" s="520"/>
      <c r="EA127" s="520"/>
      <c r="EB127" s="520"/>
      <c r="EC127" s="520"/>
      <c r="ED127" s="520"/>
      <c r="EE127" s="520"/>
      <c r="EF127" s="520"/>
      <c r="EG127" s="520"/>
      <c r="EH127" s="520"/>
      <c r="EI127" s="520"/>
      <c r="EJ127" s="520"/>
      <c r="EK127" s="520"/>
      <c r="EL127" s="520"/>
      <c r="EM127" s="520"/>
      <c r="EN127" s="520"/>
      <c r="EO127" s="520"/>
      <c r="EP127" s="520"/>
      <c r="EQ127" s="520"/>
      <c r="ER127" s="520"/>
      <c r="ES127" s="520"/>
      <c r="ET127" s="520"/>
      <c r="EU127" s="520"/>
      <c r="EV127" s="520"/>
      <c r="EW127" s="520"/>
    </row>
    <row r="128" spans="1:153" s="521" customFormat="1" ht="15">
      <c r="A128" s="695" t="s">
        <v>3563</v>
      </c>
      <c r="B128" s="525"/>
      <c r="C128" s="520"/>
      <c r="D128" s="520"/>
      <c r="E128" s="520"/>
      <c r="F128" s="520"/>
      <c r="G128" s="520"/>
      <c r="H128" s="520"/>
      <c r="I128" s="520"/>
      <c r="J128" s="520"/>
      <c r="K128" s="520"/>
      <c r="L128" s="563">
        <f>Metrics!D33/Metrics!D93/1000000</f>
        <v>3.0481866197183097E-4</v>
      </c>
      <c r="M128" s="563">
        <f>Metrics!E33/Metrics!E93/1000000</f>
        <v>1.8000603318250378E-4</v>
      </c>
      <c r="N128" s="563">
        <f>Metrics!F33/Metrics!F93/1000000</f>
        <v>2.2942493638676846E-4</v>
      </c>
      <c r="O128" s="563">
        <f>Metrics!G33/Metrics!G93/1000000</f>
        <v>3.5813264248704663E-4</v>
      </c>
      <c r="P128" s="563">
        <f>Metrics!H33/Metrics!H93/1000000</f>
        <v>4.8845926680244397E-4</v>
      </c>
      <c r="Q128" s="536">
        <f>CHOOSE($O$1,Q129,Q130,Q131)</f>
        <v>4.0000000000000002E-4</v>
      </c>
      <c r="R128" s="536">
        <f t="shared" ref="R128:Z128" si="66">CHOOSE($O$1,R129,R130,R131)</f>
        <v>4.0000000000000002E-4</v>
      </c>
      <c r="S128" s="536">
        <f t="shared" si="66"/>
        <v>4.0000000000000002E-4</v>
      </c>
      <c r="T128" s="536">
        <f t="shared" si="66"/>
        <v>4.0000000000000002E-4</v>
      </c>
      <c r="U128" s="536">
        <f t="shared" si="66"/>
        <v>4.0000000000000002E-4</v>
      </c>
      <c r="V128" s="536">
        <f t="shared" si="66"/>
        <v>4.0000000000000002E-4</v>
      </c>
      <c r="W128" s="536">
        <f t="shared" si="66"/>
        <v>4.0000000000000002E-4</v>
      </c>
      <c r="X128" s="536">
        <f t="shared" si="66"/>
        <v>4.0000000000000002E-4</v>
      </c>
      <c r="Y128" s="536">
        <f t="shared" si="66"/>
        <v>4.0000000000000002E-4</v>
      </c>
      <c r="Z128" s="536">
        <f t="shared" si="66"/>
        <v>4.0000000000000002E-4</v>
      </c>
      <c r="AA128" s="526"/>
      <c r="AB128" s="520"/>
      <c r="AC128" s="520"/>
      <c r="AD128" s="520"/>
      <c r="AE128" s="520"/>
      <c r="AF128" s="520"/>
      <c r="AG128" s="520"/>
      <c r="AH128" s="520"/>
      <c r="AI128" s="520"/>
      <c r="AJ128" s="520"/>
      <c r="AK128" s="520"/>
      <c r="AL128" s="520"/>
      <c r="AM128" s="520"/>
      <c r="AN128" s="520"/>
      <c r="AO128" s="520"/>
      <c r="AP128" s="520"/>
      <c r="AQ128" s="520"/>
      <c r="AR128" s="520"/>
      <c r="AS128" s="520"/>
      <c r="AT128" s="520"/>
      <c r="AU128" s="520"/>
      <c r="AV128" s="520"/>
      <c r="AW128" s="520"/>
      <c r="AX128" s="520"/>
      <c r="AY128" s="520"/>
      <c r="AZ128" s="520"/>
      <c r="BA128" s="520"/>
      <c r="BB128" s="520"/>
      <c r="BC128" s="520"/>
      <c r="BD128" s="520"/>
      <c r="BE128" s="520"/>
      <c r="BF128" s="520"/>
      <c r="BG128" s="520"/>
      <c r="BH128" s="520"/>
      <c r="BI128" s="520"/>
      <c r="BJ128" s="520"/>
      <c r="BK128" s="520"/>
      <c r="BL128" s="520"/>
      <c r="BM128" s="520"/>
      <c r="BN128" s="520"/>
      <c r="BO128" s="520"/>
      <c r="BP128" s="520"/>
      <c r="BQ128" s="520"/>
      <c r="BR128" s="520"/>
      <c r="BS128" s="520"/>
      <c r="BT128" s="520"/>
      <c r="BU128" s="520"/>
      <c r="BV128" s="520"/>
      <c r="BW128" s="520"/>
      <c r="BX128" s="520"/>
      <c r="BY128" s="520"/>
      <c r="BZ128" s="520"/>
      <c r="CA128" s="520"/>
      <c r="CB128" s="520"/>
      <c r="CC128" s="520"/>
      <c r="CD128" s="520"/>
      <c r="CE128" s="520"/>
      <c r="CF128" s="520"/>
      <c r="CG128" s="520"/>
      <c r="CH128" s="520"/>
      <c r="CI128" s="520"/>
      <c r="CJ128" s="520"/>
      <c r="CK128" s="520"/>
      <c r="CL128" s="520"/>
      <c r="CM128" s="520"/>
      <c r="CN128" s="520"/>
      <c r="CO128" s="520"/>
      <c r="CP128" s="520"/>
      <c r="CQ128" s="520"/>
      <c r="CR128" s="520"/>
      <c r="CS128" s="520"/>
      <c r="CT128" s="520"/>
      <c r="CU128" s="520"/>
      <c r="CV128" s="520"/>
      <c r="CW128" s="520"/>
      <c r="CX128" s="520"/>
      <c r="CY128" s="520"/>
      <c r="CZ128" s="520"/>
      <c r="DA128" s="520"/>
      <c r="DB128" s="520"/>
      <c r="DC128" s="520"/>
      <c r="DD128" s="520"/>
      <c r="DE128" s="520"/>
      <c r="DF128" s="520"/>
      <c r="DG128" s="520"/>
      <c r="DH128" s="520"/>
      <c r="DI128" s="520"/>
      <c r="DJ128" s="520"/>
      <c r="DK128" s="520"/>
      <c r="DL128" s="520"/>
      <c r="DM128" s="520"/>
      <c r="DN128" s="520"/>
      <c r="DO128" s="520"/>
      <c r="DP128" s="520"/>
      <c r="DQ128" s="520"/>
      <c r="DR128" s="520"/>
      <c r="DS128" s="520"/>
      <c r="DT128" s="520"/>
      <c r="DU128" s="520"/>
      <c r="DV128" s="520"/>
      <c r="DW128" s="520"/>
      <c r="DX128" s="520"/>
      <c r="DY128" s="520"/>
      <c r="DZ128" s="520"/>
      <c r="EA128" s="520"/>
      <c r="EB128" s="520"/>
      <c r="EC128" s="520"/>
      <c r="ED128" s="520"/>
      <c r="EE128" s="520"/>
      <c r="EF128" s="520"/>
      <c r="EG128" s="520"/>
      <c r="EH128" s="520"/>
      <c r="EI128" s="520"/>
      <c r="EJ128" s="520"/>
      <c r="EK128" s="520"/>
      <c r="EL128" s="520"/>
      <c r="EM128" s="520"/>
      <c r="EN128" s="520"/>
      <c r="EO128" s="520"/>
      <c r="EP128" s="520"/>
      <c r="EQ128" s="520"/>
      <c r="ER128" s="520"/>
      <c r="ES128" s="520"/>
      <c r="ET128" s="520"/>
      <c r="EU128" s="520"/>
      <c r="EV128" s="520"/>
      <c r="EW128" s="520"/>
    </row>
    <row r="129" spans="1:153" s="521" customFormat="1" ht="15">
      <c r="A129" s="566" t="s">
        <v>3516</v>
      </c>
      <c r="B129" s="525"/>
      <c r="C129" s="520"/>
      <c r="D129" s="520"/>
      <c r="E129" s="520"/>
      <c r="F129" s="520"/>
      <c r="G129" s="520"/>
      <c r="H129" s="520"/>
      <c r="I129" s="520"/>
      <c r="J129" s="520"/>
      <c r="K129" s="520"/>
      <c r="L129" s="526"/>
      <c r="M129" s="526"/>
      <c r="N129" s="526"/>
      <c r="O129" s="526"/>
      <c r="P129" s="534"/>
      <c r="Q129" s="537">
        <v>4.0000000000000002E-4</v>
      </c>
      <c r="R129" s="537">
        <v>4.0000000000000002E-4</v>
      </c>
      <c r="S129" s="537">
        <v>4.0000000000000002E-4</v>
      </c>
      <c r="T129" s="537">
        <v>4.0000000000000002E-4</v>
      </c>
      <c r="U129" s="537">
        <v>4.0000000000000002E-4</v>
      </c>
      <c r="V129" s="537">
        <v>4.0000000000000002E-4</v>
      </c>
      <c r="W129" s="537">
        <v>4.0000000000000002E-4</v>
      </c>
      <c r="X129" s="537">
        <v>4.0000000000000002E-4</v>
      </c>
      <c r="Y129" s="537">
        <v>4.0000000000000002E-4</v>
      </c>
      <c r="Z129" s="537">
        <v>4.0000000000000002E-4</v>
      </c>
      <c r="AA129" s="526"/>
      <c r="AB129" s="520"/>
      <c r="AC129" s="520"/>
      <c r="AD129" s="520"/>
      <c r="AE129" s="520"/>
      <c r="AF129" s="520"/>
      <c r="AG129" s="520"/>
      <c r="AH129" s="520"/>
      <c r="AI129" s="520"/>
      <c r="AJ129" s="520"/>
      <c r="AK129" s="520"/>
      <c r="AL129" s="520"/>
      <c r="AM129" s="520"/>
      <c r="AN129" s="520"/>
      <c r="AO129" s="520"/>
      <c r="AP129" s="520"/>
      <c r="AQ129" s="520"/>
      <c r="AR129" s="520"/>
      <c r="AS129" s="520"/>
      <c r="AT129" s="520"/>
      <c r="AU129" s="520"/>
      <c r="AV129" s="520"/>
      <c r="AW129" s="520"/>
      <c r="AX129" s="520"/>
      <c r="AY129" s="520"/>
      <c r="AZ129" s="520"/>
      <c r="BA129" s="520"/>
      <c r="BB129" s="520"/>
      <c r="BC129" s="520"/>
      <c r="BD129" s="520"/>
      <c r="BE129" s="520"/>
      <c r="BF129" s="520"/>
      <c r="BG129" s="520"/>
      <c r="BH129" s="520"/>
      <c r="BI129" s="520"/>
      <c r="BJ129" s="520"/>
      <c r="BK129" s="520"/>
      <c r="BL129" s="520"/>
      <c r="BM129" s="520"/>
      <c r="BN129" s="520"/>
      <c r="BO129" s="520"/>
      <c r="BP129" s="520"/>
      <c r="BQ129" s="520"/>
      <c r="BR129" s="520"/>
      <c r="BS129" s="520"/>
      <c r="BT129" s="520"/>
      <c r="BU129" s="520"/>
      <c r="BV129" s="520"/>
      <c r="BW129" s="520"/>
      <c r="BX129" s="520"/>
      <c r="BY129" s="520"/>
      <c r="BZ129" s="520"/>
      <c r="CA129" s="520"/>
      <c r="CB129" s="520"/>
      <c r="CC129" s="520"/>
      <c r="CD129" s="520"/>
      <c r="CE129" s="520"/>
      <c r="CF129" s="520"/>
      <c r="CG129" s="520"/>
      <c r="CH129" s="520"/>
      <c r="CI129" s="520"/>
      <c r="CJ129" s="520"/>
      <c r="CK129" s="520"/>
      <c r="CL129" s="520"/>
      <c r="CM129" s="520"/>
      <c r="CN129" s="520"/>
      <c r="CO129" s="520"/>
      <c r="CP129" s="520"/>
      <c r="CQ129" s="520"/>
      <c r="CR129" s="520"/>
      <c r="CS129" s="520"/>
      <c r="CT129" s="520"/>
      <c r="CU129" s="520"/>
      <c r="CV129" s="520"/>
      <c r="CW129" s="520"/>
      <c r="CX129" s="520"/>
      <c r="CY129" s="520"/>
      <c r="CZ129" s="520"/>
      <c r="DA129" s="520"/>
      <c r="DB129" s="520"/>
      <c r="DC129" s="520"/>
      <c r="DD129" s="520"/>
      <c r="DE129" s="520"/>
      <c r="DF129" s="520"/>
      <c r="DG129" s="520"/>
      <c r="DH129" s="520"/>
      <c r="DI129" s="520"/>
      <c r="DJ129" s="520"/>
      <c r="DK129" s="520"/>
      <c r="DL129" s="520"/>
      <c r="DM129" s="520"/>
      <c r="DN129" s="520"/>
      <c r="DO129" s="520"/>
      <c r="DP129" s="520"/>
      <c r="DQ129" s="520"/>
      <c r="DR129" s="520"/>
      <c r="DS129" s="520"/>
      <c r="DT129" s="520"/>
      <c r="DU129" s="520"/>
      <c r="DV129" s="520"/>
      <c r="DW129" s="520"/>
      <c r="DX129" s="520"/>
      <c r="DY129" s="520"/>
      <c r="DZ129" s="520"/>
      <c r="EA129" s="520"/>
      <c r="EB129" s="520"/>
      <c r="EC129" s="520"/>
      <c r="ED129" s="520"/>
      <c r="EE129" s="520"/>
      <c r="EF129" s="520"/>
      <c r="EG129" s="520"/>
      <c r="EH129" s="520"/>
      <c r="EI129" s="520"/>
      <c r="EJ129" s="520"/>
      <c r="EK129" s="520"/>
      <c r="EL129" s="520"/>
      <c r="EM129" s="520"/>
      <c r="EN129" s="520"/>
      <c r="EO129" s="520"/>
      <c r="EP129" s="520"/>
      <c r="EQ129" s="520"/>
      <c r="ER129" s="520"/>
      <c r="ES129" s="520"/>
      <c r="ET129" s="520"/>
      <c r="EU129" s="520"/>
      <c r="EV129" s="520"/>
      <c r="EW129" s="520"/>
    </row>
    <row r="130" spans="1:153" s="521" customFormat="1" ht="15">
      <c r="A130" s="566" t="s">
        <v>3517</v>
      </c>
      <c r="B130" s="525"/>
      <c r="C130" s="520"/>
      <c r="D130" s="520"/>
      <c r="E130" s="520"/>
      <c r="F130" s="520"/>
      <c r="G130" s="520"/>
      <c r="H130" s="520"/>
      <c r="I130" s="520"/>
      <c r="J130" s="520"/>
      <c r="K130" s="520"/>
      <c r="L130" s="526"/>
      <c r="M130" s="526"/>
      <c r="N130" s="526"/>
      <c r="O130" s="526"/>
      <c r="P130" s="534"/>
      <c r="Q130" s="537">
        <f t="shared" ref="Q130:Z130" si="67">Q129+$AA130*0.5</f>
        <v>6.0000000000000006E-4</v>
      </c>
      <c r="R130" s="537">
        <f t="shared" si="67"/>
        <v>6.0000000000000006E-4</v>
      </c>
      <c r="S130" s="537">
        <f t="shared" si="67"/>
        <v>6.0000000000000006E-4</v>
      </c>
      <c r="T130" s="537">
        <f t="shared" si="67"/>
        <v>6.0000000000000006E-4</v>
      </c>
      <c r="U130" s="537">
        <f t="shared" si="67"/>
        <v>6.0000000000000006E-4</v>
      </c>
      <c r="V130" s="537">
        <f t="shared" si="67"/>
        <v>6.0000000000000006E-4</v>
      </c>
      <c r="W130" s="537">
        <f t="shared" si="67"/>
        <v>6.0000000000000006E-4</v>
      </c>
      <c r="X130" s="537">
        <f t="shared" si="67"/>
        <v>6.0000000000000006E-4</v>
      </c>
      <c r="Y130" s="537">
        <f t="shared" si="67"/>
        <v>6.0000000000000006E-4</v>
      </c>
      <c r="Z130" s="537">
        <f t="shared" si="67"/>
        <v>6.0000000000000006E-4</v>
      </c>
      <c r="AA130" s="538">
        <v>4.0000000000000002E-4</v>
      </c>
      <c r="AB130" s="520"/>
      <c r="AC130" s="520"/>
      <c r="AD130" s="520"/>
      <c r="AE130" s="520"/>
      <c r="AF130" s="520"/>
      <c r="AG130" s="520"/>
      <c r="AH130" s="520"/>
      <c r="AI130" s="520"/>
      <c r="AJ130" s="520"/>
      <c r="AK130" s="520"/>
      <c r="AL130" s="520"/>
      <c r="AM130" s="520"/>
      <c r="AN130" s="520"/>
      <c r="AO130" s="520"/>
      <c r="AP130" s="520"/>
      <c r="AQ130" s="520"/>
      <c r="AR130" s="520"/>
      <c r="AS130" s="520"/>
      <c r="AT130" s="520"/>
      <c r="AU130" s="520"/>
      <c r="AV130" s="520"/>
      <c r="AW130" s="520"/>
      <c r="AX130" s="520"/>
      <c r="AY130" s="520"/>
      <c r="AZ130" s="520"/>
      <c r="BA130" s="520"/>
      <c r="BB130" s="520"/>
      <c r="BC130" s="520"/>
      <c r="BD130" s="520"/>
      <c r="BE130" s="520"/>
      <c r="BF130" s="520"/>
      <c r="BG130" s="520"/>
      <c r="BH130" s="520"/>
      <c r="BI130" s="520"/>
      <c r="BJ130" s="520"/>
      <c r="BK130" s="520"/>
      <c r="BL130" s="520"/>
      <c r="BM130" s="520"/>
      <c r="BN130" s="520"/>
      <c r="BO130" s="520"/>
      <c r="BP130" s="520"/>
      <c r="BQ130" s="520"/>
      <c r="BR130" s="520"/>
      <c r="BS130" s="520"/>
      <c r="BT130" s="520"/>
      <c r="BU130" s="520"/>
      <c r="BV130" s="520"/>
      <c r="BW130" s="520"/>
      <c r="BX130" s="520"/>
      <c r="BY130" s="520"/>
      <c r="BZ130" s="520"/>
      <c r="CA130" s="520"/>
      <c r="CB130" s="520"/>
      <c r="CC130" s="520"/>
      <c r="CD130" s="520"/>
      <c r="CE130" s="520"/>
      <c r="CF130" s="520"/>
      <c r="CG130" s="520"/>
      <c r="CH130" s="520"/>
      <c r="CI130" s="520"/>
      <c r="CJ130" s="520"/>
      <c r="CK130" s="520"/>
      <c r="CL130" s="520"/>
      <c r="CM130" s="520"/>
      <c r="CN130" s="520"/>
      <c r="CO130" s="520"/>
      <c r="CP130" s="520"/>
      <c r="CQ130" s="520"/>
      <c r="CR130" s="520"/>
      <c r="CS130" s="520"/>
      <c r="CT130" s="520"/>
      <c r="CU130" s="520"/>
      <c r="CV130" s="520"/>
      <c r="CW130" s="520"/>
      <c r="CX130" s="520"/>
      <c r="CY130" s="520"/>
      <c r="CZ130" s="520"/>
      <c r="DA130" s="520"/>
      <c r="DB130" s="520"/>
      <c r="DC130" s="520"/>
      <c r="DD130" s="520"/>
      <c r="DE130" s="520"/>
      <c r="DF130" s="520"/>
      <c r="DG130" s="520"/>
      <c r="DH130" s="520"/>
      <c r="DI130" s="520"/>
      <c r="DJ130" s="520"/>
      <c r="DK130" s="520"/>
      <c r="DL130" s="520"/>
      <c r="DM130" s="520"/>
      <c r="DN130" s="520"/>
      <c r="DO130" s="520"/>
      <c r="DP130" s="520"/>
      <c r="DQ130" s="520"/>
      <c r="DR130" s="520"/>
      <c r="DS130" s="520"/>
      <c r="DT130" s="520"/>
      <c r="DU130" s="520"/>
      <c r="DV130" s="520"/>
      <c r="DW130" s="520"/>
      <c r="DX130" s="520"/>
      <c r="DY130" s="520"/>
      <c r="DZ130" s="520"/>
      <c r="EA130" s="520"/>
      <c r="EB130" s="520"/>
      <c r="EC130" s="520"/>
      <c r="ED130" s="520"/>
      <c r="EE130" s="520"/>
      <c r="EF130" s="520"/>
      <c r="EG130" s="520"/>
      <c r="EH130" s="520"/>
      <c r="EI130" s="520"/>
      <c r="EJ130" s="520"/>
      <c r="EK130" s="520"/>
      <c r="EL130" s="520"/>
      <c r="EM130" s="520"/>
      <c r="EN130" s="520"/>
      <c r="EO130" s="520"/>
      <c r="EP130" s="520"/>
      <c r="EQ130" s="520"/>
      <c r="ER130" s="520"/>
      <c r="ES130" s="520"/>
      <c r="ET130" s="520"/>
      <c r="EU130" s="520"/>
      <c r="EV130" s="520"/>
      <c r="EW130" s="520"/>
    </row>
    <row r="131" spans="1:153" s="521" customFormat="1" ht="19.5" customHeight="1">
      <c r="A131" s="566" t="s">
        <v>3518</v>
      </c>
      <c r="B131" s="525"/>
      <c r="C131" s="520"/>
      <c r="D131" s="520"/>
      <c r="E131" s="520"/>
      <c r="F131" s="520"/>
      <c r="G131" s="520"/>
      <c r="H131" s="520"/>
      <c r="I131" s="520"/>
      <c r="J131" s="520"/>
      <c r="K131" s="520"/>
      <c r="L131" s="526"/>
      <c r="M131" s="526"/>
      <c r="N131" s="526"/>
      <c r="O131" s="526"/>
      <c r="P131" s="534"/>
      <c r="Q131" s="537">
        <f>Q129-$AA131*0.5</f>
        <v>2.0000000000000001E-4</v>
      </c>
      <c r="R131" s="537">
        <f t="shared" ref="R131:Z131" si="68">R129-$AA131*0.5</f>
        <v>2.0000000000000001E-4</v>
      </c>
      <c r="S131" s="537">
        <f t="shared" si="68"/>
        <v>2.0000000000000001E-4</v>
      </c>
      <c r="T131" s="537">
        <f t="shared" si="68"/>
        <v>2.0000000000000001E-4</v>
      </c>
      <c r="U131" s="537">
        <f t="shared" si="68"/>
        <v>2.0000000000000001E-4</v>
      </c>
      <c r="V131" s="537">
        <f t="shared" si="68"/>
        <v>2.0000000000000001E-4</v>
      </c>
      <c r="W131" s="537">
        <f t="shared" si="68"/>
        <v>2.0000000000000001E-4</v>
      </c>
      <c r="X131" s="537">
        <f t="shared" si="68"/>
        <v>2.0000000000000001E-4</v>
      </c>
      <c r="Y131" s="537">
        <f t="shared" si="68"/>
        <v>2.0000000000000001E-4</v>
      </c>
      <c r="Z131" s="537">
        <f t="shared" si="68"/>
        <v>2.0000000000000001E-4</v>
      </c>
      <c r="AA131" s="538">
        <v>4.0000000000000002E-4</v>
      </c>
      <c r="AB131" s="520"/>
      <c r="AC131" s="520"/>
      <c r="AD131" s="520"/>
      <c r="AE131" s="520"/>
      <c r="AF131" s="520"/>
      <c r="AG131" s="520"/>
      <c r="AH131" s="520"/>
      <c r="AI131" s="520"/>
      <c r="AJ131" s="520"/>
      <c r="AK131" s="520"/>
      <c r="AL131" s="520"/>
      <c r="AM131" s="520"/>
      <c r="AN131" s="520"/>
      <c r="AO131" s="520"/>
      <c r="AP131" s="520"/>
      <c r="AQ131" s="520"/>
      <c r="AR131" s="520"/>
      <c r="AS131" s="520"/>
      <c r="AT131" s="520"/>
      <c r="AU131" s="520"/>
      <c r="AV131" s="520"/>
      <c r="AW131" s="520"/>
      <c r="AX131" s="520"/>
      <c r="AY131" s="520"/>
      <c r="AZ131" s="520"/>
      <c r="BA131" s="520"/>
      <c r="BB131" s="520"/>
      <c r="BC131" s="520"/>
      <c r="BD131" s="520"/>
      <c r="BE131" s="520"/>
      <c r="BF131" s="520"/>
      <c r="BG131" s="520"/>
      <c r="BH131" s="520"/>
      <c r="BI131" s="520"/>
      <c r="BJ131" s="520"/>
      <c r="BK131" s="520"/>
      <c r="BL131" s="520"/>
      <c r="BM131" s="520"/>
      <c r="BN131" s="520"/>
      <c r="BO131" s="520"/>
      <c r="BP131" s="520"/>
      <c r="BQ131" s="520"/>
      <c r="BR131" s="520"/>
      <c r="BS131" s="520"/>
      <c r="BT131" s="520"/>
      <c r="BU131" s="520"/>
      <c r="BV131" s="520"/>
      <c r="BW131" s="520"/>
      <c r="BX131" s="520"/>
      <c r="BY131" s="520"/>
      <c r="BZ131" s="520"/>
      <c r="CA131" s="520"/>
      <c r="CB131" s="520"/>
      <c r="CC131" s="520"/>
      <c r="CD131" s="520"/>
      <c r="CE131" s="520"/>
      <c r="CF131" s="520"/>
      <c r="CG131" s="520"/>
      <c r="CH131" s="520"/>
      <c r="CI131" s="520"/>
      <c r="CJ131" s="520"/>
      <c r="CK131" s="520"/>
      <c r="CL131" s="520"/>
      <c r="CM131" s="520"/>
      <c r="CN131" s="520"/>
      <c r="CO131" s="520"/>
      <c r="CP131" s="520"/>
      <c r="CQ131" s="520"/>
      <c r="CR131" s="520"/>
      <c r="CS131" s="520"/>
      <c r="CT131" s="520"/>
      <c r="CU131" s="520"/>
      <c r="CV131" s="520"/>
      <c r="CW131" s="520"/>
      <c r="CX131" s="520"/>
      <c r="CY131" s="520"/>
      <c r="CZ131" s="520"/>
      <c r="DA131" s="520"/>
      <c r="DB131" s="520"/>
      <c r="DC131" s="520"/>
      <c r="DD131" s="520"/>
      <c r="DE131" s="520"/>
      <c r="DF131" s="520"/>
      <c r="DG131" s="520"/>
      <c r="DH131" s="520"/>
      <c r="DI131" s="520"/>
      <c r="DJ131" s="520"/>
      <c r="DK131" s="520"/>
      <c r="DL131" s="520"/>
      <c r="DM131" s="520"/>
      <c r="DN131" s="520"/>
      <c r="DO131" s="520"/>
      <c r="DP131" s="520"/>
      <c r="DQ131" s="520"/>
      <c r="DR131" s="520"/>
      <c r="DS131" s="520"/>
      <c r="DT131" s="520"/>
      <c r="DU131" s="520"/>
      <c r="DV131" s="520"/>
      <c r="DW131" s="520"/>
      <c r="DX131" s="520"/>
      <c r="DY131" s="520"/>
      <c r="DZ131" s="520"/>
      <c r="EA131" s="520"/>
      <c r="EB131" s="520"/>
      <c r="EC131" s="520"/>
      <c r="ED131" s="520"/>
      <c r="EE131" s="520"/>
      <c r="EF131" s="520"/>
      <c r="EG131" s="520"/>
      <c r="EH131" s="520"/>
      <c r="EI131" s="520"/>
      <c r="EJ131" s="520"/>
      <c r="EK131" s="520"/>
      <c r="EL131" s="520"/>
      <c r="EM131" s="520"/>
      <c r="EN131" s="520"/>
      <c r="EO131" s="520"/>
      <c r="EP131" s="520"/>
      <c r="EQ131" s="520"/>
      <c r="ER131" s="520"/>
      <c r="ES131" s="520"/>
      <c r="ET131" s="520"/>
      <c r="EU131" s="520"/>
      <c r="EV131" s="520"/>
      <c r="EW131" s="520"/>
    </row>
    <row r="132" spans="1:153" s="521" customFormat="1" ht="19.5" customHeight="1">
      <c r="A132" s="566"/>
      <c r="B132" s="525"/>
      <c r="C132" s="520"/>
      <c r="D132" s="520"/>
      <c r="E132" s="520"/>
      <c r="F132" s="520"/>
      <c r="G132" s="520"/>
      <c r="H132" s="520"/>
      <c r="I132" s="520"/>
      <c r="J132" s="520"/>
      <c r="K132" s="520"/>
      <c r="L132" s="526"/>
      <c r="M132" s="526"/>
      <c r="N132" s="526"/>
      <c r="O132" s="526"/>
      <c r="P132" s="534"/>
      <c r="Q132" s="564"/>
      <c r="R132" s="564"/>
      <c r="S132" s="564"/>
      <c r="T132" s="564"/>
      <c r="U132" s="564"/>
      <c r="V132" s="564"/>
      <c r="W132" s="564"/>
      <c r="X132" s="564"/>
      <c r="Y132" s="564"/>
      <c r="Z132" s="564"/>
      <c r="AA132" s="564"/>
      <c r="AB132" s="520"/>
      <c r="AC132" s="520"/>
      <c r="AD132" s="520"/>
      <c r="AE132" s="520"/>
      <c r="AF132" s="520"/>
      <c r="AG132" s="520"/>
      <c r="AH132" s="520"/>
      <c r="AI132" s="520"/>
      <c r="AJ132" s="520"/>
      <c r="AK132" s="520"/>
      <c r="AL132" s="520"/>
      <c r="AM132" s="520"/>
      <c r="AN132" s="520"/>
      <c r="AO132" s="520"/>
      <c r="AP132" s="520"/>
      <c r="AQ132" s="520"/>
      <c r="AR132" s="520"/>
      <c r="AS132" s="520"/>
      <c r="AT132" s="520"/>
      <c r="AU132" s="520"/>
      <c r="AV132" s="520"/>
      <c r="AW132" s="520"/>
      <c r="AX132" s="520"/>
      <c r="AY132" s="520"/>
      <c r="AZ132" s="520"/>
      <c r="BA132" s="520"/>
      <c r="BB132" s="520"/>
      <c r="BC132" s="520"/>
      <c r="BD132" s="520"/>
      <c r="BE132" s="520"/>
      <c r="BF132" s="520"/>
      <c r="BG132" s="520"/>
      <c r="BH132" s="520"/>
      <c r="BI132" s="520"/>
      <c r="BJ132" s="520"/>
      <c r="BK132" s="520"/>
      <c r="BL132" s="520"/>
      <c r="BM132" s="520"/>
      <c r="BN132" s="520"/>
      <c r="BO132" s="520"/>
      <c r="BP132" s="520"/>
      <c r="BQ132" s="520"/>
      <c r="BR132" s="520"/>
      <c r="BS132" s="520"/>
      <c r="BT132" s="520"/>
      <c r="BU132" s="520"/>
      <c r="BV132" s="520"/>
      <c r="BW132" s="520"/>
      <c r="BX132" s="520"/>
      <c r="BY132" s="520"/>
      <c r="BZ132" s="520"/>
      <c r="CA132" s="520"/>
      <c r="CB132" s="520"/>
      <c r="CC132" s="520"/>
      <c r="CD132" s="520"/>
      <c r="CE132" s="520"/>
      <c r="CF132" s="520"/>
      <c r="CG132" s="520"/>
      <c r="CH132" s="520"/>
      <c r="CI132" s="520"/>
      <c r="CJ132" s="520"/>
      <c r="CK132" s="520"/>
      <c r="CL132" s="520"/>
      <c r="CM132" s="520"/>
      <c r="CN132" s="520"/>
      <c r="CO132" s="520"/>
      <c r="CP132" s="520"/>
      <c r="CQ132" s="520"/>
      <c r="CR132" s="520"/>
      <c r="CS132" s="520"/>
      <c r="CT132" s="520"/>
      <c r="CU132" s="520"/>
      <c r="CV132" s="520"/>
      <c r="CW132" s="520"/>
      <c r="CX132" s="520"/>
      <c r="CY132" s="520"/>
      <c r="CZ132" s="520"/>
      <c r="DA132" s="520"/>
      <c r="DB132" s="520"/>
      <c r="DC132" s="520"/>
      <c r="DD132" s="520"/>
      <c r="DE132" s="520"/>
      <c r="DF132" s="520"/>
      <c r="DG132" s="520"/>
      <c r="DH132" s="520"/>
      <c r="DI132" s="520"/>
      <c r="DJ132" s="520"/>
      <c r="DK132" s="520"/>
      <c r="DL132" s="520"/>
      <c r="DM132" s="520"/>
      <c r="DN132" s="520"/>
      <c r="DO132" s="520"/>
      <c r="DP132" s="520"/>
      <c r="DQ132" s="520"/>
      <c r="DR132" s="520"/>
      <c r="DS132" s="520"/>
      <c r="DT132" s="520"/>
      <c r="DU132" s="520"/>
      <c r="DV132" s="520"/>
      <c r="DW132" s="520"/>
      <c r="DX132" s="520"/>
      <c r="DY132" s="520"/>
      <c r="DZ132" s="520"/>
      <c r="EA132" s="520"/>
      <c r="EB132" s="520"/>
      <c r="EC132" s="520"/>
      <c r="ED132" s="520"/>
      <c r="EE132" s="520"/>
      <c r="EF132" s="520"/>
      <c r="EG132" s="520"/>
      <c r="EH132" s="520"/>
      <c r="EI132" s="520"/>
      <c r="EJ132" s="520"/>
      <c r="EK132" s="520"/>
      <c r="EL132" s="520"/>
      <c r="EM132" s="520"/>
      <c r="EN132" s="520"/>
      <c r="EO132" s="520"/>
      <c r="EP132" s="520"/>
      <c r="EQ132" s="520"/>
      <c r="ER132" s="520"/>
      <c r="ES132" s="520"/>
      <c r="ET132" s="520"/>
      <c r="EU132" s="520"/>
      <c r="EV132" s="520"/>
      <c r="EW132" s="520"/>
    </row>
    <row r="133" spans="1:153" s="521" customFormat="1" ht="19.5" customHeight="1">
      <c r="A133" s="566" t="s">
        <v>3692</v>
      </c>
      <c r="B133" s="525"/>
      <c r="C133" s="520"/>
      <c r="D133" s="520"/>
      <c r="E133" s="520"/>
      <c r="F133" s="520"/>
      <c r="G133" s="520"/>
      <c r="H133" s="520"/>
      <c r="I133" s="520"/>
      <c r="J133" s="520"/>
      <c r="K133" s="520"/>
      <c r="L133" s="565">
        <f>Metrics!D34</f>
        <v>0</v>
      </c>
      <c r="M133" s="565">
        <f>Metrics!E34</f>
        <v>0</v>
      </c>
      <c r="N133" s="565">
        <f>Metrics!F34</f>
        <v>95472</v>
      </c>
      <c r="O133" s="565">
        <f>Metrics!G34</f>
        <v>210193</v>
      </c>
      <c r="P133" s="565">
        <f>Metrics!H34</f>
        <v>252888</v>
      </c>
      <c r="Q133" s="557">
        <f t="shared" ref="Q133" si="69">P133*1.1</f>
        <v>278176.80000000005</v>
      </c>
      <c r="R133" s="557">
        <f t="shared" ref="R133" si="70">Q133*1.1</f>
        <v>305994.4800000001</v>
      </c>
      <c r="S133" s="557">
        <f t="shared" ref="S133:Z133" si="71">R133*1.1</f>
        <v>336593.92800000013</v>
      </c>
      <c r="T133" s="557">
        <f t="shared" si="71"/>
        <v>370253.32080000016</v>
      </c>
      <c r="U133" s="557">
        <f t="shared" si="71"/>
        <v>407278.65288000018</v>
      </c>
      <c r="V133" s="557">
        <f t="shared" si="71"/>
        <v>448006.51816800021</v>
      </c>
      <c r="W133" s="557">
        <f t="shared" si="71"/>
        <v>492807.16998480028</v>
      </c>
      <c r="X133" s="557">
        <f t="shared" si="71"/>
        <v>542087.8869832803</v>
      </c>
      <c r="Y133" s="557">
        <f t="shared" si="71"/>
        <v>596296.67568160838</v>
      </c>
      <c r="Z133" s="557">
        <f t="shared" si="71"/>
        <v>655926.3432497693</v>
      </c>
      <c r="AA133" s="564"/>
      <c r="AB133" s="520"/>
      <c r="AC133" s="520"/>
      <c r="AD133" s="520"/>
      <c r="AE133" s="520"/>
      <c r="AF133" s="520"/>
      <c r="AG133" s="520"/>
      <c r="AH133" s="520"/>
      <c r="AI133" s="520"/>
      <c r="AJ133" s="520"/>
      <c r="AK133" s="520"/>
      <c r="AL133" s="520"/>
      <c r="AM133" s="520"/>
      <c r="AN133" s="520"/>
      <c r="AO133" s="520"/>
      <c r="AP133" s="520"/>
      <c r="AQ133" s="520"/>
      <c r="AR133" s="520"/>
      <c r="AS133" s="520"/>
      <c r="AT133" s="520"/>
      <c r="AU133" s="520"/>
      <c r="AV133" s="520"/>
      <c r="AW133" s="520"/>
      <c r="AX133" s="520"/>
      <c r="AY133" s="520"/>
      <c r="AZ133" s="520"/>
      <c r="BA133" s="520"/>
      <c r="BB133" s="520"/>
      <c r="BC133" s="520"/>
      <c r="BD133" s="520"/>
      <c r="BE133" s="520"/>
      <c r="BF133" s="520"/>
      <c r="BG133" s="520"/>
      <c r="BH133" s="520"/>
      <c r="BI133" s="520"/>
      <c r="BJ133" s="520"/>
      <c r="BK133" s="520"/>
      <c r="BL133" s="520"/>
      <c r="BM133" s="520"/>
      <c r="BN133" s="520"/>
      <c r="BO133" s="520"/>
      <c r="BP133" s="520"/>
      <c r="BQ133" s="520"/>
      <c r="BR133" s="520"/>
      <c r="BS133" s="520"/>
      <c r="BT133" s="520"/>
      <c r="BU133" s="520"/>
      <c r="BV133" s="520"/>
      <c r="BW133" s="520"/>
      <c r="BX133" s="520"/>
      <c r="BY133" s="520"/>
      <c r="BZ133" s="520"/>
      <c r="CA133" s="520"/>
      <c r="CB133" s="520"/>
      <c r="CC133" s="520"/>
      <c r="CD133" s="520"/>
      <c r="CE133" s="520"/>
      <c r="CF133" s="520"/>
      <c r="CG133" s="520"/>
      <c r="CH133" s="520"/>
      <c r="CI133" s="520"/>
      <c r="CJ133" s="520"/>
      <c r="CK133" s="520"/>
      <c r="CL133" s="520"/>
      <c r="CM133" s="520"/>
      <c r="CN133" s="520"/>
      <c r="CO133" s="520"/>
      <c r="CP133" s="520"/>
      <c r="CQ133" s="520"/>
      <c r="CR133" s="520"/>
      <c r="CS133" s="520"/>
      <c r="CT133" s="520"/>
      <c r="CU133" s="520"/>
      <c r="CV133" s="520"/>
      <c r="CW133" s="520"/>
      <c r="CX133" s="520"/>
      <c r="CY133" s="520"/>
      <c r="CZ133" s="520"/>
      <c r="DA133" s="520"/>
      <c r="DB133" s="520"/>
      <c r="DC133" s="520"/>
      <c r="DD133" s="520"/>
      <c r="DE133" s="520"/>
      <c r="DF133" s="520"/>
      <c r="DG133" s="520"/>
      <c r="DH133" s="520"/>
      <c r="DI133" s="520"/>
      <c r="DJ133" s="520"/>
      <c r="DK133" s="520"/>
      <c r="DL133" s="520"/>
      <c r="DM133" s="520"/>
      <c r="DN133" s="520"/>
      <c r="DO133" s="520"/>
      <c r="DP133" s="520"/>
      <c r="DQ133" s="520"/>
      <c r="DR133" s="520"/>
      <c r="DS133" s="520"/>
      <c r="DT133" s="520"/>
      <c r="DU133" s="520"/>
      <c r="DV133" s="520"/>
      <c r="DW133" s="520"/>
      <c r="DX133" s="520"/>
      <c r="DY133" s="520"/>
      <c r="DZ133" s="520"/>
      <c r="EA133" s="520"/>
      <c r="EB133" s="520"/>
      <c r="EC133" s="520"/>
      <c r="ED133" s="520"/>
      <c r="EE133" s="520"/>
      <c r="EF133" s="520"/>
      <c r="EG133" s="520"/>
      <c r="EH133" s="520"/>
      <c r="EI133" s="520"/>
      <c r="EJ133" s="520"/>
      <c r="EK133" s="520"/>
      <c r="EL133" s="520"/>
      <c r="EM133" s="520"/>
      <c r="EN133" s="520"/>
      <c r="EO133" s="520"/>
      <c r="EP133" s="520"/>
      <c r="EQ133" s="520"/>
      <c r="ER133" s="520"/>
      <c r="ES133" s="520"/>
      <c r="ET133" s="520"/>
      <c r="EU133" s="520"/>
      <c r="EV133" s="520"/>
      <c r="EW133" s="520"/>
    </row>
    <row r="134" spans="1:153" s="521" customFormat="1" ht="19.5" customHeight="1">
      <c r="A134" s="566"/>
      <c r="B134" s="525"/>
      <c r="C134" s="520"/>
      <c r="D134" s="520"/>
      <c r="E134" s="520"/>
      <c r="F134" s="520"/>
      <c r="G134" s="520"/>
      <c r="H134" s="520"/>
      <c r="I134" s="520"/>
      <c r="J134" s="520"/>
      <c r="K134" s="520"/>
      <c r="L134" s="526"/>
      <c r="M134" s="526"/>
      <c r="N134" s="526"/>
      <c r="O134" s="526"/>
      <c r="P134" s="534"/>
      <c r="Q134" s="564">
        <f ca="1">Q136/P136</f>
        <v>0.80365562315176675</v>
      </c>
      <c r="R134" s="564"/>
      <c r="S134" s="564"/>
      <c r="T134" s="564"/>
      <c r="U134" s="564"/>
      <c r="V134" s="564"/>
      <c r="W134" s="564"/>
      <c r="X134" s="564"/>
      <c r="Y134" s="564"/>
      <c r="Z134" s="564"/>
      <c r="AA134" s="564"/>
      <c r="AB134" s="520"/>
      <c r="AC134" s="520"/>
      <c r="AD134" s="520"/>
      <c r="AE134" s="520"/>
      <c r="AF134" s="520"/>
      <c r="AG134" s="520"/>
      <c r="AH134" s="520"/>
      <c r="AI134" s="520"/>
      <c r="AJ134" s="520"/>
      <c r="AK134" s="520"/>
      <c r="AL134" s="520"/>
      <c r="AM134" s="520"/>
      <c r="AN134" s="520"/>
      <c r="AO134" s="520"/>
      <c r="AP134" s="520"/>
      <c r="AQ134" s="520"/>
      <c r="AR134" s="520"/>
      <c r="AS134" s="520"/>
      <c r="AT134" s="520"/>
      <c r="AU134" s="520"/>
      <c r="AV134" s="520"/>
      <c r="AW134" s="520"/>
      <c r="AX134" s="520"/>
      <c r="AY134" s="520"/>
      <c r="AZ134" s="520"/>
      <c r="BA134" s="520"/>
      <c r="BB134" s="520"/>
      <c r="BC134" s="520"/>
      <c r="BD134" s="520"/>
      <c r="BE134" s="520"/>
      <c r="BF134" s="520"/>
      <c r="BG134" s="520"/>
      <c r="BH134" s="520"/>
      <c r="BI134" s="520"/>
      <c r="BJ134" s="520"/>
      <c r="BK134" s="520"/>
      <c r="BL134" s="520"/>
      <c r="BM134" s="520"/>
      <c r="BN134" s="520"/>
      <c r="BO134" s="520"/>
      <c r="BP134" s="520"/>
      <c r="BQ134" s="520"/>
      <c r="BR134" s="520"/>
      <c r="BS134" s="520"/>
      <c r="BT134" s="520"/>
      <c r="BU134" s="520"/>
      <c r="BV134" s="520"/>
      <c r="BW134" s="520"/>
      <c r="BX134" s="520"/>
      <c r="BY134" s="520"/>
      <c r="BZ134" s="520"/>
      <c r="CA134" s="520"/>
      <c r="CB134" s="520"/>
      <c r="CC134" s="520"/>
      <c r="CD134" s="520"/>
      <c r="CE134" s="520"/>
      <c r="CF134" s="520"/>
      <c r="CG134" s="520"/>
      <c r="CH134" s="520"/>
      <c r="CI134" s="520"/>
      <c r="CJ134" s="520"/>
      <c r="CK134" s="520"/>
      <c r="CL134" s="520"/>
      <c r="CM134" s="520"/>
      <c r="CN134" s="520"/>
      <c r="CO134" s="520"/>
      <c r="CP134" s="520"/>
      <c r="CQ134" s="520"/>
      <c r="CR134" s="520"/>
      <c r="CS134" s="520"/>
      <c r="CT134" s="520"/>
      <c r="CU134" s="520"/>
      <c r="CV134" s="520"/>
      <c r="CW134" s="520"/>
      <c r="CX134" s="520"/>
      <c r="CY134" s="520"/>
      <c r="CZ134" s="520"/>
      <c r="DA134" s="520"/>
      <c r="DB134" s="520"/>
      <c r="DC134" s="520"/>
      <c r="DD134" s="520"/>
      <c r="DE134" s="520"/>
      <c r="DF134" s="520"/>
      <c r="DG134" s="520"/>
      <c r="DH134" s="520"/>
      <c r="DI134" s="520"/>
      <c r="DJ134" s="520"/>
      <c r="DK134" s="520"/>
      <c r="DL134" s="520"/>
      <c r="DM134" s="520"/>
      <c r="DN134" s="520"/>
      <c r="DO134" s="520"/>
      <c r="DP134" s="520"/>
      <c r="DQ134" s="520"/>
      <c r="DR134" s="520"/>
      <c r="DS134" s="520"/>
      <c r="DT134" s="520"/>
      <c r="DU134" s="520"/>
      <c r="DV134" s="520"/>
      <c r="DW134" s="520"/>
      <c r="DX134" s="520"/>
      <c r="DY134" s="520"/>
      <c r="DZ134" s="520"/>
      <c r="EA134" s="520"/>
      <c r="EB134" s="520"/>
      <c r="EC134" s="520"/>
      <c r="ED134" s="520"/>
      <c r="EE134" s="520"/>
      <c r="EF134" s="520"/>
      <c r="EG134" s="520"/>
      <c r="EH134" s="520"/>
      <c r="EI134" s="520"/>
      <c r="EJ134" s="520"/>
      <c r="EK134" s="520"/>
      <c r="EL134" s="520"/>
      <c r="EM134" s="520"/>
      <c r="EN134" s="520"/>
      <c r="EO134" s="520"/>
      <c r="EP134" s="520"/>
      <c r="EQ134" s="520"/>
      <c r="ER134" s="520"/>
      <c r="ES134" s="520"/>
      <c r="ET134" s="520"/>
      <c r="EU134" s="520"/>
      <c r="EV134" s="520"/>
      <c r="EW134" s="520"/>
    </row>
    <row r="135" spans="1:153" s="521" customFormat="1" ht="15">
      <c r="A135" s="692"/>
      <c r="B135" s="525"/>
      <c r="C135" s="520"/>
      <c r="D135" s="520"/>
      <c r="E135" s="520"/>
      <c r="F135" s="520"/>
      <c r="G135" s="520"/>
      <c r="H135" s="520"/>
      <c r="I135" s="520"/>
      <c r="J135" s="520"/>
      <c r="K135" s="520"/>
      <c r="L135" s="526"/>
      <c r="M135" s="526"/>
      <c r="N135" s="526"/>
      <c r="O135" s="526"/>
      <c r="P135" s="534"/>
      <c r="Q135" s="534"/>
      <c r="R135" s="534"/>
      <c r="S135" s="534"/>
      <c r="T135" s="534"/>
      <c r="U135" s="534"/>
      <c r="V135" s="534"/>
      <c r="W135" s="534"/>
      <c r="X135" s="534"/>
      <c r="Y135" s="534"/>
      <c r="Z135" s="534"/>
      <c r="AA135" s="526"/>
      <c r="AB135" s="520"/>
      <c r="AC135" s="520"/>
      <c r="AD135" s="520"/>
      <c r="AE135" s="520"/>
      <c r="AF135" s="520"/>
      <c r="AG135" s="520"/>
      <c r="AH135" s="520"/>
      <c r="AI135" s="520"/>
      <c r="AJ135" s="520"/>
      <c r="AK135" s="520"/>
      <c r="AL135" s="520"/>
      <c r="AM135" s="520"/>
      <c r="AN135" s="520"/>
      <c r="AO135" s="520"/>
      <c r="AP135" s="520"/>
      <c r="AQ135" s="520"/>
      <c r="AR135" s="520"/>
      <c r="AS135" s="520"/>
      <c r="AT135" s="520"/>
      <c r="AU135" s="520"/>
      <c r="AV135" s="520"/>
      <c r="AW135" s="520"/>
      <c r="AX135" s="520"/>
      <c r="AY135" s="520"/>
      <c r="AZ135" s="520"/>
      <c r="BA135" s="520"/>
      <c r="BB135" s="520"/>
      <c r="BC135" s="520"/>
      <c r="BD135" s="520"/>
      <c r="BE135" s="520"/>
      <c r="BF135" s="520"/>
      <c r="BG135" s="520"/>
      <c r="BH135" s="520"/>
      <c r="BI135" s="520"/>
      <c r="BJ135" s="520"/>
      <c r="BK135" s="520"/>
      <c r="BL135" s="520"/>
      <c r="BM135" s="520"/>
      <c r="BN135" s="520"/>
      <c r="BO135" s="520"/>
      <c r="BP135" s="520"/>
      <c r="BQ135" s="520"/>
      <c r="BR135" s="520"/>
      <c r="BS135" s="520"/>
      <c r="BT135" s="520"/>
      <c r="BU135" s="520"/>
      <c r="BV135" s="520"/>
      <c r="BW135" s="520"/>
      <c r="BX135" s="520"/>
      <c r="BY135" s="520"/>
      <c r="BZ135" s="520"/>
      <c r="CA135" s="520"/>
      <c r="CB135" s="520"/>
      <c r="CC135" s="520"/>
      <c r="CD135" s="520"/>
      <c r="CE135" s="520"/>
      <c r="CF135" s="520"/>
      <c r="CG135" s="520"/>
      <c r="CH135" s="520"/>
      <c r="CI135" s="520"/>
      <c r="CJ135" s="520"/>
      <c r="CK135" s="520"/>
      <c r="CL135" s="520"/>
      <c r="CM135" s="520"/>
      <c r="CN135" s="520"/>
      <c r="CO135" s="520"/>
      <c r="CP135" s="520"/>
      <c r="CQ135" s="520"/>
      <c r="CR135" s="520"/>
      <c r="CS135" s="520"/>
      <c r="CT135" s="520"/>
      <c r="CU135" s="520"/>
      <c r="CV135" s="520"/>
      <c r="CW135" s="520"/>
      <c r="CX135" s="520"/>
      <c r="CY135" s="520"/>
      <c r="CZ135" s="520"/>
      <c r="DA135" s="520"/>
      <c r="DB135" s="520"/>
      <c r="DC135" s="520"/>
      <c r="DD135" s="520"/>
      <c r="DE135" s="520"/>
      <c r="DF135" s="520"/>
      <c r="DG135" s="520"/>
      <c r="DH135" s="520"/>
      <c r="DI135" s="520"/>
      <c r="DJ135" s="520"/>
      <c r="DK135" s="520"/>
      <c r="DL135" s="520"/>
      <c r="DM135" s="520"/>
      <c r="DN135" s="520"/>
      <c r="DO135" s="520"/>
      <c r="DP135" s="520"/>
      <c r="DQ135" s="520"/>
      <c r="DR135" s="520"/>
      <c r="DS135" s="520"/>
      <c r="DT135" s="520"/>
      <c r="DU135" s="520"/>
      <c r="DV135" s="520"/>
      <c r="DW135" s="520"/>
      <c r="DX135" s="520"/>
      <c r="DY135" s="520"/>
      <c r="DZ135" s="520"/>
      <c r="EA135" s="520"/>
      <c r="EB135" s="520"/>
      <c r="EC135" s="520"/>
      <c r="ED135" s="520"/>
      <c r="EE135" s="520"/>
      <c r="EF135" s="520"/>
      <c r="EG135" s="520"/>
      <c r="EH135" s="520"/>
      <c r="EI135" s="520"/>
      <c r="EJ135" s="520"/>
      <c r="EK135" s="520"/>
      <c r="EL135" s="520"/>
      <c r="EM135" s="520"/>
      <c r="EN135" s="520"/>
      <c r="EO135" s="520"/>
      <c r="EP135" s="520"/>
      <c r="EQ135" s="520"/>
      <c r="ER135" s="520"/>
      <c r="ES135" s="520"/>
      <c r="ET135" s="520"/>
      <c r="EU135" s="520"/>
      <c r="EV135" s="520"/>
      <c r="EW135" s="520"/>
    </row>
    <row r="136" spans="1:153" s="521" customFormat="1" ht="15">
      <c r="A136" s="695" t="s">
        <v>3528</v>
      </c>
      <c r="B136" s="525"/>
      <c r="C136" s="520"/>
      <c r="D136" s="520"/>
      <c r="E136" s="520"/>
      <c r="F136" s="520"/>
      <c r="G136" s="520"/>
      <c r="H136" s="520"/>
      <c r="I136" s="520"/>
      <c r="J136" s="520"/>
      <c r="K136" s="561">
        <f>Metrics!C23</f>
        <v>1096174</v>
      </c>
      <c r="L136" s="561">
        <f>Metrics!D23</f>
        <v>6837266</v>
      </c>
      <c r="M136" s="561">
        <f>Metrics!E23</f>
        <v>2356244</v>
      </c>
      <c r="N136" s="561">
        <f>Metrics!F23</f>
        <v>1519654</v>
      </c>
      <c r="O136" s="561">
        <f>Metrics!G23</f>
        <v>3986113</v>
      </c>
      <c r="P136" s="561">
        <f>Metrics!H23</f>
        <v>4055390</v>
      </c>
      <c r="Q136" s="561">
        <f ca="1">Q121+Q127+Q133</f>
        <v>3259136.9775734432</v>
      </c>
      <c r="R136" s="561">
        <f t="shared" ref="R136:Z136" ca="1" si="72">R121+R127+R133</f>
        <v>3499785.2203698508</v>
      </c>
      <c r="S136" s="561">
        <f t="shared" ca="1" si="72"/>
        <v>4163993.7587717064</v>
      </c>
      <c r="T136" s="561">
        <f t="shared" ca="1" si="72"/>
        <v>5007368.8108819434</v>
      </c>
      <c r="U136" s="561">
        <f t="shared" ca="1" si="72"/>
        <v>5902642.8372173226</v>
      </c>
      <c r="V136" s="561">
        <f t="shared" ca="1" si="72"/>
        <v>6467059.1810247926</v>
      </c>
      <c r="W136" s="561">
        <f t="shared" ca="1" si="72"/>
        <v>7051628.6222749837</v>
      </c>
      <c r="X136" s="561">
        <f t="shared" ca="1" si="72"/>
        <v>7725322.2183057293</v>
      </c>
      <c r="Y136" s="561">
        <f t="shared" ca="1" si="72"/>
        <v>8381606.1543879407</v>
      </c>
      <c r="Z136" s="561">
        <f t="shared" ca="1" si="72"/>
        <v>8997825.0189941823</v>
      </c>
      <c r="AA136" s="526"/>
      <c r="AB136" s="520"/>
      <c r="AC136" s="520"/>
      <c r="AD136" s="520"/>
      <c r="AE136" s="520"/>
      <c r="AF136" s="520"/>
      <c r="AG136" s="520"/>
      <c r="AH136" s="520"/>
      <c r="AI136" s="520"/>
      <c r="AJ136" s="520"/>
      <c r="AK136" s="520"/>
      <c r="AL136" s="520"/>
      <c r="AM136" s="520"/>
      <c r="AN136" s="520"/>
      <c r="AO136" s="520"/>
      <c r="AP136" s="520"/>
      <c r="AQ136" s="520"/>
      <c r="AR136" s="520"/>
      <c r="AS136" s="520"/>
      <c r="AT136" s="520"/>
      <c r="AU136" s="520"/>
      <c r="AV136" s="520"/>
      <c r="AW136" s="520"/>
      <c r="AX136" s="520"/>
      <c r="AY136" s="520"/>
      <c r="AZ136" s="520"/>
      <c r="BA136" s="520"/>
      <c r="BB136" s="520"/>
      <c r="BC136" s="520"/>
      <c r="BD136" s="520"/>
      <c r="BE136" s="520"/>
      <c r="BF136" s="520"/>
      <c r="BG136" s="520"/>
      <c r="BH136" s="520"/>
      <c r="BI136" s="520"/>
      <c r="BJ136" s="520"/>
      <c r="BK136" s="520"/>
      <c r="BL136" s="520"/>
      <c r="BM136" s="520"/>
      <c r="BN136" s="520"/>
      <c r="BO136" s="520"/>
      <c r="BP136" s="520"/>
      <c r="BQ136" s="520"/>
      <c r="BR136" s="520"/>
      <c r="BS136" s="520"/>
      <c r="BT136" s="520"/>
      <c r="BU136" s="520"/>
      <c r="BV136" s="520"/>
      <c r="BW136" s="520"/>
      <c r="BX136" s="520"/>
      <c r="BY136" s="520"/>
      <c r="BZ136" s="520"/>
      <c r="CA136" s="520"/>
      <c r="CB136" s="520"/>
      <c r="CC136" s="520"/>
      <c r="CD136" s="520"/>
      <c r="CE136" s="520"/>
      <c r="CF136" s="520"/>
      <c r="CG136" s="520"/>
      <c r="CH136" s="520"/>
      <c r="CI136" s="520"/>
      <c r="CJ136" s="520"/>
      <c r="CK136" s="520"/>
      <c r="CL136" s="520"/>
      <c r="CM136" s="520"/>
      <c r="CN136" s="520"/>
      <c r="CO136" s="520"/>
      <c r="CP136" s="520"/>
      <c r="CQ136" s="520"/>
      <c r="CR136" s="520"/>
      <c r="CS136" s="520"/>
      <c r="CT136" s="520"/>
      <c r="CU136" s="520"/>
      <c r="CV136" s="520"/>
      <c r="CW136" s="520"/>
      <c r="CX136" s="520"/>
      <c r="CY136" s="520"/>
      <c r="CZ136" s="520"/>
      <c r="DA136" s="520"/>
      <c r="DB136" s="520"/>
      <c r="DC136" s="520"/>
      <c r="DD136" s="520"/>
      <c r="DE136" s="520"/>
      <c r="DF136" s="520"/>
      <c r="DG136" s="520"/>
      <c r="DH136" s="520"/>
      <c r="DI136" s="520"/>
      <c r="DJ136" s="520"/>
      <c r="DK136" s="520"/>
      <c r="DL136" s="520"/>
      <c r="DM136" s="520"/>
      <c r="DN136" s="520"/>
      <c r="DO136" s="520"/>
      <c r="DP136" s="520"/>
      <c r="DQ136" s="520"/>
      <c r="DR136" s="520"/>
      <c r="DS136" s="520"/>
      <c r="DT136" s="520"/>
      <c r="DU136" s="520"/>
      <c r="DV136" s="520"/>
      <c r="DW136" s="520"/>
      <c r="DX136" s="520"/>
      <c r="DY136" s="520"/>
      <c r="DZ136" s="520"/>
      <c r="EA136" s="520"/>
      <c r="EB136" s="520"/>
      <c r="EC136" s="520"/>
      <c r="ED136" s="520"/>
      <c r="EE136" s="520"/>
      <c r="EF136" s="520"/>
      <c r="EG136" s="520"/>
      <c r="EH136" s="520"/>
      <c r="EI136" s="520"/>
      <c r="EJ136" s="520"/>
      <c r="EK136" s="520"/>
      <c r="EL136" s="520"/>
      <c r="EM136" s="520"/>
      <c r="EN136" s="520"/>
      <c r="EO136" s="520"/>
      <c r="EP136" s="520"/>
      <c r="EQ136" s="520"/>
      <c r="ER136" s="520"/>
      <c r="ES136" s="520"/>
      <c r="ET136" s="520"/>
      <c r="EU136" s="520"/>
      <c r="EV136" s="520"/>
      <c r="EW136" s="520"/>
    </row>
    <row r="137" spans="1:153" s="521" customFormat="1" ht="20.25" customHeight="1">
      <c r="A137" s="692"/>
      <c r="B137" s="525"/>
      <c r="C137" s="520"/>
      <c r="D137" s="520"/>
      <c r="E137" s="520"/>
      <c r="F137" s="520"/>
      <c r="G137" s="520"/>
      <c r="H137" s="520"/>
      <c r="I137" s="520"/>
      <c r="J137" s="520"/>
      <c r="K137" s="520"/>
      <c r="L137" s="526"/>
      <c r="M137" s="526"/>
      <c r="N137" s="526"/>
      <c r="O137" s="526"/>
      <c r="P137" s="534"/>
      <c r="Q137" s="534">
        <v>38.36</v>
      </c>
      <c r="R137" s="534"/>
      <c r="S137" s="534"/>
      <c r="T137" s="534"/>
      <c r="U137" s="534"/>
      <c r="V137" s="534"/>
      <c r="W137" s="534"/>
      <c r="X137" s="534"/>
      <c r="Y137" s="534"/>
      <c r="Z137" s="534"/>
      <c r="AA137" s="526"/>
      <c r="AB137" s="520"/>
      <c r="AC137" s="520"/>
      <c r="AD137" s="520"/>
      <c r="AE137" s="520"/>
      <c r="AF137" s="520"/>
      <c r="AG137" s="520"/>
      <c r="AH137" s="520"/>
      <c r="AI137" s="520"/>
      <c r="AJ137" s="520"/>
      <c r="AK137" s="520"/>
      <c r="AL137" s="520"/>
      <c r="AM137" s="520"/>
      <c r="AN137" s="520"/>
      <c r="AO137" s="520"/>
      <c r="AP137" s="520"/>
      <c r="AQ137" s="520"/>
      <c r="AR137" s="520"/>
      <c r="AS137" s="520"/>
      <c r="AT137" s="520"/>
      <c r="AU137" s="520"/>
      <c r="AV137" s="520"/>
      <c r="AW137" s="520"/>
      <c r="AX137" s="520"/>
      <c r="AY137" s="520"/>
      <c r="AZ137" s="520"/>
      <c r="BA137" s="520"/>
      <c r="BB137" s="520"/>
      <c r="BC137" s="520"/>
      <c r="BD137" s="520"/>
      <c r="BE137" s="520"/>
      <c r="BF137" s="520"/>
      <c r="BG137" s="520"/>
      <c r="BH137" s="520"/>
      <c r="BI137" s="520"/>
      <c r="BJ137" s="520"/>
      <c r="BK137" s="520"/>
      <c r="BL137" s="520"/>
      <c r="BM137" s="520"/>
      <c r="BN137" s="520"/>
      <c r="BO137" s="520"/>
      <c r="BP137" s="520"/>
      <c r="BQ137" s="520"/>
      <c r="BR137" s="520"/>
      <c r="BS137" s="520"/>
      <c r="BT137" s="520"/>
      <c r="BU137" s="520"/>
      <c r="BV137" s="520"/>
      <c r="BW137" s="520"/>
      <c r="BX137" s="520"/>
      <c r="BY137" s="520"/>
      <c r="BZ137" s="520"/>
      <c r="CA137" s="520"/>
      <c r="CB137" s="520"/>
      <c r="CC137" s="520"/>
      <c r="CD137" s="520"/>
      <c r="CE137" s="520"/>
      <c r="CF137" s="520"/>
      <c r="CG137" s="520"/>
      <c r="CH137" s="520"/>
      <c r="CI137" s="520"/>
      <c r="CJ137" s="520"/>
      <c r="CK137" s="520"/>
      <c r="CL137" s="520"/>
      <c r="CM137" s="520"/>
      <c r="CN137" s="520"/>
      <c r="CO137" s="520"/>
      <c r="CP137" s="520"/>
      <c r="CQ137" s="520"/>
      <c r="CR137" s="520"/>
      <c r="CS137" s="520"/>
      <c r="CT137" s="520"/>
      <c r="CU137" s="520"/>
      <c r="CV137" s="520"/>
      <c r="CW137" s="520"/>
      <c r="CX137" s="520"/>
      <c r="CY137" s="520"/>
      <c r="CZ137" s="520"/>
      <c r="DA137" s="520"/>
      <c r="DB137" s="520"/>
      <c r="DC137" s="520"/>
      <c r="DD137" s="520"/>
      <c r="DE137" s="520"/>
      <c r="DF137" s="520"/>
      <c r="DG137" s="520"/>
      <c r="DH137" s="520"/>
      <c r="DI137" s="520"/>
      <c r="DJ137" s="520"/>
      <c r="DK137" s="520"/>
      <c r="DL137" s="520"/>
      <c r="DM137" s="520"/>
      <c r="DN137" s="520"/>
      <c r="DO137" s="520"/>
      <c r="DP137" s="520"/>
      <c r="DQ137" s="520"/>
      <c r="DR137" s="520"/>
      <c r="DS137" s="520"/>
      <c r="DT137" s="520"/>
      <c r="DU137" s="520"/>
      <c r="DV137" s="520"/>
      <c r="DW137" s="520"/>
      <c r="DX137" s="520"/>
      <c r="DY137" s="520"/>
      <c r="DZ137" s="520"/>
      <c r="EA137" s="520"/>
      <c r="EB137" s="520"/>
      <c r="EC137" s="520"/>
      <c r="ED137" s="520"/>
      <c r="EE137" s="520"/>
      <c r="EF137" s="520"/>
      <c r="EG137" s="520"/>
      <c r="EH137" s="520"/>
      <c r="EI137" s="520"/>
      <c r="EJ137" s="520"/>
      <c r="EK137" s="520"/>
      <c r="EL137" s="520"/>
      <c r="EM137" s="520"/>
      <c r="EN137" s="520"/>
      <c r="EO137" s="520"/>
      <c r="EP137" s="520"/>
      <c r="EQ137" s="520"/>
      <c r="ER137" s="520"/>
      <c r="ES137" s="520"/>
      <c r="ET137" s="520"/>
      <c r="EU137" s="520"/>
      <c r="EV137" s="520"/>
      <c r="EW137" s="520"/>
    </row>
    <row r="138" spans="1:153" s="521" customFormat="1" ht="15">
      <c r="A138" s="692"/>
      <c r="B138" s="525"/>
      <c r="C138" s="520"/>
      <c r="D138" s="520"/>
      <c r="E138" s="520"/>
      <c r="F138" s="520"/>
      <c r="G138" s="520"/>
      <c r="H138" s="520"/>
      <c r="I138" s="520"/>
      <c r="J138" s="520"/>
      <c r="K138" s="520"/>
      <c r="L138" s="526"/>
      <c r="M138" s="526"/>
      <c r="N138" s="526"/>
      <c r="O138" s="526"/>
      <c r="P138" s="534"/>
      <c r="Q138" s="534"/>
      <c r="R138" s="534"/>
      <c r="S138" s="534"/>
      <c r="T138" s="534"/>
      <c r="U138" s="534"/>
      <c r="V138" s="534"/>
      <c r="W138" s="534"/>
      <c r="X138" s="534"/>
      <c r="Y138" s="534"/>
      <c r="Z138" s="534"/>
      <c r="AA138" s="526"/>
      <c r="AB138" s="520"/>
      <c r="AC138" s="520"/>
      <c r="AD138" s="520"/>
      <c r="AE138" s="520"/>
      <c r="AF138" s="520"/>
      <c r="AG138" s="520"/>
      <c r="AH138" s="520"/>
      <c r="AI138" s="520"/>
      <c r="AJ138" s="520"/>
      <c r="AK138" s="520"/>
      <c r="AL138" s="520"/>
      <c r="AM138" s="520"/>
      <c r="AN138" s="520"/>
      <c r="AO138" s="520"/>
      <c r="AP138" s="520"/>
      <c r="AQ138" s="520"/>
      <c r="AR138" s="520"/>
      <c r="AS138" s="520"/>
      <c r="AT138" s="520"/>
      <c r="AU138" s="520"/>
      <c r="AV138" s="520"/>
      <c r="AW138" s="520"/>
      <c r="AX138" s="520"/>
      <c r="AY138" s="520"/>
      <c r="AZ138" s="520"/>
      <c r="BA138" s="520"/>
      <c r="BB138" s="520"/>
      <c r="BC138" s="520"/>
      <c r="BD138" s="520"/>
      <c r="BE138" s="520"/>
      <c r="BF138" s="520"/>
      <c r="BG138" s="520"/>
      <c r="BH138" s="520"/>
      <c r="BI138" s="520"/>
      <c r="BJ138" s="520"/>
      <c r="BK138" s="520"/>
      <c r="BL138" s="520"/>
      <c r="BM138" s="520"/>
      <c r="BN138" s="520"/>
      <c r="BO138" s="520"/>
      <c r="BP138" s="520"/>
      <c r="BQ138" s="520"/>
      <c r="BR138" s="520"/>
      <c r="BS138" s="520"/>
      <c r="BT138" s="520"/>
      <c r="BU138" s="520"/>
      <c r="BV138" s="520"/>
      <c r="BW138" s="520"/>
      <c r="BX138" s="520"/>
      <c r="BY138" s="520"/>
      <c r="BZ138" s="520"/>
      <c r="CA138" s="520"/>
      <c r="CB138" s="520"/>
      <c r="CC138" s="520"/>
      <c r="CD138" s="520"/>
      <c r="CE138" s="520"/>
      <c r="CF138" s="520"/>
      <c r="CG138" s="520"/>
      <c r="CH138" s="520"/>
      <c r="CI138" s="520"/>
      <c r="CJ138" s="520"/>
      <c r="CK138" s="520"/>
      <c r="CL138" s="520"/>
      <c r="CM138" s="520"/>
      <c r="CN138" s="520"/>
      <c r="CO138" s="520"/>
      <c r="CP138" s="520"/>
      <c r="CQ138" s="520"/>
      <c r="CR138" s="520"/>
      <c r="CS138" s="520"/>
      <c r="CT138" s="520"/>
      <c r="CU138" s="520"/>
      <c r="CV138" s="520"/>
      <c r="CW138" s="520"/>
      <c r="CX138" s="520"/>
      <c r="CY138" s="520"/>
      <c r="CZ138" s="520"/>
      <c r="DA138" s="520"/>
      <c r="DB138" s="520"/>
      <c r="DC138" s="520"/>
      <c r="DD138" s="520"/>
      <c r="DE138" s="520"/>
      <c r="DF138" s="520"/>
      <c r="DG138" s="520"/>
      <c r="DH138" s="520"/>
      <c r="DI138" s="520"/>
      <c r="DJ138" s="520"/>
      <c r="DK138" s="520"/>
      <c r="DL138" s="520"/>
      <c r="DM138" s="520"/>
      <c r="DN138" s="520"/>
      <c r="DO138" s="520"/>
      <c r="DP138" s="520"/>
      <c r="DQ138" s="520"/>
      <c r="DR138" s="520"/>
      <c r="DS138" s="520"/>
      <c r="DT138" s="520"/>
      <c r="DU138" s="520"/>
      <c r="DV138" s="520"/>
      <c r="DW138" s="520"/>
      <c r="DX138" s="520"/>
      <c r="DY138" s="520"/>
      <c r="DZ138" s="520"/>
      <c r="EA138" s="520"/>
      <c r="EB138" s="520"/>
      <c r="EC138" s="520"/>
      <c r="ED138" s="520"/>
      <c r="EE138" s="520"/>
      <c r="EF138" s="520"/>
      <c r="EG138" s="520"/>
      <c r="EH138" s="520"/>
      <c r="EI138" s="520"/>
      <c r="EJ138" s="520"/>
      <c r="EK138" s="520"/>
      <c r="EL138" s="520"/>
      <c r="EM138" s="520"/>
      <c r="EN138" s="520"/>
      <c r="EO138" s="520"/>
      <c r="EP138" s="520"/>
      <c r="EQ138" s="520"/>
      <c r="ER138" s="520"/>
      <c r="ES138" s="520"/>
      <c r="ET138" s="520"/>
      <c r="EU138" s="520"/>
      <c r="EV138" s="520"/>
      <c r="EW138" s="520"/>
    </row>
    <row r="139" spans="1:153" s="532" customFormat="1" ht="15">
      <c r="A139" s="686"/>
      <c r="B139" s="552"/>
      <c r="C139" s="530"/>
      <c r="D139" s="530"/>
      <c r="E139" s="530"/>
      <c r="F139" s="530"/>
      <c r="G139" s="530"/>
      <c r="H139" s="530"/>
      <c r="I139" s="530"/>
      <c r="J139" s="530"/>
      <c r="K139" s="530"/>
      <c r="L139" s="526"/>
      <c r="M139" s="526"/>
      <c r="N139" s="526"/>
      <c r="O139" s="526"/>
      <c r="P139" s="526"/>
      <c r="Q139" s="526"/>
      <c r="R139" s="526"/>
      <c r="S139" s="526"/>
      <c r="T139" s="526"/>
      <c r="U139" s="526"/>
      <c r="V139" s="526"/>
      <c r="W139" s="526"/>
      <c r="X139" s="526"/>
      <c r="Y139" s="526"/>
      <c r="Z139" s="526"/>
      <c r="AA139" s="526"/>
      <c r="AB139" s="530"/>
      <c r="AC139" s="530"/>
      <c r="AD139" s="530"/>
      <c r="AE139" s="530"/>
      <c r="AF139" s="530"/>
      <c r="AG139" s="530"/>
      <c r="AH139" s="530"/>
      <c r="AI139" s="530"/>
      <c r="AJ139" s="530"/>
      <c r="AK139" s="530"/>
      <c r="AL139" s="530"/>
      <c r="AM139" s="530"/>
      <c r="AN139" s="530"/>
      <c r="AO139" s="530"/>
      <c r="AP139" s="530"/>
      <c r="AQ139" s="530"/>
      <c r="AR139" s="530"/>
      <c r="AS139" s="530"/>
      <c r="AT139" s="530"/>
      <c r="AU139" s="530"/>
      <c r="AV139" s="530"/>
      <c r="AW139" s="530"/>
      <c r="AX139" s="530"/>
      <c r="AY139" s="530"/>
      <c r="AZ139" s="530"/>
      <c r="BA139" s="530"/>
      <c r="BB139" s="530"/>
      <c r="BC139" s="530"/>
      <c r="BD139" s="530"/>
      <c r="BE139" s="530"/>
      <c r="BF139" s="530"/>
      <c r="BG139" s="530"/>
      <c r="BH139" s="530"/>
      <c r="BI139" s="530"/>
      <c r="BJ139" s="530"/>
      <c r="BK139" s="530"/>
      <c r="BL139" s="530"/>
      <c r="BM139" s="530"/>
      <c r="BN139" s="530"/>
      <c r="BO139" s="530"/>
      <c r="BP139" s="530"/>
      <c r="BQ139" s="530"/>
      <c r="BR139" s="530"/>
      <c r="BS139" s="530"/>
      <c r="BT139" s="530"/>
      <c r="BU139" s="530"/>
      <c r="BV139" s="530"/>
      <c r="BW139" s="530"/>
      <c r="BX139" s="530"/>
      <c r="BY139" s="530"/>
      <c r="BZ139" s="530"/>
      <c r="CA139" s="530"/>
      <c r="CB139" s="530"/>
      <c r="CC139" s="530"/>
      <c r="CD139" s="530"/>
      <c r="CE139" s="530"/>
      <c r="CF139" s="530"/>
      <c r="CG139" s="530"/>
      <c r="CH139" s="530"/>
      <c r="CI139" s="530"/>
      <c r="CJ139" s="530"/>
      <c r="CK139" s="530"/>
      <c r="CL139" s="530"/>
      <c r="CM139" s="530"/>
      <c r="CN139" s="530"/>
      <c r="CO139" s="530"/>
      <c r="CP139" s="530"/>
      <c r="CQ139" s="530"/>
      <c r="CR139" s="530"/>
      <c r="CS139" s="530"/>
      <c r="CT139" s="530"/>
      <c r="CU139" s="530"/>
      <c r="CV139" s="530"/>
      <c r="CW139" s="530"/>
      <c r="CX139" s="530"/>
      <c r="CY139" s="530"/>
      <c r="CZ139" s="530"/>
      <c r="DA139" s="530"/>
      <c r="DB139" s="530"/>
      <c r="DC139" s="530"/>
      <c r="DD139" s="530"/>
      <c r="DE139" s="530"/>
      <c r="DF139" s="530"/>
      <c r="DG139" s="530"/>
      <c r="DH139" s="530"/>
      <c r="DI139" s="530"/>
      <c r="DJ139" s="530"/>
      <c r="DK139" s="530"/>
      <c r="DL139" s="530"/>
      <c r="DM139" s="530"/>
      <c r="DN139" s="530"/>
      <c r="DO139" s="530"/>
      <c r="DP139" s="530"/>
      <c r="DQ139" s="530"/>
      <c r="DR139" s="530"/>
      <c r="DS139" s="530"/>
      <c r="DT139" s="530"/>
      <c r="DU139" s="530"/>
      <c r="DV139" s="530"/>
      <c r="DW139" s="530"/>
      <c r="DX139" s="530"/>
      <c r="DY139" s="530"/>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row>
    <row r="140" spans="1:153" s="521" customFormat="1" ht="15">
      <c r="A140" s="691" t="s">
        <v>3534</v>
      </c>
      <c r="B140" s="519"/>
      <c r="C140" s="520"/>
      <c r="D140" s="520"/>
      <c r="E140" s="520"/>
      <c r="F140" s="520"/>
      <c r="G140" s="520"/>
      <c r="H140" s="520"/>
      <c r="I140" s="520"/>
      <c r="J140" s="520"/>
      <c r="K140" s="520"/>
      <c r="L140" s="526"/>
      <c r="M140" s="526"/>
      <c r="N140" s="526"/>
      <c r="O140" s="526"/>
      <c r="P140" s="526"/>
      <c r="Q140" s="526"/>
      <c r="R140" s="526"/>
      <c r="S140" s="526"/>
      <c r="T140" s="526"/>
      <c r="U140" s="526"/>
      <c r="V140" s="526"/>
      <c r="W140" s="526"/>
      <c r="X140" s="526"/>
      <c r="Y140" s="526"/>
      <c r="Z140" s="526"/>
      <c r="AA140" s="526"/>
      <c r="AB140" s="520"/>
      <c r="AC140" s="520"/>
      <c r="AD140" s="520"/>
      <c r="AE140" s="520"/>
      <c r="AF140" s="520"/>
      <c r="AG140" s="520"/>
      <c r="AH140" s="520"/>
      <c r="AI140" s="520"/>
      <c r="AJ140" s="520"/>
      <c r="AK140" s="520"/>
      <c r="AL140" s="520"/>
      <c r="AM140" s="520"/>
      <c r="AN140" s="520"/>
      <c r="AO140" s="520"/>
      <c r="AP140" s="520"/>
      <c r="AQ140" s="520"/>
      <c r="AR140" s="520"/>
      <c r="AS140" s="520"/>
      <c r="AT140" s="520"/>
      <c r="AU140" s="520"/>
      <c r="AV140" s="520"/>
      <c r="AW140" s="520"/>
      <c r="AX140" s="520"/>
      <c r="AY140" s="520"/>
      <c r="AZ140" s="520"/>
      <c r="BA140" s="520"/>
      <c r="BB140" s="520"/>
      <c r="BC140" s="520"/>
      <c r="BD140" s="520"/>
      <c r="BE140" s="520"/>
      <c r="BF140" s="520"/>
      <c r="BG140" s="520"/>
      <c r="BH140" s="520"/>
      <c r="BI140" s="520"/>
      <c r="BJ140" s="520"/>
      <c r="BK140" s="520"/>
      <c r="BL140" s="520"/>
      <c r="BM140" s="520"/>
      <c r="BN140" s="520"/>
      <c r="BO140" s="520"/>
      <c r="BP140" s="520"/>
      <c r="BQ140" s="520"/>
      <c r="BR140" s="520"/>
      <c r="BS140" s="520"/>
      <c r="BT140" s="520"/>
      <c r="BU140" s="520"/>
      <c r="BV140" s="520"/>
      <c r="BW140" s="520"/>
      <c r="BX140" s="520"/>
      <c r="BY140" s="520"/>
      <c r="BZ140" s="520"/>
      <c r="CA140" s="520"/>
      <c r="CB140" s="520"/>
      <c r="CC140" s="520"/>
      <c r="CD140" s="520"/>
      <c r="CE140" s="520"/>
      <c r="CF140" s="520"/>
      <c r="CG140" s="520"/>
      <c r="CH140" s="520"/>
      <c r="CI140" s="520"/>
      <c r="CJ140" s="520"/>
      <c r="CK140" s="520"/>
      <c r="CL140" s="520"/>
      <c r="CM140" s="520"/>
      <c r="CN140" s="520"/>
      <c r="CO140" s="520"/>
      <c r="CP140" s="520"/>
      <c r="CQ140" s="520"/>
      <c r="CR140" s="520"/>
      <c r="CS140" s="520"/>
      <c r="CT140" s="520"/>
      <c r="CU140" s="520"/>
      <c r="CV140" s="520"/>
      <c r="CW140" s="520"/>
      <c r="CX140" s="520"/>
      <c r="CY140" s="520"/>
      <c r="CZ140" s="520"/>
      <c r="DA140" s="520"/>
      <c r="DB140" s="520"/>
      <c r="DC140" s="520"/>
      <c r="DD140" s="520"/>
      <c r="DE140" s="520"/>
      <c r="DF140" s="520"/>
      <c r="DG140" s="520"/>
      <c r="DH140" s="520"/>
      <c r="DI140" s="520"/>
      <c r="DJ140" s="520"/>
      <c r="DK140" s="520"/>
      <c r="DL140" s="520"/>
      <c r="DM140" s="520"/>
      <c r="DN140" s="520"/>
      <c r="DO140" s="520"/>
      <c r="DP140" s="520"/>
      <c r="DQ140" s="520"/>
      <c r="DR140" s="520"/>
      <c r="DS140" s="520"/>
      <c r="DT140" s="520"/>
      <c r="DU140" s="520"/>
      <c r="DV140" s="520"/>
      <c r="DW140" s="520"/>
      <c r="DX140" s="520"/>
      <c r="DY140" s="520"/>
      <c r="DZ140" s="520"/>
      <c r="EA140" s="520"/>
      <c r="EB140" s="520"/>
      <c r="EC140" s="520"/>
      <c r="ED140" s="520"/>
      <c r="EE140" s="520"/>
      <c r="EF140" s="520"/>
      <c r="EG140" s="520"/>
      <c r="EH140" s="520"/>
      <c r="EI140" s="520"/>
      <c r="EJ140" s="520"/>
      <c r="EK140" s="520"/>
      <c r="EL140" s="520"/>
      <c r="EM140" s="520"/>
      <c r="EN140" s="520"/>
      <c r="EO140" s="520"/>
      <c r="EP140" s="520"/>
      <c r="EQ140" s="520"/>
      <c r="ER140" s="520"/>
      <c r="ES140" s="520"/>
      <c r="ET140" s="520"/>
      <c r="EU140" s="520"/>
      <c r="EV140" s="520"/>
      <c r="EW140" s="520"/>
    </row>
    <row r="141" spans="1:153" s="521" customFormat="1">
      <c r="A141" s="700"/>
      <c r="B141" s="519"/>
      <c r="C141" s="520"/>
      <c r="D141" s="520"/>
      <c r="E141" s="520"/>
      <c r="F141" s="520"/>
      <c r="G141" s="520"/>
      <c r="H141" s="520"/>
      <c r="I141" s="520"/>
      <c r="J141" s="520"/>
      <c r="K141" s="520"/>
      <c r="L141" s="526"/>
      <c r="M141" s="526"/>
      <c r="N141" s="526"/>
      <c r="O141" s="526"/>
      <c r="P141" s="526"/>
      <c r="Q141" s="526"/>
      <c r="R141" s="526"/>
      <c r="S141" s="526"/>
      <c r="T141" s="526"/>
      <c r="U141" s="526"/>
      <c r="V141" s="526"/>
      <c r="W141" s="526"/>
      <c r="X141" s="526"/>
      <c r="Y141" s="526"/>
      <c r="Z141" s="526"/>
      <c r="AA141" s="526"/>
      <c r="AB141" s="520"/>
      <c r="AC141" s="520"/>
      <c r="AD141" s="520"/>
      <c r="AE141" s="520"/>
      <c r="AF141" s="520"/>
      <c r="AG141" s="520"/>
      <c r="AH141" s="520"/>
      <c r="AI141" s="520"/>
      <c r="AJ141" s="520"/>
      <c r="AK141" s="520"/>
      <c r="AL141" s="520"/>
      <c r="AM141" s="520"/>
      <c r="AN141" s="520"/>
      <c r="AO141" s="520"/>
      <c r="AP141" s="520"/>
      <c r="AQ141" s="520"/>
      <c r="AR141" s="520"/>
      <c r="AS141" s="520"/>
      <c r="AT141" s="520"/>
      <c r="AU141" s="520"/>
      <c r="AV141" s="520"/>
      <c r="AW141" s="520"/>
      <c r="AX141" s="520"/>
      <c r="AY141" s="520"/>
      <c r="AZ141" s="520"/>
      <c r="BA141" s="520"/>
      <c r="BB141" s="520"/>
      <c r="BC141" s="520"/>
      <c r="BD141" s="520"/>
      <c r="BE141" s="520"/>
      <c r="BF141" s="520"/>
      <c r="BG141" s="520"/>
      <c r="BH141" s="520"/>
      <c r="BI141" s="520"/>
      <c r="BJ141" s="520"/>
      <c r="BK141" s="520"/>
      <c r="BL141" s="520"/>
      <c r="BM141" s="520"/>
      <c r="BN141" s="520"/>
      <c r="BO141" s="520"/>
      <c r="BP141" s="520"/>
      <c r="BQ141" s="520"/>
      <c r="BR141" s="520"/>
      <c r="BS141" s="520"/>
      <c r="BT141" s="520"/>
      <c r="BU141" s="520"/>
      <c r="BV141" s="520"/>
      <c r="BW141" s="520"/>
      <c r="BX141" s="520"/>
      <c r="BY141" s="520"/>
      <c r="BZ141" s="520"/>
      <c r="CA141" s="520"/>
      <c r="CB141" s="520"/>
      <c r="CC141" s="520"/>
      <c r="CD141" s="520"/>
      <c r="CE141" s="520"/>
      <c r="CF141" s="520"/>
      <c r="CG141" s="520"/>
      <c r="CH141" s="520"/>
      <c r="CI141" s="520"/>
      <c r="CJ141" s="520"/>
      <c r="CK141" s="520"/>
      <c r="CL141" s="520"/>
      <c r="CM141" s="520"/>
      <c r="CN141" s="520"/>
      <c r="CO141" s="520"/>
      <c r="CP141" s="520"/>
      <c r="CQ141" s="520"/>
      <c r="CR141" s="520"/>
      <c r="CS141" s="520"/>
      <c r="CT141" s="520"/>
      <c r="CU141" s="520"/>
      <c r="CV141" s="520"/>
      <c r="CW141" s="520"/>
      <c r="CX141" s="520"/>
      <c r="CY141" s="520"/>
      <c r="CZ141" s="520"/>
      <c r="DA141" s="520"/>
      <c r="DB141" s="520"/>
      <c r="DC141" s="520"/>
      <c r="DD141" s="520"/>
      <c r="DE141" s="520"/>
      <c r="DF141" s="520"/>
      <c r="DG141" s="520"/>
      <c r="DH141" s="520"/>
      <c r="DI141" s="520"/>
      <c r="DJ141" s="520"/>
      <c r="DK141" s="520"/>
      <c r="DL141" s="520"/>
      <c r="DM141" s="520"/>
      <c r="DN141" s="520"/>
      <c r="DO141" s="520"/>
      <c r="DP141" s="520"/>
      <c r="DQ141" s="520"/>
      <c r="DR141" s="520"/>
      <c r="DS141" s="520"/>
      <c r="DT141" s="520"/>
      <c r="DU141" s="520"/>
      <c r="DV141" s="520"/>
      <c r="DW141" s="520"/>
      <c r="DX141" s="520"/>
      <c r="DY141" s="520"/>
      <c r="DZ141" s="520"/>
      <c r="EA141" s="520"/>
      <c r="EB141" s="520"/>
      <c r="EC141" s="520"/>
      <c r="ED141" s="520"/>
      <c r="EE141" s="520"/>
      <c r="EF141" s="520"/>
      <c r="EG141" s="520"/>
      <c r="EH141" s="520"/>
      <c r="EI141" s="520"/>
      <c r="EJ141" s="520"/>
      <c r="EK141" s="520"/>
      <c r="EL141" s="520"/>
      <c r="EM141" s="520"/>
      <c r="EN141" s="520"/>
      <c r="EO141" s="520"/>
      <c r="EP141" s="520"/>
      <c r="EQ141" s="520"/>
      <c r="ER141" s="520"/>
      <c r="ES141" s="520"/>
      <c r="ET141" s="520"/>
      <c r="EU141" s="520"/>
      <c r="EV141" s="520"/>
      <c r="EW141" s="520"/>
    </row>
    <row r="142" spans="1:153" s="521" customFormat="1" ht="15">
      <c r="A142" s="698"/>
      <c r="B142" s="519"/>
      <c r="C142" s="520"/>
      <c r="D142" s="520"/>
      <c r="E142" s="520"/>
      <c r="F142" s="520"/>
      <c r="G142" s="520"/>
      <c r="H142" s="520"/>
      <c r="I142" s="520"/>
      <c r="J142" s="520"/>
      <c r="K142" s="520"/>
      <c r="L142" s="526"/>
      <c r="M142" s="526"/>
      <c r="N142" s="526"/>
      <c r="O142" s="526"/>
      <c r="P142" s="526">
        <v>35300</v>
      </c>
      <c r="Q142" s="526"/>
      <c r="R142" s="526"/>
      <c r="S142" s="526"/>
      <c r="T142" s="526"/>
      <c r="U142" s="526"/>
      <c r="V142" s="526"/>
      <c r="W142" s="526"/>
      <c r="X142" s="526"/>
      <c r="Y142" s="526"/>
      <c r="Z142" s="526"/>
      <c r="AA142" s="526"/>
      <c r="AB142" s="520"/>
      <c r="AC142" s="520"/>
      <c r="AD142" s="520"/>
      <c r="AE142" s="520"/>
      <c r="AF142" s="520"/>
      <c r="AG142" s="520"/>
      <c r="AH142" s="520"/>
      <c r="AI142" s="520"/>
      <c r="AJ142" s="520"/>
      <c r="AK142" s="520"/>
      <c r="AL142" s="520"/>
      <c r="AM142" s="520"/>
      <c r="AN142" s="520"/>
      <c r="AO142" s="520"/>
      <c r="AP142" s="520"/>
      <c r="AQ142" s="520"/>
      <c r="AR142" s="520"/>
      <c r="AS142" s="520"/>
      <c r="AT142" s="520"/>
      <c r="AU142" s="520"/>
      <c r="AV142" s="520"/>
      <c r="AW142" s="520"/>
      <c r="AX142" s="520"/>
      <c r="AY142" s="520"/>
      <c r="AZ142" s="520"/>
      <c r="BA142" s="520"/>
      <c r="BB142" s="520"/>
      <c r="BC142" s="520"/>
      <c r="BD142" s="520"/>
      <c r="BE142" s="520"/>
      <c r="BF142" s="520"/>
      <c r="BG142" s="520"/>
      <c r="BH142" s="520"/>
      <c r="BI142" s="520"/>
      <c r="BJ142" s="520"/>
      <c r="BK142" s="520"/>
      <c r="BL142" s="520"/>
      <c r="BM142" s="520"/>
      <c r="BN142" s="520"/>
      <c r="BO142" s="520"/>
      <c r="BP142" s="520"/>
      <c r="BQ142" s="520"/>
      <c r="BR142" s="520"/>
      <c r="BS142" s="520"/>
      <c r="BT142" s="520"/>
      <c r="BU142" s="520"/>
      <c r="BV142" s="520"/>
      <c r="BW142" s="520"/>
      <c r="BX142" s="520"/>
      <c r="BY142" s="520"/>
      <c r="BZ142" s="520"/>
      <c r="CA142" s="520"/>
      <c r="CB142" s="520"/>
      <c r="CC142" s="520"/>
      <c r="CD142" s="520"/>
      <c r="CE142" s="520"/>
      <c r="CF142" s="520"/>
      <c r="CG142" s="520"/>
      <c r="CH142" s="520"/>
      <c r="CI142" s="520"/>
      <c r="CJ142" s="520"/>
      <c r="CK142" s="520"/>
      <c r="CL142" s="520"/>
      <c r="CM142" s="520"/>
      <c r="CN142" s="520"/>
      <c r="CO142" s="520"/>
      <c r="CP142" s="520"/>
      <c r="CQ142" s="520"/>
      <c r="CR142" s="520"/>
      <c r="CS142" s="520"/>
      <c r="CT142" s="520"/>
      <c r="CU142" s="520"/>
      <c r="CV142" s="520"/>
      <c r="CW142" s="520"/>
      <c r="CX142" s="520"/>
      <c r="CY142" s="520"/>
      <c r="CZ142" s="520"/>
      <c r="DA142" s="520"/>
      <c r="DB142" s="520"/>
      <c r="DC142" s="520"/>
      <c r="DD142" s="520"/>
      <c r="DE142" s="520"/>
      <c r="DF142" s="520"/>
      <c r="DG142" s="520"/>
      <c r="DH142" s="520"/>
      <c r="DI142" s="520"/>
      <c r="DJ142" s="520"/>
      <c r="DK142" s="520"/>
      <c r="DL142" s="520"/>
      <c r="DM142" s="520"/>
      <c r="DN142" s="520"/>
      <c r="DO142" s="520"/>
      <c r="DP142" s="520"/>
      <c r="DQ142" s="520"/>
      <c r="DR142" s="520"/>
      <c r="DS142" s="520"/>
      <c r="DT142" s="520"/>
      <c r="DU142" s="520"/>
      <c r="DV142" s="520"/>
      <c r="DW142" s="520"/>
      <c r="DX142" s="520"/>
      <c r="DY142" s="520"/>
      <c r="DZ142" s="520"/>
      <c r="EA142" s="520"/>
      <c r="EB142" s="520"/>
      <c r="EC142" s="520"/>
      <c r="ED142" s="520"/>
      <c r="EE142" s="520"/>
      <c r="EF142" s="520"/>
      <c r="EG142" s="520"/>
      <c r="EH142" s="520"/>
      <c r="EI142" s="520"/>
      <c r="EJ142" s="520"/>
      <c r="EK142" s="520"/>
      <c r="EL142" s="520"/>
      <c r="EM142" s="520"/>
      <c r="EN142" s="520"/>
      <c r="EO142" s="520"/>
      <c r="EP142" s="520"/>
      <c r="EQ142" s="520"/>
      <c r="ER142" s="520"/>
      <c r="ES142" s="520"/>
      <c r="ET142" s="520"/>
      <c r="EU142" s="520"/>
      <c r="EV142" s="520"/>
      <c r="EW142" s="520"/>
    </row>
    <row r="143" spans="1:153" s="521" customFormat="1" ht="21" customHeight="1">
      <c r="A143" s="701"/>
      <c r="B143" s="519"/>
      <c r="C143" s="520"/>
      <c r="D143" s="520"/>
      <c r="E143" s="520"/>
      <c r="F143" s="520"/>
      <c r="G143" s="520"/>
      <c r="H143" s="520"/>
      <c r="I143" s="520"/>
      <c r="J143" s="520"/>
      <c r="K143" s="520"/>
      <c r="L143" s="526"/>
      <c r="M143" s="526"/>
      <c r="N143" s="526"/>
      <c r="O143" s="526"/>
      <c r="P143" s="526"/>
      <c r="Q143" s="526"/>
      <c r="R143" s="526"/>
      <c r="S143" s="526"/>
      <c r="T143" s="526"/>
      <c r="U143" s="526"/>
      <c r="V143" s="526"/>
      <c r="W143" s="526"/>
      <c r="X143" s="526"/>
      <c r="Y143" s="526"/>
      <c r="Z143" s="526"/>
      <c r="AA143" s="526"/>
      <c r="AB143" s="520"/>
      <c r="AC143" s="520"/>
      <c r="AD143" s="520"/>
      <c r="AE143" s="520"/>
      <c r="AF143" s="520"/>
      <c r="AG143" s="520"/>
      <c r="AH143" s="520"/>
      <c r="AI143" s="520"/>
      <c r="AJ143" s="520"/>
      <c r="AK143" s="520"/>
      <c r="AL143" s="520"/>
      <c r="AM143" s="520"/>
      <c r="AN143" s="520"/>
      <c r="AO143" s="520"/>
      <c r="AP143" s="520"/>
      <c r="AQ143" s="520"/>
      <c r="AR143" s="520"/>
      <c r="AS143" s="520"/>
      <c r="AT143" s="520"/>
      <c r="AU143" s="520"/>
      <c r="AV143" s="520"/>
      <c r="AW143" s="520"/>
      <c r="AX143" s="520"/>
      <c r="AY143" s="520"/>
      <c r="AZ143" s="520"/>
      <c r="BA143" s="520"/>
      <c r="BB143" s="520"/>
      <c r="BC143" s="520"/>
      <c r="BD143" s="520"/>
      <c r="BE143" s="520"/>
      <c r="BF143" s="520"/>
      <c r="BG143" s="520"/>
      <c r="BH143" s="520"/>
      <c r="BI143" s="520"/>
      <c r="BJ143" s="520"/>
      <c r="BK143" s="520"/>
      <c r="BL143" s="520"/>
      <c r="BM143" s="520"/>
      <c r="BN143" s="520"/>
      <c r="BO143" s="520"/>
      <c r="BP143" s="520"/>
      <c r="BQ143" s="520"/>
      <c r="BR143" s="520"/>
      <c r="BS143" s="520"/>
      <c r="BT143" s="520"/>
      <c r="BU143" s="520"/>
      <c r="BV143" s="520"/>
      <c r="BW143" s="520"/>
      <c r="BX143" s="520"/>
      <c r="BY143" s="520"/>
      <c r="BZ143" s="520"/>
      <c r="CA143" s="520"/>
      <c r="CB143" s="520"/>
      <c r="CC143" s="520"/>
      <c r="CD143" s="520"/>
      <c r="CE143" s="520"/>
      <c r="CF143" s="520"/>
      <c r="CG143" s="520"/>
      <c r="CH143" s="520"/>
      <c r="CI143" s="520"/>
      <c r="CJ143" s="520"/>
      <c r="CK143" s="520"/>
      <c r="CL143" s="520"/>
      <c r="CM143" s="520"/>
      <c r="CN143" s="520"/>
      <c r="CO143" s="520"/>
      <c r="CP143" s="520"/>
      <c r="CQ143" s="520"/>
      <c r="CR143" s="520"/>
      <c r="CS143" s="520"/>
      <c r="CT143" s="520"/>
      <c r="CU143" s="520"/>
      <c r="CV143" s="520"/>
      <c r="CW143" s="520"/>
      <c r="CX143" s="520"/>
      <c r="CY143" s="520"/>
      <c r="CZ143" s="520"/>
      <c r="DA143" s="520"/>
      <c r="DB143" s="520"/>
      <c r="DC143" s="520"/>
      <c r="DD143" s="520"/>
      <c r="DE143" s="520"/>
      <c r="DF143" s="520"/>
      <c r="DG143" s="520"/>
      <c r="DH143" s="520"/>
      <c r="DI143" s="520"/>
      <c r="DJ143" s="520"/>
      <c r="DK143" s="520"/>
      <c r="DL143" s="520"/>
      <c r="DM143" s="520"/>
      <c r="DN143" s="520"/>
      <c r="DO143" s="520"/>
      <c r="DP143" s="520"/>
      <c r="DQ143" s="520"/>
      <c r="DR143" s="520"/>
      <c r="DS143" s="520"/>
      <c r="DT143" s="520"/>
      <c r="DU143" s="520"/>
      <c r="DV143" s="520"/>
      <c r="DW143" s="520"/>
      <c r="DX143" s="520"/>
      <c r="DY143" s="520"/>
      <c r="DZ143" s="520"/>
      <c r="EA143" s="520"/>
      <c r="EB143" s="520"/>
      <c r="EC143" s="520"/>
      <c r="ED143" s="520"/>
      <c r="EE143" s="520"/>
      <c r="EF143" s="520"/>
      <c r="EG143" s="520"/>
      <c r="EH143" s="520"/>
      <c r="EI143" s="520"/>
      <c r="EJ143" s="520"/>
      <c r="EK143" s="520"/>
      <c r="EL143" s="520"/>
      <c r="EM143" s="520"/>
      <c r="EN143" s="520"/>
      <c r="EO143" s="520"/>
      <c r="EP143" s="520"/>
      <c r="EQ143" s="520"/>
      <c r="ER143" s="520"/>
      <c r="ES143" s="520"/>
      <c r="ET143" s="520"/>
      <c r="EU143" s="520"/>
      <c r="EV143" s="520"/>
      <c r="EW143" s="520"/>
    </row>
    <row r="144" spans="1:153" s="521" customFormat="1">
      <c r="A144" s="700"/>
      <c r="B144" s="525"/>
      <c r="C144" s="520"/>
      <c r="D144" s="520"/>
      <c r="E144" s="520"/>
      <c r="F144" s="520"/>
      <c r="G144" s="520"/>
      <c r="H144" s="520"/>
      <c r="I144" s="520"/>
      <c r="J144" s="520"/>
      <c r="K144" s="520"/>
      <c r="L144" s="526"/>
      <c r="M144" s="526"/>
      <c r="N144" s="526"/>
      <c r="O144" s="526"/>
      <c r="P144" s="526"/>
      <c r="Q144" s="526"/>
      <c r="R144" s="526"/>
      <c r="S144" s="526"/>
      <c r="T144" s="526"/>
      <c r="U144" s="526"/>
      <c r="V144" s="526"/>
      <c r="W144" s="526"/>
      <c r="X144" s="526"/>
      <c r="Y144" s="526"/>
      <c r="Z144" s="526"/>
      <c r="AA144" s="526"/>
      <c r="AB144" s="520"/>
      <c r="AC144" s="520"/>
      <c r="AD144" s="520"/>
      <c r="AE144" s="520"/>
      <c r="AF144" s="520"/>
      <c r="AG144" s="520"/>
      <c r="AH144" s="520"/>
      <c r="AI144" s="520"/>
      <c r="AJ144" s="520"/>
      <c r="AK144" s="520"/>
      <c r="AL144" s="520"/>
      <c r="AM144" s="520"/>
      <c r="AN144" s="520"/>
      <c r="AO144" s="520"/>
      <c r="AP144" s="520"/>
      <c r="AQ144" s="520"/>
      <c r="AR144" s="520"/>
      <c r="AS144" s="520"/>
      <c r="AT144" s="520"/>
      <c r="AU144" s="520"/>
      <c r="AV144" s="520"/>
      <c r="AW144" s="520"/>
      <c r="AX144" s="520"/>
      <c r="AY144" s="520"/>
      <c r="AZ144" s="520"/>
      <c r="BA144" s="520"/>
      <c r="BB144" s="520"/>
      <c r="BC144" s="520"/>
      <c r="BD144" s="520"/>
      <c r="BE144" s="520"/>
      <c r="BF144" s="520"/>
      <c r="BG144" s="520"/>
      <c r="BH144" s="520"/>
      <c r="BI144" s="520"/>
      <c r="BJ144" s="520"/>
      <c r="BK144" s="520"/>
      <c r="BL144" s="520"/>
      <c r="BM144" s="520"/>
      <c r="BN144" s="520"/>
      <c r="BO144" s="520"/>
      <c r="BP144" s="520"/>
      <c r="BQ144" s="520"/>
      <c r="BR144" s="520"/>
      <c r="BS144" s="520"/>
      <c r="BT144" s="520"/>
      <c r="BU144" s="520"/>
      <c r="BV144" s="520"/>
      <c r="BW144" s="520"/>
      <c r="BX144" s="520"/>
      <c r="BY144" s="520"/>
      <c r="BZ144" s="520"/>
      <c r="CA144" s="520"/>
      <c r="CB144" s="520"/>
      <c r="CC144" s="520"/>
      <c r="CD144" s="520"/>
      <c r="CE144" s="520"/>
      <c r="CF144" s="520"/>
      <c r="CG144" s="520"/>
      <c r="CH144" s="520"/>
      <c r="CI144" s="520"/>
      <c r="CJ144" s="520"/>
      <c r="CK144" s="520"/>
      <c r="CL144" s="520"/>
      <c r="CM144" s="520"/>
      <c r="CN144" s="520"/>
      <c r="CO144" s="520"/>
      <c r="CP144" s="520"/>
      <c r="CQ144" s="520"/>
      <c r="CR144" s="520"/>
      <c r="CS144" s="520"/>
      <c r="CT144" s="520"/>
      <c r="CU144" s="520"/>
      <c r="CV144" s="520"/>
      <c r="CW144" s="520"/>
      <c r="CX144" s="520"/>
      <c r="CY144" s="520"/>
      <c r="CZ144" s="520"/>
      <c r="DA144" s="520"/>
      <c r="DB144" s="520"/>
      <c r="DC144" s="520"/>
      <c r="DD144" s="520"/>
      <c r="DE144" s="520"/>
      <c r="DF144" s="520"/>
      <c r="DG144" s="520"/>
      <c r="DH144" s="520"/>
      <c r="DI144" s="520"/>
      <c r="DJ144" s="520"/>
      <c r="DK144" s="520"/>
      <c r="DL144" s="520"/>
      <c r="DM144" s="520"/>
      <c r="DN144" s="520"/>
      <c r="DO144" s="520"/>
      <c r="DP144" s="520"/>
      <c r="DQ144" s="520"/>
      <c r="DR144" s="520"/>
      <c r="DS144" s="520"/>
      <c r="DT144" s="520"/>
      <c r="DU144" s="520"/>
      <c r="DV144" s="520"/>
      <c r="DW144" s="520"/>
      <c r="DX144" s="520"/>
      <c r="DY144" s="520"/>
      <c r="DZ144" s="520"/>
      <c r="EA144" s="520"/>
      <c r="EB144" s="520"/>
      <c r="EC144" s="520"/>
      <c r="ED144" s="520"/>
      <c r="EE144" s="520"/>
      <c r="EF144" s="520"/>
      <c r="EG144" s="520"/>
      <c r="EH144" s="520"/>
      <c r="EI144" s="520"/>
      <c r="EJ144" s="520"/>
      <c r="EK144" s="520"/>
      <c r="EL144" s="520"/>
      <c r="EM144" s="520"/>
      <c r="EN144" s="520"/>
      <c r="EO144" s="520"/>
      <c r="EP144" s="520"/>
      <c r="EQ144" s="520"/>
      <c r="ER144" s="520"/>
      <c r="ES144" s="520"/>
      <c r="ET144" s="520"/>
      <c r="EU144" s="520"/>
      <c r="EV144" s="520"/>
      <c r="EW144" s="520"/>
    </row>
    <row r="145" spans="1:153" s="521" customFormat="1">
      <c r="A145" s="700"/>
      <c r="B145" s="525"/>
      <c r="C145" s="520"/>
      <c r="D145" s="520"/>
      <c r="E145" s="520"/>
      <c r="F145" s="520"/>
      <c r="G145" s="520"/>
      <c r="H145" s="520"/>
      <c r="I145" s="520"/>
      <c r="J145" s="520"/>
      <c r="K145" s="520"/>
      <c r="L145" s="526"/>
      <c r="M145" s="526"/>
      <c r="N145" s="526"/>
      <c r="O145" s="526"/>
      <c r="P145" s="526"/>
      <c r="Q145" s="526"/>
      <c r="R145" s="526"/>
      <c r="S145" s="526"/>
      <c r="T145" s="526"/>
      <c r="U145" s="526"/>
      <c r="V145" s="526"/>
      <c r="W145" s="526"/>
      <c r="X145" s="526"/>
      <c r="Y145" s="526"/>
      <c r="Z145" s="526"/>
      <c r="AA145" s="526"/>
      <c r="AB145" s="520"/>
      <c r="AC145" s="520"/>
      <c r="AD145" s="520"/>
      <c r="AE145" s="520"/>
      <c r="AF145" s="520"/>
      <c r="AG145" s="520"/>
      <c r="AH145" s="520"/>
      <c r="AI145" s="520"/>
      <c r="AJ145" s="520"/>
      <c r="AK145" s="520"/>
      <c r="AL145" s="520"/>
      <c r="AM145" s="520"/>
      <c r="AN145" s="520"/>
      <c r="AO145" s="520"/>
      <c r="AP145" s="520"/>
      <c r="AQ145" s="520"/>
      <c r="AR145" s="520"/>
      <c r="AS145" s="520"/>
      <c r="AT145" s="520"/>
      <c r="AU145" s="520"/>
      <c r="AV145" s="520"/>
      <c r="AW145" s="520"/>
      <c r="AX145" s="520"/>
      <c r="AY145" s="520"/>
      <c r="AZ145" s="520"/>
      <c r="BA145" s="520"/>
      <c r="BB145" s="520"/>
      <c r="BC145" s="520"/>
      <c r="BD145" s="520"/>
      <c r="BE145" s="520"/>
      <c r="BF145" s="520"/>
      <c r="BG145" s="520"/>
      <c r="BH145" s="520"/>
      <c r="BI145" s="520"/>
      <c r="BJ145" s="520"/>
      <c r="BK145" s="520"/>
      <c r="BL145" s="520"/>
      <c r="BM145" s="520"/>
      <c r="BN145" s="520"/>
      <c r="BO145" s="520"/>
      <c r="BP145" s="520"/>
      <c r="BQ145" s="520"/>
      <c r="BR145" s="520"/>
      <c r="BS145" s="520"/>
      <c r="BT145" s="520"/>
      <c r="BU145" s="520"/>
      <c r="BV145" s="520"/>
      <c r="BW145" s="520"/>
      <c r="BX145" s="520"/>
      <c r="BY145" s="520"/>
      <c r="BZ145" s="520"/>
      <c r="CA145" s="520"/>
      <c r="CB145" s="520"/>
      <c r="CC145" s="520"/>
      <c r="CD145" s="520"/>
      <c r="CE145" s="520"/>
      <c r="CF145" s="520"/>
      <c r="CG145" s="520"/>
      <c r="CH145" s="520"/>
      <c r="CI145" s="520"/>
      <c r="CJ145" s="520"/>
      <c r="CK145" s="520"/>
      <c r="CL145" s="520"/>
      <c r="CM145" s="520"/>
      <c r="CN145" s="520"/>
      <c r="CO145" s="520"/>
      <c r="CP145" s="520"/>
      <c r="CQ145" s="520"/>
      <c r="CR145" s="520"/>
      <c r="CS145" s="520"/>
      <c r="CT145" s="520"/>
      <c r="CU145" s="520"/>
      <c r="CV145" s="520"/>
      <c r="CW145" s="520"/>
      <c r="CX145" s="520"/>
      <c r="CY145" s="520"/>
      <c r="CZ145" s="520"/>
      <c r="DA145" s="520"/>
      <c r="DB145" s="520"/>
      <c r="DC145" s="520"/>
      <c r="DD145" s="520"/>
      <c r="DE145" s="520"/>
      <c r="DF145" s="520"/>
      <c r="DG145" s="520"/>
      <c r="DH145" s="520"/>
      <c r="DI145" s="520"/>
      <c r="DJ145" s="520"/>
      <c r="DK145" s="520"/>
      <c r="DL145" s="520"/>
      <c r="DM145" s="520"/>
      <c r="DN145" s="520"/>
      <c r="DO145" s="520"/>
      <c r="DP145" s="520"/>
      <c r="DQ145" s="520"/>
      <c r="DR145" s="520"/>
      <c r="DS145" s="520"/>
      <c r="DT145" s="520"/>
      <c r="DU145" s="520"/>
      <c r="DV145" s="520"/>
      <c r="DW145" s="520"/>
      <c r="DX145" s="520"/>
      <c r="DY145" s="520"/>
      <c r="DZ145" s="520"/>
      <c r="EA145" s="520"/>
      <c r="EB145" s="520"/>
      <c r="EC145" s="520"/>
      <c r="ED145" s="520"/>
      <c r="EE145" s="520"/>
      <c r="EF145" s="520"/>
      <c r="EG145" s="520"/>
      <c r="EH145" s="520"/>
      <c r="EI145" s="520"/>
      <c r="EJ145" s="520"/>
      <c r="EK145" s="520"/>
      <c r="EL145" s="520"/>
      <c r="EM145" s="520"/>
      <c r="EN145" s="520"/>
      <c r="EO145" s="520"/>
      <c r="EP145" s="520"/>
      <c r="EQ145" s="520"/>
      <c r="ER145" s="520"/>
      <c r="ES145" s="520"/>
      <c r="ET145" s="520"/>
      <c r="EU145" s="520"/>
      <c r="EV145" s="520"/>
      <c r="EW145" s="520"/>
    </row>
    <row r="146" spans="1:153" s="521" customFormat="1">
      <c r="A146" s="700"/>
      <c r="B146" s="528"/>
      <c r="C146" s="520"/>
      <c r="D146" s="520"/>
      <c r="E146" s="520"/>
      <c r="F146" s="520"/>
      <c r="G146" s="520"/>
      <c r="H146" s="520"/>
      <c r="I146" s="520"/>
      <c r="J146" s="520"/>
      <c r="K146" s="520"/>
      <c r="L146" s="526"/>
      <c r="M146" s="526"/>
      <c r="N146" s="526"/>
      <c r="O146" s="526"/>
      <c r="P146" s="526">
        <v>4000</v>
      </c>
      <c r="Q146" s="526"/>
      <c r="R146" s="526"/>
      <c r="S146" s="526"/>
      <c r="T146" s="526"/>
      <c r="U146" s="526"/>
      <c r="V146" s="526"/>
      <c r="W146" s="526"/>
      <c r="X146" s="526"/>
      <c r="Y146" s="526"/>
      <c r="Z146" s="526"/>
      <c r="AA146" s="526"/>
      <c r="AB146" s="520"/>
      <c r="AC146" s="520"/>
      <c r="AD146" s="520"/>
      <c r="AE146" s="520"/>
      <c r="AF146" s="520"/>
      <c r="AG146" s="520"/>
      <c r="AH146" s="520"/>
      <c r="AI146" s="520"/>
      <c r="AJ146" s="520"/>
      <c r="AK146" s="520"/>
      <c r="AL146" s="520"/>
      <c r="AM146" s="520"/>
      <c r="AN146" s="520"/>
      <c r="AO146" s="520"/>
      <c r="AP146" s="520"/>
      <c r="AQ146" s="520"/>
      <c r="AR146" s="520"/>
      <c r="AS146" s="520"/>
      <c r="AT146" s="520"/>
      <c r="AU146" s="520"/>
      <c r="AV146" s="520"/>
      <c r="AW146" s="520"/>
      <c r="AX146" s="520"/>
      <c r="AY146" s="520"/>
      <c r="AZ146" s="520"/>
      <c r="BA146" s="520"/>
      <c r="BB146" s="520"/>
      <c r="BC146" s="520"/>
      <c r="BD146" s="520"/>
      <c r="BE146" s="520"/>
      <c r="BF146" s="520"/>
      <c r="BG146" s="520"/>
      <c r="BH146" s="520"/>
      <c r="BI146" s="520"/>
      <c r="BJ146" s="520"/>
      <c r="BK146" s="520"/>
      <c r="BL146" s="520"/>
      <c r="BM146" s="520"/>
      <c r="BN146" s="520"/>
      <c r="BO146" s="520"/>
      <c r="BP146" s="520"/>
      <c r="BQ146" s="520"/>
      <c r="BR146" s="520"/>
      <c r="BS146" s="520"/>
      <c r="BT146" s="520"/>
      <c r="BU146" s="520"/>
      <c r="BV146" s="520"/>
      <c r="BW146" s="520"/>
      <c r="BX146" s="520"/>
      <c r="BY146" s="520"/>
      <c r="BZ146" s="520"/>
      <c r="CA146" s="520"/>
      <c r="CB146" s="520"/>
      <c r="CC146" s="520"/>
      <c r="CD146" s="520"/>
      <c r="CE146" s="520"/>
      <c r="CF146" s="520"/>
      <c r="CG146" s="520"/>
      <c r="CH146" s="520"/>
      <c r="CI146" s="520"/>
      <c r="CJ146" s="520"/>
      <c r="CK146" s="520"/>
      <c r="CL146" s="520"/>
      <c r="CM146" s="520"/>
      <c r="CN146" s="520"/>
      <c r="CO146" s="520"/>
      <c r="CP146" s="520"/>
      <c r="CQ146" s="520"/>
      <c r="CR146" s="520"/>
      <c r="CS146" s="520"/>
      <c r="CT146" s="520"/>
      <c r="CU146" s="520"/>
      <c r="CV146" s="520"/>
      <c r="CW146" s="520"/>
      <c r="CX146" s="520"/>
      <c r="CY146" s="520"/>
      <c r="CZ146" s="520"/>
      <c r="DA146" s="520"/>
      <c r="DB146" s="520"/>
      <c r="DC146" s="520"/>
      <c r="DD146" s="520"/>
      <c r="DE146" s="520"/>
      <c r="DF146" s="520"/>
      <c r="DG146" s="520"/>
      <c r="DH146" s="520"/>
      <c r="DI146" s="520"/>
      <c r="DJ146" s="520"/>
      <c r="DK146" s="520"/>
      <c r="DL146" s="520"/>
      <c r="DM146" s="520"/>
      <c r="DN146" s="520"/>
      <c r="DO146" s="520"/>
      <c r="DP146" s="520"/>
      <c r="DQ146" s="520"/>
      <c r="DR146" s="520"/>
      <c r="DS146" s="520"/>
      <c r="DT146" s="520"/>
      <c r="DU146" s="520"/>
      <c r="DV146" s="520"/>
      <c r="DW146" s="520"/>
      <c r="DX146" s="520"/>
      <c r="DY146" s="520"/>
      <c r="DZ146" s="520"/>
      <c r="EA146" s="520"/>
      <c r="EB146" s="520"/>
      <c r="EC146" s="520"/>
      <c r="ED146" s="520"/>
      <c r="EE146" s="520"/>
      <c r="EF146" s="520"/>
      <c r="EG146" s="520"/>
      <c r="EH146" s="520"/>
      <c r="EI146" s="520"/>
      <c r="EJ146" s="520"/>
      <c r="EK146" s="520"/>
      <c r="EL146" s="520"/>
      <c r="EM146" s="520"/>
      <c r="EN146" s="520"/>
      <c r="EO146" s="520"/>
      <c r="EP146" s="520"/>
      <c r="EQ146" s="520"/>
      <c r="ER146" s="520"/>
      <c r="ES146" s="520"/>
      <c r="ET146" s="520"/>
      <c r="EU146" s="520"/>
      <c r="EV146" s="520"/>
      <c r="EW146" s="520"/>
    </row>
    <row r="147" spans="1:153" s="521" customFormat="1" ht="15">
      <c r="A147" s="702" t="s">
        <v>778</v>
      </c>
      <c r="B147" s="519"/>
      <c r="C147" s="520"/>
      <c r="D147" s="520"/>
      <c r="E147" s="520"/>
      <c r="F147" s="520"/>
      <c r="G147" s="520"/>
      <c r="H147" s="520"/>
      <c r="I147" s="520"/>
      <c r="J147" s="520"/>
      <c r="K147" s="520"/>
      <c r="L147" s="526"/>
      <c r="M147" s="526"/>
      <c r="N147" s="526"/>
      <c r="O147" s="526"/>
      <c r="P147" s="526"/>
      <c r="Q147" s="526"/>
      <c r="R147" s="526"/>
      <c r="S147" s="526"/>
      <c r="T147" s="526"/>
      <c r="U147" s="526"/>
      <c r="V147" s="526"/>
      <c r="W147" s="526"/>
      <c r="X147" s="526"/>
      <c r="Y147" s="526"/>
      <c r="Z147" s="526"/>
      <c r="AA147" s="526"/>
      <c r="AB147" s="520"/>
      <c r="AC147" s="520"/>
      <c r="AD147" s="520"/>
      <c r="AE147" s="520"/>
      <c r="AF147" s="520"/>
      <c r="AG147" s="520"/>
      <c r="AH147" s="520"/>
      <c r="AI147" s="520"/>
      <c r="AJ147" s="520"/>
      <c r="AK147" s="520"/>
      <c r="AL147" s="520"/>
      <c r="AM147" s="520"/>
      <c r="AN147" s="520"/>
      <c r="AO147" s="520"/>
      <c r="AP147" s="520"/>
      <c r="AQ147" s="520"/>
      <c r="AR147" s="520"/>
      <c r="AS147" s="520"/>
      <c r="AT147" s="520"/>
      <c r="AU147" s="520"/>
      <c r="AV147" s="520"/>
      <c r="AW147" s="520"/>
      <c r="AX147" s="520"/>
      <c r="AY147" s="520"/>
      <c r="AZ147" s="520"/>
      <c r="BA147" s="520"/>
      <c r="BB147" s="520"/>
      <c r="BC147" s="520"/>
      <c r="BD147" s="520"/>
      <c r="BE147" s="520"/>
      <c r="BF147" s="520"/>
      <c r="BG147" s="520"/>
      <c r="BH147" s="520"/>
      <c r="BI147" s="520"/>
      <c r="BJ147" s="520"/>
      <c r="BK147" s="520"/>
      <c r="BL147" s="520"/>
      <c r="BM147" s="520"/>
      <c r="BN147" s="520"/>
      <c r="BO147" s="520"/>
      <c r="BP147" s="520"/>
      <c r="BQ147" s="520"/>
      <c r="BR147" s="520"/>
      <c r="BS147" s="520"/>
      <c r="BT147" s="520"/>
      <c r="BU147" s="520"/>
      <c r="BV147" s="520"/>
      <c r="BW147" s="520"/>
      <c r="BX147" s="520"/>
      <c r="BY147" s="520"/>
      <c r="BZ147" s="520"/>
      <c r="CA147" s="520"/>
      <c r="CB147" s="520"/>
      <c r="CC147" s="520"/>
      <c r="CD147" s="520"/>
      <c r="CE147" s="520"/>
      <c r="CF147" s="520"/>
      <c r="CG147" s="520"/>
      <c r="CH147" s="520"/>
      <c r="CI147" s="520"/>
      <c r="CJ147" s="520"/>
      <c r="CK147" s="520"/>
      <c r="CL147" s="520"/>
      <c r="CM147" s="520"/>
      <c r="CN147" s="520"/>
      <c r="CO147" s="520"/>
      <c r="CP147" s="520"/>
      <c r="CQ147" s="520"/>
      <c r="CR147" s="520"/>
      <c r="CS147" s="520"/>
      <c r="CT147" s="520"/>
      <c r="CU147" s="520"/>
      <c r="CV147" s="520"/>
      <c r="CW147" s="520"/>
      <c r="CX147" s="520"/>
      <c r="CY147" s="520"/>
      <c r="CZ147" s="520"/>
      <c r="DA147" s="520"/>
      <c r="DB147" s="520"/>
      <c r="DC147" s="520"/>
      <c r="DD147" s="520"/>
      <c r="DE147" s="520"/>
      <c r="DF147" s="520"/>
      <c r="DG147" s="520"/>
      <c r="DH147" s="520"/>
      <c r="DI147" s="520"/>
      <c r="DJ147" s="520"/>
      <c r="DK147" s="520"/>
      <c r="DL147" s="520"/>
      <c r="DM147" s="520"/>
      <c r="DN147" s="520"/>
      <c r="DO147" s="520"/>
      <c r="DP147" s="520"/>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row>
    <row r="148" spans="1:153" s="521" customFormat="1">
      <c r="A148" s="700"/>
      <c r="B148" s="525"/>
      <c r="C148" s="520"/>
      <c r="D148" s="520"/>
      <c r="E148" s="520"/>
      <c r="F148" s="520"/>
      <c r="G148" s="520"/>
      <c r="H148" s="520"/>
      <c r="I148" s="520"/>
      <c r="J148" s="520"/>
      <c r="K148" s="520"/>
      <c r="L148" s="526"/>
      <c r="M148" s="526"/>
      <c r="N148" s="526"/>
      <c r="O148" s="526"/>
      <c r="P148" s="526">
        <f>P146+P142</f>
        <v>39300</v>
      </c>
      <c r="Q148" s="526">
        <f>P148*1.02</f>
        <v>40086</v>
      </c>
      <c r="R148" s="526">
        <f>Q148*1.02</f>
        <v>40887.72</v>
      </c>
      <c r="S148" s="526">
        <f>R148*1.02</f>
        <v>41705.474399999999</v>
      </c>
      <c r="T148" s="526">
        <f t="shared" ref="T148:Z148" si="73">S148*1.02</f>
        <v>42539.583888000001</v>
      </c>
      <c r="U148" s="526">
        <f t="shared" si="73"/>
        <v>43390.375565760005</v>
      </c>
      <c r="V148" s="526">
        <f t="shared" si="73"/>
        <v>44258.183077075206</v>
      </c>
      <c r="W148" s="526">
        <f t="shared" si="73"/>
        <v>45143.34673861671</v>
      </c>
      <c r="X148" s="526">
        <f t="shared" si="73"/>
        <v>46046.213673389044</v>
      </c>
      <c r="Y148" s="526">
        <f t="shared" si="73"/>
        <v>46967.137946856827</v>
      </c>
      <c r="Z148" s="526">
        <f t="shared" si="73"/>
        <v>47906.480705793962</v>
      </c>
      <c r="AA148" s="526"/>
      <c r="AB148" s="520"/>
      <c r="AC148" s="520"/>
      <c r="AD148" s="520"/>
      <c r="AE148" s="520"/>
      <c r="AF148" s="520"/>
      <c r="AG148" s="520"/>
      <c r="AH148" s="520"/>
      <c r="AI148" s="520"/>
      <c r="AJ148" s="520"/>
      <c r="AK148" s="520"/>
      <c r="AL148" s="520"/>
      <c r="AM148" s="520"/>
      <c r="AN148" s="520"/>
      <c r="AO148" s="520"/>
      <c r="AP148" s="520"/>
      <c r="AQ148" s="520"/>
      <c r="AR148" s="520"/>
      <c r="AS148" s="520"/>
      <c r="AT148" s="520"/>
      <c r="AU148" s="520"/>
      <c r="AV148" s="520"/>
      <c r="AW148" s="520"/>
      <c r="AX148" s="520"/>
      <c r="AY148" s="520"/>
      <c r="AZ148" s="520"/>
      <c r="BA148" s="520"/>
      <c r="BB148" s="520"/>
      <c r="BC148" s="520"/>
      <c r="BD148" s="520"/>
      <c r="BE148" s="520"/>
      <c r="BF148" s="520"/>
      <c r="BG148" s="520"/>
      <c r="BH148" s="520"/>
      <c r="BI148" s="520"/>
      <c r="BJ148" s="520"/>
      <c r="BK148" s="520"/>
      <c r="BL148" s="520"/>
      <c r="BM148" s="520"/>
      <c r="BN148" s="520"/>
      <c r="BO148" s="520"/>
      <c r="BP148" s="520"/>
      <c r="BQ148" s="520"/>
      <c r="BR148" s="520"/>
      <c r="BS148" s="520"/>
      <c r="BT148" s="520"/>
      <c r="BU148" s="520"/>
      <c r="BV148" s="520"/>
      <c r="BW148" s="520"/>
      <c r="BX148" s="520"/>
      <c r="BY148" s="520"/>
      <c r="BZ148" s="520"/>
      <c r="CA148" s="520"/>
      <c r="CB148" s="520"/>
      <c r="CC148" s="520"/>
      <c r="CD148" s="520"/>
      <c r="CE148" s="520"/>
      <c r="CF148" s="520"/>
      <c r="CG148" s="520"/>
      <c r="CH148" s="520"/>
      <c r="CI148" s="520"/>
      <c r="CJ148" s="520"/>
      <c r="CK148" s="520"/>
      <c r="CL148" s="520"/>
      <c r="CM148" s="520"/>
      <c r="CN148" s="520"/>
      <c r="CO148" s="520"/>
      <c r="CP148" s="520"/>
      <c r="CQ148" s="520"/>
      <c r="CR148" s="520"/>
      <c r="CS148" s="520"/>
      <c r="CT148" s="520"/>
      <c r="CU148" s="520"/>
      <c r="CV148" s="520"/>
      <c r="CW148" s="520"/>
      <c r="CX148" s="520"/>
      <c r="CY148" s="520"/>
      <c r="CZ148" s="520"/>
      <c r="DA148" s="520"/>
      <c r="DB148" s="520"/>
      <c r="DC148" s="520"/>
      <c r="DD148" s="520"/>
      <c r="DE148" s="520"/>
      <c r="DF148" s="520"/>
      <c r="DG148" s="520"/>
      <c r="DH148" s="520"/>
      <c r="DI148" s="520"/>
      <c r="DJ148" s="520"/>
      <c r="DK148" s="520"/>
      <c r="DL148" s="520"/>
      <c r="DM148" s="520"/>
      <c r="DN148" s="520"/>
      <c r="DO148" s="520"/>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row>
    <row r="149" spans="1:153" s="521" customFormat="1" ht="15">
      <c r="A149" s="702" t="s">
        <v>3451</v>
      </c>
      <c r="B149" s="519"/>
      <c r="C149" s="520"/>
      <c r="D149" s="520"/>
      <c r="E149" s="520"/>
      <c r="F149" s="520"/>
      <c r="G149" s="520"/>
      <c r="H149" s="520"/>
      <c r="I149" s="520"/>
      <c r="J149" s="520"/>
      <c r="K149" s="520"/>
      <c r="L149" s="526"/>
      <c r="M149" s="526"/>
      <c r="N149" s="526"/>
      <c r="O149" s="526"/>
      <c r="P149" s="526"/>
      <c r="Q149" s="526"/>
      <c r="R149" s="526"/>
      <c r="S149" s="526"/>
      <c r="T149" s="526"/>
      <c r="U149" s="526"/>
      <c r="V149" s="526"/>
      <c r="W149" s="526"/>
      <c r="X149" s="526"/>
      <c r="Y149" s="526"/>
      <c r="Z149" s="526"/>
      <c r="AA149" s="526"/>
      <c r="AB149" s="520"/>
      <c r="AC149" s="520"/>
      <c r="AD149" s="520"/>
      <c r="AE149" s="520"/>
      <c r="AF149" s="520"/>
      <c r="AG149" s="520"/>
      <c r="AH149" s="520"/>
      <c r="AI149" s="520"/>
      <c r="AJ149" s="520"/>
      <c r="AK149" s="520"/>
      <c r="AL149" s="520"/>
      <c r="AM149" s="520"/>
      <c r="AN149" s="520"/>
      <c r="AO149" s="520"/>
      <c r="AP149" s="520"/>
      <c r="AQ149" s="520"/>
      <c r="AR149" s="520"/>
      <c r="AS149" s="520"/>
      <c r="AT149" s="520"/>
      <c r="AU149" s="520"/>
      <c r="AV149" s="520"/>
      <c r="AW149" s="520"/>
      <c r="AX149" s="520"/>
      <c r="AY149" s="520"/>
      <c r="AZ149" s="520"/>
      <c r="BA149" s="520"/>
      <c r="BB149" s="520"/>
      <c r="BC149" s="520"/>
      <c r="BD149" s="520"/>
      <c r="BE149" s="520"/>
      <c r="BF149" s="520"/>
      <c r="BG149" s="520"/>
      <c r="BH149" s="520"/>
      <c r="BI149" s="520"/>
      <c r="BJ149" s="520"/>
      <c r="BK149" s="520"/>
      <c r="BL149" s="520"/>
      <c r="BM149" s="520"/>
      <c r="BN149" s="520"/>
      <c r="BO149" s="520"/>
      <c r="BP149" s="520"/>
      <c r="BQ149" s="520"/>
      <c r="BR149" s="520"/>
      <c r="BS149" s="520"/>
      <c r="BT149" s="520"/>
      <c r="BU149" s="520"/>
      <c r="BV149" s="520"/>
      <c r="BW149" s="520"/>
      <c r="BX149" s="520"/>
      <c r="BY149" s="520"/>
      <c r="BZ149" s="520"/>
      <c r="CA149" s="520"/>
      <c r="CB149" s="520"/>
      <c r="CC149" s="520"/>
      <c r="CD149" s="520"/>
      <c r="CE149" s="520"/>
      <c r="CF149" s="520"/>
      <c r="CG149" s="520"/>
      <c r="CH149" s="520"/>
      <c r="CI149" s="520"/>
      <c r="CJ149" s="520"/>
      <c r="CK149" s="520"/>
      <c r="CL149" s="520"/>
      <c r="CM149" s="520"/>
      <c r="CN149" s="520"/>
      <c r="CO149" s="520"/>
      <c r="CP149" s="520"/>
      <c r="CQ149" s="520"/>
      <c r="CR149" s="520"/>
      <c r="CS149" s="520"/>
      <c r="CT149" s="520"/>
      <c r="CU149" s="520"/>
      <c r="CV149" s="520"/>
      <c r="CW149" s="520"/>
      <c r="CX149" s="520"/>
      <c r="CY149" s="520"/>
      <c r="CZ149" s="520"/>
      <c r="DA149" s="520"/>
      <c r="DB149" s="520"/>
      <c r="DC149" s="520"/>
      <c r="DD149" s="520"/>
      <c r="DE149" s="520"/>
      <c r="DF149" s="520"/>
      <c r="DG149" s="520"/>
      <c r="DH149" s="520"/>
      <c r="DI149" s="520"/>
      <c r="DJ149" s="520"/>
      <c r="DK149" s="520"/>
      <c r="DL149" s="520"/>
      <c r="DM149" s="520"/>
      <c r="DN149" s="520"/>
      <c r="DO149" s="520"/>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row>
    <row r="150" spans="1:153" s="521" customFormat="1">
      <c r="A150" s="700"/>
      <c r="B150" s="519"/>
      <c r="C150" s="520"/>
      <c r="D150" s="520"/>
      <c r="E150" s="520"/>
      <c r="F150" s="520"/>
      <c r="G150" s="520"/>
      <c r="H150" s="520"/>
      <c r="I150" s="520"/>
      <c r="J150" s="520"/>
      <c r="K150" s="520"/>
      <c r="L150" s="526"/>
      <c r="M150" s="526"/>
      <c r="N150" s="526"/>
      <c r="O150" s="526"/>
      <c r="P150" s="526">
        <f>P158/1000000</f>
        <v>2.6306000000000002E-4</v>
      </c>
      <c r="Q150" s="526"/>
      <c r="R150" s="526"/>
      <c r="S150" s="526"/>
      <c r="T150" s="526"/>
      <c r="U150" s="526"/>
      <c r="V150" s="526"/>
      <c r="W150" s="526"/>
      <c r="X150" s="526"/>
      <c r="Y150" s="526"/>
      <c r="Z150" s="526"/>
      <c r="AA150" s="526"/>
      <c r="AB150" s="520"/>
      <c r="AC150" s="520"/>
      <c r="AD150" s="520"/>
      <c r="AE150" s="520"/>
      <c r="AF150" s="520"/>
      <c r="AG150" s="520"/>
      <c r="AH150" s="520"/>
      <c r="AI150" s="520"/>
      <c r="AJ150" s="520"/>
      <c r="AK150" s="520"/>
      <c r="AL150" s="520"/>
      <c r="AM150" s="520"/>
      <c r="AN150" s="520"/>
      <c r="AO150" s="520"/>
      <c r="AP150" s="520"/>
      <c r="AQ150" s="520"/>
      <c r="AR150" s="520"/>
      <c r="AS150" s="520"/>
      <c r="AT150" s="520"/>
      <c r="AU150" s="520"/>
      <c r="AV150" s="520"/>
      <c r="AW150" s="520"/>
      <c r="AX150" s="520"/>
      <c r="AY150" s="520"/>
      <c r="AZ150" s="520"/>
      <c r="BA150" s="520"/>
      <c r="BB150" s="520"/>
      <c r="BC150" s="520"/>
      <c r="BD150" s="520"/>
      <c r="BE150" s="520"/>
      <c r="BF150" s="520"/>
      <c r="BG150" s="520"/>
      <c r="BH150" s="520"/>
      <c r="BI150" s="520"/>
      <c r="BJ150" s="520"/>
      <c r="BK150" s="520"/>
      <c r="BL150" s="520"/>
      <c r="BM150" s="520"/>
      <c r="BN150" s="520"/>
      <c r="BO150" s="520"/>
      <c r="BP150" s="520"/>
      <c r="BQ150" s="520"/>
      <c r="BR150" s="520"/>
      <c r="BS150" s="520"/>
      <c r="BT150" s="520"/>
      <c r="BU150" s="520"/>
      <c r="BV150" s="520"/>
      <c r="BW150" s="520"/>
      <c r="BX150" s="520"/>
      <c r="BY150" s="520"/>
      <c r="BZ150" s="520"/>
      <c r="CA150" s="520"/>
      <c r="CB150" s="520"/>
      <c r="CC150" s="520"/>
      <c r="CD150" s="520"/>
      <c r="CE150" s="520"/>
      <c r="CF150" s="520"/>
      <c r="CG150" s="520"/>
      <c r="CH150" s="520"/>
      <c r="CI150" s="520"/>
      <c r="CJ150" s="520"/>
      <c r="CK150" s="520"/>
      <c r="CL150" s="520"/>
      <c r="CM150" s="520"/>
      <c r="CN150" s="520"/>
      <c r="CO150" s="520"/>
      <c r="CP150" s="520"/>
      <c r="CQ150" s="520"/>
      <c r="CR150" s="520"/>
      <c r="CS150" s="520"/>
      <c r="CT150" s="520"/>
      <c r="CU150" s="520"/>
      <c r="CV150" s="520"/>
      <c r="CW150" s="520"/>
      <c r="CX150" s="520"/>
      <c r="CY150" s="520"/>
      <c r="CZ150" s="520"/>
      <c r="DA150" s="520"/>
      <c r="DB150" s="520"/>
      <c r="DC150" s="520"/>
      <c r="DD150" s="520"/>
      <c r="DE150" s="520"/>
      <c r="DF150" s="520"/>
      <c r="DG150" s="520"/>
      <c r="DH150" s="520"/>
      <c r="DI150" s="520"/>
      <c r="DJ150" s="520"/>
      <c r="DK150" s="520"/>
      <c r="DL150" s="520"/>
      <c r="DM150" s="520"/>
      <c r="DN150" s="520"/>
      <c r="DO150" s="520"/>
      <c r="DP150" s="520"/>
      <c r="DQ150" s="520"/>
      <c r="DR150" s="520"/>
      <c r="DS150" s="520"/>
      <c r="DT150" s="520"/>
      <c r="DU150" s="520"/>
      <c r="DV150" s="520"/>
      <c r="DW150" s="520"/>
      <c r="DX150" s="520"/>
      <c r="DY150" s="520"/>
      <c r="DZ150" s="520"/>
      <c r="EA150" s="520"/>
      <c r="EB150" s="520"/>
      <c r="EC150" s="520"/>
      <c r="ED150" s="520"/>
      <c r="EE150" s="520"/>
      <c r="EF150" s="520"/>
      <c r="EG150" s="520"/>
      <c r="EH150" s="520"/>
      <c r="EI150" s="520"/>
      <c r="EJ150" s="520"/>
      <c r="EK150" s="520"/>
      <c r="EL150" s="520"/>
      <c r="EM150" s="520"/>
      <c r="EN150" s="520"/>
      <c r="EO150" s="520"/>
      <c r="EP150" s="520"/>
      <c r="EQ150" s="520"/>
      <c r="ER150" s="520"/>
      <c r="ES150" s="520"/>
      <c r="ET150" s="520"/>
      <c r="EU150" s="520"/>
      <c r="EV150" s="520"/>
      <c r="EW150" s="520"/>
    </row>
    <row r="151" spans="1:153" s="521" customFormat="1" ht="15">
      <c r="A151" s="702" t="s">
        <v>3535</v>
      </c>
      <c r="B151" s="519"/>
      <c r="C151" s="520"/>
      <c r="D151" s="520"/>
      <c r="E151" s="520"/>
      <c r="F151" s="520"/>
      <c r="G151" s="520"/>
      <c r="H151" s="520"/>
      <c r="I151" s="520"/>
      <c r="J151" s="520"/>
      <c r="K151" s="526">
        <v>130.446112</v>
      </c>
      <c r="L151" s="526">
        <v>539.05113800000004</v>
      </c>
      <c r="M151" s="526">
        <v>875.93935599999998</v>
      </c>
      <c r="N151" s="526">
        <v>850</v>
      </c>
      <c r="O151" s="526">
        <f>1852+46</f>
        <v>1898</v>
      </c>
      <c r="P151" s="526">
        <f>1754+20.8</f>
        <v>1774.8</v>
      </c>
      <c r="Q151" s="526">
        <f t="shared" ref="Q151:Z151" ca="1" si="74">(Q151+Q148)*Q153</f>
        <v>1496.9875518672197</v>
      </c>
      <c r="R151" s="526">
        <f t="shared" ca="1" si="74"/>
        <v>1615.1074428274428</v>
      </c>
      <c r="S151" s="526">
        <f t="shared" ca="1" si="74"/>
        <v>1919.4988217573218</v>
      </c>
      <c r="T151" s="526">
        <f t="shared" ca="1" si="74"/>
        <v>2238.9254677894737</v>
      </c>
      <c r="U151" s="526">
        <f t="shared" ca="1" si="74"/>
        <v>2574.0053301722037</v>
      </c>
      <c r="V151" s="526">
        <f t="shared" ca="1" si="74"/>
        <v>2824.9904091750132</v>
      </c>
      <c r="W151" s="526">
        <f t="shared" ca="1" si="74"/>
        <v>3086.7245633242196</v>
      </c>
      <c r="X151" s="526">
        <f t="shared" ca="1" si="74"/>
        <v>3359.5949890455527</v>
      </c>
      <c r="Y151" s="526">
        <f t="shared" ca="1" si="74"/>
        <v>3644.002082083719</v>
      </c>
      <c r="Z151" s="526">
        <f t="shared" ca="1" si="74"/>
        <v>3884.3092464157262</v>
      </c>
      <c r="AA151" s="526"/>
      <c r="AB151" s="520"/>
      <c r="AC151" s="520"/>
      <c r="AD151" s="520"/>
      <c r="AE151" s="520"/>
      <c r="AF151" s="520"/>
      <c r="AG151" s="520"/>
      <c r="AH151" s="520"/>
      <c r="AI151" s="520"/>
      <c r="AJ151" s="520"/>
      <c r="AK151" s="520"/>
      <c r="AL151" s="520"/>
      <c r="AM151" s="520"/>
      <c r="AN151" s="520"/>
      <c r="AO151" s="520"/>
      <c r="AP151" s="520"/>
      <c r="AQ151" s="520"/>
      <c r="AR151" s="520"/>
      <c r="AS151" s="520"/>
      <c r="AT151" s="520"/>
      <c r="AU151" s="520"/>
      <c r="AV151" s="520"/>
      <c r="AW151" s="520"/>
      <c r="AX151" s="520"/>
      <c r="AY151" s="520"/>
      <c r="AZ151" s="520"/>
      <c r="BA151" s="520"/>
      <c r="BB151" s="520"/>
      <c r="BC151" s="520"/>
      <c r="BD151" s="520"/>
      <c r="BE151" s="520"/>
      <c r="BF151" s="520"/>
      <c r="BG151" s="520"/>
      <c r="BH151" s="520"/>
      <c r="BI151" s="520"/>
      <c r="BJ151" s="520"/>
      <c r="BK151" s="520"/>
      <c r="BL151" s="520"/>
      <c r="BM151" s="520"/>
      <c r="BN151" s="520"/>
      <c r="BO151" s="520"/>
      <c r="BP151" s="520"/>
      <c r="BQ151" s="520"/>
      <c r="BR151" s="520"/>
      <c r="BS151" s="520"/>
      <c r="BT151" s="520"/>
      <c r="BU151" s="520"/>
      <c r="BV151" s="520"/>
      <c r="BW151" s="520"/>
      <c r="BX151" s="520"/>
      <c r="BY151" s="520"/>
      <c r="BZ151" s="520"/>
      <c r="CA151" s="520"/>
      <c r="CB151" s="520"/>
      <c r="CC151" s="520"/>
      <c r="CD151" s="520"/>
      <c r="CE151" s="520"/>
      <c r="CF151" s="520"/>
      <c r="CG151" s="520"/>
      <c r="CH151" s="520"/>
      <c r="CI151" s="520"/>
      <c r="CJ151" s="520"/>
      <c r="CK151" s="520"/>
      <c r="CL151" s="520"/>
      <c r="CM151" s="520"/>
      <c r="CN151" s="520"/>
      <c r="CO151" s="520"/>
      <c r="CP151" s="520"/>
      <c r="CQ151" s="520"/>
      <c r="CR151" s="520"/>
      <c r="CS151" s="520"/>
      <c r="CT151" s="520"/>
      <c r="CU151" s="520"/>
      <c r="CV151" s="520"/>
      <c r="CW151" s="520"/>
      <c r="CX151" s="520"/>
      <c r="CY151" s="520"/>
      <c r="CZ151" s="520"/>
      <c r="DA151" s="520"/>
      <c r="DB151" s="520"/>
      <c r="DC151" s="520"/>
      <c r="DD151" s="520"/>
      <c r="DE151" s="520"/>
      <c r="DF151" s="520"/>
      <c r="DG151" s="520"/>
      <c r="DH151" s="520"/>
      <c r="DI151" s="520"/>
      <c r="DJ151" s="520"/>
      <c r="DK151" s="520"/>
      <c r="DL151" s="520"/>
      <c r="DM151" s="520"/>
      <c r="DN151" s="520"/>
      <c r="DO151" s="520"/>
      <c r="DP151" s="520"/>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row>
    <row r="152" spans="1:153" s="521" customFormat="1">
      <c r="A152" s="700"/>
      <c r="B152" s="525"/>
      <c r="C152" s="520"/>
      <c r="D152" s="520"/>
      <c r="E152" s="520"/>
      <c r="F152" s="520"/>
      <c r="G152" s="520"/>
      <c r="H152" s="520"/>
      <c r="I152" s="520"/>
      <c r="J152" s="520"/>
      <c r="K152" s="520"/>
      <c r="L152" s="534">
        <f t="shared" ref="L152:Q152" si="75">(L151/K151)-1</f>
        <v>3.1323664594924843</v>
      </c>
      <c r="M152" s="534">
        <f t="shared" si="75"/>
        <v>0.62496522918016706</v>
      </c>
      <c r="N152" s="534">
        <f t="shared" si="75"/>
        <v>-2.9613187057209944E-2</v>
      </c>
      <c r="O152" s="534">
        <f t="shared" si="75"/>
        <v>1.2329411764705882</v>
      </c>
      <c r="P152" s="534">
        <f t="shared" si="75"/>
        <v>-6.4910432033719712E-2</v>
      </c>
      <c r="Q152" s="534">
        <f t="shared" ca="1" si="75"/>
        <v>-0.15653169265989419</v>
      </c>
      <c r="R152" s="534">
        <f t="shared" ref="R152:Z152" ca="1" si="76">(R151/Q151)-1</f>
        <v>7.8905058905059056E-2</v>
      </c>
      <c r="S152" s="534">
        <f t="shared" ca="1" si="76"/>
        <v>0.18846509579387782</v>
      </c>
      <c r="T152" s="534">
        <f t="shared" ca="1" si="76"/>
        <v>0.16641148325358879</v>
      </c>
      <c r="U152" s="534">
        <f t="shared" ca="1" si="76"/>
        <v>0.14966101694915257</v>
      </c>
      <c r="V152" s="534">
        <f t="shared" ca="1" si="76"/>
        <v>9.750759878419446E-2</v>
      </c>
      <c r="W152" s="534">
        <f t="shared" ca="1" si="76"/>
        <v>9.2649572649572631E-2</v>
      </c>
      <c r="X152" s="534">
        <f t="shared" ca="1" si="76"/>
        <v>8.8401287553647956E-2</v>
      </c>
      <c r="Y152" s="534">
        <f t="shared" ca="1" si="76"/>
        <v>8.4655172413792945E-2</v>
      </c>
      <c r="Z152" s="534">
        <f t="shared" ca="1" si="76"/>
        <v>6.5945945945945939E-2</v>
      </c>
      <c r="AA152" s="526"/>
      <c r="AB152" s="520"/>
      <c r="AC152" s="520"/>
      <c r="AD152" s="520"/>
      <c r="AE152" s="520"/>
      <c r="AF152" s="520"/>
      <c r="AG152" s="520"/>
      <c r="AH152" s="520"/>
      <c r="AI152" s="520"/>
      <c r="AJ152" s="520"/>
      <c r="AK152" s="520"/>
      <c r="AL152" s="520"/>
      <c r="AM152" s="520"/>
      <c r="AN152" s="520"/>
      <c r="AO152" s="520"/>
      <c r="AP152" s="520"/>
      <c r="AQ152" s="520"/>
      <c r="AR152" s="520"/>
      <c r="AS152" s="520"/>
      <c r="AT152" s="520"/>
      <c r="AU152" s="520"/>
      <c r="AV152" s="520"/>
      <c r="AW152" s="520"/>
      <c r="AX152" s="520"/>
      <c r="AY152" s="520"/>
      <c r="AZ152" s="520"/>
      <c r="BA152" s="520"/>
      <c r="BB152" s="520"/>
      <c r="BC152" s="520"/>
      <c r="BD152" s="520"/>
      <c r="BE152" s="520"/>
      <c r="BF152" s="520"/>
      <c r="BG152" s="520"/>
      <c r="BH152" s="520"/>
      <c r="BI152" s="520"/>
      <c r="BJ152" s="520"/>
      <c r="BK152" s="520"/>
      <c r="BL152" s="520"/>
      <c r="BM152" s="520"/>
      <c r="BN152" s="520"/>
      <c r="BO152" s="520"/>
      <c r="BP152" s="520"/>
      <c r="BQ152" s="520"/>
      <c r="BR152" s="520"/>
      <c r="BS152" s="520"/>
      <c r="BT152" s="520"/>
      <c r="BU152" s="520"/>
      <c r="BV152" s="520"/>
      <c r="BW152" s="520"/>
      <c r="BX152" s="520"/>
      <c r="BY152" s="520"/>
      <c r="BZ152" s="520"/>
      <c r="CA152" s="520"/>
      <c r="CB152" s="520"/>
      <c r="CC152" s="520"/>
      <c r="CD152" s="520"/>
      <c r="CE152" s="520"/>
      <c r="CF152" s="520"/>
      <c r="CG152" s="520"/>
      <c r="CH152" s="520"/>
      <c r="CI152" s="520"/>
      <c r="CJ152" s="520"/>
      <c r="CK152" s="520"/>
      <c r="CL152" s="520"/>
      <c r="CM152" s="520"/>
      <c r="CN152" s="520"/>
      <c r="CO152" s="520"/>
      <c r="CP152" s="520"/>
      <c r="CQ152" s="520"/>
      <c r="CR152" s="520"/>
      <c r="CS152" s="520"/>
      <c r="CT152" s="520"/>
      <c r="CU152" s="520"/>
      <c r="CV152" s="520"/>
      <c r="CW152" s="520"/>
      <c r="CX152" s="520"/>
      <c r="CY152" s="520"/>
      <c r="CZ152" s="520"/>
      <c r="DA152" s="520"/>
      <c r="DB152" s="520"/>
      <c r="DC152" s="520"/>
      <c r="DD152" s="520"/>
      <c r="DE152" s="520"/>
      <c r="DF152" s="520"/>
      <c r="DG152" s="520"/>
      <c r="DH152" s="520"/>
      <c r="DI152" s="520"/>
      <c r="DJ152" s="520"/>
      <c r="DK152" s="520"/>
      <c r="DL152" s="520"/>
      <c r="DM152" s="520"/>
      <c r="DN152" s="520"/>
      <c r="DO152" s="520"/>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row>
    <row r="153" spans="1:153" s="521" customFormat="1" ht="15">
      <c r="A153" s="702" t="s">
        <v>3536</v>
      </c>
      <c r="B153" s="519"/>
      <c r="C153" s="520"/>
      <c r="D153" s="520"/>
      <c r="E153" s="520"/>
      <c r="F153" s="520"/>
      <c r="G153" s="520"/>
      <c r="H153" s="520"/>
      <c r="I153" s="520"/>
      <c r="J153" s="520"/>
      <c r="K153" s="520"/>
      <c r="L153" s="526"/>
      <c r="M153" s="526"/>
      <c r="N153" s="526"/>
      <c r="O153" s="539"/>
      <c r="P153" s="539">
        <f>P151/P148</f>
        <v>4.5160305343511446E-2</v>
      </c>
      <c r="Q153" s="536">
        <f>CHOOSE($O$1,Q154,Q155,Q156)</f>
        <v>3.5999999999999997E-2</v>
      </c>
      <c r="R153" s="536">
        <f t="shared" ref="R153:Z153" si="77">CHOOSE($O$1,R154,R155,R156)</f>
        <v>3.7999999999999999E-2</v>
      </c>
      <c r="S153" s="536">
        <f t="shared" si="77"/>
        <v>4.3999999999999997E-2</v>
      </c>
      <c r="T153" s="536">
        <f t="shared" si="77"/>
        <v>0.05</v>
      </c>
      <c r="U153" s="536">
        <f t="shared" si="77"/>
        <v>5.6000000000000001E-2</v>
      </c>
      <c r="V153" s="536">
        <f t="shared" si="77"/>
        <v>0.06</v>
      </c>
      <c r="W153" s="536">
        <f t="shared" si="77"/>
        <v>6.4000000000000001E-2</v>
      </c>
      <c r="X153" s="536">
        <f t="shared" si="77"/>
        <v>6.8000000000000005E-2</v>
      </c>
      <c r="Y153" s="536">
        <f t="shared" si="77"/>
        <v>7.1999999999999995E-2</v>
      </c>
      <c r="Z153" s="536">
        <f t="shared" si="77"/>
        <v>7.4999999999999997E-2</v>
      </c>
      <c r="AA153" s="526"/>
      <c r="AB153" s="520"/>
      <c r="AC153" s="520"/>
      <c r="AD153" s="520"/>
      <c r="AE153" s="520"/>
      <c r="AF153" s="520"/>
      <c r="AG153" s="520"/>
      <c r="AH153" s="520"/>
      <c r="AI153" s="520"/>
      <c r="AJ153" s="520"/>
      <c r="AK153" s="520"/>
      <c r="AL153" s="520"/>
      <c r="AM153" s="520"/>
      <c r="AN153" s="520"/>
      <c r="AO153" s="520"/>
      <c r="AP153" s="520"/>
      <c r="AQ153" s="520"/>
      <c r="AR153" s="520"/>
      <c r="AS153" s="520"/>
      <c r="AT153" s="520"/>
      <c r="AU153" s="520"/>
      <c r="AV153" s="520"/>
      <c r="AW153" s="520"/>
      <c r="AX153" s="520"/>
      <c r="AY153" s="520"/>
      <c r="AZ153" s="520"/>
      <c r="BA153" s="520"/>
      <c r="BB153" s="520"/>
      <c r="BC153" s="520"/>
      <c r="BD153" s="520"/>
      <c r="BE153" s="520"/>
      <c r="BF153" s="520"/>
      <c r="BG153" s="520"/>
      <c r="BH153" s="520"/>
      <c r="BI153" s="520"/>
      <c r="BJ153" s="520"/>
      <c r="BK153" s="520"/>
      <c r="BL153" s="520"/>
      <c r="BM153" s="520"/>
      <c r="BN153" s="520"/>
      <c r="BO153" s="520"/>
      <c r="BP153" s="520"/>
      <c r="BQ153" s="520"/>
      <c r="BR153" s="520"/>
      <c r="BS153" s="520"/>
      <c r="BT153" s="520"/>
      <c r="BU153" s="520"/>
      <c r="BV153" s="520"/>
      <c r="BW153" s="520"/>
      <c r="BX153" s="520"/>
      <c r="BY153" s="520"/>
      <c r="BZ153" s="520"/>
      <c r="CA153" s="520"/>
      <c r="CB153" s="520"/>
      <c r="CC153" s="520"/>
      <c r="CD153" s="520"/>
      <c r="CE153" s="520"/>
      <c r="CF153" s="520"/>
      <c r="CG153" s="520"/>
      <c r="CH153" s="520"/>
      <c r="CI153" s="520"/>
      <c r="CJ153" s="520"/>
      <c r="CK153" s="520"/>
      <c r="CL153" s="520"/>
      <c r="CM153" s="520"/>
      <c r="CN153" s="520"/>
      <c r="CO153" s="520"/>
      <c r="CP153" s="520"/>
      <c r="CQ153" s="520"/>
      <c r="CR153" s="520"/>
      <c r="CS153" s="520"/>
      <c r="CT153" s="520"/>
      <c r="CU153" s="520"/>
      <c r="CV153" s="520"/>
      <c r="CW153" s="520"/>
      <c r="CX153" s="520"/>
      <c r="CY153" s="520"/>
      <c r="CZ153" s="520"/>
      <c r="DA153" s="520"/>
      <c r="DB153" s="520"/>
      <c r="DC153" s="520"/>
      <c r="DD153" s="520"/>
      <c r="DE153" s="520"/>
      <c r="DF153" s="520"/>
      <c r="DG153" s="520"/>
      <c r="DH153" s="520"/>
      <c r="DI153" s="520"/>
      <c r="DJ153" s="520"/>
      <c r="DK153" s="520"/>
      <c r="DL153" s="520"/>
      <c r="DM153" s="520"/>
      <c r="DN153" s="520"/>
      <c r="DO153" s="520"/>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row>
    <row r="154" spans="1:153" s="521" customFormat="1" ht="15">
      <c r="A154" s="566" t="s">
        <v>3516</v>
      </c>
      <c r="B154" s="519"/>
      <c r="C154" s="520"/>
      <c r="D154" s="520"/>
      <c r="E154" s="520"/>
      <c r="F154" s="520"/>
      <c r="G154" s="520"/>
      <c r="H154" s="520"/>
      <c r="I154" s="520"/>
      <c r="J154" s="520"/>
      <c r="K154" s="520"/>
      <c r="L154" s="526"/>
      <c r="M154" s="526"/>
      <c r="N154" s="526"/>
      <c r="O154" s="526"/>
      <c r="P154" s="534"/>
      <c r="Q154" s="537">
        <v>3.5999999999999997E-2</v>
      </c>
      <c r="R154" s="537">
        <v>3.7999999999999999E-2</v>
      </c>
      <c r="S154" s="537">
        <v>4.3999999999999997E-2</v>
      </c>
      <c r="T154" s="537">
        <v>0.05</v>
      </c>
      <c r="U154" s="537">
        <v>5.6000000000000001E-2</v>
      </c>
      <c r="V154" s="537">
        <v>0.06</v>
      </c>
      <c r="W154" s="537">
        <v>6.4000000000000001E-2</v>
      </c>
      <c r="X154" s="537">
        <v>6.8000000000000005E-2</v>
      </c>
      <c r="Y154" s="537">
        <v>7.1999999999999995E-2</v>
      </c>
      <c r="Z154" s="537">
        <v>7.4999999999999997E-2</v>
      </c>
      <c r="AA154" s="526"/>
      <c r="AB154" s="520"/>
      <c r="AC154" s="520"/>
      <c r="AD154" s="520"/>
      <c r="AE154" s="520"/>
      <c r="AF154" s="520"/>
      <c r="AG154" s="520"/>
      <c r="AH154" s="520"/>
      <c r="AI154" s="520"/>
      <c r="AJ154" s="520"/>
      <c r="AK154" s="520"/>
      <c r="AL154" s="520"/>
      <c r="AM154" s="520"/>
      <c r="AN154" s="520"/>
      <c r="AO154" s="520"/>
      <c r="AP154" s="520"/>
      <c r="AQ154" s="520"/>
      <c r="AR154" s="520"/>
      <c r="AS154" s="520"/>
      <c r="AT154" s="520"/>
      <c r="AU154" s="520"/>
      <c r="AV154" s="520"/>
      <c r="AW154" s="520"/>
      <c r="AX154" s="520"/>
      <c r="AY154" s="520"/>
      <c r="AZ154" s="520"/>
      <c r="BA154" s="520"/>
      <c r="BB154" s="520"/>
      <c r="BC154" s="520"/>
      <c r="BD154" s="520"/>
      <c r="BE154" s="520"/>
      <c r="BF154" s="520"/>
      <c r="BG154" s="520"/>
      <c r="BH154" s="520"/>
      <c r="BI154" s="520"/>
      <c r="BJ154" s="520"/>
      <c r="BK154" s="520"/>
      <c r="BL154" s="520"/>
      <c r="BM154" s="520"/>
      <c r="BN154" s="520"/>
      <c r="BO154" s="520"/>
      <c r="BP154" s="520"/>
      <c r="BQ154" s="520"/>
      <c r="BR154" s="520"/>
      <c r="BS154" s="520"/>
      <c r="BT154" s="520"/>
      <c r="BU154" s="520"/>
      <c r="BV154" s="520"/>
      <c r="BW154" s="520"/>
      <c r="BX154" s="520"/>
      <c r="BY154" s="520"/>
      <c r="BZ154" s="520"/>
      <c r="CA154" s="520"/>
      <c r="CB154" s="520"/>
      <c r="CC154" s="520"/>
      <c r="CD154" s="520"/>
      <c r="CE154" s="520"/>
      <c r="CF154" s="520"/>
      <c r="CG154" s="520"/>
      <c r="CH154" s="520"/>
      <c r="CI154" s="520"/>
      <c r="CJ154" s="520"/>
      <c r="CK154" s="520"/>
      <c r="CL154" s="520"/>
      <c r="CM154" s="520"/>
      <c r="CN154" s="520"/>
      <c r="CO154" s="520"/>
      <c r="CP154" s="520"/>
      <c r="CQ154" s="520"/>
      <c r="CR154" s="520"/>
      <c r="CS154" s="520"/>
      <c r="CT154" s="520"/>
      <c r="CU154" s="520"/>
      <c r="CV154" s="520"/>
      <c r="CW154" s="520"/>
      <c r="CX154" s="520"/>
      <c r="CY154" s="520"/>
      <c r="CZ154" s="520"/>
      <c r="DA154" s="520"/>
      <c r="DB154" s="520"/>
      <c r="DC154" s="520"/>
      <c r="DD154" s="520"/>
      <c r="DE154" s="520"/>
      <c r="DF154" s="520"/>
      <c r="DG154" s="520"/>
      <c r="DH154" s="520"/>
      <c r="DI154" s="520"/>
      <c r="DJ154" s="520"/>
      <c r="DK154" s="520"/>
      <c r="DL154" s="520"/>
      <c r="DM154" s="520"/>
      <c r="DN154" s="520"/>
      <c r="DO154" s="520"/>
      <c r="DP154" s="520"/>
      <c r="DQ154" s="520"/>
      <c r="DR154" s="520"/>
      <c r="DS154" s="520"/>
      <c r="DT154" s="520"/>
      <c r="DU154" s="520"/>
      <c r="DV154" s="520"/>
      <c r="DW154" s="520"/>
      <c r="DX154" s="520"/>
      <c r="DY154" s="520"/>
      <c r="DZ154" s="520"/>
      <c r="EA154" s="520"/>
      <c r="EB154" s="520"/>
      <c r="EC154" s="520"/>
      <c r="ED154" s="520"/>
      <c r="EE154" s="520"/>
      <c r="EF154" s="520"/>
      <c r="EG154" s="520"/>
      <c r="EH154" s="520"/>
      <c r="EI154" s="520"/>
      <c r="EJ154" s="520"/>
      <c r="EK154" s="520"/>
      <c r="EL154" s="520"/>
      <c r="EM154" s="520"/>
      <c r="EN154" s="520"/>
      <c r="EO154" s="520"/>
      <c r="EP154" s="520"/>
      <c r="EQ154" s="520"/>
      <c r="ER154" s="520"/>
      <c r="ES154" s="520"/>
      <c r="ET154" s="520"/>
      <c r="EU154" s="520"/>
      <c r="EV154" s="520"/>
      <c r="EW154" s="520"/>
    </row>
    <row r="155" spans="1:153" s="521" customFormat="1" ht="15">
      <c r="A155" s="566" t="s">
        <v>3517</v>
      </c>
      <c r="B155" s="519"/>
      <c r="C155" s="520"/>
      <c r="D155" s="520"/>
      <c r="E155" s="520"/>
      <c r="F155" s="520"/>
      <c r="G155" s="520"/>
      <c r="H155" s="520"/>
      <c r="I155" s="520"/>
      <c r="J155" s="520"/>
      <c r="K155" s="520"/>
      <c r="L155" s="526"/>
      <c r="M155" s="526"/>
      <c r="N155" s="526"/>
      <c r="O155" s="526"/>
      <c r="P155" s="534"/>
      <c r="Q155" s="537">
        <f>Q154-$AA155</f>
        <v>4.0999999999999995E-2</v>
      </c>
      <c r="R155" s="537">
        <f t="shared" ref="R155:Z156" si="78">R154-$AA155</f>
        <v>4.2999999999999997E-2</v>
      </c>
      <c r="S155" s="537">
        <f t="shared" si="78"/>
        <v>4.8999999999999995E-2</v>
      </c>
      <c r="T155" s="537">
        <f t="shared" si="78"/>
        <v>5.5E-2</v>
      </c>
      <c r="U155" s="537">
        <f t="shared" si="78"/>
        <v>6.0999999999999999E-2</v>
      </c>
      <c r="V155" s="537">
        <f t="shared" si="78"/>
        <v>6.5000000000000002E-2</v>
      </c>
      <c r="W155" s="537">
        <f t="shared" si="78"/>
        <v>6.9000000000000006E-2</v>
      </c>
      <c r="X155" s="537">
        <f t="shared" si="78"/>
        <v>7.3000000000000009E-2</v>
      </c>
      <c r="Y155" s="537">
        <f t="shared" si="78"/>
        <v>7.6999999999999999E-2</v>
      </c>
      <c r="Z155" s="537">
        <f t="shared" si="78"/>
        <v>0.08</v>
      </c>
      <c r="AA155" s="538">
        <v>-5.0000000000000001E-3</v>
      </c>
      <c r="AB155" s="520"/>
      <c r="AC155" s="520"/>
      <c r="AD155" s="520"/>
      <c r="AE155" s="520"/>
      <c r="AF155" s="520"/>
      <c r="AG155" s="520"/>
      <c r="AH155" s="520"/>
      <c r="AI155" s="520"/>
      <c r="AJ155" s="520"/>
      <c r="AK155" s="520"/>
      <c r="AL155" s="520"/>
      <c r="AM155" s="520"/>
      <c r="AN155" s="520"/>
      <c r="AO155" s="520"/>
      <c r="AP155" s="520"/>
      <c r="AQ155" s="520"/>
      <c r="AR155" s="520"/>
      <c r="AS155" s="520"/>
      <c r="AT155" s="520"/>
      <c r="AU155" s="520"/>
      <c r="AV155" s="520"/>
      <c r="AW155" s="520"/>
      <c r="AX155" s="520"/>
      <c r="AY155" s="520"/>
      <c r="AZ155" s="520"/>
      <c r="BA155" s="520"/>
      <c r="BB155" s="520"/>
      <c r="BC155" s="520"/>
      <c r="BD155" s="520"/>
      <c r="BE155" s="520"/>
      <c r="BF155" s="520"/>
      <c r="BG155" s="520"/>
      <c r="BH155" s="520"/>
      <c r="BI155" s="520"/>
      <c r="BJ155" s="520"/>
      <c r="BK155" s="520"/>
      <c r="BL155" s="520"/>
      <c r="BM155" s="520"/>
      <c r="BN155" s="520"/>
      <c r="BO155" s="520"/>
      <c r="BP155" s="520"/>
      <c r="BQ155" s="520"/>
      <c r="BR155" s="520"/>
      <c r="BS155" s="520"/>
      <c r="BT155" s="520"/>
      <c r="BU155" s="520"/>
      <c r="BV155" s="520"/>
      <c r="BW155" s="520"/>
      <c r="BX155" s="520"/>
      <c r="BY155" s="520"/>
      <c r="BZ155" s="520"/>
      <c r="CA155" s="520"/>
      <c r="CB155" s="520"/>
      <c r="CC155" s="520"/>
      <c r="CD155" s="520"/>
      <c r="CE155" s="520"/>
      <c r="CF155" s="520"/>
      <c r="CG155" s="520"/>
      <c r="CH155" s="520"/>
      <c r="CI155" s="520"/>
      <c r="CJ155" s="520"/>
      <c r="CK155" s="520"/>
      <c r="CL155" s="520"/>
      <c r="CM155" s="520"/>
      <c r="CN155" s="520"/>
      <c r="CO155" s="520"/>
      <c r="CP155" s="520"/>
      <c r="CQ155" s="520"/>
      <c r="CR155" s="520"/>
      <c r="CS155" s="520"/>
      <c r="CT155" s="520"/>
      <c r="CU155" s="520"/>
      <c r="CV155" s="520"/>
      <c r="CW155" s="520"/>
      <c r="CX155" s="520"/>
      <c r="CY155" s="520"/>
      <c r="CZ155" s="520"/>
      <c r="DA155" s="520"/>
      <c r="DB155" s="520"/>
      <c r="DC155" s="520"/>
      <c r="DD155" s="520"/>
      <c r="DE155" s="520"/>
      <c r="DF155" s="520"/>
      <c r="DG155" s="520"/>
      <c r="DH155" s="520"/>
      <c r="DI155" s="520"/>
      <c r="DJ155" s="520"/>
      <c r="DK155" s="520"/>
      <c r="DL155" s="520"/>
      <c r="DM155" s="520"/>
      <c r="DN155" s="520"/>
      <c r="DO155" s="520"/>
      <c r="DP155" s="520"/>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row>
    <row r="156" spans="1:153" s="521" customFormat="1" ht="15">
      <c r="A156" s="566" t="s">
        <v>3518</v>
      </c>
      <c r="B156" s="519"/>
      <c r="C156" s="520"/>
      <c r="D156" s="520"/>
      <c r="E156" s="520"/>
      <c r="F156" s="520"/>
      <c r="G156" s="520"/>
      <c r="H156" s="520"/>
      <c r="I156" s="520"/>
      <c r="J156" s="520"/>
      <c r="K156" s="520"/>
      <c r="L156" s="526"/>
      <c r="M156" s="526"/>
      <c r="N156" s="526"/>
      <c r="O156" s="526"/>
      <c r="P156" s="534"/>
      <c r="Q156" s="537">
        <f>Q155-$AA156</f>
        <v>3.3499999999999995E-2</v>
      </c>
      <c r="R156" s="537">
        <f t="shared" si="78"/>
        <v>3.5499999999999997E-2</v>
      </c>
      <c r="S156" s="537">
        <f t="shared" si="78"/>
        <v>4.1499999999999995E-2</v>
      </c>
      <c r="T156" s="537">
        <f t="shared" si="78"/>
        <v>4.7500000000000001E-2</v>
      </c>
      <c r="U156" s="537">
        <f t="shared" si="78"/>
        <v>5.3499999999999999E-2</v>
      </c>
      <c r="V156" s="537">
        <f t="shared" si="78"/>
        <v>5.7500000000000002E-2</v>
      </c>
      <c r="W156" s="537">
        <f t="shared" si="78"/>
        <v>6.1500000000000006E-2</v>
      </c>
      <c r="X156" s="537">
        <f t="shared" si="78"/>
        <v>6.5500000000000003E-2</v>
      </c>
      <c r="Y156" s="537">
        <f t="shared" si="78"/>
        <v>6.9500000000000006E-2</v>
      </c>
      <c r="Z156" s="537">
        <f t="shared" si="78"/>
        <v>7.2500000000000009E-2</v>
      </c>
      <c r="AA156" s="538">
        <v>7.4999999999999997E-3</v>
      </c>
      <c r="AB156" s="520"/>
      <c r="AC156" s="520"/>
      <c r="AD156" s="520"/>
      <c r="AE156" s="520"/>
      <c r="AF156" s="520"/>
      <c r="AG156" s="520"/>
      <c r="AH156" s="520"/>
      <c r="AI156" s="520"/>
      <c r="AJ156" s="520"/>
      <c r="AK156" s="520"/>
      <c r="AL156" s="520"/>
      <c r="AM156" s="520"/>
      <c r="AN156" s="520"/>
      <c r="AO156" s="520"/>
      <c r="AP156" s="520"/>
      <c r="AQ156" s="520"/>
      <c r="AR156" s="520"/>
      <c r="AS156" s="520"/>
      <c r="AT156" s="520"/>
      <c r="AU156" s="520"/>
      <c r="AV156" s="520"/>
      <c r="AW156" s="520"/>
      <c r="AX156" s="520"/>
      <c r="AY156" s="520"/>
      <c r="AZ156" s="520"/>
      <c r="BA156" s="520"/>
      <c r="BB156" s="520"/>
      <c r="BC156" s="520"/>
      <c r="BD156" s="520"/>
      <c r="BE156" s="520"/>
      <c r="BF156" s="520"/>
      <c r="BG156" s="520"/>
      <c r="BH156" s="520"/>
      <c r="BI156" s="520"/>
      <c r="BJ156" s="520"/>
      <c r="BK156" s="520"/>
      <c r="BL156" s="520"/>
      <c r="BM156" s="520"/>
      <c r="BN156" s="520"/>
      <c r="BO156" s="520"/>
      <c r="BP156" s="520"/>
      <c r="BQ156" s="520"/>
      <c r="BR156" s="520"/>
      <c r="BS156" s="520"/>
      <c r="BT156" s="520"/>
      <c r="BU156" s="520"/>
      <c r="BV156" s="520"/>
      <c r="BW156" s="520"/>
      <c r="BX156" s="520"/>
      <c r="BY156" s="520"/>
      <c r="BZ156" s="520"/>
      <c r="CA156" s="520"/>
      <c r="CB156" s="520"/>
      <c r="CC156" s="520"/>
      <c r="CD156" s="520"/>
      <c r="CE156" s="520"/>
      <c r="CF156" s="520"/>
      <c r="CG156" s="520"/>
      <c r="CH156" s="520"/>
      <c r="CI156" s="520"/>
      <c r="CJ156" s="520"/>
      <c r="CK156" s="520"/>
      <c r="CL156" s="520"/>
      <c r="CM156" s="520"/>
      <c r="CN156" s="520"/>
      <c r="CO156" s="520"/>
      <c r="CP156" s="520"/>
      <c r="CQ156" s="520"/>
      <c r="CR156" s="520"/>
      <c r="CS156" s="520"/>
      <c r="CT156" s="520"/>
      <c r="CU156" s="520"/>
      <c r="CV156" s="520"/>
      <c r="CW156" s="520"/>
      <c r="CX156" s="520"/>
      <c r="CY156" s="520"/>
      <c r="CZ156" s="520"/>
      <c r="DA156" s="520"/>
      <c r="DB156" s="520"/>
      <c r="DC156" s="520"/>
      <c r="DD156" s="520"/>
      <c r="DE156" s="520"/>
      <c r="DF156" s="520"/>
      <c r="DG156" s="520"/>
      <c r="DH156" s="520"/>
      <c r="DI156" s="520"/>
      <c r="DJ156" s="520"/>
      <c r="DK156" s="520"/>
      <c r="DL156" s="520"/>
      <c r="DM156" s="520"/>
      <c r="DN156" s="520"/>
      <c r="DO156" s="520"/>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row>
    <row r="157" spans="1:153" s="521" customFormat="1">
      <c r="A157" s="700"/>
      <c r="B157" s="519"/>
      <c r="C157" s="520"/>
      <c r="D157" s="520"/>
      <c r="E157" s="520"/>
      <c r="F157" s="520"/>
      <c r="G157" s="520"/>
      <c r="H157" s="520"/>
      <c r="I157" s="520"/>
      <c r="J157" s="520"/>
      <c r="K157" s="520"/>
      <c r="L157" s="526"/>
      <c r="M157" s="526"/>
      <c r="N157" s="526"/>
      <c r="O157" s="526"/>
      <c r="P157" s="526"/>
      <c r="Q157" s="526"/>
      <c r="R157" s="526"/>
      <c r="S157" s="526"/>
      <c r="T157" s="526"/>
      <c r="U157" s="526"/>
      <c r="V157" s="526"/>
      <c r="W157" s="526"/>
      <c r="X157" s="526"/>
      <c r="Y157" s="526"/>
      <c r="Z157" s="526"/>
      <c r="AA157" s="526"/>
      <c r="AB157" s="520"/>
      <c r="AC157" s="520"/>
      <c r="AD157" s="520"/>
      <c r="AE157" s="520"/>
      <c r="AF157" s="520"/>
      <c r="AG157" s="520"/>
      <c r="AH157" s="520"/>
      <c r="AI157" s="520"/>
      <c r="AJ157" s="520"/>
      <c r="AK157" s="520"/>
      <c r="AL157" s="520"/>
      <c r="AM157" s="520"/>
      <c r="AN157" s="520"/>
      <c r="AO157" s="520"/>
      <c r="AP157" s="520"/>
      <c r="AQ157" s="520"/>
      <c r="AR157" s="520"/>
      <c r="AS157" s="520"/>
      <c r="AT157" s="520"/>
      <c r="AU157" s="520"/>
      <c r="AV157" s="520"/>
      <c r="AW157" s="520"/>
      <c r="AX157" s="520"/>
      <c r="AY157" s="520"/>
      <c r="AZ157" s="520"/>
      <c r="BA157" s="520"/>
      <c r="BB157" s="520"/>
      <c r="BC157" s="520"/>
      <c r="BD157" s="520"/>
      <c r="BE157" s="520"/>
      <c r="BF157" s="520"/>
      <c r="BG157" s="520"/>
      <c r="BH157" s="520"/>
      <c r="BI157" s="520"/>
      <c r="BJ157" s="520"/>
      <c r="BK157" s="520"/>
      <c r="BL157" s="520"/>
      <c r="BM157" s="520"/>
      <c r="BN157" s="520"/>
      <c r="BO157" s="520"/>
      <c r="BP157" s="520"/>
      <c r="BQ157" s="520"/>
      <c r="BR157" s="520"/>
      <c r="BS157" s="520"/>
      <c r="BT157" s="520"/>
      <c r="BU157" s="520"/>
      <c r="BV157" s="520"/>
      <c r="BW157" s="520"/>
      <c r="BX157" s="520"/>
      <c r="BY157" s="520"/>
      <c r="BZ157" s="520"/>
      <c r="CA157" s="520"/>
      <c r="CB157" s="520"/>
      <c r="CC157" s="520"/>
      <c r="CD157" s="520"/>
      <c r="CE157" s="520"/>
      <c r="CF157" s="520"/>
      <c r="CG157" s="520"/>
      <c r="CH157" s="520"/>
      <c r="CI157" s="520"/>
      <c r="CJ157" s="520"/>
      <c r="CK157" s="520"/>
      <c r="CL157" s="520"/>
      <c r="CM157" s="520"/>
      <c r="CN157" s="520"/>
      <c r="CO157" s="520"/>
      <c r="CP157" s="520"/>
      <c r="CQ157" s="520"/>
      <c r="CR157" s="520"/>
      <c r="CS157" s="520"/>
      <c r="CT157" s="520"/>
      <c r="CU157" s="520"/>
      <c r="CV157" s="520"/>
      <c r="CW157" s="520"/>
      <c r="CX157" s="520"/>
      <c r="CY157" s="520"/>
      <c r="CZ157" s="520"/>
      <c r="DA157" s="520"/>
      <c r="DB157" s="520"/>
      <c r="DC157" s="520"/>
      <c r="DD157" s="520"/>
      <c r="DE157" s="520"/>
      <c r="DF157" s="520"/>
      <c r="DG157" s="520"/>
      <c r="DH157" s="520"/>
      <c r="DI157" s="520"/>
      <c r="DJ157" s="520"/>
      <c r="DK157" s="520"/>
      <c r="DL157" s="520"/>
      <c r="DM157" s="520"/>
      <c r="DN157" s="520"/>
      <c r="DO157" s="520"/>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row>
    <row r="158" spans="1:153" s="521" customFormat="1" ht="15">
      <c r="A158" s="702" t="s">
        <v>3537</v>
      </c>
      <c r="B158" s="519"/>
      <c r="C158" s="520"/>
      <c r="D158" s="520"/>
      <c r="E158" s="520"/>
      <c r="F158" s="520"/>
      <c r="G158" s="520"/>
      <c r="H158" s="520"/>
      <c r="I158" s="520"/>
      <c r="J158" s="520"/>
      <c r="K158" s="520"/>
      <c r="L158" s="526"/>
      <c r="M158" s="526">
        <v>13.182415429999999</v>
      </c>
      <c r="N158" s="526">
        <v>39.084707700000003</v>
      </c>
      <c r="O158" s="526">
        <v>154.30000000000001</v>
      </c>
      <c r="P158" s="526">
        <f>186.7+76.36</f>
        <v>263.06</v>
      </c>
      <c r="Q158" s="526">
        <f t="shared" ref="Q158:Z158" si="79">(1+Q159)*(P158)</f>
        <v>349.8698</v>
      </c>
      <c r="R158" s="526">
        <f t="shared" si="79"/>
        <v>437.33724999999998</v>
      </c>
      <c r="S158" s="526">
        <f t="shared" si="79"/>
        <v>502.93783749999994</v>
      </c>
      <c r="T158" s="526">
        <f t="shared" si="79"/>
        <v>578.37851312499993</v>
      </c>
      <c r="U158" s="526">
        <f t="shared" si="79"/>
        <v>647.78393470000003</v>
      </c>
      <c r="V158" s="526">
        <f t="shared" si="79"/>
        <v>725.51800686400009</v>
      </c>
      <c r="W158" s="526">
        <f t="shared" si="79"/>
        <v>790.81462748176011</v>
      </c>
      <c r="X158" s="526">
        <f t="shared" si="79"/>
        <v>854.079797680301</v>
      </c>
      <c r="Y158" s="526">
        <f t="shared" si="79"/>
        <v>913.86538351792217</v>
      </c>
      <c r="Z158" s="526">
        <f t="shared" si="79"/>
        <v>968.6973065289975</v>
      </c>
      <c r="AA158" s="526"/>
      <c r="AB158" s="520"/>
      <c r="AC158" s="520"/>
      <c r="AD158" s="520"/>
      <c r="AE158" s="520"/>
      <c r="AF158" s="520"/>
      <c r="AG158" s="520"/>
      <c r="AH158" s="520"/>
      <c r="AI158" s="520"/>
      <c r="AJ158" s="520"/>
      <c r="AK158" s="520"/>
      <c r="AL158" s="520"/>
      <c r="AM158" s="520"/>
      <c r="AN158" s="520"/>
      <c r="AO158" s="520"/>
      <c r="AP158" s="520"/>
      <c r="AQ158" s="520"/>
      <c r="AR158" s="520"/>
      <c r="AS158" s="520"/>
      <c r="AT158" s="520"/>
      <c r="AU158" s="520"/>
      <c r="AV158" s="520"/>
      <c r="AW158" s="520"/>
      <c r="AX158" s="520"/>
      <c r="AY158" s="520"/>
      <c r="AZ158" s="520"/>
      <c r="BA158" s="520"/>
      <c r="BB158" s="520"/>
      <c r="BC158" s="520"/>
      <c r="BD158" s="520"/>
      <c r="BE158" s="520"/>
      <c r="BF158" s="520"/>
      <c r="BG158" s="520"/>
      <c r="BH158" s="520"/>
      <c r="BI158" s="520"/>
      <c r="BJ158" s="520"/>
      <c r="BK158" s="520"/>
      <c r="BL158" s="520"/>
      <c r="BM158" s="520"/>
      <c r="BN158" s="520"/>
      <c r="BO158" s="520"/>
      <c r="BP158" s="520"/>
      <c r="BQ158" s="520"/>
      <c r="BR158" s="520"/>
      <c r="BS158" s="520"/>
      <c r="BT158" s="520"/>
      <c r="BU158" s="520"/>
      <c r="BV158" s="520"/>
      <c r="BW158" s="520"/>
      <c r="BX158" s="520"/>
      <c r="BY158" s="520"/>
      <c r="BZ158" s="520"/>
      <c r="CA158" s="520"/>
      <c r="CB158" s="520"/>
      <c r="CC158" s="520"/>
      <c r="CD158" s="520"/>
      <c r="CE158" s="520"/>
      <c r="CF158" s="520"/>
      <c r="CG158" s="520"/>
      <c r="CH158" s="520"/>
      <c r="CI158" s="520"/>
      <c r="CJ158" s="520"/>
      <c r="CK158" s="520"/>
      <c r="CL158" s="520"/>
      <c r="CM158" s="520"/>
      <c r="CN158" s="520"/>
      <c r="CO158" s="520"/>
      <c r="CP158" s="520"/>
      <c r="CQ158" s="520"/>
      <c r="CR158" s="520"/>
      <c r="CS158" s="520"/>
      <c r="CT158" s="520"/>
      <c r="CU158" s="520"/>
      <c r="CV158" s="520"/>
      <c r="CW158" s="520"/>
      <c r="CX158" s="520"/>
      <c r="CY158" s="520"/>
      <c r="CZ158" s="520"/>
      <c r="DA158" s="520"/>
      <c r="DB158" s="520"/>
      <c r="DC158" s="520"/>
      <c r="DD158" s="520"/>
      <c r="DE158" s="520"/>
      <c r="DF158" s="520"/>
      <c r="DG158" s="520"/>
      <c r="DH158" s="520"/>
      <c r="DI158" s="520"/>
      <c r="DJ158" s="520"/>
      <c r="DK158" s="520"/>
      <c r="DL158" s="520"/>
      <c r="DM158" s="520"/>
      <c r="DN158" s="520"/>
      <c r="DO158" s="520"/>
      <c r="DP158" s="520"/>
      <c r="DQ158" s="520"/>
      <c r="DR158" s="520"/>
      <c r="DS158" s="520"/>
      <c r="DT158" s="520"/>
      <c r="DU158" s="520"/>
      <c r="DV158" s="520"/>
      <c r="DW158" s="520"/>
      <c r="DX158" s="520"/>
      <c r="DY158" s="520"/>
      <c r="DZ158" s="520"/>
      <c r="EA158" s="520"/>
      <c r="EB158" s="520"/>
      <c r="EC158" s="520"/>
      <c r="ED158" s="520"/>
      <c r="EE158" s="520"/>
      <c r="EF158" s="520"/>
      <c r="EG158" s="520"/>
      <c r="EH158" s="520"/>
      <c r="EI158" s="520"/>
      <c r="EJ158" s="520"/>
      <c r="EK158" s="520"/>
      <c r="EL158" s="520"/>
      <c r="EM158" s="520"/>
      <c r="EN158" s="520"/>
      <c r="EO158" s="520"/>
      <c r="EP158" s="520"/>
      <c r="EQ158" s="520"/>
      <c r="ER158" s="520"/>
      <c r="ES158" s="520"/>
      <c r="ET158" s="520"/>
      <c r="EU158" s="520"/>
      <c r="EV158" s="520"/>
      <c r="EW158" s="520"/>
    </row>
    <row r="159" spans="1:153" s="521" customFormat="1">
      <c r="A159" s="700"/>
      <c r="B159" s="519"/>
      <c r="C159" s="520"/>
      <c r="D159" s="520"/>
      <c r="E159" s="520"/>
      <c r="F159" s="520"/>
      <c r="G159" s="520"/>
      <c r="H159" s="520"/>
      <c r="I159" s="520"/>
      <c r="J159" s="520"/>
      <c r="K159" s="520"/>
      <c r="L159" s="526"/>
      <c r="M159" s="526"/>
      <c r="N159" s="526"/>
      <c r="O159" s="526">
        <v>1.9649124553496189</v>
      </c>
      <c r="P159" s="534">
        <f>(P158/O158)-1</f>
        <v>0.70486066104990264</v>
      </c>
      <c r="Q159" s="536">
        <f>CHOOSE($O$1,Q160,Q161,Q162)</f>
        <v>0.33</v>
      </c>
      <c r="R159" s="536">
        <f t="shared" ref="R159:Z159" si="80">CHOOSE($O$1,R160,R161,R162)</f>
        <v>0.25</v>
      </c>
      <c r="S159" s="536">
        <f t="shared" si="80"/>
        <v>0.15</v>
      </c>
      <c r="T159" s="536">
        <f t="shared" si="80"/>
        <v>0.15</v>
      </c>
      <c r="U159" s="536">
        <f t="shared" si="80"/>
        <v>0.12</v>
      </c>
      <c r="V159" s="536">
        <f t="shared" si="80"/>
        <v>0.12</v>
      </c>
      <c r="W159" s="536">
        <f t="shared" si="80"/>
        <v>0.09</v>
      </c>
      <c r="X159" s="536">
        <f t="shared" si="80"/>
        <v>0.08</v>
      </c>
      <c r="Y159" s="536">
        <f t="shared" si="80"/>
        <v>7.0000000000000007E-2</v>
      </c>
      <c r="Z159" s="536">
        <f t="shared" si="80"/>
        <v>0.06</v>
      </c>
      <c r="AA159" s="526"/>
      <c r="AB159" s="520"/>
      <c r="AC159" s="520"/>
      <c r="AD159" s="520"/>
      <c r="AE159" s="520"/>
      <c r="AF159" s="520"/>
      <c r="AG159" s="520"/>
      <c r="AH159" s="520"/>
      <c r="AI159" s="520"/>
      <c r="AJ159" s="520"/>
      <c r="AK159" s="520"/>
      <c r="AL159" s="520"/>
      <c r="AM159" s="520"/>
      <c r="AN159" s="520"/>
      <c r="AO159" s="520"/>
      <c r="AP159" s="520"/>
      <c r="AQ159" s="520"/>
      <c r="AR159" s="520"/>
      <c r="AS159" s="520"/>
      <c r="AT159" s="520"/>
      <c r="AU159" s="520"/>
      <c r="AV159" s="520"/>
      <c r="AW159" s="520"/>
      <c r="AX159" s="520"/>
      <c r="AY159" s="520"/>
      <c r="AZ159" s="520"/>
      <c r="BA159" s="520"/>
      <c r="BB159" s="520"/>
      <c r="BC159" s="520"/>
      <c r="BD159" s="520"/>
      <c r="BE159" s="520"/>
      <c r="BF159" s="520"/>
      <c r="BG159" s="520"/>
      <c r="BH159" s="520"/>
      <c r="BI159" s="520"/>
      <c r="BJ159" s="520"/>
      <c r="BK159" s="520"/>
      <c r="BL159" s="520"/>
      <c r="BM159" s="520"/>
      <c r="BN159" s="520"/>
      <c r="BO159" s="520"/>
      <c r="BP159" s="520"/>
      <c r="BQ159" s="520"/>
      <c r="BR159" s="520"/>
      <c r="BS159" s="520"/>
      <c r="BT159" s="520"/>
      <c r="BU159" s="520"/>
      <c r="BV159" s="520"/>
      <c r="BW159" s="520"/>
      <c r="BX159" s="520"/>
      <c r="BY159" s="520"/>
      <c r="BZ159" s="520"/>
      <c r="CA159" s="520"/>
      <c r="CB159" s="520"/>
      <c r="CC159" s="520"/>
      <c r="CD159" s="520"/>
      <c r="CE159" s="520"/>
      <c r="CF159" s="520"/>
      <c r="CG159" s="520"/>
      <c r="CH159" s="520"/>
      <c r="CI159" s="520"/>
      <c r="CJ159" s="520"/>
      <c r="CK159" s="520"/>
      <c r="CL159" s="520"/>
      <c r="CM159" s="520"/>
      <c r="CN159" s="520"/>
      <c r="CO159" s="520"/>
      <c r="CP159" s="520"/>
      <c r="CQ159" s="520"/>
      <c r="CR159" s="520"/>
      <c r="CS159" s="520"/>
      <c r="CT159" s="520"/>
      <c r="CU159" s="520"/>
      <c r="CV159" s="520"/>
      <c r="CW159" s="520"/>
      <c r="CX159" s="520"/>
      <c r="CY159" s="520"/>
      <c r="CZ159" s="520"/>
      <c r="DA159" s="520"/>
      <c r="DB159" s="520"/>
      <c r="DC159" s="520"/>
      <c r="DD159" s="520"/>
      <c r="DE159" s="520"/>
      <c r="DF159" s="520"/>
      <c r="DG159" s="520"/>
      <c r="DH159" s="520"/>
      <c r="DI159" s="520"/>
      <c r="DJ159" s="520"/>
      <c r="DK159" s="520"/>
      <c r="DL159" s="520"/>
      <c r="DM159" s="520"/>
      <c r="DN159" s="520"/>
      <c r="DO159" s="520"/>
      <c r="DP159" s="520"/>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row>
    <row r="160" spans="1:153" s="521" customFormat="1" ht="15">
      <c r="A160" s="566" t="s">
        <v>3516</v>
      </c>
      <c r="B160" s="519"/>
      <c r="C160" s="520"/>
      <c r="D160" s="520"/>
      <c r="E160" s="520"/>
      <c r="F160" s="520"/>
      <c r="G160" s="520"/>
      <c r="H160" s="520"/>
      <c r="I160" s="520"/>
      <c r="J160" s="520"/>
      <c r="K160" s="520"/>
      <c r="L160" s="526"/>
      <c r="M160" s="526"/>
      <c r="N160" s="526"/>
      <c r="O160" s="526"/>
      <c r="P160" s="534"/>
      <c r="Q160" s="537">
        <v>0.33</v>
      </c>
      <c r="R160" s="537">
        <v>0.25</v>
      </c>
      <c r="S160" s="537">
        <v>0.15</v>
      </c>
      <c r="T160" s="537">
        <v>0.15</v>
      </c>
      <c r="U160" s="537">
        <v>0.12</v>
      </c>
      <c r="V160" s="537">
        <v>0.12</v>
      </c>
      <c r="W160" s="537">
        <v>0.09</v>
      </c>
      <c r="X160" s="537">
        <v>0.08</v>
      </c>
      <c r="Y160" s="537">
        <v>7.0000000000000007E-2</v>
      </c>
      <c r="Z160" s="537">
        <v>0.06</v>
      </c>
      <c r="AA160" s="526"/>
      <c r="AB160" s="520"/>
      <c r="AC160" s="520"/>
      <c r="AD160" s="520"/>
      <c r="AE160" s="520"/>
      <c r="AF160" s="520"/>
      <c r="AG160" s="520"/>
      <c r="AH160" s="520"/>
      <c r="AI160" s="520"/>
      <c r="AJ160" s="520"/>
      <c r="AK160" s="520"/>
      <c r="AL160" s="520"/>
      <c r="AM160" s="520"/>
      <c r="AN160" s="520"/>
      <c r="AO160" s="520"/>
      <c r="AP160" s="520"/>
      <c r="AQ160" s="520"/>
      <c r="AR160" s="520"/>
      <c r="AS160" s="520"/>
      <c r="AT160" s="520"/>
      <c r="AU160" s="520"/>
      <c r="AV160" s="520"/>
      <c r="AW160" s="520"/>
      <c r="AX160" s="520"/>
      <c r="AY160" s="520"/>
      <c r="AZ160" s="520"/>
      <c r="BA160" s="520"/>
      <c r="BB160" s="520"/>
      <c r="BC160" s="520"/>
      <c r="BD160" s="520"/>
      <c r="BE160" s="520"/>
      <c r="BF160" s="520"/>
      <c r="BG160" s="520"/>
      <c r="BH160" s="520"/>
      <c r="BI160" s="520"/>
      <c r="BJ160" s="520"/>
      <c r="BK160" s="520"/>
      <c r="BL160" s="520"/>
      <c r="BM160" s="520"/>
      <c r="BN160" s="520"/>
      <c r="BO160" s="520"/>
      <c r="BP160" s="520"/>
      <c r="BQ160" s="520"/>
      <c r="BR160" s="520"/>
      <c r="BS160" s="520"/>
      <c r="BT160" s="520"/>
      <c r="BU160" s="520"/>
      <c r="BV160" s="520"/>
      <c r="BW160" s="520"/>
      <c r="BX160" s="520"/>
      <c r="BY160" s="520"/>
      <c r="BZ160" s="520"/>
      <c r="CA160" s="520"/>
      <c r="CB160" s="520"/>
      <c r="CC160" s="520"/>
      <c r="CD160" s="520"/>
      <c r="CE160" s="520"/>
      <c r="CF160" s="520"/>
      <c r="CG160" s="520"/>
      <c r="CH160" s="520"/>
      <c r="CI160" s="520"/>
      <c r="CJ160" s="520"/>
      <c r="CK160" s="520"/>
      <c r="CL160" s="520"/>
      <c r="CM160" s="520"/>
      <c r="CN160" s="520"/>
      <c r="CO160" s="520"/>
      <c r="CP160" s="520"/>
      <c r="CQ160" s="520"/>
      <c r="CR160" s="520"/>
      <c r="CS160" s="520"/>
      <c r="CT160" s="520"/>
      <c r="CU160" s="520"/>
      <c r="CV160" s="520"/>
      <c r="CW160" s="520"/>
      <c r="CX160" s="520"/>
      <c r="CY160" s="520"/>
      <c r="CZ160" s="520"/>
      <c r="DA160" s="520"/>
      <c r="DB160" s="520"/>
      <c r="DC160" s="520"/>
      <c r="DD160" s="520"/>
      <c r="DE160" s="520"/>
      <c r="DF160" s="520"/>
      <c r="DG160" s="520"/>
      <c r="DH160" s="520"/>
      <c r="DI160" s="520"/>
      <c r="DJ160" s="520"/>
      <c r="DK160" s="520"/>
      <c r="DL160" s="520"/>
      <c r="DM160" s="520"/>
      <c r="DN160" s="520"/>
      <c r="DO160" s="520"/>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row>
    <row r="161" spans="1:153" s="521" customFormat="1" ht="15">
      <c r="A161" s="566" t="s">
        <v>3517</v>
      </c>
      <c r="B161" s="525"/>
      <c r="C161" s="520"/>
      <c r="D161" s="520"/>
      <c r="E161" s="520"/>
      <c r="F161" s="520"/>
      <c r="G161" s="520"/>
      <c r="H161" s="520"/>
      <c r="I161" s="520"/>
      <c r="J161" s="520"/>
      <c r="K161" s="520"/>
      <c r="L161" s="526"/>
      <c r="M161" s="526"/>
      <c r="N161" s="526"/>
      <c r="O161" s="526"/>
      <c r="P161" s="534"/>
      <c r="Q161" s="537">
        <f ca="1">Q160-$Y161</f>
        <v>0.41000000000000003</v>
      </c>
      <c r="R161" s="537">
        <f ca="1">R160-$Y161</f>
        <v>0.33</v>
      </c>
      <c r="S161" s="537">
        <f ca="1">S160-$Y161</f>
        <v>0.23</v>
      </c>
      <c r="T161" s="537">
        <f t="shared" ref="T161:Y161" ca="1" si="81">T160-$Y161</f>
        <v>0.23</v>
      </c>
      <c r="U161" s="537">
        <f t="shared" ca="1" si="81"/>
        <v>0.2</v>
      </c>
      <c r="V161" s="537">
        <f t="shared" ca="1" si="81"/>
        <v>0.2</v>
      </c>
      <c r="W161" s="537">
        <f t="shared" ca="1" si="81"/>
        <v>0.17</v>
      </c>
      <c r="X161" s="537">
        <f t="shared" ca="1" si="81"/>
        <v>0.16000000000000003</v>
      </c>
      <c r="Y161" s="537">
        <f t="shared" ca="1" si="81"/>
        <v>0.15000000000000002</v>
      </c>
      <c r="Z161" s="537">
        <f ca="1">Z160-$Y161</f>
        <v>-9.0000000000000024E-2</v>
      </c>
      <c r="AA161" s="538">
        <v>-0.05</v>
      </c>
      <c r="AB161" s="520"/>
      <c r="AC161" s="520"/>
      <c r="AD161" s="520"/>
      <c r="AE161" s="520"/>
      <c r="AF161" s="520"/>
      <c r="AG161" s="520"/>
      <c r="AH161" s="520"/>
      <c r="AI161" s="520"/>
      <c r="AJ161" s="520"/>
      <c r="AK161" s="520"/>
      <c r="AL161" s="520"/>
      <c r="AM161" s="520"/>
      <c r="AN161" s="520"/>
      <c r="AO161" s="520"/>
      <c r="AP161" s="520"/>
      <c r="AQ161" s="520"/>
      <c r="AR161" s="520"/>
      <c r="AS161" s="520"/>
      <c r="AT161" s="520"/>
      <c r="AU161" s="520"/>
      <c r="AV161" s="520"/>
      <c r="AW161" s="520"/>
      <c r="AX161" s="520"/>
      <c r="AY161" s="520"/>
      <c r="AZ161" s="520"/>
      <c r="BA161" s="520"/>
      <c r="BB161" s="520"/>
      <c r="BC161" s="520"/>
      <c r="BD161" s="520"/>
      <c r="BE161" s="520"/>
      <c r="BF161" s="520"/>
      <c r="BG161" s="520"/>
      <c r="BH161" s="520"/>
      <c r="BI161" s="520"/>
      <c r="BJ161" s="520"/>
      <c r="BK161" s="520"/>
      <c r="BL161" s="520"/>
      <c r="BM161" s="520"/>
      <c r="BN161" s="520"/>
      <c r="BO161" s="520"/>
      <c r="BP161" s="520"/>
      <c r="BQ161" s="520"/>
      <c r="BR161" s="520"/>
      <c r="BS161" s="520"/>
      <c r="BT161" s="520"/>
      <c r="BU161" s="520"/>
      <c r="BV161" s="520"/>
      <c r="BW161" s="520"/>
      <c r="BX161" s="520"/>
      <c r="BY161" s="520"/>
      <c r="BZ161" s="520"/>
      <c r="CA161" s="520"/>
      <c r="CB161" s="520"/>
      <c r="CC161" s="520"/>
      <c r="CD161" s="520"/>
      <c r="CE161" s="520"/>
      <c r="CF161" s="520"/>
      <c r="CG161" s="520"/>
      <c r="CH161" s="520"/>
      <c r="CI161" s="520"/>
      <c r="CJ161" s="520"/>
      <c r="CK161" s="520"/>
      <c r="CL161" s="520"/>
      <c r="CM161" s="520"/>
      <c r="CN161" s="520"/>
      <c r="CO161" s="520"/>
      <c r="CP161" s="520"/>
      <c r="CQ161" s="520"/>
      <c r="CR161" s="520"/>
      <c r="CS161" s="520"/>
      <c r="CT161" s="520"/>
      <c r="CU161" s="520"/>
      <c r="CV161" s="520"/>
      <c r="CW161" s="520"/>
      <c r="CX161" s="520"/>
      <c r="CY161" s="520"/>
      <c r="CZ161" s="520"/>
      <c r="DA161" s="520"/>
      <c r="DB161" s="520"/>
      <c r="DC161" s="520"/>
      <c r="DD161" s="520"/>
      <c r="DE161" s="520"/>
      <c r="DF161" s="520"/>
      <c r="DG161" s="520"/>
      <c r="DH161" s="520"/>
      <c r="DI161" s="520"/>
      <c r="DJ161" s="520"/>
      <c r="DK161" s="520"/>
      <c r="DL161" s="520"/>
      <c r="DM161" s="520"/>
      <c r="DN161" s="520"/>
      <c r="DO161" s="520"/>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row>
    <row r="162" spans="1:153" s="521" customFormat="1" ht="15">
      <c r="A162" s="566" t="s">
        <v>3518</v>
      </c>
      <c r="B162" s="525"/>
      <c r="C162" s="520"/>
      <c r="D162" s="520"/>
      <c r="E162" s="520"/>
      <c r="F162" s="520"/>
      <c r="G162" s="520"/>
      <c r="H162" s="520"/>
      <c r="I162" s="520"/>
      <c r="J162" s="520"/>
      <c r="K162" s="520"/>
      <c r="L162" s="526"/>
      <c r="M162" s="526"/>
      <c r="N162" s="526"/>
      <c r="O162" s="526"/>
      <c r="P162" s="534"/>
      <c r="Q162" s="537">
        <f ca="1">Q160-$Y162</f>
        <v>0.28500000000000003</v>
      </c>
      <c r="R162" s="537">
        <f ca="1">R160-$Y162</f>
        <v>0.20500000000000002</v>
      </c>
      <c r="S162" s="537">
        <f ca="1">S160-$Y162</f>
        <v>0.105</v>
      </c>
      <c r="T162" s="537">
        <f t="shared" ref="T162:Y162" ca="1" si="82">T160-$Y162</f>
        <v>0.105</v>
      </c>
      <c r="U162" s="537">
        <f t="shared" ca="1" si="82"/>
        <v>7.4999999999999997E-2</v>
      </c>
      <c r="V162" s="537">
        <f t="shared" ca="1" si="82"/>
        <v>7.4999999999999997E-2</v>
      </c>
      <c r="W162" s="537">
        <f t="shared" ca="1" si="82"/>
        <v>4.4999999999999998E-2</v>
      </c>
      <c r="X162" s="537">
        <f t="shared" ca="1" si="82"/>
        <v>3.5000000000000003E-2</v>
      </c>
      <c r="Y162" s="537">
        <f t="shared" ca="1" si="82"/>
        <v>2.5000000000000008E-2</v>
      </c>
      <c r="Z162" s="537">
        <f ca="1">Z160-$Y162</f>
        <v>3.4999999999999989E-2</v>
      </c>
      <c r="AA162" s="538">
        <v>7.4999999999999997E-2</v>
      </c>
      <c r="AB162" s="520"/>
      <c r="AC162" s="520"/>
      <c r="AD162" s="520"/>
      <c r="AE162" s="520"/>
      <c r="AF162" s="520"/>
      <c r="AG162" s="520"/>
      <c r="AH162" s="520"/>
      <c r="AI162" s="520"/>
      <c r="AJ162" s="520"/>
      <c r="AK162" s="520"/>
      <c r="AL162" s="520"/>
      <c r="AM162" s="520"/>
      <c r="AN162" s="520"/>
      <c r="AO162" s="520"/>
      <c r="AP162" s="520"/>
      <c r="AQ162" s="520"/>
      <c r="AR162" s="520"/>
      <c r="AS162" s="520"/>
      <c r="AT162" s="520"/>
      <c r="AU162" s="520"/>
      <c r="AV162" s="520"/>
      <c r="AW162" s="520"/>
      <c r="AX162" s="520"/>
      <c r="AY162" s="520"/>
      <c r="AZ162" s="520"/>
      <c r="BA162" s="520"/>
      <c r="BB162" s="520"/>
      <c r="BC162" s="520"/>
      <c r="BD162" s="520"/>
      <c r="BE162" s="520"/>
      <c r="BF162" s="520"/>
      <c r="BG162" s="520"/>
      <c r="BH162" s="520"/>
      <c r="BI162" s="520"/>
      <c r="BJ162" s="520"/>
      <c r="BK162" s="520"/>
      <c r="BL162" s="520"/>
      <c r="BM162" s="520"/>
      <c r="BN162" s="520"/>
      <c r="BO162" s="520"/>
      <c r="BP162" s="520"/>
      <c r="BQ162" s="520"/>
      <c r="BR162" s="520"/>
      <c r="BS162" s="520"/>
      <c r="BT162" s="520"/>
      <c r="BU162" s="520"/>
      <c r="BV162" s="520"/>
      <c r="BW162" s="520"/>
      <c r="BX162" s="520"/>
      <c r="BY162" s="520"/>
      <c r="BZ162" s="520"/>
      <c r="CA162" s="520"/>
      <c r="CB162" s="520"/>
      <c r="CC162" s="520"/>
      <c r="CD162" s="520"/>
      <c r="CE162" s="520"/>
      <c r="CF162" s="520"/>
      <c r="CG162" s="520"/>
      <c r="CH162" s="520"/>
      <c r="CI162" s="520"/>
      <c r="CJ162" s="520"/>
      <c r="CK162" s="520"/>
      <c r="CL162" s="520"/>
      <c r="CM162" s="520"/>
      <c r="CN162" s="520"/>
      <c r="CO162" s="520"/>
      <c r="CP162" s="520"/>
      <c r="CQ162" s="520"/>
      <c r="CR162" s="520"/>
      <c r="CS162" s="520"/>
      <c r="CT162" s="520"/>
      <c r="CU162" s="520"/>
      <c r="CV162" s="520"/>
      <c r="CW162" s="520"/>
      <c r="CX162" s="520"/>
      <c r="CY162" s="520"/>
      <c r="CZ162" s="520"/>
      <c r="DA162" s="520"/>
      <c r="DB162" s="520"/>
      <c r="DC162" s="520"/>
      <c r="DD162" s="520"/>
      <c r="DE162" s="520"/>
      <c r="DF162" s="520"/>
      <c r="DG162" s="520"/>
      <c r="DH162" s="520"/>
      <c r="DI162" s="520"/>
      <c r="DJ162" s="520"/>
      <c r="DK162" s="520"/>
      <c r="DL162" s="520"/>
      <c r="DM162" s="520"/>
      <c r="DN162" s="520"/>
      <c r="DO162" s="520"/>
      <c r="DP162" s="520"/>
      <c r="DQ162" s="520"/>
      <c r="DR162" s="520"/>
      <c r="DS162" s="520"/>
      <c r="DT162" s="520"/>
      <c r="DU162" s="520"/>
      <c r="DV162" s="520"/>
      <c r="DW162" s="520"/>
      <c r="DX162" s="520"/>
      <c r="DY162" s="520"/>
      <c r="DZ162" s="520"/>
      <c r="EA162" s="520"/>
      <c r="EB162" s="520"/>
      <c r="EC162" s="520"/>
      <c r="ED162" s="520"/>
      <c r="EE162" s="520"/>
      <c r="EF162" s="520"/>
      <c r="EG162" s="520"/>
      <c r="EH162" s="520"/>
      <c r="EI162" s="520"/>
      <c r="EJ162" s="520"/>
      <c r="EK162" s="520"/>
      <c r="EL162" s="520"/>
      <c r="EM162" s="520"/>
      <c r="EN162" s="520"/>
      <c r="EO162" s="520"/>
      <c r="EP162" s="520"/>
      <c r="EQ162" s="520"/>
      <c r="ER162" s="520"/>
      <c r="ES162" s="520"/>
      <c r="ET162" s="520"/>
      <c r="EU162" s="520"/>
      <c r="EV162" s="520"/>
      <c r="EW162" s="520"/>
    </row>
    <row r="163" spans="1:153" s="521" customFormat="1">
      <c r="A163" s="700"/>
      <c r="B163" s="519"/>
      <c r="C163" s="520"/>
      <c r="D163" s="520"/>
      <c r="E163" s="520"/>
      <c r="F163" s="520"/>
      <c r="G163" s="520"/>
      <c r="H163" s="520"/>
      <c r="I163" s="520"/>
      <c r="J163" s="520"/>
      <c r="K163" s="520"/>
      <c r="L163" s="526"/>
      <c r="M163" s="526"/>
      <c r="N163" s="526"/>
      <c r="O163" s="526"/>
      <c r="P163" s="534"/>
      <c r="Q163" s="526"/>
      <c r="R163" s="526"/>
      <c r="S163" s="526"/>
      <c r="T163" s="526"/>
      <c r="U163" s="526"/>
      <c r="V163" s="526"/>
      <c r="W163" s="526"/>
      <c r="X163" s="526"/>
      <c r="Y163" s="526"/>
      <c r="Z163" s="526"/>
      <c r="AA163" s="526"/>
      <c r="AB163" s="520"/>
      <c r="AC163" s="520"/>
      <c r="AD163" s="520"/>
      <c r="AE163" s="520"/>
      <c r="AF163" s="520"/>
      <c r="AG163" s="520"/>
      <c r="AH163" s="520"/>
      <c r="AI163" s="520"/>
      <c r="AJ163" s="520"/>
      <c r="AK163" s="520"/>
      <c r="AL163" s="520"/>
      <c r="AM163" s="520"/>
      <c r="AN163" s="520"/>
      <c r="AO163" s="520"/>
      <c r="AP163" s="520"/>
      <c r="AQ163" s="520"/>
      <c r="AR163" s="520"/>
      <c r="AS163" s="520"/>
      <c r="AT163" s="520"/>
      <c r="AU163" s="520"/>
      <c r="AV163" s="520"/>
      <c r="AW163" s="520"/>
      <c r="AX163" s="520"/>
      <c r="AY163" s="520"/>
      <c r="AZ163" s="520"/>
      <c r="BA163" s="520"/>
      <c r="BB163" s="520"/>
      <c r="BC163" s="520"/>
      <c r="BD163" s="520"/>
      <c r="BE163" s="520"/>
      <c r="BF163" s="520"/>
      <c r="BG163" s="520"/>
      <c r="BH163" s="520"/>
      <c r="BI163" s="520"/>
      <c r="BJ163" s="520"/>
      <c r="BK163" s="520"/>
      <c r="BL163" s="520"/>
      <c r="BM163" s="520"/>
      <c r="BN163" s="520"/>
      <c r="BO163" s="520"/>
      <c r="BP163" s="520"/>
      <c r="BQ163" s="520"/>
      <c r="BR163" s="520"/>
      <c r="BS163" s="520"/>
      <c r="BT163" s="520"/>
      <c r="BU163" s="520"/>
      <c r="BV163" s="520"/>
      <c r="BW163" s="520"/>
      <c r="BX163" s="520"/>
      <c r="BY163" s="520"/>
      <c r="BZ163" s="520"/>
      <c r="CA163" s="520"/>
      <c r="CB163" s="520"/>
      <c r="CC163" s="520"/>
      <c r="CD163" s="520"/>
      <c r="CE163" s="520"/>
      <c r="CF163" s="520"/>
      <c r="CG163" s="520"/>
      <c r="CH163" s="520"/>
      <c r="CI163" s="520"/>
      <c r="CJ163" s="520"/>
      <c r="CK163" s="520"/>
      <c r="CL163" s="520"/>
      <c r="CM163" s="520"/>
      <c r="CN163" s="520"/>
      <c r="CO163" s="520"/>
      <c r="CP163" s="520"/>
      <c r="CQ163" s="520"/>
      <c r="CR163" s="520"/>
      <c r="CS163" s="520"/>
      <c r="CT163" s="520"/>
      <c r="CU163" s="520"/>
      <c r="CV163" s="520"/>
      <c r="CW163" s="520"/>
      <c r="CX163" s="520"/>
      <c r="CY163" s="520"/>
      <c r="CZ163" s="520"/>
      <c r="DA163" s="520"/>
      <c r="DB163" s="520"/>
      <c r="DC163" s="520"/>
      <c r="DD163" s="520"/>
      <c r="DE163" s="520"/>
      <c r="DF163" s="520"/>
      <c r="DG163" s="520"/>
      <c r="DH163" s="520"/>
      <c r="DI163" s="520"/>
      <c r="DJ163" s="520"/>
      <c r="DK163" s="520"/>
      <c r="DL163" s="520"/>
      <c r="DM163" s="520"/>
      <c r="DN163" s="520"/>
      <c r="DO163" s="520"/>
      <c r="DP163" s="520"/>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row>
    <row r="164" spans="1:153" s="521" customFormat="1">
      <c r="A164" s="700"/>
      <c r="B164" s="519"/>
      <c r="C164" s="520"/>
      <c r="D164" s="520"/>
      <c r="E164" s="520"/>
      <c r="F164" s="520"/>
      <c r="G164" s="520"/>
      <c r="H164" s="520"/>
      <c r="I164" s="520"/>
      <c r="J164" s="520"/>
      <c r="K164" s="520"/>
      <c r="L164" s="526"/>
      <c r="M164" s="526"/>
      <c r="N164" s="526"/>
      <c r="O164" s="526"/>
      <c r="P164" s="526"/>
      <c r="Q164" s="526"/>
      <c r="R164" s="526"/>
      <c r="S164" s="526"/>
      <c r="T164" s="526"/>
      <c r="U164" s="526"/>
      <c r="V164" s="526"/>
      <c r="W164" s="526"/>
      <c r="X164" s="526"/>
      <c r="Y164" s="526"/>
      <c r="Z164" s="526"/>
      <c r="AA164" s="526"/>
      <c r="AB164" s="520"/>
      <c r="AC164" s="520"/>
      <c r="AD164" s="520"/>
      <c r="AE164" s="520"/>
      <c r="AF164" s="520"/>
      <c r="AG164" s="520"/>
      <c r="AH164" s="520"/>
      <c r="AI164" s="520"/>
      <c r="AJ164" s="520"/>
      <c r="AK164" s="520"/>
      <c r="AL164" s="520"/>
      <c r="AM164" s="520"/>
      <c r="AN164" s="520"/>
      <c r="AO164" s="520"/>
      <c r="AP164" s="520"/>
      <c r="AQ164" s="520"/>
      <c r="AR164" s="520"/>
      <c r="AS164" s="520"/>
      <c r="AT164" s="520"/>
      <c r="AU164" s="520"/>
      <c r="AV164" s="520"/>
      <c r="AW164" s="520"/>
      <c r="AX164" s="520"/>
      <c r="AY164" s="520"/>
      <c r="AZ164" s="520"/>
      <c r="BA164" s="520"/>
      <c r="BB164" s="520"/>
      <c r="BC164" s="520"/>
      <c r="BD164" s="520"/>
      <c r="BE164" s="520"/>
      <c r="BF164" s="520"/>
      <c r="BG164" s="520"/>
      <c r="BH164" s="520"/>
      <c r="BI164" s="520"/>
      <c r="BJ164" s="520"/>
      <c r="BK164" s="520"/>
      <c r="BL164" s="520"/>
      <c r="BM164" s="520"/>
      <c r="BN164" s="520"/>
      <c r="BO164" s="520"/>
      <c r="BP164" s="520"/>
      <c r="BQ164" s="520"/>
      <c r="BR164" s="520"/>
      <c r="BS164" s="520"/>
      <c r="BT164" s="520"/>
      <c r="BU164" s="520"/>
      <c r="BV164" s="520"/>
      <c r="BW164" s="520"/>
      <c r="BX164" s="520"/>
      <c r="BY164" s="520"/>
      <c r="BZ164" s="520"/>
      <c r="CA164" s="520"/>
      <c r="CB164" s="520"/>
      <c r="CC164" s="520"/>
      <c r="CD164" s="520"/>
      <c r="CE164" s="520"/>
      <c r="CF164" s="520"/>
      <c r="CG164" s="520"/>
      <c r="CH164" s="520"/>
      <c r="CI164" s="520"/>
      <c r="CJ164" s="520"/>
      <c r="CK164" s="520"/>
      <c r="CL164" s="520"/>
      <c r="CM164" s="520"/>
      <c r="CN164" s="520"/>
      <c r="CO164" s="520"/>
      <c r="CP164" s="520"/>
      <c r="CQ164" s="520"/>
      <c r="CR164" s="520"/>
      <c r="CS164" s="520"/>
      <c r="CT164" s="520"/>
      <c r="CU164" s="520"/>
      <c r="CV164" s="520"/>
      <c r="CW164" s="520"/>
      <c r="CX164" s="520"/>
      <c r="CY164" s="520"/>
      <c r="CZ164" s="520"/>
      <c r="DA164" s="520"/>
      <c r="DB164" s="520"/>
      <c r="DC164" s="520"/>
      <c r="DD164" s="520"/>
      <c r="DE164" s="520"/>
      <c r="DF164" s="520"/>
      <c r="DG164" s="520"/>
      <c r="DH164" s="520"/>
      <c r="DI164" s="520"/>
      <c r="DJ164" s="520"/>
      <c r="DK164" s="520"/>
      <c r="DL164" s="520"/>
      <c r="DM164" s="520"/>
      <c r="DN164" s="520"/>
      <c r="DO164" s="520"/>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row>
    <row r="165" spans="1:153" s="521" customFormat="1">
      <c r="A165" s="743" t="s">
        <v>3538</v>
      </c>
      <c r="B165" s="519"/>
      <c r="C165" s="520"/>
      <c r="D165" s="520"/>
      <c r="E165" s="520"/>
      <c r="F165" s="520"/>
      <c r="G165" s="520"/>
      <c r="H165" s="520"/>
      <c r="I165" s="520"/>
      <c r="J165" s="520"/>
      <c r="K165" s="520"/>
      <c r="L165" s="526"/>
      <c r="M165" s="526"/>
      <c r="N165" s="526">
        <f>N171-N158-N151</f>
        <v>820.91529229999992</v>
      </c>
      <c r="O165" s="526">
        <f>O171-O158-O151</f>
        <v>1347.6999999999998</v>
      </c>
      <c r="P165" s="526">
        <f>P171-P158-P151</f>
        <v>952.1400000000001</v>
      </c>
      <c r="Q165" s="526">
        <f>(1+Q166)*P165</f>
        <v>714.10500000000002</v>
      </c>
      <c r="R165" s="526">
        <f>(1+R166)*Q165</f>
        <v>799.7976000000001</v>
      </c>
      <c r="S165" s="526">
        <f t="shared" ref="S165:Z165" si="83">(1+S166)*R165</f>
        <v>999.74700000000007</v>
      </c>
      <c r="T165" s="526">
        <f t="shared" si="83"/>
        <v>1209.6938700000001</v>
      </c>
      <c r="U165" s="526">
        <f t="shared" si="83"/>
        <v>1439.5357053</v>
      </c>
      <c r="V165" s="526">
        <f t="shared" si="83"/>
        <v>1655.466061095</v>
      </c>
      <c r="W165" s="526">
        <f t="shared" si="83"/>
        <v>1870.6766490373498</v>
      </c>
      <c r="X165" s="526">
        <f t="shared" si="83"/>
        <v>2057.7443139410848</v>
      </c>
      <c r="Y165" s="526">
        <f t="shared" si="83"/>
        <v>2222.3638590563719</v>
      </c>
      <c r="Z165" s="526">
        <f t="shared" si="83"/>
        <v>2377.9293291903182</v>
      </c>
      <c r="AA165" s="526"/>
      <c r="AB165" s="520"/>
      <c r="AC165" s="520"/>
      <c r="AD165" s="520"/>
      <c r="AE165" s="520"/>
      <c r="AF165" s="520"/>
      <c r="AG165" s="520"/>
      <c r="AH165" s="520"/>
      <c r="AI165" s="520"/>
      <c r="AJ165" s="520"/>
      <c r="AK165" s="520"/>
      <c r="AL165" s="520"/>
      <c r="AM165" s="520"/>
      <c r="AN165" s="520"/>
      <c r="AO165" s="520"/>
      <c r="AP165" s="520"/>
      <c r="AQ165" s="520"/>
      <c r="AR165" s="520"/>
      <c r="AS165" s="520"/>
      <c r="AT165" s="520"/>
      <c r="AU165" s="520"/>
      <c r="AV165" s="520"/>
      <c r="AW165" s="520"/>
      <c r="AX165" s="520"/>
      <c r="AY165" s="520"/>
      <c r="AZ165" s="520"/>
      <c r="BA165" s="520"/>
      <c r="BB165" s="520"/>
      <c r="BC165" s="520"/>
      <c r="BD165" s="520"/>
      <c r="BE165" s="520"/>
      <c r="BF165" s="520"/>
      <c r="BG165" s="520"/>
      <c r="BH165" s="520"/>
      <c r="BI165" s="520"/>
      <c r="BJ165" s="520"/>
      <c r="BK165" s="520"/>
      <c r="BL165" s="520"/>
      <c r="BM165" s="520"/>
      <c r="BN165" s="520"/>
      <c r="BO165" s="520"/>
      <c r="BP165" s="520"/>
      <c r="BQ165" s="520"/>
      <c r="BR165" s="520"/>
      <c r="BS165" s="520"/>
      <c r="BT165" s="520"/>
      <c r="BU165" s="520"/>
      <c r="BV165" s="520"/>
      <c r="BW165" s="520"/>
      <c r="BX165" s="520"/>
      <c r="BY165" s="520"/>
      <c r="BZ165" s="520"/>
      <c r="CA165" s="520"/>
      <c r="CB165" s="520"/>
      <c r="CC165" s="520"/>
      <c r="CD165" s="520"/>
      <c r="CE165" s="520"/>
      <c r="CF165" s="520"/>
      <c r="CG165" s="520"/>
      <c r="CH165" s="520"/>
      <c r="CI165" s="520"/>
      <c r="CJ165" s="520"/>
      <c r="CK165" s="520"/>
      <c r="CL165" s="520"/>
      <c r="CM165" s="520"/>
      <c r="CN165" s="520"/>
      <c r="CO165" s="520"/>
      <c r="CP165" s="520"/>
      <c r="CQ165" s="520"/>
      <c r="CR165" s="520"/>
      <c r="CS165" s="520"/>
      <c r="CT165" s="520"/>
      <c r="CU165" s="520"/>
      <c r="CV165" s="520"/>
      <c r="CW165" s="520"/>
      <c r="CX165" s="520"/>
      <c r="CY165" s="520"/>
      <c r="CZ165" s="520"/>
      <c r="DA165" s="520"/>
      <c r="DB165" s="520"/>
      <c r="DC165" s="520"/>
      <c r="DD165" s="520"/>
      <c r="DE165" s="520"/>
      <c r="DF165" s="520"/>
      <c r="DG165" s="520"/>
      <c r="DH165" s="520"/>
      <c r="DI165" s="520"/>
      <c r="DJ165" s="520"/>
      <c r="DK165" s="520"/>
      <c r="DL165" s="520"/>
      <c r="DM165" s="520"/>
      <c r="DN165" s="520"/>
      <c r="DO165" s="520"/>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row>
    <row r="166" spans="1:153" s="521" customFormat="1">
      <c r="A166" s="743"/>
      <c r="B166" s="525"/>
      <c r="C166" s="520"/>
      <c r="D166" s="520"/>
      <c r="E166" s="520"/>
      <c r="F166" s="520"/>
      <c r="G166" s="520"/>
      <c r="H166" s="520"/>
      <c r="I166" s="520"/>
      <c r="J166" s="520"/>
      <c r="K166" s="520"/>
      <c r="L166" s="526"/>
      <c r="M166" s="526"/>
      <c r="N166" s="526"/>
      <c r="O166" s="526">
        <v>2.4635653964425646</v>
      </c>
      <c r="P166" s="534">
        <f>(P165/O165)-1</f>
        <v>-0.293507457149217</v>
      </c>
      <c r="Q166" s="536">
        <f>CHOOSE($O$1,Q167,Q168,Q169)</f>
        <v>-0.25</v>
      </c>
      <c r="R166" s="536">
        <f t="shared" ref="R166:Z166" si="84">CHOOSE($O$1,R167,R168,R169)</f>
        <v>0.12</v>
      </c>
      <c r="S166" s="536">
        <f t="shared" si="84"/>
        <v>0.25</v>
      </c>
      <c r="T166" s="536">
        <f t="shared" si="84"/>
        <v>0.21</v>
      </c>
      <c r="U166" s="536">
        <f t="shared" si="84"/>
        <v>0.19</v>
      </c>
      <c r="V166" s="536">
        <f t="shared" si="84"/>
        <v>0.15</v>
      </c>
      <c r="W166" s="536">
        <f t="shared" si="84"/>
        <v>0.13</v>
      </c>
      <c r="X166" s="536">
        <f t="shared" si="84"/>
        <v>0.1</v>
      </c>
      <c r="Y166" s="536">
        <f t="shared" si="84"/>
        <v>0.08</v>
      </c>
      <c r="Z166" s="536">
        <f t="shared" si="84"/>
        <v>7.0000000000000007E-2</v>
      </c>
      <c r="AA166" s="526"/>
      <c r="AB166" s="520"/>
      <c r="AC166" s="520"/>
      <c r="AD166" s="520"/>
      <c r="AE166" s="520"/>
      <c r="AF166" s="520"/>
      <c r="AG166" s="520"/>
      <c r="AH166" s="520"/>
      <c r="AI166" s="520"/>
      <c r="AJ166" s="520"/>
      <c r="AK166" s="520"/>
      <c r="AL166" s="520"/>
      <c r="AM166" s="520"/>
      <c r="AN166" s="520"/>
      <c r="AO166" s="520"/>
      <c r="AP166" s="520"/>
      <c r="AQ166" s="520"/>
      <c r="AR166" s="520"/>
      <c r="AS166" s="520"/>
      <c r="AT166" s="520"/>
      <c r="AU166" s="520"/>
      <c r="AV166" s="520"/>
      <c r="AW166" s="520"/>
      <c r="AX166" s="520"/>
      <c r="AY166" s="520"/>
      <c r="AZ166" s="520"/>
      <c r="BA166" s="520"/>
      <c r="BB166" s="520"/>
      <c r="BC166" s="520"/>
      <c r="BD166" s="520"/>
      <c r="BE166" s="520"/>
      <c r="BF166" s="520"/>
      <c r="BG166" s="520"/>
      <c r="BH166" s="520"/>
      <c r="BI166" s="520"/>
      <c r="BJ166" s="520"/>
      <c r="BK166" s="520"/>
      <c r="BL166" s="520"/>
      <c r="BM166" s="520"/>
      <c r="BN166" s="520"/>
      <c r="BO166" s="520"/>
      <c r="BP166" s="520"/>
      <c r="BQ166" s="520"/>
      <c r="BR166" s="520"/>
      <c r="BS166" s="520"/>
      <c r="BT166" s="520"/>
      <c r="BU166" s="520"/>
      <c r="BV166" s="520"/>
      <c r="BW166" s="520"/>
      <c r="BX166" s="520"/>
      <c r="BY166" s="520"/>
      <c r="BZ166" s="520"/>
      <c r="CA166" s="520"/>
      <c r="CB166" s="520"/>
      <c r="CC166" s="520"/>
      <c r="CD166" s="520"/>
      <c r="CE166" s="520"/>
      <c r="CF166" s="520"/>
      <c r="CG166" s="520"/>
      <c r="CH166" s="520"/>
      <c r="CI166" s="520"/>
      <c r="CJ166" s="520"/>
      <c r="CK166" s="520"/>
      <c r="CL166" s="520"/>
      <c r="CM166" s="520"/>
      <c r="CN166" s="520"/>
      <c r="CO166" s="520"/>
      <c r="CP166" s="520"/>
      <c r="CQ166" s="520"/>
      <c r="CR166" s="520"/>
      <c r="CS166" s="520"/>
      <c r="CT166" s="520"/>
      <c r="CU166" s="520"/>
      <c r="CV166" s="520"/>
      <c r="CW166" s="520"/>
      <c r="CX166" s="520"/>
      <c r="CY166" s="520"/>
      <c r="CZ166" s="520"/>
      <c r="DA166" s="520"/>
      <c r="DB166" s="520"/>
      <c r="DC166" s="520"/>
      <c r="DD166" s="520"/>
      <c r="DE166" s="520"/>
      <c r="DF166" s="520"/>
      <c r="DG166" s="520"/>
      <c r="DH166" s="520"/>
      <c r="DI166" s="520"/>
      <c r="DJ166" s="520"/>
      <c r="DK166" s="520"/>
      <c r="DL166" s="520"/>
      <c r="DM166" s="520"/>
      <c r="DN166" s="520"/>
      <c r="DO166" s="520"/>
      <c r="DP166" s="520"/>
      <c r="DQ166" s="520"/>
      <c r="DR166" s="520"/>
      <c r="DS166" s="520"/>
      <c r="DT166" s="520"/>
      <c r="DU166" s="520"/>
      <c r="DV166" s="520"/>
      <c r="DW166" s="520"/>
      <c r="DX166" s="520"/>
      <c r="DY166" s="520"/>
      <c r="DZ166" s="520"/>
      <c r="EA166" s="520"/>
      <c r="EB166" s="520"/>
      <c r="EC166" s="520"/>
      <c r="ED166" s="520"/>
      <c r="EE166" s="520"/>
      <c r="EF166" s="520"/>
      <c r="EG166" s="520"/>
      <c r="EH166" s="520"/>
      <c r="EI166" s="520"/>
      <c r="EJ166" s="520"/>
      <c r="EK166" s="520"/>
      <c r="EL166" s="520"/>
      <c r="EM166" s="520"/>
      <c r="EN166" s="520"/>
      <c r="EO166" s="520"/>
      <c r="EP166" s="520"/>
      <c r="EQ166" s="520"/>
      <c r="ER166" s="520"/>
      <c r="ES166" s="520"/>
      <c r="ET166" s="520"/>
      <c r="EU166" s="520"/>
      <c r="EV166" s="520"/>
      <c r="EW166" s="520"/>
    </row>
    <row r="167" spans="1:153" s="521" customFormat="1" ht="15">
      <c r="A167" s="566" t="s">
        <v>3516</v>
      </c>
      <c r="B167" s="528"/>
      <c r="C167" s="520"/>
      <c r="D167" s="520"/>
      <c r="E167" s="520"/>
      <c r="F167" s="520"/>
      <c r="G167" s="520"/>
      <c r="H167" s="520"/>
      <c r="I167" s="520"/>
      <c r="J167" s="520"/>
      <c r="K167" s="520"/>
      <c r="L167" s="526"/>
      <c r="M167" s="526"/>
      <c r="N167" s="526"/>
      <c r="O167" s="526"/>
      <c r="P167" s="526"/>
      <c r="Q167" s="537">
        <v>-0.25</v>
      </c>
      <c r="R167" s="537">
        <v>0.12</v>
      </c>
      <c r="S167" s="537">
        <v>0.25</v>
      </c>
      <c r="T167" s="537">
        <v>0.21</v>
      </c>
      <c r="U167" s="537">
        <v>0.19</v>
      </c>
      <c r="V167" s="537">
        <v>0.15</v>
      </c>
      <c r="W167" s="537">
        <v>0.13</v>
      </c>
      <c r="X167" s="537">
        <v>0.1</v>
      </c>
      <c r="Y167" s="537">
        <v>0.08</v>
      </c>
      <c r="Z167" s="537">
        <v>7.0000000000000007E-2</v>
      </c>
      <c r="AA167" s="526"/>
      <c r="AB167" s="520"/>
      <c r="AC167" s="520"/>
      <c r="AD167" s="520"/>
      <c r="AE167" s="520"/>
      <c r="AF167" s="520"/>
      <c r="AG167" s="520"/>
      <c r="AH167" s="520"/>
      <c r="AI167" s="520"/>
      <c r="AJ167" s="520"/>
      <c r="AK167" s="520"/>
      <c r="AL167" s="520"/>
      <c r="AM167" s="520"/>
      <c r="AN167" s="520"/>
      <c r="AO167" s="520"/>
      <c r="AP167" s="520"/>
      <c r="AQ167" s="520"/>
      <c r="AR167" s="520"/>
      <c r="AS167" s="520"/>
      <c r="AT167" s="520"/>
      <c r="AU167" s="520"/>
      <c r="AV167" s="520"/>
      <c r="AW167" s="520"/>
      <c r="AX167" s="520"/>
      <c r="AY167" s="520"/>
      <c r="AZ167" s="520"/>
      <c r="BA167" s="520"/>
      <c r="BB167" s="520"/>
      <c r="BC167" s="520"/>
      <c r="BD167" s="520"/>
      <c r="BE167" s="520"/>
      <c r="BF167" s="520"/>
      <c r="BG167" s="520"/>
      <c r="BH167" s="520"/>
      <c r="BI167" s="520"/>
      <c r="BJ167" s="520"/>
      <c r="BK167" s="520"/>
      <c r="BL167" s="520"/>
      <c r="BM167" s="520"/>
      <c r="BN167" s="520"/>
      <c r="BO167" s="520"/>
      <c r="BP167" s="520"/>
      <c r="BQ167" s="520"/>
      <c r="BR167" s="520"/>
      <c r="BS167" s="520"/>
      <c r="BT167" s="520"/>
      <c r="BU167" s="520"/>
      <c r="BV167" s="520"/>
      <c r="BW167" s="520"/>
      <c r="BX167" s="520"/>
      <c r="BY167" s="520"/>
      <c r="BZ167" s="520"/>
      <c r="CA167" s="520"/>
      <c r="CB167" s="520"/>
      <c r="CC167" s="520"/>
      <c r="CD167" s="520"/>
      <c r="CE167" s="520"/>
      <c r="CF167" s="520"/>
      <c r="CG167" s="520"/>
      <c r="CH167" s="520"/>
      <c r="CI167" s="520"/>
      <c r="CJ167" s="520"/>
      <c r="CK167" s="520"/>
      <c r="CL167" s="520"/>
      <c r="CM167" s="520"/>
      <c r="CN167" s="520"/>
      <c r="CO167" s="520"/>
      <c r="CP167" s="520"/>
      <c r="CQ167" s="520"/>
      <c r="CR167" s="520"/>
      <c r="CS167" s="520"/>
      <c r="CT167" s="520"/>
      <c r="CU167" s="520"/>
      <c r="CV167" s="520"/>
      <c r="CW167" s="520"/>
      <c r="CX167" s="520"/>
      <c r="CY167" s="520"/>
      <c r="CZ167" s="520"/>
      <c r="DA167" s="520"/>
      <c r="DB167" s="520"/>
      <c r="DC167" s="520"/>
      <c r="DD167" s="520"/>
      <c r="DE167" s="520"/>
      <c r="DF167" s="520"/>
      <c r="DG167" s="520"/>
      <c r="DH167" s="520"/>
      <c r="DI167" s="520"/>
      <c r="DJ167" s="520"/>
      <c r="DK167" s="520"/>
      <c r="DL167" s="520"/>
      <c r="DM167" s="520"/>
      <c r="DN167" s="520"/>
      <c r="DO167" s="520"/>
      <c r="DP167" s="520"/>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row>
    <row r="168" spans="1:153" s="521" customFormat="1" ht="15">
      <c r="A168" s="566" t="s">
        <v>3517</v>
      </c>
      <c r="B168" s="519"/>
      <c r="C168" s="520"/>
      <c r="D168" s="520"/>
      <c r="E168" s="520"/>
      <c r="F168" s="520"/>
      <c r="G168" s="520"/>
      <c r="H168" s="520"/>
      <c r="I168" s="520"/>
      <c r="J168" s="520"/>
      <c r="K168" s="520"/>
      <c r="L168" s="526"/>
      <c r="M168" s="526"/>
      <c r="N168" s="526"/>
      <c r="O168" s="526"/>
      <c r="P168" s="526"/>
      <c r="Q168" s="537">
        <f t="shared" ref="Q168:W168" ca="1" si="85">Q167-$Y168</f>
        <v>-0.18000000000000005</v>
      </c>
      <c r="R168" s="537">
        <f t="shared" ca="1" si="85"/>
        <v>0.18999999999999995</v>
      </c>
      <c r="S168" s="537">
        <f t="shared" ca="1" si="85"/>
        <v>0.31999999999999995</v>
      </c>
      <c r="T168" s="537">
        <f t="shared" ca="1" si="85"/>
        <v>0.27999999999999997</v>
      </c>
      <c r="U168" s="537">
        <f t="shared" ca="1" si="85"/>
        <v>0.25999999999999995</v>
      </c>
      <c r="V168" s="537">
        <f t="shared" ca="1" si="85"/>
        <v>0.21999999999999997</v>
      </c>
      <c r="W168" s="537">
        <f t="shared" ca="1" si="85"/>
        <v>0.19999999999999996</v>
      </c>
      <c r="X168" s="537">
        <f ca="1">X167-$Y168</f>
        <v>0.16999999999999998</v>
      </c>
      <c r="Y168" s="537">
        <f ca="1">Y167-$Y168</f>
        <v>0.14999999999999997</v>
      </c>
      <c r="Z168" s="537">
        <f ca="1">Z167-$Y168</f>
        <v>-7.999999999999996E-2</v>
      </c>
      <c r="AA168" s="538">
        <v>-0.05</v>
      </c>
      <c r="AB168" s="520"/>
      <c r="AC168" s="520"/>
      <c r="AD168" s="520"/>
      <c r="AE168" s="520"/>
      <c r="AF168" s="520"/>
      <c r="AG168" s="520"/>
      <c r="AH168" s="520"/>
      <c r="AI168" s="520"/>
      <c r="AJ168" s="520"/>
      <c r="AK168" s="520"/>
      <c r="AL168" s="520"/>
      <c r="AM168" s="520"/>
      <c r="AN168" s="520"/>
      <c r="AO168" s="520"/>
      <c r="AP168" s="520"/>
      <c r="AQ168" s="520"/>
      <c r="AR168" s="520"/>
      <c r="AS168" s="520"/>
      <c r="AT168" s="520"/>
      <c r="AU168" s="520"/>
      <c r="AV168" s="520"/>
      <c r="AW168" s="520"/>
      <c r="AX168" s="520"/>
      <c r="AY168" s="520"/>
      <c r="AZ168" s="520"/>
      <c r="BA168" s="520"/>
      <c r="BB168" s="520"/>
      <c r="BC168" s="520"/>
      <c r="BD168" s="520"/>
      <c r="BE168" s="520"/>
      <c r="BF168" s="520"/>
      <c r="BG168" s="520"/>
      <c r="BH168" s="520"/>
      <c r="BI168" s="520"/>
      <c r="BJ168" s="520"/>
      <c r="BK168" s="520"/>
      <c r="BL168" s="520"/>
      <c r="BM168" s="520"/>
      <c r="BN168" s="520"/>
      <c r="BO168" s="520"/>
      <c r="BP168" s="520"/>
      <c r="BQ168" s="520"/>
      <c r="BR168" s="520"/>
      <c r="BS168" s="520"/>
      <c r="BT168" s="520"/>
      <c r="BU168" s="520"/>
      <c r="BV168" s="520"/>
      <c r="BW168" s="520"/>
      <c r="BX168" s="520"/>
      <c r="BY168" s="520"/>
      <c r="BZ168" s="520"/>
      <c r="CA168" s="520"/>
      <c r="CB168" s="520"/>
      <c r="CC168" s="520"/>
      <c r="CD168" s="520"/>
      <c r="CE168" s="520"/>
      <c r="CF168" s="520"/>
      <c r="CG168" s="520"/>
      <c r="CH168" s="520"/>
      <c r="CI168" s="520"/>
      <c r="CJ168" s="520"/>
      <c r="CK168" s="520"/>
      <c r="CL168" s="520"/>
      <c r="CM168" s="520"/>
      <c r="CN168" s="520"/>
      <c r="CO168" s="520"/>
      <c r="CP168" s="520"/>
      <c r="CQ168" s="520"/>
      <c r="CR168" s="520"/>
      <c r="CS168" s="520"/>
      <c r="CT168" s="520"/>
      <c r="CU168" s="520"/>
      <c r="CV168" s="520"/>
      <c r="CW168" s="520"/>
      <c r="CX168" s="520"/>
      <c r="CY168" s="520"/>
      <c r="CZ168" s="520"/>
      <c r="DA168" s="520"/>
      <c r="DB168" s="520"/>
      <c r="DC168" s="520"/>
      <c r="DD168" s="520"/>
      <c r="DE168" s="520"/>
      <c r="DF168" s="520"/>
      <c r="DG168" s="520"/>
      <c r="DH168" s="520"/>
      <c r="DI168" s="520"/>
      <c r="DJ168" s="520"/>
      <c r="DK168" s="520"/>
      <c r="DL168" s="520"/>
      <c r="DM168" s="520"/>
      <c r="DN168" s="520"/>
      <c r="DO168" s="520"/>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row>
    <row r="169" spans="1:153" s="521" customFormat="1" ht="15">
      <c r="A169" s="566" t="s">
        <v>3518</v>
      </c>
      <c r="B169" s="525"/>
      <c r="C169" s="520"/>
      <c r="D169" s="520"/>
      <c r="E169" s="520"/>
      <c r="F169" s="520"/>
      <c r="G169" s="520"/>
      <c r="H169" s="520"/>
      <c r="I169" s="520"/>
      <c r="J169" s="520"/>
      <c r="K169" s="520"/>
      <c r="L169" s="526"/>
      <c r="M169" s="526"/>
      <c r="N169" s="526"/>
      <c r="O169" s="526"/>
      <c r="P169" s="526"/>
      <c r="Q169" s="537">
        <f t="shared" ref="Q169:W169" ca="1" si="86">Q167-$Y169</f>
        <v>-0.30499999999999999</v>
      </c>
      <c r="R169" s="537">
        <f t="shared" ca="1" si="86"/>
        <v>6.5000000000000002E-2</v>
      </c>
      <c r="S169" s="537">
        <f t="shared" ca="1" si="86"/>
        <v>0.19500000000000001</v>
      </c>
      <c r="T169" s="537">
        <f t="shared" ca="1" si="86"/>
        <v>0.155</v>
      </c>
      <c r="U169" s="537">
        <f t="shared" ca="1" si="86"/>
        <v>0.13500000000000001</v>
      </c>
      <c r="V169" s="537">
        <f t="shared" ca="1" si="86"/>
        <v>9.5000000000000001E-2</v>
      </c>
      <c r="W169" s="537">
        <f t="shared" ca="1" si="86"/>
        <v>7.5000000000000011E-2</v>
      </c>
      <c r="X169" s="537">
        <f ca="1">X167-$Y169</f>
        <v>4.5000000000000012E-2</v>
      </c>
      <c r="Y169" s="537">
        <f ca="1">Y167-$Y169</f>
        <v>2.5000000000000008E-2</v>
      </c>
      <c r="Z169" s="537">
        <f ca="1">Z167-$Y169</f>
        <v>4.4999999999999998E-2</v>
      </c>
      <c r="AA169" s="538">
        <v>7.4999999999999997E-2</v>
      </c>
      <c r="AB169" s="520"/>
      <c r="AC169" s="520"/>
      <c r="AD169" s="520"/>
      <c r="AE169" s="520"/>
      <c r="AF169" s="520"/>
      <c r="AG169" s="520"/>
      <c r="AH169" s="520"/>
      <c r="AI169" s="520"/>
      <c r="AJ169" s="520"/>
      <c r="AK169" s="520"/>
      <c r="AL169" s="520"/>
      <c r="AM169" s="520"/>
      <c r="AN169" s="520"/>
      <c r="AO169" s="520"/>
      <c r="AP169" s="520"/>
      <c r="AQ169" s="520"/>
      <c r="AR169" s="520"/>
      <c r="AS169" s="520"/>
      <c r="AT169" s="520"/>
      <c r="AU169" s="520"/>
      <c r="AV169" s="520"/>
      <c r="AW169" s="520"/>
      <c r="AX169" s="520"/>
      <c r="AY169" s="520"/>
      <c r="AZ169" s="520"/>
      <c r="BA169" s="520"/>
      <c r="BB169" s="520"/>
      <c r="BC169" s="520"/>
      <c r="BD169" s="520"/>
      <c r="BE169" s="520"/>
      <c r="BF169" s="520"/>
      <c r="BG169" s="520"/>
      <c r="BH169" s="520"/>
      <c r="BI169" s="520"/>
      <c r="BJ169" s="520"/>
      <c r="BK169" s="520"/>
      <c r="BL169" s="520"/>
      <c r="BM169" s="520"/>
      <c r="BN169" s="520"/>
      <c r="BO169" s="520"/>
      <c r="BP169" s="520"/>
      <c r="BQ169" s="520"/>
      <c r="BR169" s="520"/>
      <c r="BS169" s="520"/>
      <c r="BT169" s="520"/>
      <c r="BU169" s="520"/>
      <c r="BV169" s="520"/>
      <c r="BW169" s="520"/>
      <c r="BX169" s="520"/>
      <c r="BY169" s="520"/>
      <c r="BZ169" s="520"/>
      <c r="CA169" s="520"/>
      <c r="CB169" s="520"/>
      <c r="CC169" s="520"/>
      <c r="CD169" s="520"/>
      <c r="CE169" s="520"/>
      <c r="CF169" s="520"/>
      <c r="CG169" s="520"/>
      <c r="CH169" s="520"/>
      <c r="CI169" s="520"/>
      <c r="CJ169" s="520"/>
      <c r="CK169" s="520"/>
      <c r="CL169" s="520"/>
      <c r="CM169" s="520"/>
      <c r="CN169" s="520"/>
      <c r="CO169" s="520"/>
      <c r="CP169" s="520"/>
      <c r="CQ169" s="520"/>
      <c r="CR169" s="520"/>
      <c r="CS169" s="520"/>
      <c r="CT169" s="520"/>
      <c r="CU169" s="520"/>
      <c r="CV169" s="520"/>
      <c r="CW169" s="520"/>
      <c r="CX169" s="520"/>
      <c r="CY169" s="520"/>
      <c r="CZ169" s="520"/>
      <c r="DA169" s="520"/>
      <c r="DB169" s="520"/>
      <c r="DC169" s="520"/>
      <c r="DD169" s="520"/>
      <c r="DE169" s="520"/>
      <c r="DF169" s="520"/>
      <c r="DG169" s="520"/>
      <c r="DH169" s="520"/>
      <c r="DI169" s="520"/>
      <c r="DJ169" s="520"/>
      <c r="DK169" s="520"/>
      <c r="DL169" s="520"/>
      <c r="DM169" s="520"/>
      <c r="DN169" s="520"/>
      <c r="DO169" s="520"/>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row>
    <row r="170" spans="1:153" s="521" customFormat="1">
      <c r="A170" s="700"/>
      <c r="B170" s="519"/>
      <c r="C170" s="520"/>
      <c r="D170" s="520"/>
      <c r="E170" s="520"/>
      <c r="F170" s="520"/>
      <c r="G170" s="520"/>
      <c r="H170" s="520"/>
      <c r="I170" s="520"/>
      <c r="J170" s="520"/>
      <c r="K170" s="520"/>
      <c r="L170" s="526"/>
      <c r="M170" s="526"/>
      <c r="N170" s="526"/>
      <c r="O170" s="526"/>
      <c r="P170" s="526"/>
      <c r="Q170" s="526"/>
      <c r="R170" s="526"/>
      <c r="S170" s="526"/>
      <c r="T170" s="526"/>
      <c r="U170" s="526"/>
      <c r="V170" s="526"/>
      <c r="W170" s="526"/>
      <c r="X170" s="526"/>
      <c r="Y170" s="526"/>
      <c r="Z170" s="526"/>
      <c r="AA170" s="526"/>
      <c r="AB170" s="520"/>
      <c r="AC170" s="520"/>
      <c r="AD170" s="520"/>
      <c r="AE170" s="520"/>
      <c r="AF170" s="520"/>
      <c r="AG170" s="520"/>
      <c r="AH170" s="520"/>
      <c r="AI170" s="520"/>
      <c r="AJ170" s="520"/>
      <c r="AK170" s="520"/>
      <c r="AL170" s="520"/>
      <c r="AM170" s="520"/>
      <c r="AN170" s="520"/>
      <c r="AO170" s="520"/>
      <c r="AP170" s="520"/>
      <c r="AQ170" s="520"/>
      <c r="AR170" s="520"/>
      <c r="AS170" s="520"/>
      <c r="AT170" s="520"/>
      <c r="AU170" s="520"/>
      <c r="AV170" s="520"/>
      <c r="AW170" s="520"/>
      <c r="AX170" s="520"/>
      <c r="AY170" s="520"/>
      <c r="AZ170" s="520"/>
      <c r="BA170" s="520"/>
      <c r="BB170" s="520"/>
      <c r="BC170" s="520"/>
      <c r="BD170" s="520"/>
      <c r="BE170" s="520"/>
      <c r="BF170" s="520"/>
      <c r="BG170" s="520"/>
      <c r="BH170" s="520"/>
      <c r="BI170" s="520"/>
      <c r="BJ170" s="520"/>
      <c r="BK170" s="520"/>
      <c r="BL170" s="520"/>
      <c r="BM170" s="520"/>
      <c r="BN170" s="520"/>
      <c r="BO170" s="520"/>
      <c r="BP170" s="520"/>
      <c r="BQ170" s="520"/>
      <c r="BR170" s="520"/>
      <c r="BS170" s="520"/>
      <c r="BT170" s="520"/>
      <c r="BU170" s="520"/>
      <c r="BV170" s="520"/>
      <c r="BW170" s="520"/>
      <c r="BX170" s="520"/>
      <c r="BY170" s="520"/>
      <c r="BZ170" s="520"/>
      <c r="CA170" s="520"/>
      <c r="CB170" s="520"/>
      <c r="CC170" s="520"/>
      <c r="CD170" s="520"/>
      <c r="CE170" s="520"/>
      <c r="CF170" s="520"/>
      <c r="CG170" s="520"/>
      <c r="CH170" s="520"/>
      <c r="CI170" s="520"/>
      <c r="CJ170" s="520"/>
      <c r="CK170" s="520"/>
      <c r="CL170" s="520"/>
      <c r="CM170" s="520"/>
      <c r="CN170" s="520"/>
      <c r="CO170" s="520"/>
      <c r="CP170" s="520"/>
      <c r="CQ170" s="520"/>
      <c r="CR170" s="520"/>
      <c r="CS170" s="520"/>
      <c r="CT170" s="520"/>
      <c r="CU170" s="520"/>
      <c r="CV170" s="520"/>
      <c r="CW170" s="520"/>
      <c r="CX170" s="520"/>
      <c r="CY170" s="520"/>
      <c r="CZ170" s="520"/>
      <c r="DA170" s="520"/>
      <c r="DB170" s="520"/>
      <c r="DC170" s="520"/>
      <c r="DD170" s="520"/>
      <c r="DE170" s="520"/>
      <c r="DF170" s="520"/>
      <c r="DG170" s="520"/>
      <c r="DH170" s="520"/>
      <c r="DI170" s="520"/>
      <c r="DJ170" s="520"/>
      <c r="DK170" s="520"/>
      <c r="DL170" s="520"/>
      <c r="DM170" s="520"/>
      <c r="DN170" s="520"/>
      <c r="DO170" s="520"/>
      <c r="DP170" s="520"/>
      <c r="DQ170" s="520"/>
      <c r="DR170" s="520"/>
      <c r="DS170" s="520"/>
      <c r="DT170" s="520"/>
      <c r="DU170" s="520"/>
      <c r="DV170" s="520"/>
      <c r="DW170" s="520"/>
      <c r="DX170" s="520"/>
      <c r="DY170" s="520"/>
      <c r="DZ170" s="520"/>
      <c r="EA170" s="520"/>
      <c r="EB170" s="520"/>
      <c r="EC170" s="520"/>
      <c r="ED170" s="520"/>
      <c r="EE170" s="520"/>
      <c r="EF170" s="520"/>
      <c r="EG170" s="520"/>
      <c r="EH170" s="520"/>
      <c r="EI170" s="520"/>
      <c r="EJ170" s="520"/>
      <c r="EK170" s="520"/>
      <c r="EL170" s="520"/>
      <c r="EM170" s="520"/>
      <c r="EN170" s="520"/>
      <c r="EO170" s="520"/>
      <c r="EP170" s="520"/>
      <c r="EQ170" s="520"/>
      <c r="ER170" s="520"/>
      <c r="ES170" s="520"/>
      <c r="ET170" s="520"/>
      <c r="EU170" s="520"/>
      <c r="EV170" s="520"/>
      <c r="EW170" s="520"/>
    </row>
    <row r="171" spans="1:153" s="521" customFormat="1" ht="15">
      <c r="A171" s="702" t="s">
        <v>3539</v>
      </c>
      <c r="B171" s="525"/>
      <c r="C171" s="520"/>
      <c r="D171" s="520"/>
      <c r="E171" s="520"/>
      <c r="F171" s="520"/>
      <c r="G171" s="520"/>
      <c r="H171" s="520"/>
      <c r="I171" s="520"/>
      <c r="J171" s="520"/>
      <c r="K171" s="520"/>
      <c r="L171" s="526">
        <f>L97</f>
        <v>2240</v>
      </c>
      <c r="M171" s="526">
        <f>M97</f>
        <v>798</v>
      </c>
      <c r="N171" s="526">
        <f>N97</f>
        <v>1710</v>
      </c>
      <c r="O171" s="526">
        <f>O97</f>
        <v>3400</v>
      </c>
      <c r="P171" s="526">
        <f>P97</f>
        <v>2990</v>
      </c>
      <c r="Q171" s="526">
        <f ca="1">Q165+Q158+Q151</f>
        <v>2560.9623518672197</v>
      </c>
      <c r="R171" s="526">
        <f ca="1">R165+R158+R151</f>
        <v>2852.2422928274427</v>
      </c>
      <c r="S171" s="526">
        <f t="shared" ref="S171:Y171" ca="1" si="87">S165+S158+S151</f>
        <v>3422.1836592573218</v>
      </c>
      <c r="T171" s="526">
        <f t="shared" ca="1" si="87"/>
        <v>4026.9978509144739</v>
      </c>
      <c r="U171" s="526">
        <f t="shared" ca="1" si="87"/>
        <v>4661.3249701722034</v>
      </c>
      <c r="V171" s="526">
        <f t="shared" ca="1" si="87"/>
        <v>5205.9744771340138</v>
      </c>
      <c r="W171" s="526">
        <f t="shared" ca="1" si="87"/>
        <v>5748.2158398433294</v>
      </c>
      <c r="X171" s="526">
        <f t="shared" ca="1" si="87"/>
        <v>6271.4191006669389</v>
      </c>
      <c r="Y171" s="526">
        <f t="shared" ca="1" si="87"/>
        <v>6780.2313246580125</v>
      </c>
      <c r="Z171" s="526">
        <f ca="1">Z165+Z158+Z151</f>
        <v>7230.9358821350415</v>
      </c>
      <c r="AA171" s="526"/>
      <c r="AB171" s="520"/>
      <c r="AC171" s="520"/>
      <c r="AD171" s="520"/>
      <c r="AE171" s="520"/>
      <c r="AF171" s="520"/>
      <c r="AG171" s="520"/>
      <c r="AH171" s="520"/>
      <c r="AI171" s="520"/>
      <c r="AJ171" s="520"/>
      <c r="AK171" s="520"/>
      <c r="AL171" s="520"/>
      <c r="AM171" s="520"/>
      <c r="AN171" s="520"/>
      <c r="AO171" s="520"/>
      <c r="AP171" s="520"/>
      <c r="AQ171" s="520"/>
      <c r="AR171" s="520"/>
      <c r="AS171" s="520"/>
      <c r="AT171" s="520"/>
      <c r="AU171" s="520"/>
      <c r="AV171" s="520"/>
      <c r="AW171" s="520"/>
      <c r="AX171" s="520"/>
      <c r="AY171" s="520"/>
      <c r="AZ171" s="520"/>
      <c r="BA171" s="520"/>
      <c r="BB171" s="520"/>
      <c r="BC171" s="520"/>
      <c r="BD171" s="520"/>
      <c r="BE171" s="520"/>
      <c r="BF171" s="520"/>
      <c r="BG171" s="520"/>
      <c r="BH171" s="520"/>
      <c r="BI171" s="520"/>
      <c r="BJ171" s="520"/>
      <c r="BK171" s="520"/>
      <c r="BL171" s="520"/>
      <c r="BM171" s="520"/>
      <c r="BN171" s="520"/>
      <c r="BO171" s="520"/>
      <c r="BP171" s="520"/>
      <c r="BQ171" s="520"/>
      <c r="BR171" s="520"/>
      <c r="BS171" s="520"/>
      <c r="BT171" s="520"/>
      <c r="BU171" s="520"/>
      <c r="BV171" s="520"/>
      <c r="BW171" s="520"/>
      <c r="BX171" s="520"/>
      <c r="BY171" s="520"/>
      <c r="BZ171" s="520"/>
      <c r="CA171" s="520"/>
      <c r="CB171" s="520"/>
      <c r="CC171" s="520"/>
      <c r="CD171" s="520"/>
      <c r="CE171" s="520"/>
      <c r="CF171" s="520"/>
      <c r="CG171" s="520"/>
      <c r="CH171" s="520"/>
      <c r="CI171" s="520"/>
      <c r="CJ171" s="520"/>
      <c r="CK171" s="520"/>
      <c r="CL171" s="520"/>
      <c r="CM171" s="520"/>
      <c r="CN171" s="520"/>
      <c r="CO171" s="520"/>
      <c r="CP171" s="520"/>
      <c r="CQ171" s="520"/>
      <c r="CR171" s="520"/>
      <c r="CS171" s="520"/>
      <c r="CT171" s="520"/>
      <c r="CU171" s="520"/>
      <c r="CV171" s="520"/>
      <c r="CW171" s="520"/>
      <c r="CX171" s="520"/>
      <c r="CY171" s="520"/>
      <c r="CZ171" s="520"/>
      <c r="DA171" s="520"/>
      <c r="DB171" s="520"/>
      <c r="DC171" s="520"/>
      <c r="DD171" s="520"/>
      <c r="DE171" s="520"/>
      <c r="DF171" s="520"/>
      <c r="DG171" s="520"/>
      <c r="DH171" s="520"/>
      <c r="DI171" s="520"/>
      <c r="DJ171" s="520"/>
      <c r="DK171" s="520"/>
      <c r="DL171" s="520"/>
      <c r="DM171" s="520"/>
      <c r="DN171" s="520"/>
      <c r="DO171" s="520"/>
      <c r="DP171" s="520"/>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row>
    <row r="172" spans="1:153" s="521" customFormat="1" ht="15">
      <c r="A172" s="692" t="s">
        <v>3533</v>
      </c>
      <c r="B172" s="528"/>
      <c r="C172" s="520"/>
      <c r="D172" s="520"/>
      <c r="E172" s="520"/>
      <c r="F172" s="520"/>
      <c r="G172" s="520"/>
      <c r="H172" s="520"/>
      <c r="I172" s="520"/>
      <c r="J172" s="520"/>
      <c r="K172" s="520"/>
      <c r="L172" s="526"/>
      <c r="M172" s="526"/>
      <c r="N172" s="526"/>
      <c r="O172" s="526"/>
      <c r="P172" s="534">
        <f t="shared" ref="P172:Z172" si="88">(P171/O171)-1</f>
        <v>-0.12058823529411766</v>
      </c>
      <c r="Q172" s="534">
        <f t="shared" ca="1" si="88"/>
        <v>-0.14349085221832114</v>
      </c>
      <c r="R172" s="534">
        <f t="shared" ca="1" si="88"/>
        <v>0.11373847051982167</v>
      </c>
      <c r="S172" s="534">
        <f t="shared" ca="1" si="88"/>
        <v>0.19982221281239521</v>
      </c>
      <c r="T172" s="534">
        <f t="shared" ca="1" si="88"/>
        <v>0.17673341114264107</v>
      </c>
      <c r="U172" s="534">
        <f t="shared" ca="1" si="88"/>
        <v>0.15751861380151544</v>
      </c>
      <c r="V172" s="534">
        <f t="shared" ca="1" si="88"/>
        <v>0.11684435443720842</v>
      </c>
      <c r="W172" s="534">
        <f t="shared" ca="1" si="88"/>
        <v>0.10415751461920908</v>
      </c>
      <c r="X172" s="534">
        <f t="shared" ca="1" si="88"/>
        <v>9.1020113962503757E-2</v>
      </c>
      <c r="Y172" s="534">
        <f t="shared" ca="1" si="88"/>
        <v>8.1131912223337599E-2</v>
      </c>
      <c r="Z172" s="534">
        <f t="shared" ca="1" si="88"/>
        <v>6.6473330465574021E-2</v>
      </c>
      <c r="AA172" s="526"/>
      <c r="AB172" s="520"/>
      <c r="AC172" s="520"/>
      <c r="AD172" s="520"/>
      <c r="AE172" s="520"/>
      <c r="AF172" s="520"/>
      <c r="AG172" s="520"/>
      <c r="AH172" s="520"/>
      <c r="AI172" s="520"/>
      <c r="AJ172" s="520"/>
      <c r="AK172" s="520"/>
      <c r="AL172" s="520"/>
      <c r="AM172" s="520"/>
      <c r="AN172" s="520"/>
      <c r="AO172" s="520"/>
      <c r="AP172" s="520"/>
      <c r="AQ172" s="520"/>
      <c r="AR172" s="520"/>
      <c r="AS172" s="520"/>
      <c r="AT172" s="520"/>
      <c r="AU172" s="520"/>
      <c r="AV172" s="520"/>
      <c r="AW172" s="520"/>
      <c r="AX172" s="520"/>
      <c r="AY172" s="520"/>
      <c r="AZ172" s="520"/>
      <c r="BA172" s="520"/>
      <c r="BB172" s="520"/>
      <c r="BC172" s="520"/>
      <c r="BD172" s="520"/>
      <c r="BE172" s="520"/>
      <c r="BF172" s="520"/>
      <c r="BG172" s="520"/>
      <c r="BH172" s="520"/>
      <c r="BI172" s="520"/>
      <c r="BJ172" s="520"/>
      <c r="BK172" s="520"/>
      <c r="BL172" s="520"/>
      <c r="BM172" s="520"/>
      <c r="BN172" s="520"/>
      <c r="BO172" s="520"/>
      <c r="BP172" s="520"/>
      <c r="BQ172" s="520"/>
      <c r="BR172" s="520"/>
      <c r="BS172" s="520"/>
      <c r="BT172" s="520"/>
      <c r="BU172" s="520"/>
      <c r="BV172" s="520"/>
      <c r="BW172" s="520"/>
      <c r="BX172" s="520"/>
      <c r="BY172" s="520"/>
      <c r="BZ172" s="520"/>
      <c r="CA172" s="520"/>
      <c r="CB172" s="520"/>
      <c r="CC172" s="520"/>
      <c r="CD172" s="520"/>
      <c r="CE172" s="520"/>
      <c r="CF172" s="520"/>
      <c r="CG172" s="520"/>
      <c r="CH172" s="520"/>
      <c r="CI172" s="520"/>
      <c r="CJ172" s="520"/>
      <c r="CK172" s="520"/>
      <c r="CL172" s="520"/>
      <c r="CM172" s="520"/>
      <c r="CN172" s="520"/>
      <c r="CO172" s="520"/>
      <c r="CP172" s="520"/>
      <c r="CQ172" s="520"/>
      <c r="CR172" s="520"/>
      <c r="CS172" s="520"/>
      <c r="CT172" s="520"/>
      <c r="CU172" s="520"/>
      <c r="CV172" s="520"/>
      <c r="CW172" s="520"/>
      <c r="CX172" s="520"/>
      <c r="CY172" s="520"/>
      <c r="CZ172" s="520"/>
      <c r="DA172" s="520"/>
      <c r="DB172" s="520"/>
      <c r="DC172" s="520"/>
      <c r="DD172" s="520"/>
      <c r="DE172" s="520"/>
      <c r="DF172" s="520"/>
      <c r="DG172" s="520"/>
      <c r="DH172" s="520"/>
      <c r="DI172" s="520"/>
      <c r="DJ172" s="520"/>
      <c r="DK172" s="520"/>
      <c r="DL172" s="520"/>
      <c r="DM172" s="520"/>
      <c r="DN172" s="520"/>
      <c r="DO172" s="520"/>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row>
    <row r="173" spans="1:153" s="521" customFormat="1">
      <c r="A173" s="696"/>
      <c r="B173" s="568"/>
      <c r="C173" s="520"/>
      <c r="D173" s="520"/>
      <c r="E173" s="520"/>
      <c r="F173" s="520"/>
      <c r="G173" s="520"/>
      <c r="H173" s="520"/>
      <c r="I173" s="520"/>
      <c r="J173" s="520"/>
      <c r="K173" s="520"/>
      <c r="L173" s="520"/>
      <c r="M173" s="520"/>
      <c r="N173" s="520"/>
      <c r="O173" s="520"/>
      <c r="P173" s="520"/>
      <c r="Q173" s="520"/>
      <c r="R173" s="520"/>
      <c r="S173" s="520"/>
      <c r="T173" s="520"/>
      <c r="U173" s="520"/>
      <c r="V173" s="520"/>
      <c r="W173" s="520"/>
      <c r="X173" s="520"/>
      <c r="Y173" s="520"/>
      <c r="Z173" s="520"/>
      <c r="AA173" s="520"/>
      <c r="AB173" s="520"/>
      <c r="AC173" s="520"/>
      <c r="AD173" s="520"/>
      <c r="AE173" s="520"/>
      <c r="AF173" s="520"/>
      <c r="AG173" s="520"/>
      <c r="AH173" s="520"/>
      <c r="AI173" s="520"/>
      <c r="AJ173" s="520"/>
      <c r="AK173" s="520"/>
      <c r="AL173" s="520"/>
      <c r="AM173" s="520"/>
      <c r="AN173" s="520"/>
      <c r="AO173" s="520"/>
      <c r="AP173" s="520"/>
      <c r="AQ173" s="520"/>
      <c r="AR173" s="520"/>
      <c r="AS173" s="520"/>
      <c r="AT173" s="520"/>
      <c r="AU173" s="520"/>
      <c r="AV173" s="520"/>
      <c r="AW173" s="520"/>
      <c r="AX173" s="520"/>
      <c r="AY173" s="520"/>
      <c r="AZ173" s="520"/>
      <c r="BA173" s="520"/>
      <c r="BB173" s="520"/>
      <c r="BC173" s="520"/>
      <c r="BD173" s="520"/>
      <c r="BE173" s="520"/>
      <c r="BF173" s="520"/>
      <c r="BG173" s="520"/>
      <c r="BH173" s="520"/>
      <c r="BI173" s="520"/>
      <c r="BJ173" s="520"/>
      <c r="BK173" s="520"/>
      <c r="BL173" s="520"/>
      <c r="BM173" s="520"/>
      <c r="BN173" s="520"/>
      <c r="BO173" s="520"/>
      <c r="BP173" s="520"/>
      <c r="BQ173" s="520"/>
      <c r="BR173" s="520"/>
      <c r="BS173" s="520"/>
      <c r="BT173" s="520"/>
      <c r="BU173" s="520"/>
      <c r="BV173" s="520"/>
      <c r="BW173" s="520"/>
      <c r="BX173" s="520"/>
      <c r="BY173" s="520"/>
      <c r="BZ173" s="520"/>
      <c r="CA173" s="520"/>
      <c r="CB173" s="520"/>
      <c r="CC173" s="520"/>
      <c r="CD173" s="520"/>
      <c r="CE173" s="520"/>
      <c r="CF173" s="520"/>
      <c r="CG173" s="520"/>
      <c r="CH173" s="520"/>
      <c r="CI173" s="520"/>
      <c r="CJ173" s="520"/>
      <c r="CK173" s="520"/>
      <c r="CL173" s="520"/>
      <c r="CM173" s="520"/>
      <c r="CN173" s="520"/>
      <c r="CO173" s="520"/>
      <c r="CP173" s="520"/>
      <c r="CQ173" s="520"/>
      <c r="CR173" s="520"/>
      <c r="CS173" s="520"/>
      <c r="CT173" s="520"/>
      <c r="CU173" s="520"/>
      <c r="CV173" s="520"/>
      <c r="CW173" s="520"/>
      <c r="CX173" s="520"/>
      <c r="CY173" s="520"/>
      <c r="CZ173" s="520"/>
      <c r="DA173" s="520"/>
      <c r="DB173" s="520"/>
      <c r="DC173" s="520"/>
      <c r="DD173" s="520"/>
      <c r="DE173" s="520"/>
      <c r="DF173" s="520"/>
      <c r="DG173" s="520"/>
      <c r="DH173" s="520"/>
      <c r="DI173" s="520"/>
      <c r="DJ173" s="520"/>
      <c r="DK173" s="520"/>
      <c r="DL173" s="520"/>
      <c r="DM173" s="520"/>
      <c r="DN173" s="520"/>
      <c r="DO173" s="520"/>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row>
    <row r="174" spans="1:153" s="521" customFormat="1">
      <c r="A174" s="518"/>
      <c r="B174" s="525"/>
      <c r="C174" s="520"/>
      <c r="D174" s="520"/>
      <c r="E174" s="520"/>
      <c r="F174" s="520"/>
      <c r="G174" s="520"/>
      <c r="H174" s="520"/>
      <c r="I174" s="520"/>
      <c r="J174" s="520"/>
      <c r="K174" s="520"/>
      <c r="L174" s="520"/>
      <c r="M174" s="520"/>
      <c r="N174" s="520"/>
      <c r="O174" s="520"/>
      <c r="P174" s="520"/>
      <c r="Q174" s="520"/>
      <c r="R174" s="520"/>
      <c r="S174" s="520"/>
      <c r="T174" s="520"/>
      <c r="U174" s="520"/>
      <c r="V174" s="520"/>
      <c r="W174" s="520"/>
      <c r="X174" s="520"/>
      <c r="Y174" s="520"/>
      <c r="Z174" s="520"/>
      <c r="AA174" s="520"/>
      <c r="AB174" s="520"/>
      <c r="AC174" s="520"/>
      <c r="AD174" s="520"/>
      <c r="AE174" s="520"/>
      <c r="AF174" s="520"/>
      <c r="AG174" s="520"/>
      <c r="AH174" s="520"/>
      <c r="AI174" s="520"/>
      <c r="AJ174" s="520"/>
      <c r="AK174" s="520"/>
      <c r="AL174" s="520"/>
      <c r="AM174" s="520"/>
      <c r="AN174" s="520"/>
      <c r="AO174" s="520"/>
      <c r="AP174" s="520"/>
      <c r="AQ174" s="520"/>
      <c r="AR174" s="520"/>
      <c r="AS174" s="520"/>
      <c r="AT174" s="520"/>
      <c r="AU174" s="520"/>
      <c r="AV174" s="520"/>
      <c r="AW174" s="520"/>
      <c r="AX174" s="520"/>
      <c r="AY174" s="520"/>
      <c r="AZ174" s="520"/>
      <c r="BA174" s="520"/>
      <c r="BB174" s="520"/>
      <c r="BC174" s="520"/>
      <c r="BD174" s="520"/>
      <c r="BE174" s="520"/>
      <c r="BF174" s="520"/>
      <c r="BG174" s="520"/>
      <c r="BH174" s="520"/>
      <c r="BI174" s="520"/>
      <c r="BJ174" s="520"/>
      <c r="BK174" s="520"/>
      <c r="BL174" s="520"/>
      <c r="BM174" s="520"/>
      <c r="BN174" s="520"/>
      <c r="BO174" s="520"/>
      <c r="BP174" s="520"/>
      <c r="BQ174" s="520"/>
      <c r="BR174" s="520"/>
      <c r="BS174" s="520"/>
      <c r="BT174" s="520"/>
      <c r="BU174" s="520"/>
      <c r="BV174" s="520"/>
      <c r="BW174" s="520"/>
      <c r="BX174" s="520"/>
      <c r="BY174" s="520"/>
      <c r="BZ174" s="520"/>
      <c r="CA174" s="520"/>
      <c r="CB174" s="520"/>
      <c r="CC174" s="520"/>
      <c r="CD174" s="520"/>
      <c r="CE174" s="520"/>
      <c r="CF174" s="520"/>
      <c r="CG174" s="520"/>
      <c r="CH174" s="520"/>
      <c r="CI174" s="520"/>
      <c r="CJ174" s="520"/>
      <c r="CK174" s="520"/>
      <c r="CL174" s="520"/>
      <c r="CM174" s="520"/>
      <c r="CN174" s="520"/>
      <c r="CO174" s="520"/>
      <c r="CP174" s="520"/>
      <c r="CQ174" s="520"/>
      <c r="CR174" s="520"/>
      <c r="CS174" s="520"/>
      <c r="CT174" s="520"/>
      <c r="CU174" s="520"/>
      <c r="CV174" s="520"/>
      <c r="CW174" s="520"/>
      <c r="CX174" s="520"/>
      <c r="CY174" s="520"/>
      <c r="CZ174" s="520"/>
      <c r="DA174" s="520"/>
      <c r="DB174" s="520"/>
      <c r="DC174" s="520"/>
      <c r="DD174" s="520"/>
      <c r="DE174" s="520"/>
      <c r="DF174" s="520"/>
      <c r="DG174" s="520"/>
      <c r="DH174" s="520"/>
      <c r="DI174" s="520"/>
      <c r="DJ174" s="520"/>
      <c r="DK174" s="520"/>
      <c r="DL174" s="520"/>
      <c r="DM174" s="520"/>
      <c r="DN174" s="520"/>
      <c r="DO174" s="520"/>
      <c r="DP174" s="520"/>
      <c r="DQ174" s="520"/>
      <c r="DR174" s="520"/>
      <c r="DS174" s="520"/>
      <c r="DT174" s="520"/>
      <c r="DU174" s="520"/>
      <c r="DV174" s="520"/>
      <c r="DW174" s="520"/>
      <c r="DX174" s="520"/>
      <c r="DY174" s="520"/>
      <c r="DZ174" s="520"/>
      <c r="EA174" s="520"/>
      <c r="EB174" s="520"/>
      <c r="EC174" s="520"/>
      <c r="ED174" s="520"/>
      <c r="EE174" s="520"/>
      <c r="EF174" s="520"/>
      <c r="EG174" s="520"/>
      <c r="EH174" s="520"/>
      <c r="EI174" s="520"/>
      <c r="EJ174" s="520"/>
      <c r="EK174" s="520"/>
      <c r="EL174" s="520"/>
      <c r="EM174" s="520"/>
      <c r="EN174" s="520"/>
      <c r="EO174" s="520"/>
      <c r="EP174" s="520"/>
      <c r="EQ174" s="520"/>
      <c r="ER174" s="520"/>
      <c r="ES174" s="520"/>
      <c r="ET174" s="520"/>
      <c r="EU174" s="520"/>
      <c r="EV174" s="520"/>
      <c r="EW174" s="520"/>
    </row>
    <row r="175" spans="1:153" s="521" customFormat="1">
      <c r="A175" s="569"/>
      <c r="B175" s="525"/>
      <c r="C175" s="520"/>
      <c r="D175" s="520"/>
      <c r="E175" s="520"/>
      <c r="F175" s="520"/>
      <c r="G175" s="520"/>
      <c r="H175" s="520"/>
      <c r="I175" s="520"/>
      <c r="J175" s="520"/>
      <c r="K175" s="520"/>
      <c r="L175" s="520"/>
      <c r="M175" s="520"/>
      <c r="N175" s="520"/>
      <c r="O175" s="520"/>
      <c r="P175" s="520"/>
      <c r="Q175" s="520"/>
      <c r="R175" s="520"/>
      <c r="S175" s="520"/>
      <c r="T175" s="520"/>
      <c r="U175" s="520"/>
      <c r="V175" s="520"/>
      <c r="W175" s="520"/>
      <c r="X175" s="520"/>
      <c r="Y175" s="520"/>
      <c r="Z175" s="520"/>
      <c r="AA175" s="520"/>
      <c r="AB175" s="520"/>
      <c r="AC175" s="520"/>
      <c r="AD175" s="520"/>
      <c r="AE175" s="520"/>
      <c r="AF175" s="520"/>
      <c r="AG175" s="520"/>
      <c r="AH175" s="520"/>
      <c r="AI175" s="520"/>
      <c r="AJ175" s="520"/>
      <c r="AK175" s="520"/>
      <c r="AL175" s="520"/>
      <c r="AM175" s="520"/>
      <c r="AN175" s="520"/>
      <c r="AO175" s="520"/>
      <c r="AP175" s="520"/>
      <c r="AQ175" s="520"/>
      <c r="AR175" s="520"/>
      <c r="AS175" s="520"/>
      <c r="AT175" s="520"/>
      <c r="AU175" s="520"/>
      <c r="AV175" s="520"/>
      <c r="AW175" s="520"/>
      <c r="AX175" s="520"/>
      <c r="AY175" s="520"/>
      <c r="AZ175" s="520"/>
      <c r="BA175" s="520"/>
      <c r="BB175" s="520"/>
      <c r="BC175" s="520"/>
      <c r="BD175" s="520"/>
      <c r="BE175" s="520"/>
      <c r="BF175" s="520"/>
      <c r="BG175" s="520"/>
      <c r="BH175" s="520"/>
      <c r="BI175" s="520"/>
      <c r="BJ175" s="520"/>
      <c r="BK175" s="520"/>
      <c r="BL175" s="520"/>
      <c r="BM175" s="520"/>
      <c r="BN175" s="520"/>
      <c r="BO175" s="520"/>
      <c r="BP175" s="520"/>
      <c r="BQ175" s="520"/>
      <c r="BR175" s="520"/>
      <c r="BS175" s="520"/>
      <c r="BT175" s="520"/>
      <c r="BU175" s="520"/>
      <c r="BV175" s="520"/>
      <c r="BW175" s="520"/>
      <c r="BX175" s="520"/>
      <c r="BY175" s="520"/>
      <c r="BZ175" s="520"/>
      <c r="CA175" s="520"/>
      <c r="CB175" s="520"/>
      <c r="CC175" s="520"/>
      <c r="CD175" s="520"/>
      <c r="CE175" s="520"/>
      <c r="CF175" s="520"/>
      <c r="CG175" s="520"/>
      <c r="CH175" s="520"/>
      <c r="CI175" s="520"/>
      <c r="CJ175" s="520"/>
      <c r="CK175" s="520"/>
      <c r="CL175" s="520"/>
      <c r="CM175" s="520"/>
      <c r="CN175" s="520"/>
      <c r="CO175" s="520"/>
      <c r="CP175" s="520"/>
      <c r="CQ175" s="520"/>
      <c r="CR175" s="520"/>
      <c r="CS175" s="520"/>
      <c r="CT175" s="520"/>
      <c r="CU175" s="520"/>
      <c r="CV175" s="520"/>
      <c r="CW175" s="520"/>
      <c r="CX175" s="520"/>
      <c r="CY175" s="520"/>
      <c r="CZ175" s="520"/>
      <c r="DA175" s="520"/>
      <c r="DB175" s="520"/>
      <c r="DC175" s="520"/>
      <c r="DD175" s="520"/>
      <c r="DE175" s="520"/>
      <c r="DF175" s="520"/>
      <c r="DG175" s="520"/>
      <c r="DH175" s="520"/>
      <c r="DI175" s="520"/>
      <c r="DJ175" s="520"/>
      <c r="DK175" s="520"/>
      <c r="DL175" s="520"/>
      <c r="DM175" s="520"/>
      <c r="DN175" s="520"/>
      <c r="DO175" s="520"/>
      <c r="DP175" s="520"/>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row>
    <row r="176" spans="1:153" s="521" customFormat="1" ht="16">
      <c r="A176" s="570"/>
      <c r="B176" s="549"/>
      <c r="C176" s="520"/>
      <c r="D176" s="520"/>
      <c r="E176" s="520"/>
      <c r="F176" s="520"/>
      <c r="G176" s="520"/>
      <c r="H176" s="520"/>
      <c r="I176" s="520"/>
      <c r="J176" s="520"/>
      <c r="K176" s="520"/>
      <c r="L176" s="520"/>
      <c r="M176" s="520"/>
      <c r="N176" s="520"/>
      <c r="O176" s="520"/>
      <c r="P176" s="520"/>
      <c r="Q176" s="520"/>
      <c r="R176" s="520"/>
      <c r="S176" s="520"/>
      <c r="T176" s="520"/>
      <c r="U176" s="520"/>
      <c r="V176" s="520"/>
      <c r="W176" s="520"/>
      <c r="X176" s="520"/>
      <c r="Y176" s="520"/>
      <c r="Z176" s="520"/>
      <c r="AA176" s="520"/>
      <c r="AB176" s="520"/>
      <c r="AC176" s="520"/>
      <c r="AD176" s="520"/>
      <c r="AE176" s="520"/>
      <c r="AF176" s="520"/>
      <c r="AG176" s="520"/>
      <c r="AH176" s="520"/>
      <c r="AI176" s="520"/>
      <c r="AJ176" s="520"/>
      <c r="AK176" s="520"/>
      <c r="AL176" s="520"/>
      <c r="AM176" s="520"/>
      <c r="AN176" s="520"/>
      <c r="AO176" s="520"/>
      <c r="AP176" s="520"/>
      <c r="AQ176" s="520"/>
      <c r="AR176" s="520"/>
      <c r="AS176" s="520"/>
      <c r="AT176" s="520"/>
      <c r="AU176" s="520"/>
      <c r="AV176" s="520"/>
      <c r="AW176" s="520"/>
      <c r="AX176" s="520"/>
      <c r="AY176" s="520"/>
      <c r="AZ176" s="520"/>
      <c r="BA176" s="520"/>
      <c r="BB176" s="520"/>
      <c r="BC176" s="520"/>
      <c r="BD176" s="520"/>
      <c r="BE176" s="520"/>
      <c r="BF176" s="520"/>
      <c r="BG176" s="520"/>
      <c r="BH176" s="520"/>
      <c r="BI176" s="520"/>
      <c r="BJ176" s="520"/>
      <c r="BK176" s="520"/>
      <c r="BL176" s="520"/>
      <c r="BM176" s="520"/>
      <c r="BN176" s="520"/>
      <c r="BO176" s="520"/>
      <c r="BP176" s="520"/>
      <c r="BQ176" s="520"/>
      <c r="BR176" s="520"/>
      <c r="BS176" s="520"/>
      <c r="BT176" s="520"/>
      <c r="BU176" s="520"/>
      <c r="BV176" s="520"/>
      <c r="BW176" s="520"/>
      <c r="BX176" s="520"/>
      <c r="BY176" s="520"/>
      <c r="BZ176" s="520"/>
      <c r="CA176" s="520"/>
      <c r="CB176" s="520"/>
      <c r="CC176" s="520"/>
      <c r="CD176" s="520"/>
      <c r="CE176" s="520"/>
      <c r="CF176" s="520"/>
      <c r="CG176" s="520"/>
      <c r="CH176" s="520"/>
      <c r="CI176" s="520"/>
      <c r="CJ176" s="520"/>
      <c r="CK176" s="520"/>
      <c r="CL176" s="520"/>
      <c r="CM176" s="520"/>
      <c r="CN176" s="520"/>
      <c r="CO176" s="520"/>
      <c r="CP176" s="520"/>
      <c r="CQ176" s="520"/>
      <c r="CR176" s="520"/>
      <c r="CS176" s="520"/>
      <c r="CT176" s="520"/>
      <c r="CU176" s="520"/>
      <c r="CV176" s="520"/>
      <c r="CW176" s="520"/>
      <c r="CX176" s="520"/>
      <c r="CY176" s="520"/>
      <c r="CZ176" s="520"/>
      <c r="DA176" s="520"/>
      <c r="DB176" s="520"/>
      <c r="DC176" s="520"/>
      <c r="DD176" s="520"/>
      <c r="DE176" s="520"/>
      <c r="DF176" s="520"/>
      <c r="DG176" s="520"/>
      <c r="DH176" s="520"/>
      <c r="DI176" s="520"/>
      <c r="DJ176" s="520"/>
      <c r="DK176" s="520"/>
      <c r="DL176" s="520"/>
      <c r="DM176" s="520"/>
      <c r="DN176" s="520"/>
      <c r="DO176" s="520"/>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row>
    <row r="177" spans="1:155" s="521" customFormat="1" ht="16">
      <c r="A177" s="571"/>
      <c r="B177" s="549"/>
      <c r="C177" s="520"/>
      <c r="D177" s="520"/>
      <c r="E177" s="520"/>
      <c r="F177" s="520"/>
      <c r="G177" s="520"/>
      <c r="H177" s="520"/>
      <c r="I177" s="520"/>
      <c r="J177" s="520"/>
      <c r="K177" s="520"/>
      <c r="L177" s="520"/>
      <c r="M177" s="520"/>
      <c r="N177" s="520"/>
      <c r="O177" s="520"/>
      <c r="P177" s="520"/>
      <c r="Q177" s="520"/>
      <c r="R177" s="520"/>
      <c r="S177" s="520"/>
      <c r="T177" s="520"/>
      <c r="U177" s="520"/>
      <c r="V177" s="520"/>
      <c r="W177" s="520"/>
      <c r="X177" s="520"/>
      <c r="Y177" s="520"/>
      <c r="Z177" s="520"/>
      <c r="AA177" s="520"/>
      <c r="AB177" s="520"/>
      <c r="AC177" s="520"/>
      <c r="AD177" s="520"/>
      <c r="AE177" s="520"/>
      <c r="AF177" s="520"/>
      <c r="AG177" s="520"/>
      <c r="AH177" s="520"/>
      <c r="AI177" s="520"/>
      <c r="AJ177" s="520"/>
      <c r="AK177" s="520"/>
      <c r="AL177" s="520"/>
      <c r="AM177" s="520"/>
      <c r="AN177" s="520"/>
      <c r="AO177" s="520"/>
      <c r="AP177" s="520"/>
      <c r="AQ177" s="520"/>
      <c r="AR177" s="520"/>
      <c r="AS177" s="520"/>
      <c r="AT177" s="520"/>
      <c r="AU177" s="520"/>
      <c r="AV177" s="520"/>
      <c r="AW177" s="520"/>
      <c r="AX177" s="520"/>
      <c r="AY177" s="520"/>
      <c r="AZ177" s="520"/>
      <c r="BA177" s="520"/>
      <c r="BB177" s="520"/>
      <c r="BC177" s="520"/>
      <c r="BD177" s="520"/>
      <c r="BE177" s="520"/>
      <c r="BF177" s="520"/>
      <c r="BG177" s="520"/>
      <c r="BH177" s="520"/>
      <c r="BI177" s="520"/>
      <c r="BJ177" s="520"/>
      <c r="BK177" s="520"/>
      <c r="BL177" s="520"/>
      <c r="BM177" s="520"/>
      <c r="BN177" s="520"/>
      <c r="BO177" s="520"/>
      <c r="BP177" s="520"/>
      <c r="BQ177" s="520"/>
      <c r="BR177" s="520"/>
      <c r="BS177" s="520"/>
      <c r="BT177" s="520"/>
      <c r="BU177" s="520"/>
      <c r="BV177" s="520"/>
      <c r="BW177" s="520"/>
      <c r="BX177" s="520"/>
      <c r="BY177" s="520"/>
      <c r="BZ177" s="520"/>
      <c r="CA177" s="520"/>
      <c r="CB177" s="520"/>
      <c r="CC177" s="520"/>
      <c r="CD177" s="520"/>
      <c r="CE177" s="520"/>
      <c r="CF177" s="520"/>
      <c r="CG177" s="520"/>
      <c r="CH177" s="520"/>
      <c r="CI177" s="520"/>
      <c r="CJ177" s="520"/>
      <c r="CK177" s="520"/>
      <c r="CL177" s="520"/>
      <c r="CM177" s="520"/>
      <c r="CN177" s="520"/>
      <c r="CO177" s="520"/>
      <c r="CP177" s="520"/>
      <c r="CQ177" s="520"/>
      <c r="CR177" s="520"/>
      <c r="CS177" s="520"/>
      <c r="CT177" s="520"/>
      <c r="CU177" s="520"/>
      <c r="CV177" s="520"/>
      <c r="CW177" s="520"/>
      <c r="CX177" s="520"/>
      <c r="CY177" s="520"/>
      <c r="CZ177" s="520"/>
      <c r="DA177" s="520"/>
      <c r="DB177" s="520"/>
      <c r="DC177" s="520"/>
      <c r="DD177" s="520"/>
      <c r="DE177" s="520"/>
      <c r="DF177" s="520"/>
      <c r="DG177" s="520"/>
      <c r="DH177" s="520"/>
      <c r="DI177" s="520"/>
      <c r="DJ177" s="520"/>
      <c r="DK177" s="520"/>
      <c r="DL177" s="520"/>
      <c r="DM177" s="520"/>
      <c r="DN177" s="520"/>
      <c r="DO177" s="520"/>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row>
    <row r="178" spans="1:155" s="521" customFormat="1">
      <c r="A178" s="518"/>
      <c r="B178" s="525"/>
      <c r="C178" s="520"/>
      <c r="D178" s="520"/>
      <c r="E178" s="520"/>
      <c r="F178" s="520"/>
      <c r="G178" s="520"/>
      <c r="H178" s="520"/>
      <c r="I178" s="520"/>
      <c r="J178" s="520"/>
      <c r="K178" s="520"/>
      <c r="L178" s="520"/>
      <c r="M178" s="520"/>
      <c r="N178" s="520"/>
      <c r="O178" s="520"/>
      <c r="P178" s="520"/>
      <c r="Q178" s="520"/>
      <c r="R178" s="520"/>
      <c r="S178" s="520"/>
      <c r="T178" s="520"/>
      <c r="U178" s="520"/>
      <c r="V178" s="520"/>
      <c r="W178" s="520"/>
      <c r="X178" s="520"/>
      <c r="Y178" s="520"/>
      <c r="Z178" s="520"/>
      <c r="AA178" s="520"/>
      <c r="AB178" s="520"/>
      <c r="AC178" s="520"/>
      <c r="AD178" s="520"/>
      <c r="AE178" s="520"/>
      <c r="AF178" s="520"/>
      <c r="AG178" s="520"/>
      <c r="AH178" s="520"/>
      <c r="AI178" s="520"/>
      <c r="AJ178" s="520"/>
      <c r="AK178" s="520"/>
      <c r="AL178" s="520"/>
      <c r="AM178" s="520"/>
      <c r="AN178" s="520"/>
      <c r="AO178" s="520"/>
      <c r="AP178" s="520"/>
      <c r="AQ178" s="520"/>
      <c r="AR178" s="520"/>
      <c r="AS178" s="520"/>
      <c r="AT178" s="520"/>
      <c r="AU178" s="520"/>
      <c r="AV178" s="520"/>
      <c r="AW178" s="520"/>
      <c r="AX178" s="520"/>
      <c r="AY178" s="520"/>
      <c r="AZ178" s="520"/>
      <c r="BA178" s="520"/>
      <c r="BB178" s="520"/>
      <c r="BC178" s="520"/>
      <c r="BD178" s="520"/>
      <c r="BE178" s="520"/>
      <c r="BF178" s="520"/>
      <c r="BG178" s="520"/>
      <c r="BH178" s="520"/>
      <c r="BI178" s="520"/>
      <c r="BJ178" s="520"/>
      <c r="BK178" s="520"/>
      <c r="BL178" s="520"/>
      <c r="BM178" s="520"/>
      <c r="BN178" s="520"/>
      <c r="BO178" s="520"/>
      <c r="BP178" s="520"/>
      <c r="BQ178" s="520"/>
      <c r="BR178" s="520"/>
      <c r="BS178" s="520"/>
      <c r="BT178" s="520"/>
      <c r="BU178" s="520"/>
      <c r="BV178" s="520"/>
      <c r="BW178" s="520"/>
      <c r="BX178" s="520"/>
      <c r="BY178" s="520"/>
      <c r="BZ178" s="520"/>
      <c r="CA178" s="520"/>
      <c r="CB178" s="520"/>
      <c r="CC178" s="520"/>
      <c r="CD178" s="520"/>
      <c r="CE178" s="520"/>
      <c r="CF178" s="520"/>
      <c r="CG178" s="520"/>
      <c r="CH178" s="520"/>
      <c r="CI178" s="520"/>
      <c r="CJ178" s="520"/>
      <c r="CK178" s="520"/>
      <c r="CL178" s="520"/>
      <c r="CM178" s="520"/>
      <c r="CN178" s="520"/>
      <c r="CO178" s="520"/>
      <c r="CP178" s="520"/>
      <c r="CQ178" s="520"/>
      <c r="CR178" s="520"/>
      <c r="CS178" s="520"/>
      <c r="CT178" s="520"/>
      <c r="CU178" s="520"/>
      <c r="CV178" s="520"/>
      <c r="CW178" s="520"/>
      <c r="CX178" s="520"/>
      <c r="CY178" s="520"/>
      <c r="CZ178" s="520"/>
      <c r="DA178" s="520"/>
      <c r="DB178" s="520"/>
      <c r="DC178" s="520"/>
      <c r="DD178" s="520"/>
      <c r="DE178" s="520"/>
      <c r="DF178" s="520"/>
      <c r="DG178" s="520"/>
      <c r="DH178" s="520"/>
      <c r="DI178" s="520"/>
      <c r="DJ178" s="520"/>
      <c r="DK178" s="520"/>
      <c r="DL178" s="520"/>
      <c r="DM178" s="520"/>
      <c r="DN178" s="520"/>
      <c r="DO178" s="520"/>
      <c r="DP178" s="520"/>
      <c r="DQ178" s="520"/>
      <c r="DR178" s="520"/>
      <c r="DS178" s="520"/>
      <c r="DT178" s="520"/>
      <c r="DU178" s="520"/>
      <c r="DV178" s="520"/>
      <c r="DW178" s="520"/>
      <c r="DX178" s="520"/>
      <c r="DY178" s="520"/>
      <c r="DZ178" s="520"/>
      <c r="EA178" s="520"/>
      <c r="EB178" s="520"/>
      <c r="EC178" s="520"/>
      <c r="ED178" s="520"/>
      <c r="EE178" s="520"/>
      <c r="EF178" s="520"/>
      <c r="EG178" s="520"/>
      <c r="EH178" s="520"/>
      <c r="EI178" s="520"/>
      <c r="EJ178" s="520"/>
      <c r="EK178" s="520"/>
      <c r="EL178" s="520"/>
      <c r="EM178" s="520"/>
      <c r="EN178" s="520"/>
      <c r="EO178" s="520"/>
      <c r="EP178" s="520"/>
      <c r="EQ178" s="520"/>
      <c r="ER178" s="520"/>
      <c r="ES178" s="520"/>
      <c r="ET178" s="520"/>
      <c r="EU178" s="520"/>
      <c r="EV178" s="520"/>
      <c r="EW178" s="520"/>
    </row>
    <row r="179" spans="1:155" s="521" customFormat="1" ht="16">
      <c r="A179" s="572"/>
      <c r="B179" s="549"/>
      <c r="C179" s="520"/>
      <c r="D179" s="520"/>
      <c r="E179" s="520"/>
      <c r="F179" s="520"/>
      <c r="G179" s="520"/>
      <c r="H179" s="520"/>
      <c r="I179" s="520"/>
      <c r="J179" s="520"/>
      <c r="K179" s="520"/>
      <c r="L179" s="520"/>
      <c r="M179" s="520"/>
      <c r="N179" s="520"/>
      <c r="O179" s="520"/>
      <c r="P179" s="520"/>
      <c r="Q179" s="520"/>
      <c r="R179" s="520"/>
      <c r="S179" s="520"/>
      <c r="T179" s="520"/>
      <c r="U179" s="520"/>
      <c r="V179" s="520"/>
      <c r="W179" s="520"/>
      <c r="X179" s="520"/>
      <c r="Y179" s="520"/>
      <c r="Z179" s="520"/>
      <c r="AA179" s="520"/>
      <c r="AB179" s="520"/>
      <c r="AC179" s="520"/>
      <c r="AD179" s="520"/>
      <c r="AE179" s="520"/>
      <c r="AF179" s="520"/>
      <c r="AG179" s="520"/>
      <c r="AH179" s="520"/>
      <c r="AI179" s="520"/>
      <c r="AJ179" s="520"/>
      <c r="AK179" s="520"/>
      <c r="AL179" s="520"/>
      <c r="AM179" s="520"/>
      <c r="AN179" s="520"/>
      <c r="AO179" s="520"/>
      <c r="AP179" s="520"/>
      <c r="AQ179" s="520"/>
      <c r="AR179" s="520"/>
      <c r="AS179" s="520"/>
      <c r="AT179" s="520"/>
      <c r="AU179" s="520"/>
      <c r="AV179" s="520"/>
      <c r="AW179" s="520"/>
      <c r="AX179" s="520"/>
      <c r="AY179" s="520"/>
      <c r="AZ179" s="520"/>
      <c r="BA179" s="520"/>
      <c r="BB179" s="520"/>
      <c r="BC179" s="520"/>
      <c r="BD179" s="520"/>
      <c r="BE179" s="520"/>
      <c r="BF179" s="520"/>
      <c r="BG179" s="520"/>
      <c r="BH179" s="520"/>
      <c r="BI179" s="520"/>
      <c r="BJ179" s="520"/>
      <c r="BK179" s="520"/>
      <c r="BL179" s="520"/>
      <c r="BM179" s="520"/>
      <c r="BN179" s="520"/>
      <c r="BO179" s="520"/>
      <c r="BP179" s="520"/>
      <c r="BQ179" s="520"/>
      <c r="BR179" s="520"/>
      <c r="BS179" s="520"/>
      <c r="BT179" s="520"/>
      <c r="BU179" s="520"/>
      <c r="BV179" s="520"/>
      <c r="BW179" s="520"/>
      <c r="BX179" s="520"/>
      <c r="BY179" s="520"/>
      <c r="BZ179" s="520"/>
      <c r="CA179" s="520"/>
      <c r="CB179" s="520"/>
      <c r="CC179" s="520"/>
      <c r="CD179" s="520"/>
      <c r="CE179" s="520"/>
      <c r="CF179" s="520"/>
      <c r="CG179" s="520"/>
      <c r="CH179" s="520"/>
      <c r="CI179" s="520"/>
      <c r="CJ179" s="520"/>
      <c r="CK179" s="520"/>
      <c r="CL179" s="520"/>
      <c r="CM179" s="520"/>
      <c r="CN179" s="520"/>
      <c r="CO179" s="520"/>
      <c r="CP179" s="520"/>
      <c r="CQ179" s="520"/>
      <c r="CR179" s="520"/>
      <c r="CS179" s="520"/>
      <c r="CT179" s="520"/>
      <c r="CU179" s="520"/>
      <c r="CV179" s="520"/>
      <c r="CW179" s="520"/>
      <c r="CX179" s="520"/>
      <c r="CY179" s="520"/>
      <c r="CZ179" s="520"/>
      <c r="DA179" s="520"/>
      <c r="DB179" s="520"/>
      <c r="DC179" s="520"/>
      <c r="DD179" s="520"/>
      <c r="DE179" s="520"/>
      <c r="DF179" s="520"/>
      <c r="DG179" s="520"/>
      <c r="DH179" s="520"/>
      <c r="DI179" s="520"/>
      <c r="DJ179" s="520"/>
      <c r="DK179" s="520"/>
      <c r="DL179" s="520"/>
      <c r="DM179" s="520"/>
      <c r="DN179" s="520"/>
      <c r="DO179" s="520"/>
      <c r="DP179" s="520"/>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row>
    <row r="180" spans="1:155" s="521" customFormat="1">
      <c r="A180" s="518"/>
      <c r="B180" s="519"/>
      <c r="C180" s="520"/>
      <c r="D180" s="520"/>
      <c r="E180" s="520"/>
      <c r="F180" s="520"/>
      <c r="G180" s="520"/>
      <c r="H180" s="520"/>
      <c r="I180" s="520"/>
      <c r="J180" s="520"/>
      <c r="K180" s="520"/>
      <c r="L180" s="520"/>
      <c r="M180" s="520"/>
      <c r="N180" s="520"/>
      <c r="O180" s="520"/>
      <c r="P180" s="520"/>
      <c r="Q180" s="520"/>
      <c r="R180" s="520"/>
      <c r="S180" s="520"/>
      <c r="T180" s="520"/>
      <c r="U180" s="520"/>
      <c r="V180" s="520"/>
      <c r="W180" s="520"/>
      <c r="X180" s="520"/>
      <c r="Y180" s="520"/>
      <c r="Z180" s="520"/>
      <c r="AA180" s="520"/>
      <c r="AB180" s="520"/>
      <c r="AC180" s="520"/>
      <c r="AD180" s="520"/>
      <c r="AE180" s="520"/>
      <c r="AF180" s="520"/>
      <c r="AG180" s="520"/>
      <c r="AH180" s="520"/>
      <c r="AI180" s="520"/>
      <c r="AJ180" s="520"/>
      <c r="AK180" s="520"/>
      <c r="AL180" s="520"/>
      <c r="AM180" s="520"/>
      <c r="AN180" s="520"/>
      <c r="AO180" s="520"/>
      <c r="AP180" s="520"/>
      <c r="AQ180" s="520"/>
      <c r="AR180" s="520"/>
      <c r="AS180" s="520"/>
      <c r="AT180" s="520"/>
      <c r="AU180" s="520"/>
      <c r="AV180" s="520"/>
      <c r="AW180" s="520"/>
      <c r="AX180" s="520"/>
      <c r="AY180" s="520"/>
      <c r="AZ180" s="520"/>
      <c r="BA180" s="520"/>
      <c r="BB180" s="520"/>
      <c r="BC180" s="520"/>
      <c r="BD180" s="520"/>
      <c r="BE180" s="520"/>
      <c r="BF180" s="520"/>
      <c r="BG180" s="520"/>
      <c r="BH180" s="520"/>
      <c r="BI180" s="520"/>
      <c r="BJ180" s="520"/>
      <c r="BK180" s="520"/>
      <c r="BL180" s="520"/>
      <c r="BM180" s="520"/>
      <c r="BN180" s="520"/>
      <c r="BO180" s="520"/>
      <c r="BP180" s="520"/>
      <c r="BQ180" s="520"/>
      <c r="BR180" s="520"/>
      <c r="BS180" s="520"/>
      <c r="BT180" s="520"/>
      <c r="BU180" s="520"/>
      <c r="BV180" s="520"/>
      <c r="BW180" s="520"/>
      <c r="BX180" s="520"/>
      <c r="BY180" s="520"/>
      <c r="BZ180" s="520"/>
      <c r="CA180" s="520"/>
      <c r="CB180" s="520"/>
      <c r="CC180" s="520"/>
      <c r="CD180" s="520"/>
      <c r="CE180" s="520"/>
      <c r="CF180" s="520"/>
      <c r="CG180" s="520"/>
      <c r="CH180" s="520"/>
      <c r="CI180" s="520"/>
      <c r="CJ180" s="520"/>
      <c r="CK180" s="520"/>
      <c r="CL180" s="520"/>
      <c r="CM180" s="520"/>
      <c r="CN180" s="520"/>
      <c r="CO180" s="520"/>
      <c r="CP180" s="520"/>
      <c r="CQ180" s="520"/>
      <c r="CR180" s="520"/>
      <c r="CS180" s="520"/>
      <c r="CT180" s="520"/>
      <c r="CU180" s="520"/>
      <c r="CV180" s="520"/>
      <c r="CW180" s="520"/>
      <c r="CX180" s="520"/>
      <c r="CY180" s="520"/>
      <c r="CZ180" s="520"/>
      <c r="DA180" s="520"/>
      <c r="DB180" s="520"/>
      <c r="DC180" s="520"/>
      <c r="DD180" s="520"/>
      <c r="DE180" s="520"/>
      <c r="DF180" s="520"/>
      <c r="DG180" s="520"/>
      <c r="DH180" s="520"/>
      <c r="DI180" s="520"/>
      <c r="DJ180" s="520"/>
      <c r="DK180" s="520"/>
      <c r="DL180" s="520"/>
      <c r="DM180" s="520"/>
      <c r="DN180" s="520"/>
      <c r="DO180" s="520"/>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row>
    <row r="181" spans="1:155" s="521" customFormat="1">
      <c r="A181" s="518"/>
      <c r="B181" s="525"/>
      <c r="C181" s="520"/>
      <c r="D181" s="520"/>
      <c r="E181" s="520"/>
      <c r="F181" s="520"/>
      <c r="G181" s="520"/>
      <c r="H181" s="520"/>
      <c r="I181" s="520"/>
      <c r="J181" s="520"/>
      <c r="K181" s="520"/>
      <c r="L181" s="520"/>
      <c r="M181" s="520"/>
      <c r="N181" s="520"/>
      <c r="O181" s="520"/>
      <c r="P181" s="520"/>
      <c r="Q181" s="520"/>
      <c r="R181" s="520"/>
      <c r="S181" s="520"/>
      <c r="T181" s="520"/>
      <c r="U181" s="520"/>
      <c r="V181" s="520"/>
      <c r="W181" s="520"/>
      <c r="X181" s="520"/>
      <c r="Y181" s="520"/>
      <c r="Z181" s="520"/>
      <c r="AA181" s="520"/>
      <c r="AB181" s="520"/>
      <c r="AC181" s="520"/>
      <c r="AD181" s="520"/>
      <c r="AE181" s="520"/>
      <c r="AF181" s="520"/>
      <c r="AG181" s="520"/>
      <c r="AH181" s="520"/>
      <c r="AI181" s="520"/>
      <c r="AJ181" s="520"/>
      <c r="AK181" s="520"/>
      <c r="AL181" s="520"/>
      <c r="AM181" s="520"/>
      <c r="AN181" s="520"/>
      <c r="AO181" s="520"/>
      <c r="AP181" s="520"/>
      <c r="AQ181" s="520"/>
      <c r="AR181" s="520"/>
      <c r="AS181" s="520"/>
      <c r="AT181" s="520"/>
      <c r="AU181" s="520"/>
      <c r="AV181" s="520"/>
      <c r="AW181" s="520"/>
      <c r="AX181" s="520"/>
      <c r="AY181" s="520"/>
      <c r="AZ181" s="520"/>
      <c r="BA181" s="520"/>
      <c r="BB181" s="520"/>
      <c r="BC181" s="520"/>
      <c r="BD181" s="520"/>
      <c r="BE181" s="520"/>
      <c r="BF181" s="520"/>
      <c r="BG181" s="520"/>
      <c r="BH181" s="520"/>
      <c r="BI181" s="520"/>
      <c r="BJ181" s="520"/>
      <c r="BK181" s="520"/>
      <c r="BL181" s="520"/>
      <c r="BM181" s="520"/>
      <c r="BN181" s="520"/>
      <c r="BO181" s="520"/>
      <c r="BP181" s="520"/>
      <c r="BQ181" s="520"/>
      <c r="BR181" s="520"/>
      <c r="BS181" s="520"/>
      <c r="BT181" s="520"/>
      <c r="BU181" s="520"/>
      <c r="BV181" s="520"/>
      <c r="BW181" s="520"/>
      <c r="BX181" s="520"/>
      <c r="BY181" s="520"/>
      <c r="BZ181" s="520"/>
      <c r="CA181" s="520"/>
      <c r="CB181" s="520"/>
      <c r="CC181" s="520"/>
      <c r="CD181" s="520"/>
      <c r="CE181" s="520"/>
      <c r="CF181" s="520"/>
      <c r="CG181" s="520"/>
      <c r="CH181" s="520"/>
      <c r="CI181" s="520"/>
      <c r="CJ181" s="520"/>
      <c r="CK181" s="520"/>
      <c r="CL181" s="520"/>
      <c r="CM181" s="520"/>
      <c r="CN181" s="520"/>
      <c r="CO181" s="520"/>
      <c r="CP181" s="520"/>
      <c r="CQ181" s="520"/>
      <c r="CR181" s="520"/>
      <c r="CS181" s="520"/>
      <c r="CT181" s="520"/>
      <c r="CU181" s="520"/>
      <c r="CV181" s="520"/>
      <c r="CW181" s="520"/>
      <c r="CX181" s="520"/>
      <c r="CY181" s="520"/>
      <c r="CZ181" s="520"/>
      <c r="DA181" s="520"/>
      <c r="DB181" s="520"/>
      <c r="DC181" s="520"/>
      <c r="DD181" s="520"/>
      <c r="DE181" s="520"/>
      <c r="DF181" s="520"/>
      <c r="DG181" s="520"/>
      <c r="DH181" s="520"/>
      <c r="DI181" s="520"/>
      <c r="DJ181" s="520"/>
      <c r="DK181" s="520"/>
      <c r="DL181" s="520"/>
      <c r="DM181" s="520"/>
      <c r="DN181" s="520"/>
      <c r="DO181" s="520"/>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18" t="s">
        <v>790</v>
      </c>
      <c r="EY181" s="573">
        <v>1</v>
      </c>
    </row>
    <row r="182" spans="1:155" s="532" customFormat="1" ht="15">
      <c r="A182" s="574"/>
      <c r="B182" s="552"/>
      <c r="C182" s="530"/>
      <c r="D182" s="530"/>
      <c r="E182" s="530"/>
      <c r="F182" s="530"/>
      <c r="G182" s="530"/>
      <c r="H182" s="530"/>
      <c r="I182" s="530"/>
      <c r="J182" s="530"/>
      <c r="K182" s="530"/>
      <c r="L182" s="530"/>
      <c r="M182" s="530"/>
      <c r="N182" s="530"/>
      <c r="O182" s="530"/>
      <c r="P182" s="530"/>
      <c r="Q182" s="530"/>
      <c r="R182" s="530"/>
      <c r="S182" s="530"/>
      <c r="T182" s="530"/>
      <c r="U182" s="530"/>
      <c r="V182" s="530"/>
      <c r="W182" s="530"/>
      <c r="X182" s="530"/>
      <c r="Y182" s="530"/>
      <c r="Z182" s="530"/>
      <c r="AA182" s="530"/>
      <c r="AB182" s="530"/>
      <c r="AC182" s="530"/>
      <c r="AD182" s="530"/>
      <c r="AE182" s="530"/>
      <c r="AF182" s="530"/>
      <c r="AG182" s="530"/>
      <c r="AH182" s="530"/>
      <c r="AI182" s="530"/>
      <c r="AJ182" s="530"/>
      <c r="AK182" s="530"/>
      <c r="AL182" s="530"/>
      <c r="AM182" s="530"/>
      <c r="AN182" s="530"/>
      <c r="AO182" s="530"/>
      <c r="AP182" s="530"/>
      <c r="AQ182" s="530"/>
      <c r="AR182" s="530"/>
      <c r="AS182" s="530"/>
      <c r="AT182" s="530"/>
      <c r="AU182" s="530"/>
      <c r="AV182" s="530"/>
      <c r="AW182" s="530"/>
      <c r="AX182" s="530"/>
      <c r="AY182" s="530"/>
      <c r="AZ182" s="530"/>
      <c r="BA182" s="530"/>
      <c r="BB182" s="530"/>
      <c r="BC182" s="530"/>
      <c r="BD182" s="530"/>
      <c r="BE182" s="530"/>
      <c r="BF182" s="530"/>
      <c r="BG182" s="530"/>
      <c r="BH182" s="530"/>
      <c r="BI182" s="530"/>
      <c r="BJ182" s="530"/>
      <c r="BK182" s="530"/>
      <c r="BL182" s="530"/>
      <c r="BM182" s="530"/>
      <c r="BN182" s="530"/>
      <c r="BO182" s="530"/>
      <c r="BP182" s="530"/>
      <c r="BQ182" s="530"/>
      <c r="BR182" s="530"/>
      <c r="BS182" s="530"/>
      <c r="BT182" s="530"/>
      <c r="BU182" s="530"/>
      <c r="BV182" s="530"/>
      <c r="BW182" s="530"/>
      <c r="BX182" s="530"/>
      <c r="BY182" s="530"/>
      <c r="BZ182" s="530"/>
      <c r="CA182" s="530"/>
      <c r="CB182" s="530"/>
      <c r="CC182" s="530"/>
      <c r="CD182" s="530"/>
      <c r="CE182" s="530"/>
      <c r="CF182" s="530"/>
      <c r="CG182" s="530"/>
      <c r="CH182" s="530"/>
      <c r="CI182" s="530"/>
      <c r="CJ182" s="530"/>
      <c r="CK182" s="530"/>
      <c r="CL182" s="530"/>
      <c r="CM182" s="530"/>
      <c r="CN182" s="530"/>
      <c r="CO182" s="530"/>
      <c r="CP182" s="530"/>
      <c r="CQ182" s="530"/>
      <c r="CR182" s="530"/>
      <c r="CS182" s="530"/>
      <c r="CT182" s="530"/>
      <c r="CU182" s="530"/>
      <c r="CV182" s="530"/>
      <c r="CW182" s="530"/>
      <c r="CX182" s="530"/>
      <c r="CY182" s="530"/>
      <c r="CZ182" s="530"/>
      <c r="DA182" s="530"/>
      <c r="DB182" s="530"/>
      <c r="DC182" s="530"/>
      <c r="DD182" s="530"/>
      <c r="DE182" s="530"/>
      <c r="DF182" s="530"/>
      <c r="DG182" s="530"/>
      <c r="DH182" s="530"/>
      <c r="DI182" s="530"/>
      <c r="DJ182" s="530"/>
      <c r="DK182" s="530"/>
      <c r="DL182" s="530"/>
      <c r="DM182" s="530"/>
      <c r="DN182" s="530"/>
      <c r="DO182" s="530"/>
      <c r="DP182" s="530"/>
      <c r="DQ182" s="530"/>
      <c r="DR182" s="530"/>
      <c r="DS182" s="530"/>
      <c r="DT182" s="530"/>
      <c r="DU182" s="530"/>
      <c r="DV182" s="530"/>
      <c r="DW182" s="530"/>
      <c r="DX182" s="530"/>
      <c r="DY182" s="530"/>
      <c r="DZ182" s="530"/>
      <c r="EA182" s="530"/>
      <c r="EB182" s="530"/>
      <c r="EC182" s="530"/>
      <c r="ED182" s="530"/>
      <c r="EE182" s="530"/>
      <c r="EF182" s="530"/>
      <c r="EG182" s="530"/>
      <c r="EH182" s="530"/>
      <c r="EI182" s="530"/>
      <c r="EJ182" s="530"/>
      <c r="EK182" s="530"/>
      <c r="EL182" s="530"/>
      <c r="EM182" s="530"/>
      <c r="EN182" s="530"/>
      <c r="EO182" s="530"/>
      <c r="EP182" s="530"/>
      <c r="EQ182" s="530"/>
      <c r="ER182" s="530"/>
      <c r="ES182" s="530"/>
      <c r="ET182" s="530"/>
      <c r="EU182" s="530"/>
      <c r="EV182" s="530"/>
      <c r="EW182" s="530"/>
      <c r="EX182" s="518" t="s">
        <v>789</v>
      </c>
      <c r="EY182" s="575">
        <v>2</v>
      </c>
    </row>
    <row r="183" spans="1:155" s="521" customFormat="1">
      <c r="A183" s="574"/>
      <c r="B183" s="576"/>
      <c r="C183" s="520"/>
      <c r="D183" s="520"/>
      <c r="E183" s="520"/>
      <c r="F183" s="520"/>
      <c r="G183" s="520"/>
      <c r="H183" s="520"/>
      <c r="I183" s="520"/>
      <c r="J183" s="520"/>
      <c r="K183" s="520"/>
      <c r="L183" s="520"/>
      <c r="M183" s="520"/>
      <c r="N183" s="520"/>
      <c r="O183" s="520"/>
      <c r="P183" s="520"/>
      <c r="Q183" s="520"/>
      <c r="R183" s="520"/>
      <c r="S183" s="520"/>
      <c r="T183" s="520"/>
      <c r="U183" s="520"/>
      <c r="V183" s="520"/>
      <c r="W183" s="520"/>
      <c r="X183" s="520"/>
      <c r="Y183" s="520"/>
      <c r="Z183" s="520"/>
      <c r="AA183" s="520"/>
      <c r="AB183" s="520"/>
      <c r="AC183" s="520"/>
      <c r="AD183" s="520"/>
      <c r="AE183" s="520"/>
      <c r="AF183" s="520"/>
      <c r="AG183" s="520"/>
      <c r="AH183" s="520"/>
      <c r="AI183" s="520"/>
      <c r="AJ183" s="520"/>
      <c r="AK183" s="520"/>
      <c r="AL183" s="520"/>
      <c r="AM183" s="520"/>
      <c r="AN183" s="520"/>
      <c r="AO183" s="520"/>
      <c r="AP183" s="520"/>
      <c r="AQ183" s="520"/>
      <c r="AR183" s="520"/>
      <c r="AS183" s="520"/>
      <c r="AT183" s="520"/>
      <c r="AU183" s="520"/>
      <c r="AV183" s="520"/>
      <c r="AW183" s="520"/>
      <c r="AX183" s="520"/>
      <c r="AY183" s="520"/>
      <c r="AZ183" s="520"/>
      <c r="BA183" s="520"/>
      <c r="BB183" s="520"/>
      <c r="BC183" s="520"/>
      <c r="BD183" s="520"/>
      <c r="BE183" s="520"/>
      <c r="BF183" s="520"/>
      <c r="BG183" s="520"/>
      <c r="BH183" s="520"/>
      <c r="BI183" s="520"/>
      <c r="BJ183" s="520"/>
      <c r="BK183" s="520"/>
      <c r="BL183" s="520"/>
      <c r="BM183" s="520"/>
      <c r="BN183" s="520"/>
      <c r="BO183" s="520"/>
      <c r="BP183" s="520"/>
      <c r="BQ183" s="520"/>
      <c r="BR183" s="520"/>
      <c r="BS183" s="520"/>
      <c r="BT183" s="520"/>
      <c r="BU183" s="520"/>
      <c r="BV183" s="520"/>
      <c r="BW183" s="520"/>
      <c r="BX183" s="520"/>
      <c r="BY183" s="520"/>
      <c r="BZ183" s="520"/>
      <c r="CA183" s="520"/>
      <c r="CB183" s="520"/>
      <c r="CC183" s="520"/>
      <c r="CD183" s="520"/>
      <c r="CE183" s="520"/>
      <c r="CF183" s="520"/>
      <c r="CG183" s="520"/>
      <c r="CH183" s="520"/>
      <c r="CI183" s="520"/>
      <c r="CJ183" s="520"/>
      <c r="CK183" s="520"/>
      <c r="CL183" s="520"/>
      <c r="CM183" s="520"/>
      <c r="CN183" s="520"/>
      <c r="CO183" s="520"/>
      <c r="CP183" s="520"/>
      <c r="CQ183" s="520"/>
      <c r="CR183" s="520"/>
      <c r="CS183" s="520"/>
      <c r="CT183" s="520"/>
      <c r="CU183" s="520"/>
      <c r="CV183" s="520"/>
      <c r="CW183" s="520"/>
      <c r="CX183" s="520"/>
      <c r="CY183" s="520"/>
      <c r="CZ183" s="520"/>
      <c r="DA183" s="520"/>
      <c r="DB183" s="520"/>
      <c r="DC183" s="520"/>
      <c r="DD183" s="520"/>
      <c r="DE183" s="520"/>
      <c r="DF183" s="520"/>
      <c r="DG183" s="520"/>
      <c r="DH183" s="520"/>
      <c r="DI183" s="520"/>
      <c r="DJ183" s="520"/>
      <c r="DK183" s="520"/>
      <c r="DL183" s="520"/>
      <c r="DM183" s="520"/>
      <c r="DN183" s="520"/>
      <c r="DO183" s="520"/>
      <c r="DP183" s="520"/>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18" t="s">
        <v>791</v>
      </c>
      <c r="EY183" s="573">
        <v>3</v>
      </c>
    </row>
    <row r="184" spans="1:155" s="521" customFormat="1">
      <c r="A184" s="518"/>
      <c r="B184" s="519"/>
      <c r="C184" s="520"/>
      <c r="D184" s="520"/>
      <c r="E184" s="520"/>
      <c r="F184" s="520"/>
      <c r="G184" s="520"/>
      <c r="H184" s="520"/>
      <c r="I184" s="520"/>
      <c r="J184" s="520"/>
      <c r="K184" s="520"/>
      <c r="L184" s="520"/>
      <c r="M184" s="520"/>
      <c r="N184" s="520"/>
      <c r="O184" s="520"/>
      <c r="P184" s="520"/>
      <c r="Q184" s="520"/>
      <c r="R184" s="520"/>
      <c r="S184" s="520"/>
      <c r="T184" s="520"/>
      <c r="U184" s="520"/>
      <c r="V184" s="520"/>
      <c r="W184" s="520"/>
      <c r="X184" s="520"/>
      <c r="Y184" s="520"/>
      <c r="Z184" s="520"/>
      <c r="AA184" s="520"/>
      <c r="AB184" s="520"/>
      <c r="AC184" s="520"/>
      <c r="AD184" s="520"/>
      <c r="AE184" s="520"/>
      <c r="AF184" s="520"/>
      <c r="AG184" s="520"/>
      <c r="AH184" s="520"/>
      <c r="AI184" s="520"/>
      <c r="AJ184" s="520"/>
      <c r="AK184" s="520"/>
      <c r="AL184" s="520"/>
      <c r="AM184" s="520"/>
      <c r="AN184" s="520"/>
      <c r="AO184" s="520"/>
      <c r="AP184" s="520"/>
      <c r="AQ184" s="520"/>
      <c r="AR184" s="520"/>
      <c r="AS184" s="520"/>
      <c r="AT184" s="520"/>
      <c r="AU184" s="520"/>
      <c r="AV184" s="520"/>
      <c r="AW184" s="520"/>
      <c r="AX184" s="520"/>
      <c r="AY184" s="520"/>
      <c r="AZ184" s="520"/>
      <c r="BA184" s="520"/>
      <c r="BB184" s="520"/>
      <c r="BC184" s="520"/>
      <c r="BD184" s="520"/>
      <c r="BE184" s="520"/>
      <c r="BF184" s="520"/>
      <c r="BG184" s="520"/>
      <c r="BH184" s="520"/>
      <c r="BI184" s="520"/>
      <c r="BJ184" s="520"/>
      <c r="BK184" s="520"/>
      <c r="BL184" s="520"/>
      <c r="BM184" s="520"/>
      <c r="BN184" s="520"/>
      <c r="BO184" s="520"/>
      <c r="BP184" s="520"/>
      <c r="BQ184" s="520"/>
      <c r="BR184" s="520"/>
      <c r="BS184" s="520"/>
      <c r="BT184" s="520"/>
      <c r="BU184" s="520"/>
      <c r="BV184" s="520"/>
      <c r="BW184" s="520"/>
      <c r="BX184" s="520"/>
      <c r="BY184" s="520"/>
      <c r="BZ184" s="520"/>
      <c r="CA184" s="520"/>
      <c r="CB184" s="520"/>
      <c r="CC184" s="520"/>
      <c r="CD184" s="520"/>
      <c r="CE184" s="520"/>
      <c r="CF184" s="520"/>
      <c r="CG184" s="520"/>
      <c r="CH184" s="520"/>
      <c r="CI184" s="520"/>
      <c r="CJ184" s="520"/>
      <c r="CK184" s="520"/>
      <c r="CL184" s="520"/>
      <c r="CM184" s="520"/>
      <c r="CN184" s="520"/>
      <c r="CO184" s="520"/>
      <c r="CP184" s="520"/>
      <c r="CQ184" s="520"/>
      <c r="CR184" s="520"/>
      <c r="CS184" s="520"/>
      <c r="CT184" s="520"/>
      <c r="CU184" s="520"/>
      <c r="CV184" s="520"/>
      <c r="CW184" s="520"/>
      <c r="CX184" s="520"/>
      <c r="CY184" s="520"/>
      <c r="CZ184" s="520"/>
      <c r="DA184" s="520"/>
      <c r="DB184" s="520"/>
      <c r="DC184" s="520"/>
      <c r="DD184" s="520"/>
      <c r="DE184" s="520"/>
      <c r="DF184" s="520"/>
      <c r="DG184" s="520"/>
      <c r="DH184" s="520"/>
      <c r="DI184" s="520"/>
      <c r="DJ184" s="520"/>
      <c r="DK184" s="520"/>
      <c r="DL184" s="520"/>
      <c r="DM184" s="520"/>
      <c r="DN184" s="520"/>
      <c r="DO184" s="520"/>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row>
    <row r="185" spans="1:155" s="521" customFormat="1">
      <c r="A185" s="518"/>
      <c r="B185" s="519"/>
      <c r="C185" s="520"/>
      <c r="D185" s="520"/>
      <c r="E185" s="520"/>
      <c r="F185" s="520"/>
      <c r="G185" s="520"/>
      <c r="H185" s="520"/>
      <c r="I185" s="520"/>
      <c r="J185" s="520"/>
      <c r="K185" s="520"/>
      <c r="L185" s="520"/>
      <c r="M185" s="520"/>
      <c r="N185" s="520"/>
      <c r="O185" s="520"/>
      <c r="P185" s="520"/>
      <c r="Q185" s="520"/>
      <c r="R185" s="520"/>
      <c r="S185" s="520"/>
      <c r="T185" s="520"/>
      <c r="U185" s="520"/>
      <c r="V185" s="520"/>
      <c r="W185" s="520"/>
      <c r="X185" s="520"/>
      <c r="Y185" s="520"/>
      <c r="Z185" s="520"/>
      <c r="AA185" s="520"/>
      <c r="AB185" s="520"/>
      <c r="AC185" s="520"/>
      <c r="AD185" s="520"/>
      <c r="AE185" s="520"/>
      <c r="AF185" s="520"/>
      <c r="AG185" s="520"/>
      <c r="AH185" s="520"/>
      <c r="AI185" s="520"/>
      <c r="AJ185" s="520"/>
      <c r="AK185" s="520"/>
      <c r="AL185" s="520"/>
      <c r="AM185" s="520"/>
      <c r="AN185" s="520"/>
      <c r="AO185" s="520"/>
      <c r="AP185" s="520"/>
      <c r="AQ185" s="520"/>
      <c r="AR185" s="520"/>
      <c r="AS185" s="520"/>
      <c r="AT185" s="520"/>
      <c r="AU185" s="520"/>
      <c r="AV185" s="520"/>
      <c r="AW185" s="520"/>
      <c r="AX185" s="520"/>
      <c r="AY185" s="520"/>
      <c r="AZ185" s="520"/>
      <c r="BA185" s="520"/>
      <c r="BB185" s="520"/>
      <c r="BC185" s="520"/>
      <c r="BD185" s="520"/>
      <c r="BE185" s="520"/>
      <c r="BF185" s="520"/>
      <c r="BG185" s="520"/>
      <c r="BH185" s="520"/>
      <c r="BI185" s="520"/>
      <c r="BJ185" s="520"/>
      <c r="BK185" s="520"/>
      <c r="BL185" s="520"/>
      <c r="BM185" s="520"/>
      <c r="BN185" s="520"/>
      <c r="BO185" s="520"/>
      <c r="BP185" s="520"/>
      <c r="BQ185" s="520"/>
      <c r="BR185" s="520"/>
      <c r="BS185" s="520"/>
      <c r="BT185" s="520"/>
      <c r="BU185" s="520"/>
      <c r="BV185" s="520"/>
      <c r="BW185" s="520"/>
      <c r="BX185" s="520"/>
      <c r="BY185" s="520"/>
      <c r="BZ185" s="520"/>
      <c r="CA185" s="520"/>
      <c r="CB185" s="520"/>
      <c r="CC185" s="520"/>
      <c r="CD185" s="520"/>
      <c r="CE185" s="520"/>
      <c r="CF185" s="520"/>
      <c r="CG185" s="520"/>
      <c r="CH185" s="520"/>
      <c r="CI185" s="520"/>
      <c r="CJ185" s="520"/>
      <c r="CK185" s="520"/>
      <c r="CL185" s="520"/>
      <c r="CM185" s="520"/>
      <c r="CN185" s="520"/>
      <c r="CO185" s="520"/>
      <c r="CP185" s="520"/>
      <c r="CQ185" s="520"/>
      <c r="CR185" s="520"/>
      <c r="CS185" s="520"/>
      <c r="CT185" s="520"/>
      <c r="CU185" s="520"/>
      <c r="CV185" s="520"/>
      <c r="CW185" s="520"/>
      <c r="CX185" s="520"/>
      <c r="CY185" s="520"/>
      <c r="CZ185" s="520"/>
      <c r="DA185" s="520"/>
      <c r="DB185" s="520"/>
      <c r="DC185" s="520"/>
      <c r="DD185" s="520"/>
      <c r="DE185" s="520"/>
      <c r="DF185" s="520"/>
      <c r="DG185" s="520"/>
      <c r="DH185" s="520"/>
      <c r="DI185" s="520"/>
      <c r="DJ185" s="520"/>
      <c r="DK185" s="520"/>
      <c r="DL185" s="520"/>
      <c r="DM185" s="520"/>
      <c r="DN185" s="520"/>
      <c r="DO185" s="520"/>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row>
    <row r="186" spans="1:155" s="521" customFormat="1">
      <c r="A186" s="518"/>
      <c r="B186" s="525"/>
      <c r="C186" s="520"/>
      <c r="D186" s="520"/>
      <c r="E186" s="520"/>
      <c r="F186" s="520"/>
      <c r="G186" s="520"/>
      <c r="H186" s="520"/>
      <c r="I186" s="520"/>
      <c r="J186" s="520"/>
      <c r="K186" s="520"/>
      <c r="L186" s="520"/>
      <c r="M186" s="520"/>
      <c r="N186" s="520"/>
      <c r="O186" s="520"/>
      <c r="P186" s="520"/>
      <c r="Q186" s="520"/>
      <c r="R186" s="520"/>
      <c r="S186" s="520"/>
      <c r="T186" s="520"/>
      <c r="U186" s="520"/>
      <c r="V186" s="520"/>
      <c r="W186" s="520"/>
      <c r="X186" s="520"/>
      <c r="Y186" s="520"/>
      <c r="Z186" s="520"/>
      <c r="AA186" s="520"/>
      <c r="AB186" s="520"/>
      <c r="AC186" s="520"/>
      <c r="AD186" s="520"/>
      <c r="AE186" s="520"/>
      <c r="AF186" s="520"/>
      <c r="AG186" s="520"/>
      <c r="AH186" s="520"/>
      <c r="AI186" s="520"/>
      <c r="AJ186" s="520"/>
      <c r="AK186" s="520"/>
      <c r="AL186" s="520"/>
      <c r="AM186" s="520"/>
      <c r="AN186" s="520"/>
      <c r="AO186" s="520"/>
      <c r="AP186" s="520"/>
      <c r="AQ186" s="520"/>
      <c r="AR186" s="520"/>
      <c r="AS186" s="520"/>
      <c r="AT186" s="520"/>
      <c r="AU186" s="520"/>
      <c r="AV186" s="520"/>
      <c r="AW186" s="520"/>
      <c r="AX186" s="520"/>
      <c r="AY186" s="520"/>
      <c r="AZ186" s="520"/>
      <c r="BA186" s="520"/>
      <c r="BB186" s="520"/>
      <c r="BC186" s="520"/>
      <c r="BD186" s="520"/>
      <c r="BE186" s="520"/>
      <c r="BF186" s="520"/>
      <c r="BG186" s="520"/>
      <c r="BH186" s="520"/>
      <c r="BI186" s="520"/>
      <c r="BJ186" s="520"/>
      <c r="BK186" s="520"/>
      <c r="BL186" s="520"/>
      <c r="BM186" s="520"/>
      <c r="BN186" s="520"/>
      <c r="BO186" s="520"/>
      <c r="BP186" s="520"/>
      <c r="BQ186" s="520"/>
      <c r="BR186" s="520"/>
      <c r="BS186" s="520"/>
      <c r="BT186" s="520"/>
      <c r="BU186" s="520"/>
      <c r="BV186" s="520"/>
      <c r="BW186" s="520"/>
      <c r="BX186" s="520"/>
      <c r="BY186" s="520"/>
      <c r="BZ186" s="520"/>
      <c r="CA186" s="520"/>
      <c r="CB186" s="520"/>
      <c r="CC186" s="520"/>
      <c r="CD186" s="520"/>
      <c r="CE186" s="520"/>
      <c r="CF186" s="520"/>
      <c r="CG186" s="520"/>
      <c r="CH186" s="520"/>
      <c r="CI186" s="520"/>
      <c r="CJ186" s="520"/>
      <c r="CK186" s="520"/>
      <c r="CL186" s="520"/>
      <c r="CM186" s="520"/>
      <c r="CN186" s="520"/>
      <c r="CO186" s="520"/>
      <c r="CP186" s="520"/>
      <c r="CQ186" s="520"/>
      <c r="CR186" s="520"/>
      <c r="CS186" s="520"/>
      <c r="CT186" s="520"/>
      <c r="CU186" s="520"/>
      <c r="CV186" s="520"/>
      <c r="CW186" s="520"/>
      <c r="CX186" s="520"/>
      <c r="CY186" s="520"/>
      <c r="CZ186" s="520"/>
      <c r="DA186" s="520"/>
      <c r="DB186" s="520"/>
      <c r="DC186" s="520"/>
      <c r="DD186" s="520"/>
      <c r="DE186" s="520"/>
      <c r="DF186" s="520"/>
      <c r="DG186" s="520"/>
      <c r="DH186" s="520"/>
      <c r="DI186" s="520"/>
      <c r="DJ186" s="520"/>
      <c r="DK186" s="520"/>
      <c r="DL186" s="520"/>
      <c r="DM186" s="520"/>
      <c r="DN186" s="520"/>
      <c r="DO186" s="520"/>
      <c r="DP186" s="520"/>
      <c r="DQ186" s="520"/>
      <c r="DR186" s="520"/>
      <c r="DS186" s="520"/>
      <c r="DT186" s="520"/>
      <c r="DU186" s="520"/>
      <c r="DV186" s="520"/>
      <c r="DW186" s="520"/>
      <c r="DX186" s="520"/>
      <c r="DY186" s="520"/>
      <c r="DZ186" s="520"/>
      <c r="EA186" s="520"/>
      <c r="EB186" s="520"/>
      <c r="EC186" s="520"/>
      <c r="ED186" s="520"/>
      <c r="EE186" s="520"/>
      <c r="EF186" s="520"/>
      <c r="EG186" s="520"/>
      <c r="EH186" s="520"/>
      <c r="EI186" s="520"/>
      <c r="EJ186" s="520"/>
      <c r="EK186" s="520"/>
      <c r="EL186" s="520"/>
      <c r="EM186" s="520"/>
      <c r="EN186" s="520"/>
      <c r="EO186" s="520"/>
      <c r="EP186" s="520"/>
      <c r="EQ186" s="520"/>
      <c r="ER186" s="520"/>
      <c r="ES186" s="520"/>
      <c r="ET186" s="520"/>
      <c r="EU186" s="520"/>
      <c r="EV186" s="520"/>
      <c r="EW186" s="520"/>
    </row>
    <row r="187" spans="1:155" s="521" customFormat="1">
      <c r="A187" s="518"/>
      <c r="B187" s="519"/>
      <c r="C187" s="520"/>
      <c r="D187" s="520"/>
      <c r="E187" s="520"/>
      <c r="F187" s="520"/>
      <c r="G187" s="520"/>
      <c r="H187" s="520"/>
      <c r="I187" s="520"/>
      <c r="J187" s="520"/>
      <c r="K187" s="520"/>
      <c r="L187" s="520"/>
      <c r="M187" s="520"/>
      <c r="N187" s="520"/>
      <c r="O187" s="520"/>
      <c r="P187" s="520"/>
      <c r="Q187" s="520"/>
      <c r="R187" s="520"/>
      <c r="S187" s="520"/>
      <c r="T187" s="520"/>
      <c r="U187" s="520"/>
      <c r="V187" s="520"/>
      <c r="W187" s="520"/>
      <c r="X187" s="520"/>
      <c r="Y187" s="520"/>
      <c r="Z187" s="520"/>
      <c r="AA187" s="520"/>
      <c r="AB187" s="520"/>
      <c r="AC187" s="520"/>
      <c r="AD187" s="520"/>
      <c r="AE187" s="520"/>
      <c r="AF187" s="520"/>
      <c r="AG187" s="520"/>
      <c r="AH187" s="520"/>
      <c r="AI187" s="520"/>
      <c r="AJ187" s="520"/>
      <c r="AK187" s="520"/>
      <c r="AL187" s="520"/>
      <c r="AM187" s="520"/>
      <c r="AN187" s="520"/>
      <c r="AO187" s="520"/>
      <c r="AP187" s="520"/>
      <c r="AQ187" s="520"/>
      <c r="AR187" s="520"/>
      <c r="AS187" s="520"/>
      <c r="AT187" s="520"/>
      <c r="AU187" s="520"/>
      <c r="AV187" s="520"/>
      <c r="AW187" s="520"/>
      <c r="AX187" s="520"/>
      <c r="AY187" s="520"/>
      <c r="AZ187" s="520"/>
      <c r="BA187" s="520"/>
      <c r="BB187" s="520"/>
      <c r="BC187" s="520"/>
      <c r="BD187" s="520"/>
      <c r="BE187" s="520"/>
      <c r="BF187" s="520"/>
      <c r="BG187" s="520"/>
      <c r="BH187" s="520"/>
      <c r="BI187" s="520"/>
      <c r="BJ187" s="520"/>
      <c r="BK187" s="520"/>
      <c r="BL187" s="520"/>
      <c r="BM187" s="520"/>
      <c r="BN187" s="520"/>
      <c r="BO187" s="520"/>
      <c r="BP187" s="520"/>
      <c r="BQ187" s="520"/>
      <c r="BR187" s="520"/>
      <c r="BS187" s="520"/>
      <c r="BT187" s="520"/>
      <c r="BU187" s="520"/>
      <c r="BV187" s="520"/>
      <c r="BW187" s="520"/>
      <c r="BX187" s="520"/>
      <c r="BY187" s="520"/>
      <c r="BZ187" s="520"/>
      <c r="CA187" s="520"/>
      <c r="CB187" s="520"/>
      <c r="CC187" s="520"/>
      <c r="CD187" s="520"/>
      <c r="CE187" s="520"/>
      <c r="CF187" s="520"/>
      <c r="CG187" s="520"/>
      <c r="CH187" s="520"/>
      <c r="CI187" s="520"/>
      <c r="CJ187" s="520"/>
      <c r="CK187" s="520"/>
      <c r="CL187" s="520"/>
      <c r="CM187" s="520"/>
      <c r="CN187" s="520"/>
      <c r="CO187" s="520"/>
      <c r="CP187" s="520"/>
      <c r="CQ187" s="520"/>
      <c r="CR187" s="520"/>
      <c r="CS187" s="520"/>
      <c r="CT187" s="520"/>
      <c r="CU187" s="520"/>
      <c r="CV187" s="520"/>
      <c r="CW187" s="520"/>
      <c r="CX187" s="520"/>
      <c r="CY187" s="520"/>
      <c r="CZ187" s="520"/>
      <c r="DA187" s="520"/>
      <c r="DB187" s="520"/>
      <c r="DC187" s="520"/>
      <c r="DD187" s="520"/>
      <c r="DE187" s="520"/>
      <c r="DF187" s="520"/>
      <c r="DG187" s="520"/>
      <c r="DH187" s="520"/>
      <c r="DI187" s="520"/>
      <c r="DJ187" s="520"/>
      <c r="DK187" s="520"/>
      <c r="DL187" s="520"/>
      <c r="DM187" s="520"/>
      <c r="DN187" s="520"/>
      <c r="DO187" s="520"/>
      <c r="DP187" s="520"/>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row>
    <row r="188" spans="1:155" s="521" customFormat="1">
      <c r="A188" s="518"/>
      <c r="B188" s="525"/>
      <c r="C188" s="520"/>
      <c r="D188" s="520"/>
      <c r="E188" s="520"/>
      <c r="F188" s="520"/>
      <c r="G188" s="520"/>
      <c r="H188" s="520"/>
      <c r="I188" s="520"/>
      <c r="J188" s="520"/>
      <c r="K188" s="520"/>
      <c r="L188" s="520"/>
      <c r="M188" s="520"/>
      <c r="N188" s="520"/>
      <c r="O188" s="520"/>
      <c r="P188" s="520"/>
      <c r="Q188" s="520"/>
      <c r="R188" s="520"/>
      <c r="S188" s="520"/>
      <c r="T188" s="520"/>
      <c r="U188" s="520"/>
      <c r="V188" s="520"/>
      <c r="W188" s="520"/>
      <c r="X188" s="520"/>
      <c r="Y188" s="520"/>
      <c r="Z188" s="520"/>
      <c r="AA188" s="520"/>
      <c r="AB188" s="520"/>
      <c r="AC188" s="520"/>
      <c r="AD188" s="520"/>
      <c r="AE188" s="520"/>
      <c r="AF188" s="520"/>
      <c r="AG188" s="520"/>
      <c r="AH188" s="520"/>
      <c r="AI188" s="520"/>
      <c r="AJ188" s="520"/>
      <c r="AK188" s="520"/>
      <c r="AL188" s="520"/>
      <c r="AM188" s="520"/>
      <c r="AN188" s="520"/>
      <c r="AO188" s="520"/>
      <c r="AP188" s="520"/>
      <c r="AQ188" s="520"/>
      <c r="AR188" s="520"/>
      <c r="AS188" s="520"/>
      <c r="AT188" s="520"/>
      <c r="AU188" s="520"/>
      <c r="AV188" s="520"/>
      <c r="AW188" s="520"/>
      <c r="AX188" s="520"/>
      <c r="AY188" s="520"/>
      <c r="AZ188" s="520"/>
      <c r="BA188" s="520"/>
      <c r="BB188" s="520"/>
      <c r="BC188" s="520"/>
      <c r="BD188" s="520"/>
      <c r="BE188" s="520"/>
      <c r="BF188" s="520"/>
      <c r="BG188" s="520"/>
      <c r="BH188" s="520"/>
      <c r="BI188" s="520"/>
      <c r="BJ188" s="520"/>
      <c r="BK188" s="520"/>
      <c r="BL188" s="520"/>
      <c r="BM188" s="520"/>
      <c r="BN188" s="520"/>
      <c r="BO188" s="520"/>
      <c r="BP188" s="520"/>
      <c r="BQ188" s="520"/>
      <c r="BR188" s="520"/>
      <c r="BS188" s="520"/>
      <c r="BT188" s="520"/>
      <c r="BU188" s="520"/>
      <c r="BV188" s="520"/>
      <c r="BW188" s="520"/>
      <c r="BX188" s="520"/>
      <c r="BY188" s="520"/>
      <c r="BZ188" s="520"/>
      <c r="CA188" s="520"/>
      <c r="CB188" s="520"/>
      <c r="CC188" s="520"/>
      <c r="CD188" s="520"/>
      <c r="CE188" s="520"/>
      <c r="CF188" s="520"/>
      <c r="CG188" s="520"/>
      <c r="CH188" s="520"/>
      <c r="CI188" s="520"/>
      <c r="CJ188" s="520"/>
      <c r="CK188" s="520"/>
      <c r="CL188" s="520"/>
      <c r="CM188" s="520"/>
      <c r="CN188" s="520"/>
      <c r="CO188" s="520"/>
      <c r="CP188" s="520"/>
      <c r="CQ188" s="520"/>
      <c r="CR188" s="520"/>
      <c r="CS188" s="520"/>
      <c r="CT188" s="520"/>
      <c r="CU188" s="520"/>
      <c r="CV188" s="520"/>
      <c r="CW188" s="520"/>
      <c r="CX188" s="520"/>
      <c r="CY188" s="520"/>
      <c r="CZ188" s="520"/>
      <c r="DA188" s="520"/>
      <c r="DB188" s="520"/>
      <c r="DC188" s="520"/>
      <c r="DD188" s="520"/>
      <c r="DE188" s="520"/>
      <c r="DF188" s="520"/>
      <c r="DG188" s="520"/>
      <c r="DH188" s="520"/>
      <c r="DI188" s="520"/>
      <c r="DJ188" s="520"/>
      <c r="DK188" s="520"/>
      <c r="DL188" s="520"/>
      <c r="DM188" s="520"/>
      <c r="DN188" s="520"/>
      <c r="DO188" s="520"/>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row>
    <row r="189" spans="1:155" s="521" customFormat="1">
      <c r="A189" s="518"/>
      <c r="B189" s="519"/>
      <c r="C189" s="520"/>
      <c r="D189" s="520"/>
      <c r="E189" s="520"/>
      <c r="F189" s="520"/>
      <c r="G189" s="520"/>
      <c r="H189" s="520"/>
      <c r="I189" s="520"/>
      <c r="J189" s="520"/>
      <c r="K189" s="520"/>
      <c r="L189" s="520"/>
      <c r="M189" s="520"/>
      <c r="N189" s="520"/>
      <c r="O189" s="520"/>
      <c r="P189" s="520"/>
      <c r="Q189" s="520"/>
      <c r="R189" s="520"/>
      <c r="S189" s="520"/>
      <c r="T189" s="520"/>
      <c r="U189" s="520"/>
      <c r="V189" s="520"/>
      <c r="W189" s="520"/>
      <c r="X189" s="520"/>
      <c r="Y189" s="520"/>
      <c r="Z189" s="520"/>
      <c r="AA189" s="520"/>
      <c r="AB189" s="520"/>
      <c r="AC189" s="520"/>
      <c r="AD189" s="520"/>
      <c r="AE189" s="520"/>
      <c r="AF189" s="520"/>
      <c r="AG189" s="520"/>
      <c r="AH189" s="520"/>
      <c r="AI189" s="520"/>
      <c r="AJ189" s="520"/>
      <c r="AK189" s="520"/>
      <c r="AL189" s="520"/>
      <c r="AM189" s="520"/>
      <c r="AN189" s="520"/>
      <c r="AO189" s="520"/>
      <c r="AP189" s="520"/>
      <c r="AQ189" s="520"/>
      <c r="AR189" s="520"/>
      <c r="AS189" s="520"/>
      <c r="AT189" s="520"/>
      <c r="AU189" s="520"/>
      <c r="AV189" s="520"/>
      <c r="AW189" s="520"/>
      <c r="AX189" s="520"/>
      <c r="AY189" s="520"/>
      <c r="AZ189" s="520"/>
      <c r="BA189" s="520"/>
      <c r="BB189" s="520"/>
      <c r="BC189" s="520"/>
      <c r="BD189" s="520"/>
      <c r="BE189" s="520"/>
      <c r="BF189" s="520"/>
      <c r="BG189" s="520"/>
      <c r="BH189" s="520"/>
      <c r="BI189" s="520"/>
      <c r="BJ189" s="520"/>
      <c r="BK189" s="520"/>
      <c r="BL189" s="520"/>
      <c r="BM189" s="520"/>
      <c r="BN189" s="520"/>
      <c r="BO189" s="520"/>
      <c r="BP189" s="520"/>
      <c r="BQ189" s="520"/>
      <c r="BR189" s="520"/>
      <c r="BS189" s="520"/>
      <c r="BT189" s="520"/>
      <c r="BU189" s="520"/>
      <c r="BV189" s="520"/>
      <c r="BW189" s="520"/>
      <c r="BX189" s="520"/>
      <c r="BY189" s="520"/>
      <c r="BZ189" s="520"/>
      <c r="CA189" s="520"/>
      <c r="CB189" s="520"/>
      <c r="CC189" s="520"/>
      <c r="CD189" s="520"/>
      <c r="CE189" s="520"/>
      <c r="CF189" s="520"/>
      <c r="CG189" s="520"/>
      <c r="CH189" s="520"/>
      <c r="CI189" s="520"/>
      <c r="CJ189" s="520"/>
      <c r="CK189" s="520"/>
      <c r="CL189" s="520"/>
      <c r="CM189" s="520"/>
      <c r="CN189" s="520"/>
      <c r="CO189" s="520"/>
      <c r="CP189" s="520"/>
      <c r="CQ189" s="520"/>
      <c r="CR189" s="520"/>
      <c r="CS189" s="520"/>
      <c r="CT189" s="520"/>
      <c r="CU189" s="520"/>
      <c r="CV189" s="520"/>
      <c r="CW189" s="520"/>
      <c r="CX189" s="520"/>
      <c r="CY189" s="520"/>
      <c r="CZ189" s="520"/>
      <c r="DA189" s="520"/>
      <c r="DB189" s="520"/>
      <c r="DC189" s="520"/>
      <c r="DD189" s="520"/>
      <c r="DE189" s="520"/>
      <c r="DF189" s="520"/>
      <c r="DG189" s="520"/>
      <c r="DH189" s="520"/>
      <c r="DI189" s="520"/>
      <c r="DJ189" s="520"/>
      <c r="DK189" s="520"/>
      <c r="DL189" s="520"/>
      <c r="DM189" s="520"/>
      <c r="DN189" s="520"/>
      <c r="DO189" s="520"/>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row>
    <row r="190" spans="1:155" s="521" customFormat="1">
      <c r="A190" s="518"/>
      <c r="B190" s="519"/>
      <c r="C190" s="520"/>
      <c r="D190" s="520"/>
      <c r="E190" s="520"/>
      <c r="F190" s="520"/>
      <c r="G190" s="520"/>
      <c r="H190" s="520"/>
      <c r="I190" s="520"/>
      <c r="J190" s="520"/>
      <c r="K190" s="520"/>
      <c r="L190" s="520"/>
      <c r="M190" s="520"/>
      <c r="N190" s="520"/>
      <c r="O190" s="520"/>
      <c r="P190" s="520"/>
      <c r="Q190" s="520"/>
      <c r="R190" s="520"/>
      <c r="S190" s="520"/>
      <c r="T190" s="520"/>
      <c r="U190" s="520"/>
      <c r="V190" s="520"/>
      <c r="W190" s="520"/>
      <c r="X190" s="520"/>
      <c r="Y190" s="520"/>
      <c r="Z190" s="520"/>
      <c r="AA190" s="520"/>
      <c r="AB190" s="520"/>
      <c r="AC190" s="520"/>
      <c r="AD190" s="520"/>
      <c r="AE190" s="520"/>
      <c r="AF190" s="520"/>
      <c r="AG190" s="520"/>
      <c r="AH190" s="520"/>
      <c r="AI190" s="520"/>
      <c r="AJ190" s="520"/>
      <c r="AK190" s="520"/>
      <c r="AL190" s="520"/>
      <c r="AM190" s="520"/>
      <c r="AN190" s="520"/>
      <c r="AO190" s="520"/>
      <c r="AP190" s="520"/>
      <c r="AQ190" s="520"/>
      <c r="AR190" s="520"/>
      <c r="AS190" s="520"/>
      <c r="AT190" s="520"/>
      <c r="AU190" s="520"/>
      <c r="AV190" s="520"/>
      <c r="AW190" s="520"/>
      <c r="AX190" s="520"/>
      <c r="AY190" s="520"/>
      <c r="AZ190" s="520"/>
      <c r="BA190" s="520"/>
      <c r="BB190" s="520"/>
      <c r="BC190" s="520"/>
      <c r="BD190" s="520"/>
      <c r="BE190" s="520"/>
      <c r="BF190" s="520"/>
      <c r="BG190" s="520"/>
      <c r="BH190" s="520"/>
      <c r="BI190" s="520"/>
      <c r="BJ190" s="520"/>
      <c r="BK190" s="520"/>
      <c r="BL190" s="520"/>
      <c r="BM190" s="520"/>
      <c r="BN190" s="520"/>
      <c r="BO190" s="520"/>
      <c r="BP190" s="520"/>
      <c r="BQ190" s="520"/>
      <c r="BR190" s="520"/>
      <c r="BS190" s="520"/>
      <c r="BT190" s="520"/>
      <c r="BU190" s="520"/>
      <c r="BV190" s="520"/>
      <c r="BW190" s="520"/>
      <c r="BX190" s="520"/>
      <c r="BY190" s="520"/>
      <c r="BZ190" s="520"/>
      <c r="CA190" s="520"/>
      <c r="CB190" s="520"/>
      <c r="CC190" s="520"/>
      <c r="CD190" s="520"/>
      <c r="CE190" s="520"/>
      <c r="CF190" s="520"/>
      <c r="CG190" s="520"/>
      <c r="CH190" s="520"/>
      <c r="CI190" s="520"/>
      <c r="CJ190" s="520"/>
      <c r="CK190" s="520"/>
      <c r="CL190" s="520"/>
      <c r="CM190" s="520"/>
      <c r="CN190" s="520"/>
      <c r="CO190" s="520"/>
      <c r="CP190" s="520"/>
      <c r="CQ190" s="520"/>
      <c r="CR190" s="520"/>
      <c r="CS190" s="520"/>
      <c r="CT190" s="520"/>
      <c r="CU190" s="520"/>
      <c r="CV190" s="520"/>
      <c r="CW190" s="520"/>
      <c r="CX190" s="520"/>
      <c r="CY190" s="520"/>
      <c r="CZ190" s="520"/>
      <c r="DA190" s="520"/>
      <c r="DB190" s="520"/>
      <c r="DC190" s="520"/>
      <c r="DD190" s="520"/>
      <c r="DE190" s="520"/>
      <c r="DF190" s="520"/>
      <c r="DG190" s="520"/>
      <c r="DH190" s="520"/>
      <c r="DI190" s="520"/>
      <c r="DJ190" s="520"/>
      <c r="DK190" s="520"/>
      <c r="DL190" s="520"/>
      <c r="DM190" s="520"/>
      <c r="DN190" s="520"/>
      <c r="DO190" s="520"/>
      <c r="DP190" s="520"/>
      <c r="DQ190" s="520"/>
      <c r="DR190" s="520"/>
      <c r="DS190" s="520"/>
      <c r="DT190" s="520"/>
      <c r="DU190" s="520"/>
      <c r="DV190" s="520"/>
      <c r="DW190" s="520"/>
      <c r="DX190" s="520"/>
      <c r="DY190" s="520"/>
      <c r="DZ190" s="520"/>
      <c r="EA190" s="520"/>
      <c r="EB190" s="520"/>
      <c r="EC190" s="520"/>
      <c r="ED190" s="520"/>
      <c r="EE190" s="520"/>
      <c r="EF190" s="520"/>
      <c r="EG190" s="520"/>
      <c r="EH190" s="520"/>
      <c r="EI190" s="520"/>
      <c r="EJ190" s="520"/>
      <c r="EK190" s="520"/>
      <c r="EL190" s="520"/>
      <c r="EM190" s="520"/>
      <c r="EN190" s="520"/>
      <c r="EO190" s="520"/>
      <c r="EP190" s="520"/>
      <c r="EQ190" s="520"/>
      <c r="ER190" s="520"/>
      <c r="ES190" s="520"/>
      <c r="ET190" s="520"/>
      <c r="EU190" s="520"/>
      <c r="EV190" s="520"/>
      <c r="EW190" s="520"/>
    </row>
    <row r="191" spans="1:155" s="521" customFormat="1">
      <c r="A191" s="518"/>
      <c r="B191" s="525"/>
      <c r="C191" s="520"/>
      <c r="D191" s="520"/>
      <c r="E191" s="520"/>
      <c r="F191" s="520"/>
      <c r="G191" s="520"/>
      <c r="H191" s="520"/>
      <c r="I191" s="520"/>
      <c r="J191" s="520"/>
      <c r="K191" s="520"/>
      <c r="L191" s="520"/>
      <c r="M191" s="520"/>
      <c r="N191" s="520"/>
      <c r="O191" s="520"/>
      <c r="P191" s="520"/>
      <c r="Q191" s="520"/>
      <c r="R191" s="520"/>
      <c r="S191" s="520"/>
      <c r="T191" s="520"/>
      <c r="U191" s="520"/>
      <c r="V191" s="520"/>
      <c r="W191" s="520"/>
      <c r="X191" s="520"/>
      <c r="Y191" s="520"/>
      <c r="Z191" s="520"/>
      <c r="AA191" s="520"/>
      <c r="AB191" s="520"/>
      <c r="AC191" s="520"/>
      <c r="AD191" s="520"/>
      <c r="AE191" s="520"/>
      <c r="AF191" s="520"/>
      <c r="AG191" s="520"/>
      <c r="AH191" s="520"/>
      <c r="AI191" s="520"/>
      <c r="AJ191" s="520"/>
      <c r="AK191" s="520"/>
      <c r="AL191" s="520"/>
      <c r="AM191" s="520"/>
      <c r="AN191" s="520"/>
      <c r="AO191" s="520"/>
      <c r="AP191" s="520"/>
      <c r="AQ191" s="520"/>
      <c r="AR191" s="520"/>
      <c r="AS191" s="520"/>
      <c r="AT191" s="520"/>
      <c r="AU191" s="520"/>
      <c r="AV191" s="520"/>
      <c r="AW191" s="520"/>
      <c r="AX191" s="520"/>
      <c r="AY191" s="520"/>
      <c r="AZ191" s="520"/>
      <c r="BA191" s="520"/>
      <c r="BB191" s="520"/>
      <c r="BC191" s="520"/>
      <c r="BD191" s="520"/>
      <c r="BE191" s="520"/>
      <c r="BF191" s="520"/>
      <c r="BG191" s="520"/>
      <c r="BH191" s="520"/>
      <c r="BI191" s="520"/>
      <c r="BJ191" s="520"/>
      <c r="BK191" s="520"/>
      <c r="BL191" s="520"/>
      <c r="BM191" s="520"/>
      <c r="BN191" s="520"/>
      <c r="BO191" s="520"/>
      <c r="BP191" s="520"/>
      <c r="BQ191" s="520"/>
      <c r="BR191" s="520"/>
      <c r="BS191" s="520"/>
      <c r="BT191" s="520"/>
      <c r="BU191" s="520"/>
      <c r="BV191" s="520"/>
      <c r="BW191" s="520"/>
      <c r="BX191" s="520"/>
      <c r="BY191" s="520"/>
      <c r="BZ191" s="520"/>
      <c r="CA191" s="520"/>
      <c r="CB191" s="520"/>
      <c r="CC191" s="520"/>
      <c r="CD191" s="520"/>
      <c r="CE191" s="520"/>
      <c r="CF191" s="520"/>
      <c r="CG191" s="520"/>
      <c r="CH191" s="520"/>
      <c r="CI191" s="520"/>
      <c r="CJ191" s="520"/>
      <c r="CK191" s="520"/>
      <c r="CL191" s="520"/>
      <c r="CM191" s="520"/>
      <c r="CN191" s="520"/>
      <c r="CO191" s="520"/>
      <c r="CP191" s="520"/>
      <c r="CQ191" s="520"/>
      <c r="CR191" s="520"/>
      <c r="CS191" s="520"/>
      <c r="CT191" s="520"/>
      <c r="CU191" s="520"/>
      <c r="CV191" s="520"/>
      <c r="CW191" s="520"/>
      <c r="CX191" s="520"/>
      <c r="CY191" s="520"/>
      <c r="CZ191" s="520"/>
      <c r="DA191" s="520"/>
      <c r="DB191" s="520"/>
      <c r="DC191" s="520"/>
      <c r="DD191" s="520"/>
      <c r="DE191" s="520"/>
      <c r="DF191" s="520"/>
      <c r="DG191" s="520"/>
      <c r="DH191" s="520"/>
      <c r="DI191" s="520"/>
      <c r="DJ191" s="520"/>
      <c r="DK191" s="520"/>
      <c r="DL191" s="520"/>
      <c r="DM191" s="520"/>
      <c r="DN191" s="520"/>
      <c r="DO191" s="520"/>
      <c r="DP191" s="520"/>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row>
    <row r="192" spans="1:155" s="521" customFormat="1">
      <c r="A192" s="518"/>
      <c r="B192" s="519"/>
      <c r="C192" s="520"/>
      <c r="D192" s="520"/>
      <c r="E192" s="520"/>
      <c r="F192" s="520"/>
      <c r="G192" s="520"/>
      <c r="H192" s="520"/>
      <c r="I192" s="520"/>
      <c r="J192" s="520"/>
      <c r="K192" s="520"/>
      <c r="L192" s="520"/>
      <c r="M192" s="520"/>
      <c r="N192" s="520"/>
      <c r="O192" s="520"/>
      <c r="P192" s="520"/>
      <c r="Q192" s="520"/>
      <c r="R192" s="520"/>
      <c r="S192" s="520"/>
      <c r="T192" s="520"/>
      <c r="U192" s="520"/>
      <c r="V192" s="520"/>
      <c r="W192" s="520"/>
      <c r="X192" s="520"/>
      <c r="Y192" s="520"/>
      <c r="Z192" s="520"/>
      <c r="AA192" s="520"/>
      <c r="AB192" s="520"/>
      <c r="AC192" s="520"/>
      <c r="AD192" s="520"/>
      <c r="AE192" s="520"/>
      <c r="AF192" s="520"/>
      <c r="AG192" s="520"/>
      <c r="AH192" s="520"/>
      <c r="AI192" s="520"/>
      <c r="AJ192" s="520"/>
      <c r="AK192" s="520"/>
      <c r="AL192" s="520"/>
      <c r="AM192" s="520"/>
      <c r="AN192" s="520"/>
      <c r="AO192" s="520"/>
      <c r="AP192" s="520"/>
      <c r="AQ192" s="520"/>
      <c r="AR192" s="520"/>
      <c r="AS192" s="520"/>
      <c r="AT192" s="520"/>
      <c r="AU192" s="520"/>
      <c r="AV192" s="520"/>
      <c r="AW192" s="520"/>
      <c r="AX192" s="520"/>
      <c r="AY192" s="520"/>
      <c r="AZ192" s="520"/>
      <c r="BA192" s="520"/>
      <c r="BB192" s="520"/>
      <c r="BC192" s="520"/>
      <c r="BD192" s="520"/>
      <c r="BE192" s="520"/>
      <c r="BF192" s="520"/>
      <c r="BG192" s="520"/>
      <c r="BH192" s="520"/>
      <c r="BI192" s="520"/>
      <c r="BJ192" s="520"/>
      <c r="BK192" s="520"/>
      <c r="BL192" s="520"/>
      <c r="BM192" s="520"/>
      <c r="BN192" s="520"/>
      <c r="BO192" s="520"/>
      <c r="BP192" s="520"/>
      <c r="BQ192" s="520"/>
      <c r="BR192" s="520"/>
      <c r="BS192" s="520"/>
      <c r="BT192" s="520"/>
      <c r="BU192" s="520"/>
      <c r="BV192" s="520"/>
      <c r="BW192" s="520"/>
      <c r="BX192" s="520"/>
      <c r="BY192" s="520"/>
      <c r="BZ192" s="520"/>
      <c r="CA192" s="520"/>
      <c r="CB192" s="520"/>
      <c r="CC192" s="520"/>
      <c r="CD192" s="520"/>
      <c r="CE192" s="520"/>
      <c r="CF192" s="520"/>
      <c r="CG192" s="520"/>
      <c r="CH192" s="520"/>
      <c r="CI192" s="520"/>
      <c r="CJ192" s="520"/>
      <c r="CK192" s="520"/>
      <c r="CL192" s="520"/>
      <c r="CM192" s="520"/>
      <c r="CN192" s="520"/>
      <c r="CO192" s="520"/>
      <c r="CP192" s="520"/>
      <c r="CQ192" s="520"/>
      <c r="CR192" s="520"/>
      <c r="CS192" s="520"/>
      <c r="CT192" s="520"/>
      <c r="CU192" s="520"/>
      <c r="CV192" s="520"/>
      <c r="CW192" s="520"/>
      <c r="CX192" s="520"/>
      <c r="CY192" s="520"/>
      <c r="CZ192" s="520"/>
      <c r="DA192" s="520"/>
      <c r="DB192" s="520"/>
      <c r="DC192" s="520"/>
      <c r="DD192" s="520"/>
      <c r="DE192" s="520"/>
      <c r="DF192" s="520"/>
      <c r="DG192" s="520"/>
      <c r="DH192" s="520"/>
      <c r="DI192" s="520"/>
      <c r="DJ192" s="520"/>
      <c r="DK192" s="520"/>
      <c r="DL192" s="520"/>
      <c r="DM192" s="520"/>
      <c r="DN192" s="520"/>
      <c r="DO192" s="520"/>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row>
    <row r="193" spans="1:153" s="521" customFormat="1">
      <c r="A193" s="518"/>
      <c r="B193" s="525"/>
      <c r="C193" s="520"/>
      <c r="D193" s="520"/>
      <c r="E193" s="520"/>
      <c r="F193" s="520"/>
      <c r="G193" s="520"/>
      <c r="H193" s="520"/>
      <c r="I193" s="520"/>
      <c r="J193" s="520"/>
      <c r="K193" s="520"/>
      <c r="L193" s="520"/>
      <c r="M193" s="520"/>
      <c r="N193" s="520"/>
      <c r="O193" s="520"/>
      <c r="P193" s="520"/>
      <c r="Q193" s="520"/>
      <c r="R193" s="520"/>
      <c r="S193" s="520"/>
      <c r="T193" s="520"/>
      <c r="U193" s="520"/>
      <c r="V193" s="520"/>
      <c r="W193" s="520"/>
      <c r="X193" s="520"/>
      <c r="Y193" s="520"/>
      <c r="Z193" s="520"/>
      <c r="AA193" s="520"/>
      <c r="AB193" s="520"/>
      <c r="AC193" s="520"/>
      <c r="AD193" s="520"/>
      <c r="AE193" s="520"/>
      <c r="AF193" s="520"/>
      <c r="AG193" s="520"/>
      <c r="AH193" s="520"/>
      <c r="AI193" s="520"/>
      <c r="AJ193" s="520"/>
      <c r="AK193" s="520"/>
      <c r="AL193" s="520"/>
      <c r="AM193" s="520"/>
      <c r="AN193" s="520"/>
      <c r="AO193" s="520"/>
      <c r="AP193" s="520"/>
      <c r="AQ193" s="520"/>
      <c r="AR193" s="520"/>
      <c r="AS193" s="520"/>
      <c r="AT193" s="520"/>
      <c r="AU193" s="520"/>
      <c r="AV193" s="520"/>
      <c r="AW193" s="520"/>
      <c r="AX193" s="520"/>
      <c r="AY193" s="520"/>
      <c r="AZ193" s="520"/>
      <c r="BA193" s="520"/>
      <c r="BB193" s="520"/>
      <c r="BC193" s="520"/>
      <c r="BD193" s="520"/>
      <c r="BE193" s="520"/>
      <c r="BF193" s="520"/>
      <c r="BG193" s="520"/>
      <c r="BH193" s="520"/>
      <c r="BI193" s="520"/>
      <c r="BJ193" s="520"/>
      <c r="BK193" s="520"/>
      <c r="BL193" s="520"/>
      <c r="BM193" s="520"/>
      <c r="BN193" s="520"/>
      <c r="BO193" s="520"/>
      <c r="BP193" s="520"/>
      <c r="BQ193" s="520"/>
      <c r="BR193" s="520"/>
      <c r="BS193" s="520"/>
      <c r="BT193" s="520"/>
      <c r="BU193" s="520"/>
      <c r="BV193" s="520"/>
      <c r="BW193" s="520"/>
      <c r="BX193" s="520"/>
      <c r="BY193" s="520"/>
      <c r="BZ193" s="520"/>
      <c r="CA193" s="520"/>
      <c r="CB193" s="520"/>
      <c r="CC193" s="520"/>
      <c r="CD193" s="520"/>
      <c r="CE193" s="520"/>
      <c r="CF193" s="520"/>
      <c r="CG193" s="520"/>
      <c r="CH193" s="520"/>
      <c r="CI193" s="520"/>
      <c r="CJ193" s="520"/>
      <c r="CK193" s="520"/>
      <c r="CL193" s="520"/>
      <c r="CM193" s="520"/>
      <c r="CN193" s="520"/>
      <c r="CO193" s="520"/>
      <c r="CP193" s="520"/>
      <c r="CQ193" s="520"/>
      <c r="CR193" s="520"/>
      <c r="CS193" s="520"/>
      <c r="CT193" s="520"/>
      <c r="CU193" s="520"/>
      <c r="CV193" s="520"/>
      <c r="CW193" s="520"/>
      <c r="CX193" s="520"/>
      <c r="CY193" s="520"/>
      <c r="CZ193" s="520"/>
      <c r="DA193" s="520"/>
      <c r="DB193" s="520"/>
      <c r="DC193" s="520"/>
      <c r="DD193" s="520"/>
      <c r="DE193" s="520"/>
      <c r="DF193" s="520"/>
      <c r="DG193" s="520"/>
      <c r="DH193" s="520"/>
      <c r="DI193" s="520"/>
      <c r="DJ193" s="520"/>
      <c r="DK193" s="520"/>
      <c r="DL193" s="520"/>
      <c r="DM193" s="520"/>
      <c r="DN193" s="520"/>
      <c r="DO193" s="520"/>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row>
    <row r="194" spans="1:153" s="521" customFormat="1">
      <c r="A194" s="518"/>
      <c r="B194" s="519"/>
      <c r="C194" s="520"/>
      <c r="D194" s="520"/>
      <c r="E194" s="520"/>
      <c r="F194" s="520"/>
      <c r="G194" s="520"/>
      <c r="H194" s="520"/>
      <c r="I194" s="520"/>
      <c r="J194" s="520"/>
      <c r="K194" s="520"/>
      <c r="L194" s="520"/>
      <c r="M194" s="520"/>
      <c r="N194" s="520"/>
      <c r="O194" s="520"/>
      <c r="P194" s="520"/>
      <c r="Q194" s="520"/>
      <c r="R194" s="520"/>
      <c r="S194" s="520"/>
      <c r="T194" s="520"/>
      <c r="U194" s="520"/>
      <c r="V194" s="520"/>
      <c r="W194" s="520"/>
      <c r="X194" s="520"/>
      <c r="Y194" s="520"/>
      <c r="Z194" s="520"/>
      <c r="AA194" s="520"/>
      <c r="AB194" s="520"/>
      <c r="AC194" s="520"/>
      <c r="AD194" s="520"/>
      <c r="AE194" s="520"/>
      <c r="AF194" s="520"/>
      <c r="AG194" s="520"/>
      <c r="AH194" s="520"/>
      <c r="AI194" s="520"/>
      <c r="AJ194" s="520"/>
      <c r="AK194" s="520"/>
      <c r="AL194" s="520"/>
      <c r="AM194" s="520"/>
      <c r="AN194" s="520"/>
      <c r="AO194" s="520"/>
      <c r="AP194" s="520"/>
      <c r="AQ194" s="520"/>
      <c r="AR194" s="520"/>
      <c r="AS194" s="520"/>
      <c r="AT194" s="520"/>
      <c r="AU194" s="520"/>
      <c r="AV194" s="520"/>
      <c r="AW194" s="520"/>
      <c r="AX194" s="520"/>
      <c r="AY194" s="520"/>
      <c r="AZ194" s="520"/>
      <c r="BA194" s="520"/>
      <c r="BB194" s="520"/>
      <c r="BC194" s="520"/>
      <c r="BD194" s="520"/>
      <c r="BE194" s="520"/>
      <c r="BF194" s="520"/>
      <c r="BG194" s="520"/>
      <c r="BH194" s="520"/>
      <c r="BI194" s="520"/>
      <c r="BJ194" s="520"/>
      <c r="BK194" s="520"/>
      <c r="BL194" s="520"/>
      <c r="BM194" s="520"/>
      <c r="BN194" s="520"/>
      <c r="BO194" s="520"/>
      <c r="BP194" s="520"/>
      <c r="BQ194" s="520"/>
      <c r="BR194" s="520"/>
      <c r="BS194" s="520"/>
      <c r="BT194" s="520"/>
      <c r="BU194" s="520"/>
      <c r="BV194" s="520"/>
      <c r="BW194" s="520"/>
      <c r="BX194" s="520"/>
      <c r="BY194" s="520"/>
      <c r="BZ194" s="520"/>
      <c r="CA194" s="520"/>
      <c r="CB194" s="520"/>
      <c r="CC194" s="520"/>
      <c r="CD194" s="520"/>
      <c r="CE194" s="520"/>
      <c r="CF194" s="520"/>
      <c r="CG194" s="520"/>
      <c r="CH194" s="520"/>
      <c r="CI194" s="520"/>
      <c r="CJ194" s="520"/>
      <c r="CK194" s="520"/>
      <c r="CL194" s="520"/>
      <c r="CM194" s="520"/>
      <c r="CN194" s="520"/>
      <c r="CO194" s="520"/>
      <c r="CP194" s="520"/>
      <c r="CQ194" s="520"/>
      <c r="CR194" s="520"/>
      <c r="CS194" s="520"/>
      <c r="CT194" s="520"/>
      <c r="CU194" s="520"/>
      <c r="CV194" s="520"/>
      <c r="CW194" s="520"/>
      <c r="CX194" s="520"/>
      <c r="CY194" s="520"/>
      <c r="CZ194" s="520"/>
      <c r="DA194" s="520"/>
      <c r="DB194" s="520"/>
      <c r="DC194" s="520"/>
      <c r="DD194" s="520"/>
      <c r="DE194" s="520"/>
      <c r="DF194" s="520"/>
      <c r="DG194" s="520"/>
      <c r="DH194" s="520"/>
      <c r="DI194" s="520"/>
      <c r="DJ194" s="520"/>
      <c r="DK194" s="520"/>
      <c r="DL194" s="520"/>
      <c r="DM194" s="520"/>
      <c r="DN194" s="520"/>
      <c r="DO194" s="520"/>
      <c r="DP194" s="520"/>
      <c r="DQ194" s="520"/>
      <c r="DR194" s="520"/>
      <c r="DS194" s="520"/>
      <c r="DT194" s="520"/>
      <c r="DU194" s="520"/>
      <c r="DV194" s="520"/>
      <c r="DW194" s="520"/>
      <c r="DX194" s="520"/>
      <c r="DY194" s="520"/>
      <c r="DZ194" s="520"/>
      <c r="EA194" s="520"/>
      <c r="EB194" s="520"/>
      <c r="EC194" s="520"/>
      <c r="ED194" s="520"/>
      <c r="EE194" s="520"/>
      <c r="EF194" s="520"/>
      <c r="EG194" s="520"/>
      <c r="EH194" s="520"/>
      <c r="EI194" s="520"/>
      <c r="EJ194" s="520"/>
      <c r="EK194" s="520"/>
      <c r="EL194" s="520"/>
      <c r="EM194" s="520"/>
      <c r="EN194" s="520"/>
      <c r="EO194" s="520"/>
      <c r="EP194" s="520"/>
      <c r="EQ194" s="520"/>
      <c r="ER194" s="520"/>
      <c r="ES194" s="520"/>
      <c r="ET194" s="520"/>
      <c r="EU194" s="520"/>
      <c r="EV194" s="520"/>
      <c r="EW194" s="520"/>
    </row>
    <row r="195" spans="1:153" s="521" customFormat="1">
      <c r="A195" s="518"/>
      <c r="B195" s="525"/>
      <c r="C195" s="520"/>
      <c r="D195" s="520"/>
      <c r="E195" s="520"/>
      <c r="F195" s="520"/>
      <c r="G195" s="520"/>
      <c r="H195" s="520"/>
      <c r="I195" s="520"/>
      <c r="J195" s="520"/>
      <c r="K195" s="520"/>
      <c r="L195" s="520"/>
      <c r="M195" s="520"/>
      <c r="N195" s="520"/>
      <c r="O195" s="520"/>
      <c r="P195" s="520"/>
      <c r="Q195" s="520"/>
      <c r="R195" s="520"/>
      <c r="S195" s="520"/>
      <c r="T195" s="520"/>
      <c r="U195" s="520"/>
      <c r="V195" s="520"/>
      <c r="W195" s="520"/>
      <c r="X195" s="520"/>
      <c r="Y195" s="520"/>
      <c r="Z195" s="520"/>
      <c r="AA195" s="520"/>
      <c r="AB195" s="520"/>
      <c r="AC195" s="520"/>
      <c r="AD195" s="520"/>
      <c r="AE195" s="520"/>
      <c r="AF195" s="520"/>
      <c r="AG195" s="520"/>
      <c r="AH195" s="520"/>
      <c r="AI195" s="520"/>
      <c r="AJ195" s="520"/>
      <c r="AK195" s="520"/>
      <c r="AL195" s="520"/>
      <c r="AM195" s="520"/>
      <c r="AN195" s="520"/>
      <c r="AO195" s="520"/>
      <c r="AP195" s="520"/>
      <c r="AQ195" s="520"/>
      <c r="AR195" s="520"/>
      <c r="AS195" s="520"/>
      <c r="AT195" s="520"/>
      <c r="AU195" s="520"/>
      <c r="AV195" s="520"/>
      <c r="AW195" s="520"/>
      <c r="AX195" s="520"/>
      <c r="AY195" s="520"/>
      <c r="AZ195" s="520"/>
      <c r="BA195" s="520"/>
      <c r="BB195" s="520"/>
      <c r="BC195" s="520"/>
      <c r="BD195" s="520"/>
      <c r="BE195" s="520"/>
      <c r="BF195" s="520"/>
      <c r="BG195" s="520"/>
      <c r="BH195" s="520"/>
      <c r="BI195" s="520"/>
      <c r="BJ195" s="520"/>
      <c r="BK195" s="520"/>
      <c r="BL195" s="520"/>
      <c r="BM195" s="520"/>
      <c r="BN195" s="520"/>
      <c r="BO195" s="520"/>
      <c r="BP195" s="520"/>
      <c r="BQ195" s="520"/>
      <c r="BR195" s="520"/>
      <c r="BS195" s="520"/>
      <c r="BT195" s="520"/>
      <c r="BU195" s="520"/>
      <c r="BV195" s="520"/>
      <c r="BW195" s="520"/>
      <c r="BX195" s="520"/>
      <c r="BY195" s="520"/>
      <c r="BZ195" s="520"/>
      <c r="CA195" s="520"/>
      <c r="CB195" s="520"/>
      <c r="CC195" s="520"/>
      <c r="CD195" s="520"/>
      <c r="CE195" s="520"/>
      <c r="CF195" s="520"/>
      <c r="CG195" s="520"/>
      <c r="CH195" s="520"/>
      <c r="CI195" s="520"/>
      <c r="CJ195" s="520"/>
      <c r="CK195" s="520"/>
      <c r="CL195" s="520"/>
      <c r="CM195" s="520"/>
      <c r="CN195" s="520"/>
      <c r="CO195" s="520"/>
      <c r="CP195" s="520"/>
      <c r="CQ195" s="520"/>
      <c r="CR195" s="520"/>
      <c r="CS195" s="520"/>
      <c r="CT195" s="520"/>
      <c r="CU195" s="520"/>
      <c r="CV195" s="520"/>
      <c r="CW195" s="520"/>
      <c r="CX195" s="520"/>
      <c r="CY195" s="520"/>
      <c r="CZ195" s="520"/>
      <c r="DA195" s="520"/>
      <c r="DB195" s="520"/>
      <c r="DC195" s="520"/>
      <c r="DD195" s="520"/>
      <c r="DE195" s="520"/>
      <c r="DF195" s="520"/>
      <c r="DG195" s="520"/>
      <c r="DH195" s="520"/>
      <c r="DI195" s="520"/>
      <c r="DJ195" s="520"/>
      <c r="DK195" s="520"/>
      <c r="DL195" s="520"/>
      <c r="DM195" s="520"/>
      <c r="DN195" s="520"/>
      <c r="DO195" s="520"/>
      <c r="DP195" s="520"/>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row>
    <row r="196" spans="1:153">
      <c r="A196" s="518"/>
    </row>
    <row r="197" spans="1:153">
      <c r="A197" s="518"/>
    </row>
    <row r="198" spans="1:153">
      <c r="A198" s="518"/>
    </row>
    <row r="199" spans="1:153">
      <c r="A199" s="518"/>
    </row>
    <row r="200" spans="1:153">
      <c r="A200" s="518"/>
    </row>
    <row r="201" spans="1:153">
      <c r="A201" s="518"/>
    </row>
    <row r="202" spans="1:153">
      <c r="A202" s="518"/>
    </row>
    <row r="203" spans="1:153">
      <c r="A203" s="518"/>
    </row>
    <row r="204" spans="1:153">
      <c r="A204" s="518"/>
    </row>
    <row r="205" spans="1:153">
      <c r="A205" s="518"/>
    </row>
    <row r="206" spans="1:153">
      <c r="A206" s="518"/>
    </row>
    <row r="207" spans="1:153">
      <c r="A207" s="518"/>
    </row>
    <row r="208" spans="1:153">
      <c r="A208" s="518"/>
    </row>
    <row r="209" spans="1:1">
      <c r="A209" s="518"/>
    </row>
    <row r="210" spans="1:1">
      <c r="A210" s="518"/>
    </row>
    <row r="211" spans="1:1">
      <c r="A211" s="518"/>
    </row>
    <row r="212" spans="1:1">
      <c r="A212" s="518"/>
    </row>
    <row r="213" spans="1:1">
      <c r="A213" s="518"/>
    </row>
    <row r="214" spans="1:1">
      <c r="A214" s="518" t="s">
        <v>790</v>
      </c>
    </row>
    <row r="215" spans="1:1">
      <c r="A215" s="518" t="s">
        <v>789</v>
      </c>
    </row>
    <row r="216" spans="1:1">
      <c r="A216" s="518" t="s">
        <v>791</v>
      </c>
    </row>
    <row r="217" spans="1:1">
      <c r="A217" s="518"/>
    </row>
    <row r="218" spans="1:1">
      <c r="A218" s="518"/>
    </row>
    <row r="219" spans="1:1">
      <c r="A219" s="518"/>
    </row>
    <row r="220" spans="1:1">
      <c r="A220" s="518"/>
    </row>
    <row r="221" spans="1:1">
      <c r="A221" s="518"/>
    </row>
    <row r="222" spans="1:1">
      <c r="A222" s="518"/>
    </row>
    <row r="223" spans="1:1">
      <c r="A223" s="518"/>
    </row>
    <row r="224" spans="1:1">
      <c r="A224" s="518"/>
    </row>
    <row r="225" spans="1:1">
      <c r="A225" s="518"/>
    </row>
    <row r="226" spans="1:1">
      <c r="A226" s="518"/>
    </row>
    <row r="227" spans="1:1">
      <c r="A227" s="518"/>
    </row>
    <row r="228" spans="1:1">
      <c r="A228" s="518"/>
    </row>
    <row r="229" spans="1:1">
      <c r="A229" s="518"/>
    </row>
    <row r="230" spans="1:1">
      <c r="A230" s="518"/>
    </row>
    <row r="231" spans="1:1">
      <c r="A231" s="518"/>
    </row>
    <row r="232" spans="1:1">
      <c r="A232" s="518"/>
    </row>
    <row r="233" spans="1:1">
      <c r="A233" s="518"/>
    </row>
    <row r="234" spans="1:1">
      <c r="A234" s="518"/>
    </row>
    <row r="235" spans="1:1">
      <c r="A235" s="518"/>
    </row>
    <row r="236" spans="1:1">
      <c r="A236" s="518"/>
    </row>
    <row r="237" spans="1:1">
      <c r="A237" s="518"/>
    </row>
    <row r="238" spans="1:1">
      <c r="A238" s="518"/>
    </row>
  </sheetData>
  <sheetProtection formatCells="0" insertRows="0"/>
  <mergeCells count="2">
    <mergeCell ref="A15:A16"/>
    <mergeCell ref="A165:A166"/>
  </mergeCells>
  <phoneticPr fontId="8" type="noConversion"/>
  <dataValidations disablePrompts="1" count="1">
    <dataValidation type="list" allowBlank="1" showInputMessage="1" showErrorMessage="1" sqref="N1" xr:uid="{1136FD29-A33B-4FA1-A3CB-B3C841A81876}">
      <formula1>$EX$181:$EX$183</formula1>
    </dataValidation>
  </dataValidations>
  <pageMargins left="0.7" right="0.7" top="0.75" bottom="0.75" header="0.3" footer="0.3"/>
  <pageSetup orientation="portrait" r:id="rId1"/>
  <ignoredErrors>
    <ignoredError sqref="A5" evalError="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17DAF-6D62-45DC-A896-FDFE57747AAA}">
  <sheetPr codeName="Sheet10"/>
  <dimension ref="A1"/>
  <sheetViews>
    <sheetView showOutlineSymbols="0" workbookViewId="0"/>
  </sheetViews>
  <sheetFormatPr baseColWidth="10" defaultColWidth="8.6640625" defaultRowHeight="14"/>
  <cols>
    <col min="1" max="16384" width="8.6640625" style="58"/>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4B390-BEBF-46B4-B930-F06B73E092EF}">
  <sheetPr codeName="Sheet14">
    <tabColor theme="3" tint="0.39997558519241921"/>
  </sheetPr>
  <dimension ref="A1:U161"/>
  <sheetViews>
    <sheetView showOutlineSymbols="0" topLeftCell="A33" workbookViewId="0">
      <selection activeCell="H52" sqref="H52"/>
    </sheetView>
  </sheetViews>
  <sheetFormatPr baseColWidth="10" defaultColWidth="8.83203125" defaultRowHeight="14"/>
  <cols>
    <col min="1" max="1" width="35.83203125" style="582" customWidth="1"/>
    <col min="2" max="2" width="13.33203125" style="582" customWidth="1"/>
    <col min="3" max="3" width="18.6640625" style="582" customWidth="1"/>
    <col min="4" max="7" width="12.6640625" style="582" customWidth="1"/>
    <col min="8" max="9" width="14.5" style="582" customWidth="1"/>
    <col min="10" max="10" width="35.5" style="582" customWidth="1"/>
    <col min="11" max="11" width="18.6640625" style="582" customWidth="1"/>
    <col min="12" max="13" width="14.5" style="582" customWidth="1"/>
    <col min="14" max="18" width="8.6640625" style="582"/>
    <col min="19" max="19" width="17.33203125" style="582" customWidth="1"/>
    <col min="20" max="20" width="23.5" style="582" customWidth="1"/>
    <col min="21" max="21" width="25" style="582" customWidth="1"/>
    <col min="22" max="257" width="8.6640625" style="582"/>
    <col min="258" max="258" width="35.83203125" style="582" customWidth="1"/>
    <col min="259" max="259" width="13.33203125" style="582" customWidth="1"/>
    <col min="260" max="260" width="18.6640625" style="582" customWidth="1"/>
    <col min="261" max="263" width="12.6640625" style="582" customWidth="1"/>
    <col min="264" max="264" width="13.33203125" style="582" customWidth="1"/>
    <col min="265" max="265" width="14.5" style="582" customWidth="1"/>
    <col min="266" max="266" width="13.33203125" style="582" customWidth="1"/>
    <col min="267" max="267" width="18.6640625" style="582" customWidth="1"/>
    <col min="268" max="268" width="14.5" style="582" customWidth="1"/>
    <col min="269" max="513" width="8.6640625" style="582"/>
    <col min="514" max="514" width="35.83203125" style="582" customWidth="1"/>
    <col min="515" max="515" width="13.33203125" style="582" customWidth="1"/>
    <col min="516" max="516" width="18.6640625" style="582" customWidth="1"/>
    <col min="517" max="519" width="12.6640625" style="582" customWidth="1"/>
    <col min="520" max="520" width="13.33203125" style="582" customWidth="1"/>
    <col min="521" max="521" width="14.5" style="582" customWidth="1"/>
    <col min="522" max="522" width="13.33203125" style="582" customWidth="1"/>
    <col min="523" max="523" width="18.6640625" style="582" customWidth="1"/>
    <col min="524" max="524" width="14.5" style="582" customWidth="1"/>
    <col min="525" max="769" width="8.6640625" style="582"/>
    <col min="770" max="770" width="35.83203125" style="582" customWidth="1"/>
    <col min="771" max="771" width="13.33203125" style="582" customWidth="1"/>
    <col min="772" max="772" width="18.6640625" style="582" customWidth="1"/>
    <col min="773" max="775" width="12.6640625" style="582" customWidth="1"/>
    <col min="776" max="776" width="13.33203125" style="582" customWidth="1"/>
    <col min="777" max="777" width="14.5" style="582" customWidth="1"/>
    <col min="778" max="778" width="13.33203125" style="582" customWidth="1"/>
    <col min="779" max="779" width="18.6640625" style="582" customWidth="1"/>
    <col min="780" max="780" width="14.5" style="582" customWidth="1"/>
    <col min="781" max="1025" width="8.6640625" style="582"/>
    <col min="1026" max="1026" width="35.83203125" style="582" customWidth="1"/>
    <col min="1027" max="1027" width="13.33203125" style="582" customWidth="1"/>
    <col min="1028" max="1028" width="18.6640625" style="582" customWidth="1"/>
    <col min="1029" max="1031" width="12.6640625" style="582" customWidth="1"/>
    <col min="1032" max="1032" width="13.33203125" style="582" customWidth="1"/>
    <col min="1033" max="1033" width="14.5" style="582" customWidth="1"/>
    <col min="1034" max="1034" width="13.33203125" style="582" customWidth="1"/>
    <col min="1035" max="1035" width="18.6640625" style="582" customWidth="1"/>
    <col min="1036" max="1036" width="14.5" style="582" customWidth="1"/>
    <col min="1037" max="1281" width="8.6640625" style="582"/>
    <col min="1282" max="1282" width="35.83203125" style="582" customWidth="1"/>
    <col min="1283" max="1283" width="13.33203125" style="582" customWidth="1"/>
    <col min="1284" max="1284" width="18.6640625" style="582" customWidth="1"/>
    <col min="1285" max="1287" width="12.6640625" style="582" customWidth="1"/>
    <col min="1288" max="1288" width="13.33203125" style="582" customWidth="1"/>
    <col min="1289" max="1289" width="14.5" style="582" customWidth="1"/>
    <col min="1290" max="1290" width="13.33203125" style="582" customWidth="1"/>
    <col min="1291" max="1291" width="18.6640625" style="582" customWidth="1"/>
    <col min="1292" max="1292" width="14.5" style="582" customWidth="1"/>
    <col min="1293" max="1537" width="8.6640625" style="582"/>
    <col min="1538" max="1538" width="35.83203125" style="582" customWidth="1"/>
    <col min="1539" max="1539" width="13.33203125" style="582" customWidth="1"/>
    <col min="1540" max="1540" width="18.6640625" style="582" customWidth="1"/>
    <col min="1541" max="1543" width="12.6640625" style="582" customWidth="1"/>
    <col min="1544" max="1544" width="13.33203125" style="582" customWidth="1"/>
    <col min="1545" max="1545" width="14.5" style="582" customWidth="1"/>
    <col min="1546" max="1546" width="13.33203125" style="582" customWidth="1"/>
    <col min="1547" max="1547" width="18.6640625" style="582" customWidth="1"/>
    <col min="1548" max="1548" width="14.5" style="582" customWidth="1"/>
    <col min="1549" max="1793" width="8.6640625" style="582"/>
    <col min="1794" max="1794" width="35.83203125" style="582" customWidth="1"/>
    <col min="1795" max="1795" width="13.33203125" style="582" customWidth="1"/>
    <col min="1796" max="1796" width="18.6640625" style="582" customWidth="1"/>
    <col min="1797" max="1799" width="12.6640625" style="582" customWidth="1"/>
    <col min="1800" max="1800" width="13.33203125" style="582" customWidth="1"/>
    <col min="1801" max="1801" width="14.5" style="582" customWidth="1"/>
    <col min="1802" max="1802" width="13.33203125" style="582" customWidth="1"/>
    <col min="1803" max="1803" width="18.6640625" style="582" customWidth="1"/>
    <col min="1804" max="1804" width="14.5" style="582" customWidth="1"/>
    <col min="1805" max="2049" width="8.6640625" style="582"/>
    <col min="2050" max="2050" width="35.83203125" style="582" customWidth="1"/>
    <col min="2051" max="2051" width="13.33203125" style="582" customWidth="1"/>
    <col min="2052" max="2052" width="18.6640625" style="582" customWidth="1"/>
    <col min="2053" max="2055" width="12.6640625" style="582" customWidth="1"/>
    <col min="2056" max="2056" width="13.33203125" style="582" customWidth="1"/>
    <col min="2057" max="2057" width="14.5" style="582" customWidth="1"/>
    <col min="2058" max="2058" width="13.33203125" style="582" customWidth="1"/>
    <col min="2059" max="2059" width="18.6640625" style="582" customWidth="1"/>
    <col min="2060" max="2060" width="14.5" style="582" customWidth="1"/>
    <col min="2061" max="2305" width="8.6640625" style="582"/>
    <col min="2306" max="2306" width="35.83203125" style="582" customWidth="1"/>
    <col min="2307" max="2307" width="13.33203125" style="582" customWidth="1"/>
    <col min="2308" max="2308" width="18.6640625" style="582" customWidth="1"/>
    <col min="2309" max="2311" width="12.6640625" style="582" customWidth="1"/>
    <col min="2312" max="2312" width="13.33203125" style="582" customWidth="1"/>
    <col min="2313" max="2313" width="14.5" style="582" customWidth="1"/>
    <col min="2314" max="2314" width="13.33203125" style="582" customWidth="1"/>
    <col min="2315" max="2315" width="18.6640625" style="582" customWidth="1"/>
    <col min="2316" max="2316" width="14.5" style="582" customWidth="1"/>
    <col min="2317" max="2561" width="8.6640625" style="582"/>
    <col min="2562" max="2562" width="35.83203125" style="582" customWidth="1"/>
    <col min="2563" max="2563" width="13.33203125" style="582" customWidth="1"/>
    <col min="2564" max="2564" width="18.6640625" style="582" customWidth="1"/>
    <col min="2565" max="2567" width="12.6640625" style="582" customWidth="1"/>
    <col min="2568" max="2568" width="13.33203125" style="582" customWidth="1"/>
    <col min="2569" max="2569" width="14.5" style="582" customWidth="1"/>
    <col min="2570" max="2570" width="13.33203125" style="582" customWidth="1"/>
    <col min="2571" max="2571" width="18.6640625" style="582" customWidth="1"/>
    <col min="2572" max="2572" width="14.5" style="582" customWidth="1"/>
    <col min="2573" max="2817" width="8.6640625" style="582"/>
    <col min="2818" max="2818" width="35.83203125" style="582" customWidth="1"/>
    <col min="2819" max="2819" width="13.33203125" style="582" customWidth="1"/>
    <col min="2820" max="2820" width="18.6640625" style="582" customWidth="1"/>
    <col min="2821" max="2823" width="12.6640625" style="582" customWidth="1"/>
    <col min="2824" max="2824" width="13.33203125" style="582" customWidth="1"/>
    <col min="2825" max="2825" width="14.5" style="582" customWidth="1"/>
    <col min="2826" max="2826" width="13.33203125" style="582" customWidth="1"/>
    <col min="2827" max="2827" width="18.6640625" style="582" customWidth="1"/>
    <col min="2828" max="2828" width="14.5" style="582" customWidth="1"/>
    <col min="2829" max="3073" width="8.6640625" style="582"/>
    <col min="3074" max="3074" width="35.83203125" style="582" customWidth="1"/>
    <col min="3075" max="3075" width="13.33203125" style="582" customWidth="1"/>
    <col min="3076" max="3076" width="18.6640625" style="582" customWidth="1"/>
    <col min="3077" max="3079" width="12.6640625" style="582" customWidth="1"/>
    <col min="3080" max="3080" width="13.33203125" style="582" customWidth="1"/>
    <col min="3081" max="3081" width="14.5" style="582" customWidth="1"/>
    <col min="3082" max="3082" width="13.33203125" style="582" customWidth="1"/>
    <col min="3083" max="3083" width="18.6640625" style="582" customWidth="1"/>
    <col min="3084" max="3084" width="14.5" style="582" customWidth="1"/>
    <col min="3085" max="3329" width="8.6640625" style="582"/>
    <col min="3330" max="3330" width="35.83203125" style="582" customWidth="1"/>
    <col min="3331" max="3331" width="13.33203125" style="582" customWidth="1"/>
    <col min="3332" max="3332" width="18.6640625" style="582" customWidth="1"/>
    <col min="3333" max="3335" width="12.6640625" style="582" customWidth="1"/>
    <col min="3336" max="3336" width="13.33203125" style="582" customWidth="1"/>
    <col min="3337" max="3337" width="14.5" style="582" customWidth="1"/>
    <col min="3338" max="3338" width="13.33203125" style="582" customWidth="1"/>
    <col min="3339" max="3339" width="18.6640625" style="582" customWidth="1"/>
    <col min="3340" max="3340" width="14.5" style="582" customWidth="1"/>
    <col min="3341" max="3585" width="8.6640625" style="582"/>
    <col min="3586" max="3586" width="35.83203125" style="582" customWidth="1"/>
    <col min="3587" max="3587" width="13.33203125" style="582" customWidth="1"/>
    <col min="3588" max="3588" width="18.6640625" style="582" customWidth="1"/>
    <col min="3589" max="3591" width="12.6640625" style="582" customWidth="1"/>
    <col min="3592" max="3592" width="13.33203125" style="582" customWidth="1"/>
    <col min="3593" max="3593" width="14.5" style="582" customWidth="1"/>
    <col min="3594" max="3594" width="13.33203125" style="582" customWidth="1"/>
    <col min="3595" max="3595" width="18.6640625" style="582" customWidth="1"/>
    <col min="3596" max="3596" width="14.5" style="582" customWidth="1"/>
    <col min="3597" max="3841" width="8.6640625" style="582"/>
    <col min="3842" max="3842" width="35.83203125" style="582" customWidth="1"/>
    <col min="3843" max="3843" width="13.33203125" style="582" customWidth="1"/>
    <col min="3844" max="3844" width="18.6640625" style="582" customWidth="1"/>
    <col min="3845" max="3847" width="12.6640625" style="582" customWidth="1"/>
    <col min="3848" max="3848" width="13.33203125" style="582" customWidth="1"/>
    <col min="3849" max="3849" width="14.5" style="582" customWidth="1"/>
    <col min="3850" max="3850" width="13.33203125" style="582" customWidth="1"/>
    <col min="3851" max="3851" width="18.6640625" style="582" customWidth="1"/>
    <col min="3852" max="3852" width="14.5" style="582" customWidth="1"/>
    <col min="3853" max="4097" width="8.6640625" style="582"/>
    <col min="4098" max="4098" width="35.83203125" style="582" customWidth="1"/>
    <col min="4099" max="4099" width="13.33203125" style="582" customWidth="1"/>
    <col min="4100" max="4100" width="18.6640625" style="582" customWidth="1"/>
    <col min="4101" max="4103" width="12.6640625" style="582" customWidth="1"/>
    <col min="4104" max="4104" width="13.33203125" style="582" customWidth="1"/>
    <col min="4105" max="4105" width="14.5" style="582" customWidth="1"/>
    <col min="4106" max="4106" width="13.33203125" style="582" customWidth="1"/>
    <col min="4107" max="4107" width="18.6640625" style="582" customWidth="1"/>
    <col min="4108" max="4108" width="14.5" style="582" customWidth="1"/>
    <col min="4109" max="4353" width="8.6640625" style="582"/>
    <col min="4354" max="4354" width="35.83203125" style="582" customWidth="1"/>
    <col min="4355" max="4355" width="13.33203125" style="582" customWidth="1"/>
    <col min="4356" max="4356" width="18.6640625" style="582" customWidth="1"/>
    <col min="4357" max="4359" width="12.6640625" style="582" customWidth="1"/>
    <col min="4360" max="4360" width="13.33203125" style="582" customWidth="1"/>
    <col min="4361" max="4361" width="14.5" style="582" customWidth="1"/>
    <col min="4362" max="4362" width="13.33203125" style="582" customWidth="1"/>
    <col min="4363" max="4363" width="18.6640625" style="582" customWidth="1"/>
    <col min="4364" max="4364" width="14.5" style="582" customWidth="1"/>
    <col min="4365" max="4609" width="8.6640625" style="582"/>
    <col min="4610" max="4610" width="35.83203125" style="582" customWidth="1"/>
    <col min="4611" max="4611" width="13.33203125" style="582" customWidth="1"/>
    <col min="4612" max="4612" width="18.6640625" style="582" customWidth="1"/>
    <col min="4613" max="4615" width="12.6640625" style="582" customWidth="1"/>
    <col min="4616" max="4616" width="13.33203125" style="582" customWidth="1"/>
    <col min="4617" max="4617" width="14.5" style="582" customWidth="1"/>
    <col min="4618" max="4618" width="13.33203125" style="582" customWidth="1"/>
    <col min="4619" max="4619" width="18.6640625" style="582" customWidth="1"/>
    <col min="4620" max="4620" width="14.5" style="582" customWidth="1"/>
    <col min="4621" max="4865" width="8.6640625" style="582"/>
    <col min="4866" max="4866" width="35.83203125" style="582" customWidth="1"/>
    <col min="4867" max="4867" width="13.33203125" style="582" customWidth="1"/>
    <col min="4868" max="4868" width="18.6640625" style="582" customWidth="1"/>
    <col min="4869" max="4871" width="12.6640625" style="582" customWidth="1"/>
    <col min="4872" max="4872" width="13.33203125" style="582" customWidth="1"/>
    <col min="4873" max="4873" width="14.5" style="582" customWidth="1"/>
    <col min="4874" max="4874" width="13.33203125" style="582" customWidth="1"/>
    <col min="4875" max="4875" width="18.6640625" style="582" customWidth="1"/>
    <col min="4876" max="4876" width="14.5" style="582" customWidth="1"/>
    <col min="4877" max="5121" width="8.6640625" style="582"/>
    <col min="5122" max="5122" width="35.83203125" style="582" customWidth="1"/>
    <col min="5123" max="5123" width="13.33203125" style="582" customWidth="1"/>
    <col min="5124" max="5124" width="18.6640625" style="582" customWidth="1"/>
    <col min="5125" max="5127" width="12.6640625" style="582" customWidth="1"/>
    <col min="5128" max="5128" width="13.33203125" style="582" customWidth="1"/>
    <col min="5129" max="5129" width="14.5" style="582" customWidth="1"/>
    <col min="5130" max="5130" width="13.33203125" style="582" customWidth="1"/>
    <col min="5131" max="5131" width="18.6640625" style="582" customWidth="1"/>
    <col min="5132" max="5132" width="14.5" style="582" customWidth="1"/>
    <col min="5133" max="5377" width="8.6640625" style="582"/>
    <col min="5378" max="5378" width="35.83203125" style="582" customWidth="1"/>
    <col min="5379" max="5379" width="13.33203125" style="582" customWidth="1"/>
    <col min="5380" max="5380" width="18.6640625" style="582" customWidth="1"/>
    <col min="5381" max="5383" width="12.6640625" style="582" customWidth="1"/>
    <col min="5384" max="5384" width="13.33203125" style="582" customWidth="1"/>
    <col min="5385" max="5385" width="14.5" style="582" customWidth="1"/>
    <col min="5386" max="5386" width="13.33203125" style="582" customWidth="1"/>
    <col min="5387" max="5387" width="18.6640625" style="582" customWidth="1"/>
    <col min="5388" max="5388" width="14.5" style="582" customWidth="1"/>
    <col min="5389" max="5633" width="8.6640625" style="582"/>
    <col min="5634" max="5634" width="35.83203125" style="582" customWidth="1"/>
    <col min="5635" max="5635" width="13.33203125" style="582" customWidth="1"/>
    <col min="5636" max="5636" width="18.6640625" style="582" customWidth="1"/>
    <col min="5637" max="5639" width="12.6640625" style="582" customWidth="1"/>
    <col min="5640" max="5640" width="13.33203125" style="582" customWidth="1"/>
    <col min="5641" max="5641" width="14.5" style="582" customWidth="1"/>
    <col min="5642" max="5642" width="13.33203125" style="582" customWidth="1"/>
    <col min="5643" max="5643" width="18.6640625" style="582" customWidth="1"/>
    <col min="5644" max="5644" width="14.5" style="582" customWidth="1"/>
    <col min="5645" max="5889" width="8.6640625" style="582"/>
    <col min="5890" max="5890" width="35.83203125" style="582" customWidth="1"/>
    <col min="5891" max="5891" width="13.33203125" style="582" customWidth="1"/>
    <col min="5892" max="5892" width="18.6640625" style="582" customWidth="1"/>
    <col min="5893" max="5895" width="12.6640625" style="582" customWidth="1"/>
    <col min="5896" max="5896" width="13.33203125" style="582" customWidth="1"/>
    <col min="5897" max="5897" width="14.5" style="582" customWidth="1"/>
    <col min="5898" max="5898" width="13.33203125" style="582" customWidth="1"/>
    <col min="5899" max="5899" width="18.6640625" style="582" customWidth="1"/>
    <col min="5900" max="5900" width="14.5" style="582" customWidth="1"/>
    <col min="5901" max="6145" width="8.6640625" style="582"/>
    <col min="6146" max="6146" width="35.83203125" style="582" customWidth="1"/>
    <col min="6147" max="6147" width="13.33203125" style="582" customWidth="1"/>
    <col min="6148" max="6148" width="18.6640625" style="582" customWidth="1"/>
    <col min="6149" max="6151" width="12.6640625" style="582" customWidth="1"/>
    <col min="6152" max="6152" width="13.33203125" style="582" customWidth="1"/>
    <col min="6153" max="6153" width="14.5" style="582" customWidth="1"/>
    <col min="6154" max="6154" width="13.33203125" style="582" customWidth="1"/>
    <col min="6155" max="6155" width="18.6640625" style="582" customWidth="1"/>
    <col min="6156" max="6156" width="14.5" style="582" customWidth="1"/>
    <col min="6157" max="6401" width="8.6640625" style="582"/>
    <col min="6402" max="6402" width="35.83203125" style="582" customWidth="1"/>
    <col min="6403" max="6403" width="13.33203125" style="582" customWidth="1"/>
    <col min="6404" max="6404" width="18.6640625" style="582" customWidth="1"/>
    <col min="6405" max="6407" width="12.6640625" style="582" customWidth="1"/>
    <col min="6408" max="6408" width="13.33203125" style="582" customWidth="1"/>
    <col min="6409" max="6409" width="14.5" style="582" customWidth="1"/>
    <col min="6410" max="6410" width="13.33203125" style="582" customWidth="1"/>
    <col min="6411" max="6411" width="18.6640625" style="582" customWidth="1"/>
    <col min="6412" max="6412" width="14.5" style="582" customWidth="1"/>
    <col min="6413" max="6657" width="8.6640625" style="582"/>
    <col min="6658" max="6658" width="35.83203125" style="582" customWidth="1"/>
    <col min="6659" max="6659" width="13.33203125" style="582" customWidth="1"/>
    <col min="6660" max="6660" width="18.6640625" style="582" customWidth="1"/>
    <col min="6661" max="6663" width="12.6640625" style="582" customWidth="1"/>
    <col min="6664" max="6664" width="13.33203125" style="582" customWidth="1"/>
    <col min="6665" max="6665" width="14.5" style="582" customWidth="1"/>
    <col min="6666" max="6666" width="13.33203125" style="582" customWidth="1"/>
    <col min="6667" max="6667" width="18.6640625" style="582" customWidth="1"/>
    <col min="6668" max="6668" width="14.5" style="582" customWidth="1"/>
    <col min="6669" max="6913" width="8.6640625" style="582"/>
    <col min="6914" max="6914" width="35.83203125" style="582" customWidth="1"/>
    <col min="6915" max="6915" width="13.33203125" style="582" customWidth="1"/>
    <col min="6916" max="6916" width="18.6640625" style="582" customWidth="1"/>
    <col min="6917" max="6919" width="12.6640625" style="582" customWidth="1"/>
    <col min="6920" max="6920" width="13.33203125" style="582" customWidth="1"/>
    <col min="6921" max="6921" width="14.5" style="582" customWidth="1"/>
    <col min="6922" max="6922" width="13.33203125" style="582" customWidth="1"/>
    <col min="6923" max="6923" width="18.6640625" style="582" customWidth="1"/>
    <col min="6924" max="6924" width="14.5" style="582" customWidth="1"/>
    <col min="6925" max="7169" width="8.6640625" style="582"/>
    <col min="7170" max="7170" width="35.83203125" style="582" customWidth="1"/>
    <col min="7171" max="7171" width="13.33203125" style="582" customWidth="1"/>
    <col min="7172" max="7172" width="18.6640625" style="582" customWidth="1"/>
    <col min="7173" max="7175" width="12.6640625" style="582" customWidth="1"/>
    <col min="7176" max="7176" width="13.33203125" style="582" customWidth="1"/>
    <col min="7177" max="7177" width="14.5" style="582" customWidth="1"/>
    <col min="7178" max="7178" width="13.33203125" style="582" customWidth="1"/>
    <col min="7179" max="7179" width="18.6640625" style="582" customWidth="1"/>
    <col min="7180" max="7180" width="14.5" style="582" customWidth="1"/>
    <col min="7181" max="7425" width="8.6640625" style="582"/>
    <col min="7426" max="7426" width="35.83203125" style="582" customWidth="1"/>
    <col min="7427" max="7427" width="13.33203125" style="582" customWidth="1"/>
    <col min="7428" max="7428" width="18.6640625" style="582" customWidth="1"/>
    <col min="7429" max="7431" width="12.6640625" style="582" customWidth="1"/>
    <col min="7432" max="7432" width="13.33203125" style="582" customWidth="1"/>
    <col min="7433" max="7433" width="14.5" style="582" customWidth="1"/>
    <col min="7434" max="7434" width="13.33203125" style="582" customWidth="1"/>
    <col min="7435" max="7435" width="18.6640625" style="582" customWidth="1"/>
    <col min="7436" max="7436" width="14.5" style="582" customWidth="1"/>
    <col min="7437" max="7681" width="8.6640625" style="582"/>
    <col min="7682" max="7682" width="35.83203125" style="582" customWidth="1"/>
    <col min="7683" max="7683" width="13.33203125" style="582" customWidth="1"/>
    <col min="7684" max="7684" width="18.6640625" style="582" customWidth="1"/>
    <col min="7685" max="7687" width="12.6640625" style="582" customWidth="1"/>
    <col min="7688" max="7688" width="13.33203125" style="582" customWidth="1"/>
    <col min="7689" max="7689" width="14.5" style="582" customWidth="1"/>
    <col min="7690" max="7690" width="13.33203125" style="582" customWidth="1"/>
    <col min="7691" max="7691" width="18.6640625" style="582" customWidth="1"/>
    <col min="7692" max="7692" width="14.5" style="582" customWidth="1"/>
    <col min="7693" max="7937" width="8.6640625" style="582"/>
    <col min="7938" max="7938" width="35.83203125" style="582" customWidth="1"/>
    <col min="7939" max="7939" width="13.33203125" style="582" customWidth="1"/>
    <col min="7940" max="7940" width="18.6640625" style="582" customWidth="1"/>
    <col min="7941" max="7943" width="12.6640625" style="582" customWidth="1"/>
    <col min="7944" max="7944" width="13.33203125" style="582" customWidth="1"/>
    <col min="7945" max="7945" width="14.5" style="582" customWidth="1"/>
    <col min="7946" max="7946" width="13.33203125" style="582" customWidth="1"/>
    <col min="7947" max="7947" width="18.6640625" style="582" customWidth="1"/>
    <col min="7948" max="7948" width="14.5" style="582" customWidth="1"/>
    <col min="7949" max="8193" width="8.6640625" style="582"/>
    <col min="8194" max="8194" width="35.83203125" style="582" customWidth="1"/>
    <col min="8195" max="8195" width="13.33203125" style="582" customWidth="1"/>
    <col min="8196" max="8196" width="18.6640625" style="582" customWidth="1"/>
    <col min="8197" max="8199" width="12.6640625" style="582" customWidth="1"/>
    <col min="8200" max="8200" width="13.33203125" style="582" customWidth="1"/>
    <col min="8201" max="8201" width="14.5" style="582" customWidth="1"/>
    <col min="8202" max="8202" width="13.33203125" style="582" customWidth="1"/>
    <col min="8203" max="8203" width="18.6640625" style="582" customWidth="1"/>
    <col min="8204" max="8204" width="14.5" style="582" customWidth="1"/>
    <col min="8205" max="8449" width="8.6640625" style="582"/>
    <col min="8450" max="8450" width="35.83203125" style="582" customWidth="1"/>
    <col min="8451" max="8451" width="13.33203125" style="582" customWidth="1"/>
    <col min="8452" max="8452" width="18.6640625" style="582" customWidth="1"/>
    <col min="8453" max="8455" width="12.6640625" style="582" customWidth="1"/>
    <col min="8456" max="8456" width="13.33203125" style="582" customWidth="1"/>
    <col min="8457" max="8457" width="14.5" style="582" customWidth="1"/>
    <col min="8458" max="8458" width="13.33203125" style="582" customWidth="1"/>
    <col min="8459" max="8459" width="18.6640625" style="582" customWidth="1"/>
    <col min="8460" max="8460" width="14.5" style="582" customWidth="1"/>
    <col min="8461" max="8705" width="8.6640625" style="582"/>
    <col min="8706" max="8706" width="35.83203125" style="582" customWidth="1"/>
    <col min="8707" max="8707" width="13.33203125" style="582" customWidth="1"/>
    <col min="8708" max="8708" width="18.6640625" style="582" customWidth="1"/>
    <col min="8709" max="8711" width="12.6640625" style="582" customWidth="1"/>
    <col min="8712" max="8712" width="13.33203125" style="582" customWidth="1"/>
    <col min="8713" max="8713" width="14.5" style="582" customWidth="1"/>
    <col min="8714" max="8714" width="13.33203125" style="582" customWidth="1"/>
    <col min="8715" max="8715" width="18.6640625" style="582" customWidth="1"/>
    <col min="8716" max="8716" width="14.5" style="582" customWidth="1"/>
    <col min="8717" max="8961" width="8.6640625" style="582"/>
    <col min="8962" max="8962" width="35.83203125" style="582" customWidth="1"/>
    <col min="8963" max="8963" width="13.33203125" style="582" customWidth="1"/>
    <col min="8964" max="8964" width="18.6640625" style="582" customWidth="1"/>
    <col min="8965" max="8967" width="12.6640625" style="582" customWidth="1"/>
    <col min="8968" max="8968" width="13.33203125" style="582" customWidth="1"/>
    <col min="8969" max="8969" width="14.5" style="582" customWidth="1"/>
    <col min="8970" max="8970" width="13.33203125" style="582" customWidth="1"/>
    <col min="8971" max="8971" width="18.6640625" style="582" customWidth="1"/>
    <col min="8972" max="8972" width="14.5" style="582" customWidth="1"/>
    <col min="8973" max="9217" width="8.6640625" style="582"/>
    <col min="9218" max="9218" width="35.83203125" style="582" customWidth="1"/>
    <col min="9219" max="9219" width="13.33203125" style="582" customWidth="1"/>
    <col min="9220" max="9220" width="18.6640625" style="582" customWidth="1"/>
    <col min="9221" max="9223" width="12.6640625" style="582" customWidth="1"/>
    <col min="9224" max="9224" width="13.33203125" style="582" customWidth="1"/>
    <col min="9225" max="9225" width="14.5" style="582" customWidth="1"/>
    <col min="9226" max="9226" width="13.33203125" style="582" customWidth="1"/>
    <col min="9227" max="9227" width="18.6640625" style="582" customWidth="1"/>
    <col min="9228" max="9228" width="14.5" style="582" customWidth="1"/>
    <col min="9229" max="9473" width="8.6640625" style="582"/>
    <col min="9474" max="9474" width="35.83203125" style="582" customWidth="1"/>
    <col min="9475" max="9475" width="13.33203125" style="582" customWidth="1"/>
    <col min="9476" max="9476" width="18.6640625" style="582" customWidth="1"/>
    <col min="9477" max="9479" width="12.6640625" style="582" customWidth="1"/>
    <col min="9480" max="9480" width="13.33203125" style="582" customWidth="1"/>
    <col min="9481" max="9481" width="14.5" style="582" customWidth="1"/>
    <col min="9482" max="9482" width="13.33203125" style="582" customWidth="1"/>
    <col min="9483" max="9483" width="18.6640625" style="582" customWidth="1"/>
    <col min="9484" max="9484" width="14.5" style="582" customWidth="1"/>
    <col min="9485" max="9729" width="8.6640625" style="582"/>
    <col min="9730" max="9730" width="35.83203125" style="582" customWidth="1"/>
    <col min="9731" max="9731" width="13.33203125" style="582" customWidth="1"/>
    <col min="9732" max="9732" width="18.6640625" style="582" customWidth="1"/>
    <col min="9733" max="9735" width="12.6640625" style="582" customWidth="1"/>
    <col min="9736" max="9736" width="13.33203125" style="582" customWidth="1"/>
    <col min="9737" max="9737" width="14.5" style="582" customWidth="1"/>
    <col min="9738" max="9738" width="13.33203125" style="582" customWidth="1"/>
    <col min="9739" max="9739" width="18.6640625" style="582" customWidth="1"/>
    <col min="9740" max="9740" width="14.5" style="582" customWidth="1"/>
    <col min="9741" max="9985" width="8.6640625" style="582"/>
    <col min="9986" max="9986" width="35.83203125" style="582" customWidth="1"/>
    <col min="9987" max="9987" width="13.33203125" style="582" customWidth="1"/>
    <col min="9988" max="9988" width="18.6640625" style="582" customWidth="1"/>
    <col min="9989" max="9991" width="12.6640625" style="582" customWidth="1"/>
    <col min="9992" max="9992" width="13.33203125" style="582" customWidth="1"/>
    <col min="9993" max="9993" width="14.5" style="582" customWidth="1"/>
    <col min="9994" max="9994" width="13.33203125" style="582" customWidth="1"/>
    <col min="9995" max="9995" width="18.6640625" style="582" customWidth="1"/>
    <col min="9996" max="9996" width="14.5" style="582" customWidth="1"/>
    <col min="9997" max="10241" width="8.6640625" style="582"/>
    <col min="10242" max="10242" width="35.83203125" style="582" customWidth="1"/>
    <col min="10243" max="10243" width="13.33203125" style="582" customWidth="1"/>
    <col min="10244" max="10244" width="18.6640625" style="582" customWidth="1"/>
    <col min="10245" max="10247" width="12.6640625" style="582" customWidth="1"/>
    <col min="10248" max="10248" width="13.33203125" style="582" customWidth="1"/>
    <col min="10249" max="10249" width="14.5" style="582" customWidth="1"/>
    <col min="10250" max="10250" width="13.33203125" style="582" customWidth="1"/>
    <col min="10251" max="10251" width="18.6640625" style="582" customWidth="1"/>
    <col min="10252" max="10252" width="14.5" style="582" customWidth="1"/>
    <col min="10253" max="10497" width="8.6640625" style="582"/>
    <col min="10498" max="10498" width="35.83203125" style="582" customWidth="1"/>
    <col min="10499" max="10499" width="13.33203125" style="582" customWidth="1"/>
    <col min="10500" max="10500" width="18.6640625" style="582" customWidth="1"/>
    <col min="10501" max="10503" width="12.6640625" style="582" customWidth="1"/>
    <col min="10504" max="10504" width="13.33203125" style="582" customWidth="1"/>
    <col min="10505" max="10505" width="14.5" style="582" customWidth="1"/>
    <col min="10506" max="10506" width="13.33203125" style="582" customWidth="1"/>
    <col min="10507" max="10507" width="18.6640625" style="582" customWidth="1"/>
    <col min="10508" max="10508" width="14.5" style="582" customWidth="1"/>
    <col min="10509" max="10753" width="8.6640625" style="582"/>
    <col min="10754" max="10754" width="35.83203125" style="582" customWidth="1"/>
    <col min="10755" max="10755" width="13.33203125" style="582" customWidth="1"/>
    <col min="10756" max="10756" width="18.6640625" style="582" customWidth="1"/>
    <col min="10757" max="10759" width="12.6640625" style="582" customWidth="1"/>
    <col min="10760" max="10760" width="13.33203125" style="582" customWidth="1"/>
    <col min="10761" max="10761" width="14.5" style="582" customWidth="1"/>
    <col min="10762" max="10762" width="13.33203125" style="582" customWidth="1"/>
    <col min="10763" max="10763" width="18.6640625" style="582" customWidth="1"/>
    <col min="10764" max="10764" width="14.5" style="582" customWidth="1"/>
    <col min="10765" max="11009" width="8.6640625" style="582"/>
    <col min="11010" max="11010" width="35.83203125" style="582" customWidth="1"/>
    <col min="11011" max="11011" width="13.33203125" style="582" customWidth="1"/>
    <col min="11012" max="11012" width="18.6640625" style="582" customWidth="1"/>
    <col min="11013" max="11015" width="12.6640625" style="582" customWidth="1"/>
    <col min="11016" max="11016" width="13.33203125" style="582" customWidth="1"/>
    <col min="11017" max="11017" width="14.5" style="582" customWidth="1"/>
    <col min="11018" max="11018" width="13.33203125" style="582" customWidth="1"/>
    <col min="11019" max="11019" width="18.6640625" style="582" customWidth="1"/>
    <col min="11020" max="11020" width="14.5" style="582" customWidth="1"/>
    <col min="11021" max="11265" width="8.6640625" style="582"/>
    <col min="11266" max="11266" width="35.83203125" style="582" customWidth="1"/>
    <col min="11267" max="11267" width="13.33203125" style="582" customWidth="1"/>
    <col min="11268" max="11268" width="18.6640625" style="582" customWidth="1"/>
    <col min="11269" max="11271" width="12.6640625" style="582" customWidth="1"/>
    <col min="11272" max="11272" width="13.33203125" style="582" customWidth="1"/>
    <col min="11273" max="11273" width="14.5" style="582" customWidth="1"/>
    <col min="11274" max="11274" width="13.33203125" style="582" customWidth="1"/>
    <col min="11275" max="11275" width="18.6640625" style="582" customWidth="1"/>
    <col min="11276" max="11276" width="14.5" style="582" customWidth="1"/>
    <col min="11277" max="11521" width="8.6640625" style="582"/>
    <col min="11522" max="11522" width="35.83203125" style="582" customWidth="1"/>
    <col min="11523" max="11523" width="13.33203125" style="582" customWidth="1"/>
    <col min="11524" max="11524" width="18.6640625" style="582" customWidth="1"/>
    <col min="11525" max="11527" width="12.6640625" style="582" customWidth="1"/>
    <col min="11528" max="11528" width="13.33203125" style="582" customWidth="1"/>
    <col min="11529" max="11529" width="14.5" style="582" customWidth="1"/>
    <col min="11530" max="11530" width="13.33203125" style="582" customWidth="1"/>
    <col min="11531" max="11531" width="18.6640625" style="582" customWidth="1"/>
    <col min="11532" max="11532" width="14.5" style="582" customWidth="1"/>
    <col min="11533" max="11777" width="8.6640625" style="582"/>
    <col min="11778" max="11778" width="35.83203125" style="582" customWidth="1"/>
    <col min="11779" max="11779" width="13.33203125" style="582" customWidth="1"/>
    <col min="11780" max="11780" width="18.6640625" style="582" customWidth="1"/>
    <col min="11781" max="11783" width="12.6640625" style="582" customWidth="1"/>
    <col min="11784" max="11784" width="13.33203125" style="582" customWidth="1"/>
    <col min="11785" max="11785" width="14.5" style="582" customWidth="1"/>
    <col min="11786" max="11786" width="13.33203125" style="582" customWidth="1"/>
    <col min="11787" max="11787" width="18.6640625" style="582" customWidth="1"/>
    <col min="11788" max="11788" width="14.5" style="582" customWidth="1"/>
    <col min="11789" max="12033" width="8.6640625" style="582"/>
    <col min="12034" max="12034" width="35.83203125" style="582" customWidth="1"/>
    <col min="12035" max="12035" width="13.33203125" style="582" customWidth="1"/>
    <col min="12036" max="12036" width="18.6640625" style="582" customWidth="1"/>
    <col min="12037" max="12039" width="12.6640625" style="582" customWidth="1"/>
    <col min="12040" max="12040" width="13.33203125" style="582" customWidth="1"/>
    <col min="12041" max="12041" width="14.5" style="582" customWidth="1"/>
    <col min="12042" max="12042" width="13.33203125" style="582" customWidth="1"/>
    <col min="12043" max="12043" width="18.6640625" style="582" customWidth="1"/>
    <col min="12044" max="12044" width="14.5" style="582" customWidth="1"/>
    <col min="12045" max="12289" width="8.6640625" style="582"/>
    <col min="12290" max="12290" width="35.83203125" style="582" customWidth="1"/>
    <col min="12291" max="12291" width="13.33203125" style="582" customWidth="1"/>
    <col min="12292" max="12292" width="18.6640625" style="582" customWidth="1"/>
    <col min="12293" max="12295" width="12.6640625" style="582" customWidth="1"/>
    <col min="12296" max="12296" width="13.33203125" style="582" customWidth="1"/>
    <col min="12297" max="12297" width="14.5" style="582" customWidth="1"/>
    <col min="12298" max="12298" width="13.33203125" style="582" customWidth="1"/>
    <col min="12299" max="12299" width="18.6640625" style="582" customWidth="1"/>
    <col min="12300" max="12300" width="14.5" style="582" customWidth="1"/>
    <col min="12301" max="12545" width="8.6640625" style="582"/>
    <col min="12546" max="12546" width="35.83203125" style="582" customWidth="1"/>
    <col min="12547" max="12547" width="13.33203125" style="582" customWidth="1"/>
    <col min="12548" max="12548" width="18.6640625" style="582" customWidth="1"/>
    <col min="12549" max="12551" width="12.6640625" style="582" customWidth="1"/>
    <col min="12552" max="12552" width="13.33203125" style="582" customWidth="1"/>
    <col min="12553" max="12553" width="14.5" style="582" customWidth="1"/>
    <col min="12554" max="12554" width="13.33203125" style="582" customWidth="1"/>
    <col min="12555" max="12555" width="18.6640625" style="582" customWidth="1"/>
    <col min="12556" max="12556" width="14.5" style="582" customWidth="1"/>
    <col min="12557" max="12801" width="8.6640625" style="582"/>
    <col min="12802" max="12802" width="35.83203125" style="582" customWidth="1"/>
    <col min="12803" max="12803" width="13.33203125" style="582" customWidth="1"/>
    <col min="12804" max="12804" width="18.6640625" style="582" customWidth="1"/>
    <col min="12805" max="12807" width="12.6640625" style="582" customWidth="1"/>
    <col min="12808" max="12808" width="13.33203125" style="582" customWidth="1"/>
    <col min="12809" max="12809" width="14.5" style="582" customWidth="1"/>
    <col min="12810" max="12810" width="13.33203125" style="582" customWidth="1"/>
    <col min="12811" max="12811" width="18.6640625" style="582" customWidth="1"/>
    <col min="12812" max="12812" width="14.5" style="582" customWidth="1"/>
    <col min="12813" max="13057" width="8.6640625" style="582"/>
    <col min="13058" max="13058" width="35.83203125" style="582" customWidth="1"/>
    <col min="13059" max="13059" width="13.33203125" style="582" customWidth="1"/>
    <col min="13060" max="13060" width="18.6640625" style="582" customWidth="1"/>
    <col min="13061" max="13063" width="12.6640625" style="582" customWidth="1"/>
    <col min="13064" max="13064" width="13.33203125" style="582" customWidth="1"/>
    <col min="13065" max="13065" width="14.5" style="582" customWidth="1"/>
    <col min="13066" max="13066" width="13.33203125" style="582" customWidth="1"/>
    <col min="13067" max="13067" width="18.6640625" style="582" customWidth="1"/>
    <col min="13068" max="13068" width="14.5" style="582" customWidth="1"/>
    <col min="13069" max="13313" width="8.6640625" style="582"/>
    <col min="13314" max="13314" width="35.83203125" style="582" customWidth="1"/>
    <col min="13315" max="13315" width="13.33203125" style="582" customWidth="1"/>
    <col min="13316" max="13316" width="18.6640625" style="582" customWidth="1"/>
    <col min="13317" max="13319" width="12.6640625" style="582" customWidth="1"/>
    <col min="13320" max="13320" width="13.33203125" style="582" customWidth="1"/>
    <col min="13321" max="13321" width="14.5" style="582" customWidth="1"/>
    <col min="13322" max="13322" width="13.33203125" style="582" customWidth="1"/>
    <col min="13323" max="13323" width="18.6640625" style="582" customWidth="1"/>
    <col min="13324" max="13324" width="14.5" style="582" customWidth="1"/>
    <col min="13325" max="13569" width="8.6640625" style="582"/>
    <col min="13570" max="13570" width="35.83203125" style="582" customWidth="1"/>
    <col min="13571" max="13571" width="13.33203125" style="582" customWidth="1"/>
    <col min="13572" max="13572" width="18.6640625" style="582" customWidth="1"/>
    <col min="13573" max="13575" width="12.6640625" style="582" customWidth="1"/>
    <col min="13576" max="13576" width="13.33203125" style="582" customWidth="1"/>
    <col min="13577" max="13577" width="14.5" style="582" customWidth="1"/>
    <col min="13578" max="13578" width="13.33203125" style="582" customWidth="1"/>
    <col min="13579" max="13579" width="18.6640625" style="582" customWidth="1"/>
    <col min="13580" max="13580" width="14.5" style="582" customWidth="1"/>
    <col min="13581" max="13825" width="8.6640625" style="582"/>
    <col min="13826" max="13826" width="35.83203125" style="582" customWidth="1"/>
    <col min="13827" max="13827" width="13.33203125" style="582" customWidth="1"/>
    <col min="13828" max="13828" width="18.6640625" style="582" customWidth="1"/>
    <col min="13829" max="13831" width="12.6640625" style="582" customWidth="1"/>
    <col min="13832" max="13832" width="13.33203125" style="582" customWidth="1"/>
    <col min="13833" max="13833" width="14.5" style="582" customWidth="1"/>
    <col min="13834" max="13834" width="13.33203125" style="582" customWidth="1"/>
    <col min="13835" max="13835" width="18.6640625" style="582" customWidth="1"/>
    <col min="13836" max="13836" width="14.5" style="582" customWidth="1"/>
    <col min="13837" max="14081" width="8.6640625" style="582"/>
    <col min="14082" max="14082" width="35.83203125" style="582" customWidth="1"/>
    <col min="14083" max="14083" width="13.33203125" style="582" customWidth="1"/>
    <col min="14084" max="14084" width="18.6640625" style="582" customWidth="1"/>
    <col min="14085" max="14087" width="12.6640625" style="582" customWidth="1"/>
    <col min="14088" max="14088" width="13.33203125" style="582" customWidth="1"/>
    <col min="14089" max="14089" width="14.5" style="582" customWidth="1"/>
    <col min="14090" max="14090" width="13.33203125" style="582" customWidth="1"/>
    <col min="14091" max="14091" width="18.6640625" style="582" customWidth="1"/>
    <col min="14092" max="14092" width="14.5" style="582" customWidth="1"/>
    <col min="14093" max="14337" width="8.6640625" style="582"/>
    <col min="14338" max="14338" width="35.83203125" style="582" customWidth="1"/>
    <col min="14339" max="14339" width="13.33203125" style="582" customWidth="1"/>
    <col min="14340" max="14340" width="18.6640625" style="582" customWidth="1"/>
    <col min="14341" max="14343" width="12.6640625" style="582" customWidth="1"/>
    <col min="14344" max="14344" width="13.33203125" style="582" customWidth="1"/>
    <col min="14345" max="14345" width="14.5" style="582" customWidth="1"/>
    <col min="14346" max="14346" width="13.33203125" style="582" customWidth="1"/>
    <col min="14347" max="14347" width="18.6640625" style="582" customWidth="1"/>
    <col min="14348" max="14348" width="14.5" style="582" customWidth="1"/>
    <col min="14349" max="14593" width="8.6640625" style="582"/>
    <col min="14594" max="14594" width="35.83203125" style="582" customWidth="1"/>
    <col min="14595" max="14595" width="13.33203125" style="582" customWidth="1"/>
    <col min="14596" max="14596" width="18.6640625" style="582" customWidth="1"/>
    <col min="14597" max="14599" width="12.6640625" style="582" customWidth="1"/>
    <col min="14600" max="14600" width="13.33203125" style="582" customWidth="1"/>
    <col min="14601" max="14601" width="14.5" style="582" customWidth="1"/>
    <col min="14602" max="14602" width="13.33203125" style="582" customWidth="1"/>
    <col min="14603" max="14603" width="18.6640625" style="582" customWidth="1"/>
    <col min="14604" max="14604" width="14.5" style="582" customWidth="1"/>
    <col min="14605" max="14849" width="8.6640625" style="582"/>
    <col min="14850" max="14850" width="35.83203125" style="582" customWidth="1"/>
    <col min="14851" max="14851" width="13.33203125" style="582" customWidth="1"/>
    <col min="14852" max="14852" width="18.6640625" style="582" customWidth="1"/>
    <col min="14853" max="14855" width="12.6640625" style="582" customWidth="1"/>
    <col min="14856" max="14856" width="13.33203125" style="582" customWidth="1"/>
    <col min="14857" max="14857" width="14.5" style="582" customWidth="1"/>
    <col min="14858" max="14858" width="13.33203125" style="582" customWidth="1"/>
    <col min="14859" max="14859" width="18.6640625" style="582" customWidth="1"/>
    <col min="14860" max="14860" width="14.5" style="582" customWidth="1"/>
    <col min="14861" max="15105" width="8.6640625" style="582"/>
    <col min="15106" max="15106" width="35.83203125" style="582" customWidth="1"/>
    <col min="15107" max="15107" width="13.33203125" style="582" customWidth="1"/>
    <col min="15108" max="15108" width="18.6640625" style="582" customWidth="1"/>
    <col min="15109" max="15111" width="12.6640625" style="582" customWidth="1"/>
    <col min="15112" max="15112" width="13.33203125" style="582" customWidth="1"/>
    <col min="15113" max="15113" width="14.5" style="582" customWidth="1"/>
    <col min="15114" max="15114" width="13.33203125" style="582" customWidth="1"/>
    <col min="15115" max="15115" width="18.6640625" style="582" customWidth="1"/>
    <col min="15116" max="15116" width="14.5" style="582" customWidth="1"/>
    <col min="15117" max="15361" width="8.6640625" style="582"/>
    <col min="15362" max="15362" width="35.83203125" style="582" customWidth="1"/>
    <col min="15363" max="15363" width="13.33203125" style="582" customWidth="1"/>
    <col min="15364" max="15364" width="18.6640625" style="582" customWidth="1"/>
    <col min="15365" max="15367" width="12.6640625" style="582" customWidth="1"/>
    <col min="15368" max="15368" width="13.33203125" style="582" customWidth="1"/>
    <col min="15369" max="15369" width="14.5" style="582" customWidth="1"/>
    <col min="15370" max="15370" width="13.33203125" style="582" customWidth="1"/>
    <col min="15371" max="15371" width="18.6640625" style="582" customWidth="1"/>
    <col min="15372" max="15372" width="14.5" style="582" customWidth="1"/>
    <col min="15373" max="15617" width="8.6640625" style="582"/>
    <col min="15618" max="15618" width="35.83203125" style="582" customWidth="1"/>
    <col min="15619" max="15619" width="13.33203125" style="582" customWidth="1"/>
    <col min="15620" max="15620" width="18.6640625" style="582" customWidth="1"/>
    <col min="15621" max="15623" width="12.6640625" style="582" customWidth="1"/>
    <col min="15624" max="15624" width="13.33203125" style="582" customWidth="1"/>
    <col min="15625" max="15625" width="14.5" style="582" customWidth="1"/>
    <col min="15626" max="15626" width="13.33203125" style="582" customWidth="1"/>
    <col min="15627" max="15627" width="18.6640625" style="582" customWidth="1"/>
    <col min="15628" max="15628" width="14.5" style="582" customWidth="1"/>
    <col min="15629" max="15873" width="8.6640625" style="582"/>
    <col min="15874" max="15874" width="35.83203125" style="582" customWidth="1"/>
    <col min="15875" max="15875" width="13.33203125" style="582" customWidth="1"/>
    <col min="15876" max="15876" width="18.6640625" style="582" customWidth="1"/>
    <col min="15877" max="15879" width="12.6640625" style="582" customWidth="1"/>
    <col min="15880" max="15880" width="13.33203125" style="582" customWidth="1"/>
    <col min="15881" max="15881" width="14.5" style="582" customWidth="1"/>
    <col min="15882" max="15882" width="13.33203125" style="582" customWidth="1"/>
    <col min="15883" max="15883" width="18.6640625" style="582" customWidth="1"/>
    <col min="15884" max="15884" width="14.5" style="582" customWidth="1"/>
    <col min="15885" max="16129" width="8.6640625" style="582"/>
    <col min="16130" max="16130" width="35.83203125" style="582" customWidth="1"/>
    <col min="16131" max="16131" width="13.33203125" style="582" customWidth="1"/>
    <col min="16132" max="16132" width="18.6640625" style="582" customWidth="1"/>
    <col min="16133" max="16135" width="12.6640625" style="582" customWidth="1"/>
    <col min="16136" max="16136" width="13.33203125" style="582" customWidth="1"/>
    <col min="16137" max="16137" width="14.5" style="582" customWidth="1"/>
    <col min="16138" max="16138" width="13.33203125" style="582" customWidth="1"/>
    <col min="16139" max="16139" width="18.6640625" style="582" customWidth="1"/>
    <col min="16140" max="16140" width="14.5" style="582" customWidth="1"/>
    <col min="16141" max="16384" width="8.6640625" style="582"/>
  </cols>
  <sheetData>
    <row r="1" spans="1:17" ht="16">
      <c r="A1" s="581" t="s">
        <v>455</v>
      </c>
    </row>
    <row r="2" spans="1:17" ht="15">
      <c r="A2" s="547"/>
      <c r="B2" s="583"/>
      <c r="C2" s="583" t="s">
        <v>3343</v>
      </c>
      <c r="D2" s="583" t="s">
        <v>3343</v>
      </c>
      <c r="E2" s="583"/>
      <c r="F2" s="583"/>
      <c r="G2" s="583"/>
      <c r="J2" s="583"/>
      <c r="K2" s="583"/>
    </row>
    <row r="3" spans="1:17" ht="15">
      <c r="A3" s="547"/>
      <c r="B3" s="584">
        <v>2019</v>
      </c>
      <c r="C3" s="584">
        <v>2020</v>
      </c>
      <c r="D3" s="584">
        <v>2021</v>
      </c>
      <c r="E3" s="584">
        <v>2022</v>
      </c>
      <c r="F3" s="585">
        <v>2023</v>
      </c>
      <c r="G3" s="585">
        <v>2024</v>
      </c>
      <c r="H3" s="586">
        <v>2025</v>
      </c>
      <c r="I3" s="586">
        <v>2025</v>
      </c>
      <c r="J3" s="585"/>
      <c r="K3" s="585"/>
    </row>
    <row r="4" spans="1:17" ht="15">
      <c r="A4" s="587" t="s">
        <v>3344</v>
      </c>
      <c r="B4" s="588"/>
      <c r="C4" s="588" t="s">
        <v>3345</v>
      </c>
      <c r="D4" s="589"/>
      <c r="E4" s="589"/>
      <c r="F4" s="585"/>
      <c r="G4" s="585"/>
      <c r="H4" s="586"/>
      <c r="I4" s="586"/>
      <c r="J4" s="585"/>
      <c r="K4" s="585"/>
    </row>
    <row r="5" spans="1:17" ht="15">
      <c r="A5" s="547" t="s">
        <v>3346</v>
      </c>
      <c r="B5" s="589"/>
      <c r="C5" s="589"/>
      <c r="D5" s="589"/>
      <c r="E5" s="589"/>
      <c r="F5" s="590"/>
      <c r="G5" s="590"/>
      <c r="H5" s="586"/>
      <c r="I5" s="586"/>
      <c r="J5" s="590"/>
      <c r="K5" s="712"/>
      <c r="L5" s="713" t="s">
        <v>3343</v>
      </c>
    </row>
    <row r="6" spans="1:17" ht="15">
      <c r="A6" s="547" t="s">
        <v>3347</v>
      </c>
      <c r="B6" s="591">
        <v>482949</v>
      </c>
      <c r="C6" s="591">
        <v>1141167</v>
      </c>
      <c r="D6" s="592">
        <v>7354753</v>
      </c>
      <c r="E6" s="591">
        <v>3148815</v>
      </c>
      <c r="F6" s="593">
        <v>2926540</v>
      </c>
      <c r="G6" s="593">
        <v>6293246</v>
      </c>
      <c r="H6" s="715">
        <v>6883438</v>
      </c>
      <c r="I6" s="715">
        <v>6883438</v>
      </c>
      <c r="J6" s="593"/>
      <c r="K6" s="712"/>
      <c r="L6" s="713"/>
    </row>
    <row r="7" spans="1:17" ht="15">
      <c r="A7" s="547" t="s">
        <v>3348</v>
      </c>
      <c r="B7" s="594">
        <v>50786</v>
      </c>
      <c r="C7" s="594">
        <v>136314</v>
      </c>
      <c r="D7" s="595">
        <v>484691</v>
      </c>
      <c r="E7" s="594">
        <v>45393</v>
      </c>
      <c r="F7" s="596">
        <v>181843</v>
      </c>
      <c r="G7" s="596">
        <v>270782</v>
      </c>
      <c r="H7" s="716">
        <v>297887</v>
      </c>
      <c r="I7" s="716">
        <v>297887</v>
      </c>
      <c r="J7" s="596"/>
      <c r="K7" s="712"/>
      <c r="L7" s="714"/>
    </row>
    <row r="8" spans="1:17" ht="15">
      <c r="A8" s="547" t="s">
        <v>3349</v>
      </c>
      <c r="B8" s="594">
        <v>533735</v>
      </c>
      <c r="C8" s="594">
        <v>1277481</v>
      </c>
      <c r="D8" s="595">
        <v>7839444</v>
      </c>
      <c r="E8" s="594">
        <v>3194208</v>
      </c>
      <c r="F8" s="596">
        <v>3108383</v>
      </c>
      <c r="G8" s="596">
        <v>6564028</v>
      </c>
      <c r="H8" s="716">
        <v>7181325</v>
      </c>
      <c r="I8" s="716">
        <v>7181325</v>
      </c>
      <c r="J8" s="596"/>
      <c r="K8" s="712"/>
      <c r="L8" s="715"/>
    </row>
    <row r="9" spans="1:17" ht="15">
      <c r="A9" s="547" t="s">
        <v>3350</v>
      </c>
      <c r="B9" s="589"/>
      <c r="C9" s="589"/>
      <c r="D9" s="594"/>
      <c r="E9" s="594"/>
      <c r="F9" s="590"/>
      <c r="G9" s="597"/>
      <c r="H9" s="586"/>
      <c r="I9" s="586"/>
      <c r="J9" s="590"/>
      <c r="K9" s="712"/>
      <c r="L9" s="716"/>
    </row>
    <row r="10" spans="1:17" ht="15">
      <c r="A10" s="547" t="s">
        <v>3351</v>
      </c>
      <c r="B10" s="594">
        <v>82055</v>
      </c>
      <c r="C10" s="594">
        <v>135514</v>
      </c>
      <c r="D10" s="595">
        <v>1267924</v>
      </c>
      <c r="E10" s="594">
        <v>629880</v>
      </c>
      <c r="F10" s="596">
        <v>420705</v>
      </c>
      <c r="G10" s="596">
        <v>897707</v>
      </c>
      <c r="H10" s="716">
        <v>1020230</v>
      </c>
      <c r="I10" s="716">
        <v>1020230</v>
      </c>
      <c r="J10" s="596"/>
      <c r="K10" s="712"/>
      <c r="L10" s="716"/>
    </row>
    <row r="11" spans="1:17" ht="15">
      <c r="A11" s="547" t="s">
        <v>3352</v>
      </c>
      <c r="B11" s="594">
        <v>185044</v>
      </c>
      <c r="C11" s="594">
        <v>271732</v>
      </c>
      <c r="D11" s="595">
        <v>1291561</v>
      </c>
      <c r="E11" s="594">
        <v>2326354</v>
      </c>
      <c r="F11" s="596">
        <v>1324541</v>
      </c>
      <c r="G11" s="596">
        <v>1468252</v>
      </c>
      <c r="H11" s="716">
        <v>1670605</v>
      </c>
      <c r="I11" s="716">
        <v>1670605</v>
      </c>
      <c r="J11" s="596"/>
      <c r="K11" s="712"/>
      <c r="L11" s="714"/>
    </row>
    <row r="12" spans="1:17" ht="15">
      <c r="A12" s="547" t="s">
        <v>3353</v>
      </c>
      <c r="B12" s="594">
        <v>24150</v>
      </c>
      <c r="C12" s="594">
        <v>56782</v>
      </c>
      <c r="D12" s="595">
        <v>663689</v>
      </c>
      <c r="E12" s="594">
        <v>510089</v>
      </c>
      <c r="F12" s="596">
        <v>332312</v>
      </c>
      <c r="G12" s="596">
        <v>654444</v>
      </c>
      <c r="H12" s="716">
        <v>1058577</v>
      </c>
      <c r="I12" s="716">
        <v>1058577</v>
      </c>
      <c r="J12" s="596"/>
      <c r="K12" s="712"/>
      <c r="L12" s="716"/>
    </row>
    <row r="13" spans="1:17" ht="15">
      <c r="A13" s="547" t="s">
        <v>3354</v>
      </c>
      <c r="B13" s="594">
        <v>231929</v>
      </c>
      <c r="C13" s="594">
        <v>279880</v>
      </c>
      <c r="D13" s="595">
        <v>909392</v>
      </c>
      <c r="E13" s="594">
        <v>1600586</v>
      </c>
      <c r="F13" s="596">
        <v>1041308</v>
      </c>
      <c r="G13" s="596">
        <v>1300257</v>
      </c>
      <c r="H13" s="716">
        <v>1619642</v>
      </c>
      <c r="I13" s="716">
        <v>1619642</v>
      </c>
      <c r="J13" s="596"/>
      <c r="K13" s="712"/>
      <c r="L13" s="716"/>
    </row>
    <row r="14" spans="1:17" ht="15">
      <c r="A14" s="547" t="s">
        <v>3355</v>
      </c>
      <c r="B14" s="594">
        <v>10140</v>
      </c>
      <c r="C14" s="594">
        <v>0</v>
      </c>
      <c r="D14" s="595">
        <v>0</v>
      </c>
      <c r="E14" s="594">
        <v>40703</v>
      </c>
      <c r="F14" s="596">
        <v>142594</v>
      </c>
      <c r="G14" s="596"/>
      <c r="H14" s="586"/>
      <c r="I14" s="586"/>
      <c r="J14" s="596"/>
      <c r="K14" s="712"/>
      <c r="L14" s="716"/>
      <c r="M14" s="744"/>
      <c r="N14" s="744"/>
      <c r="O14" s="744"/>
      <c r="P14" s="745"/>
      <c r="Q14" s="745"/>
    </row>
    <row r="15" spans="1:17" ht="15">
      <c r="A15" s="547" t="s">
        <v>3356</v>
      </c>
      <c r="B15" s="594">
        <v>46200</v>
      </c>
      <c r="C15" s="594">
        <v>124622</v>
      </c>
      <c r="D15" s="595">
        <v>630308</v>
      </c>
      <c r="E15" s="594">
        <v>796804</v>
      </c>
      <c r="F15" s="596">
        <v>8585</v>
      </c>
      <c r="G15" s="597">
        <f>-71725+7933</f>
        <v>-63792</v>
      </c>
      <c r="H15" s="716">
        <f>356126+20704</f>
        <v>376830</v>
      </c>
      <c r="I15" s="716">
        <f>356126+20704</f>
        <v>376830</v>
      </c>
      <c r="J15" s="596"/>
      <c r="K15" s="712"/>
      <c r="L15" s="716"/>
    </row>
    <row r="16" spans="1:17" ht="15">
      <c r="A16" s="547" t="s">
        <v>3357</v>
      </c>
      <c r="B16" s="594">
        <v>579518</v>
      </c>
      <c r="C16" s="594">
        <v>868530</v>
      </c>
      <c r="D16" s="595">
        <v>4762874</v>
      </c>
      <c r="E16" s="594">
        <v>5904416</v>
      </c>
      <c r="F16" s="596">
        <v>3270045</v>
      </c>
      <c r="G16" s="596">
        <v>4256868</v>
      </c>
      <c r="H16" s="716">
        <v>5745884</v>
      </c>
      <c r="I16" s="716">
        <v>5745884</v>
      </c>
      <c r="J16" s="596"/>
      <c r="K16" s="712"/>
      <c r="L16" s="716"/>
    </row>
    <row r="17" spans="1:12" ht="15">
      <c r="A17" s="547" t="s">
        <v>3358</v>
      </c>
      <c r="B17" s="594">
        <v>-45783</v>
      </c>
      <c r="C17" s="594">
        <v>408951</v>
      </c>
      <c r="D17" s="595">
        <v>3076570</v>
      </c>
      <c r="E17" s="594">
        <v>-2710208</v>
      </c>
      <c r="F17" s="596">
        <v>-161662</v>
      </c>
      <c r="G17" s="596">
        <v>2307160</v>
      </c>
      <c r="H17" s="716">
        <v>1435441</v>
      </c>
      <c r="I17" s="716">
        <v>1435441</v>
      </c>
      <c r="J17" s="596"/>
      <c r="K17" s="712"/>
      <c r="L17" s="716"/>
    </row>
    <row r="18" spans="1:12" ht="15">
      <c r="A18" s="547" t="s">
        <v>3359</v>
      </c>
      <c r="B18" s="594">
        <v>-367</v>
      </c>
      <c r="C18" s="594">
        <v>-2882</v>
      </c>
      <c r="D18" s="595">
        <v>-20463</v>
      </c>
      <c r="E18" s="594">
        <v>-265473</v>
      </c>
      <c r="F18" s="596">
        <v>167583</v>
      </c>
      <c r="G18" s="596">
        <f>687055+29074</f>
        <v>716129</v>
      </c>
      <c r="H18" s="716">
        <f>-528857+700894</f>
        <v>172037</v>
      </c>
      <c r="I18" s="716">
        <f>-528857+700894</f>
        <v>172037</v>
      </c>
      <c r="J18" s="596"/>
      <c r="K18" s="712"/>
      <c r="L18" s="716"/>
    </row>
    <row r="19" spans="1:12" ht="15">
      <c r="A19" s="547" t="s">
        <v>3360</v>
      </c>
      <c r="B19" s="594">
        <v>0</v>
      </c>
      <c r="C19" s="594">
        <v>2634</v>
      </c>
      <c r="D19" s="598">
        <v>29160</v>
      </c>
      <c r="E19" s="594">
        <v>88901</v>
      </c>
      <c r="F19" s="596">
        <v>82766</v>
      </c>
      <c r="G19" s="596">
        <v>80645</v>
      </c>
      <c r="H19" s="716">
        <v>85413</v>
      </c>
      <c r="I19" s="716">
        <v>85413</v>
      </c>
      <c r="J19" s="596"/>
      <c r="K19" s="712"/>
      <c r="L19" s="716"/>
    </row>
    <row r="20" spans="1:12" ht="15">
      <c r="A20" s="547" t="s">
        <v>3361</v>
      </c>
      <c r="B20" s="594">
        <v>-45416</v>
      </c>
      <c r="C20" s="594">
        <v>409199</v>
      </c>
      <c r="D20" s="595">
        <v>3026947</v>
      </c>
      <c r="E20" s="594">
        <v>-3064582</v>
      </c>
      <c r="F20" s="596">
        <v>-76845</v>
      </c>
      <c r="G20" s="596">
        <v>2942644</v>
      </c>
      <c r="H20" s="716">
        <v>1522065</v>
      </c>
      <c r="I20" s="716">
        <v>1522065</v>
      </c>
      <c r="J20" s="596"/>
      <c r="K20" s="712"/>
      <c r="L20" s="716"/>
    </row>
    <row r="21" spans="1:12" ht="15">
      <c r="A21" s="547" t="s">
        <v>3362</v>
      </c>
      <c r="B21" s="594">
        <v>-15029</v>
      </c>
      <c r="C21" s="594">
        <v>86882</v>
      </c>
      <c r="D21" s="595">
        <v>-597173</v>
      </c>
      <c r="E21" s="594">
        <v>-439633</v>
      </c>
      <c r="F21" s="596">
        <v>-171716</v>
      </c>
      <c r="G21" s="596">
        <v>363578</v>
      </c>
      <c r="H21" s="716">
        <v>261738</v>
      </c>
      <c r="I21" s="716">
        <v>261738</v>
      </c>
      <c r="J21" s="596"/>
      <c r="K21" s="712"/>
      <c r="L21" s="716"/>
    </row>
    <row r="22" spans="1:12" ht="15">
      <c r="A22" s="547" t="s">
        <v>3363</v>
      </c>
      <c r="B22" s="591">
        <v>-30387</v>
      </c>
      <c r="C22" s="591">
        <v>322317</v>
      </c>
      <c r="D22" s="592">
        <v>3624120</v>
      </c>
      <c r="E22" s="591">
        <v>-2624949</v>
      </c>
      <c r="F22" s="593">
        <v>94871</v>
      </c>
      <c r="G22" s="593">
        <v>2579066</v>
      </c>
      <c r="H22" s="715">
        <v>1260327</v>
      </c>
      <c r="I22" s="715">
        <v>1260327</v>
      </c>
      <c r="J22" s="596"/>
      <c r="K22" s="712"/>
      <c r="L22" s="716"/>
    </row>
    <row r="23" spans="1:12" ht="15">
      <c r="A23" s="547" t="s">
        <v>3364</v>
      </c>
      <c r="B23" s="589"/>
      <c r="C23" s="589"/>
      <c r="D23" s="591"/>
      <c r="E23" s="591"/>
      <c r="F23" s="590"/>
      <c r="G23" s="590"/>
      <c r="H23" s="715"/>
      <c r="I23" s="715"/>
      <c r="J23" s="593"/>
      <c r="K23" s="712"/>
      <c r="L23" s="716"/>
    </row>
    <row r="24" spans="1:12" ht="15">
      <c r="A24" s="547" t="s">
        <v>3365</v>
      </c>
      <c r="B24" s="591">
        <v>-30387</v>
      </c>
      <c r="C24" s="591">
        <v>108256</v>
      </c>
      <c r="D24" s="592">
        <v>3096958</v>
      </c>
      <c r="E24" s="591">
        <v>-2624949</v>
      </c>
      <c r="F24" s="593">
        <v>94752</v>
      </c>
      <c r="G24" s="593">
        <v>2577755</v>
      </c>
      <c r="H24" s="715">
        <v>1260327</v>
      </c>
      <c r="I24" s="715">
        <v>1260327</v>
      </c>
      <c r="J24" s="590"/>
      <c r="K24" s="712"/>
      <c r="L24" s="716"/>
    </row>
    <row r="25" spans="1:12" ht="15">
      <c r="A25" s="547" t="s">
        <v>3366</v>
      </c>
      <c r="B25" s="591">
        <v>-30387</v>
      </c>
      <c r="C25" s="591">
        <v>127471</v>
      </c>
      <c r="D25" s="592">
        <v>3190404</v>
      </c>
      <c r="E25" s="591">
        <v>-2631179</v>
      </c>
      <c r="F25" s="593">
        <v>94751</v>
      </c>
      <c r="G25" s="593">
        <v>2591248</v>
      </c>
      <c r="H25" s="715">
        <v>1277314</v>
      </c>
      <c r="I25" s="715">
        <v>1277314</v>
      </c>
      <c r="J25" s="593"/>
      <c r="K25" s="712"/>
      <c r="L25" s="716"/>
    </row>
    <row r="26" spans="1:12" ht="15">
      <c r="A26" s="547" t="s">
        <v>3367</v>
      </c>
      <c r="B26" s="589"/>
      <c r="C26" s="589"/>
      <c r="D26" s="599"/>
      <c r="E26" s="599"/>
      <c r="F26" s="590"/>
      <c r="G26" s="590"/>
      <c r="H26" s="586"/>
      <c r="I26" s="586"/>
      <c r="J26" s="593"/>
      <c r="K26" s="712"/>
      <c r="L26" s="716"/>
    </row>
    <row r="27" spans="1:12" ht="15">
      <c r="A27" s="547" t="s">
        <v>3365</v>
      </c>
      <c r="B27" s="600">
        <v>-0.5</v>
      </c>
      <c r="C27" s="600">
        <v>1.58</v>
      </c>
      <c r="D27" s="601">
        <v>17.47</v>
      </c>
      <c r="E27" s="600">
        <v>-11.81</v>
      </c>
      <c r="F27" s="602">
        <v>0.4</v>
      </c>
      <c r="G27" s="602">
        <v>10.42</v>
      </c>
      <c r="H27" s="717">
        <v>4.8499999999999996</v>
      </c>
      <c r="I27" s="717">
        <v>4.8499999999999996</v>
      </c>
      <c r="J27" s="590"/>
      <c r="K27" s="712"/>
      <c r="L27" s="715"/>
    </row>
    <row r="28" spans="1:12" ht="15">
      <c r="A28" s="547" t="s">
        <v>3366</v>
      </c>
      <c r="B28" s="600">
        <v>-0.5</v>
      </c>
      <c r="C28" s="600">
        <v>1.4</v>
      </c>
      <c r="D28" s="601">
        <v>14.5</v>
      </c>
      <c r="E28" s="600">
        <v>-11.83</v>
      </c>
      <c r="F28" s="602">
        <v>0.37</v>
      </c>
      <c r="G28" s="602">
        <v>9.48</v>
      </c>
      <c r="H28" s="717">
        <v>4.45</v>
      </c>
      <c r="I28" s="717">
        <v>4.45</v>
      </c>
      <c r="J28" s="602"/>
      <c r="K28" s="712"/>
      <c r="L28" s="714"/>
    </row>
    <row r="29" spans="1:12" ht="15">
      <c r="A29" s="547" t="s">
        <v>3368</v>
      </c>
      <c r="B29" s="589"/>
      <c r="C29" s="589"/>
      <c r="F29" s="590"/>
      <c r="G29" s="590"/>
      <c r="H29" s="586"/>
      <c r="I29" s="586"/>
      <c r="J29" s="602"/>
      <c r="K29" s="712"/>
      <c r="L29" s="715"/>
    </row>
    <row r="30" spans="1:12" ht="15">
      <c r="A30" s="547" t="s">
        <v>3365</v>
      </c>
      <c r="B30" s="594">
        <v>61317</v>
      </c>
      <c r="C30" s="594">
        <v>68671</v>
      </c>
      <c r="D30" s="595">
        <v>177319</v>
      </c>
      <c r="E30" s="594">
        <v>222314</v>
      </c>
      <c r="F30" s="596">
        <v>235796</v>
      </c>
      <c r="G30" s="596">
        <v>247374</v>
      </c>
      <c r="H30" s="716">
        <v>260088</v>
      </c>
      <c r="I30" s="716">
        <v>260088</v>
      </c>
      <c r="J30" s="590"/>
      <c r="K30" s="712"/>
      <c r="L30" s="715"/>
    </row>
    <row r="31" spans="1:12" ht="15">
      <c r="A31" s="547" t="s">
        <v>3366</v>
      </c>
      <c r="B31" s="594">
        <v>61317</v>
      </c>
      <c r="C31" s="594">
        <v>91209</v>
      </c>
      <c r="D31" s="595">
        <v>219965</v>
      </c>
      <c r="E31" s="594">
        <v>222338</v>
      </c>
      <c r="F31" s="596">
        <v>254391</v>
      </c>
      <c r="G31" s="596">
        <v>273377</v>
      </c>
      <c r="H31" s="716">
        <v>287209</v>
      </c>
      <c r="I31" s="716">
        <v>287209</v>
      </c>
      <c r="J31" s="596"/>
      <c r="K31" s="712"/>
      <c r="L31" s="714"/>
    </row>
    <row r="32" spans="1:12" ht="15">
      <c r="A32" s="547" t="s">
        <v>3369</v>
      </c>
      <c r="B32" s="589"/>
      <c r="C32" s="589"/>
      <c r="F32" s="596"/>
      <c r="G32" s="596"/>
      <c r="H32" s="586"/>
      <c r="I32" s="586"/>
      <c r="J32" s="596"/>
      <c r="K32" s="712"/>
      <c r="L32" s="717"/>
    </row>
    <row r="33" spans="1:13" ht="15">
      <c r="A33" s="547" t="s">
        <v>3365</v>
      </c>
      <c r="B33" s="589"/>
      <c r="C33" s="600">
        <v>1.76</v>
      </c>
      <c r="J33" s="589"/>
      <c r="K33" s="712"/>
      <c r="L33" s="717"/>
    </row>
    <row r="34" spans="1:13" ht="15">
      <c r="A34" s="547" t="s">
        <v>3366</v>
      </c>
      <c r="B34" s="589"/>
      <c r="C34" s="600">
        <v>1.57</v>
      </c>
      <c r="J34" s="589"/>
      <c r="K34" s="712"/>
      <c r="L34" s="714"/>
    </row>
    <row r="35" spans="1:13" ht="15">
      <c r="A35" s="547" t="s">
        <v>3370</v>
      </c>
      <c r="B35" s="589"/>
      <c r="C35" s="589"/>
      <c r="J35" s="589"/>
      <c r="K35" s="712"/>
      <c r="L35" s="716"/>
    </row>
    <row r="36" spans="1:13" ht="15">
      <c r="A36" s="547" t="s">
        <v>3365</v>
      </c>
      <c r="B36" s="589"/>
      <c r="C36" s="594">
        <v>182945</v>
      </c>
      <c r="J36" s="589"/>
      <c r="K36" s="712"/>
      <c r="L36" s="716"/>
    </row>
    <row r="37" spans="1:13">
      <c r="A37" s="547" t="s">
        <v>3366</v>
      </c>
      <c r="B37" s="589"/>
      <c r="C37" s="594">
        <v>205575</v>
      </c>
      <c r="J37" s="589"/>
      <c r="K37" s="594"/>
    </row>
    <row r="40" spans="1:13" ht="16">
      <c r="A40" s="603" t="s">
        <v>454</v>
      </c>
      <c r="B40" s="583"/>
      <c r="C40" s="583" t="s">
        <v>3371</v>
      </c>
      <c r="G40" s="583"/>
      <c r="H40" s="604" t="s">
        <v>3371</v>
      </c>
      <c r="I40" s="604" t="s">
        <v>3371</v>
      </c>
      <c r="J40" s="604"/>
      <c r="K40" s="583"/>
      <c r="L40" s="584"/>
    </row>
    <row r="41" spans="1:13" ht="15">
      <c r="A41" s="547"/>
      <c r="B41" s="584">
        <v>2019</v>
      </c>
      <c r="C41" s="584">
        <v>2020</v>
      </c>
      <c r="D41" s="584">
        <v>2021</v>
      </c>
      <c r="E41" s="584">
        <v>2022</v>
      </c>
      <c r="F41" s="582">
        <v>2023</v>
      </c>
      <c r="G41" s="585">
        <v>2024</v>
      </c>
      <c r="H41" s="585">
        <v>2025</v>
      </c>
      <c r="I41" s="585">
        <v>2025</v>
      </c>
      <c r="J41" s="584"/>
      <c r="K41" s="584"/>
    </row>
    <row r="42" spans="1:13" ht="15">
      <c r="A42" s="587" t="s">
        <v>3372</v>
      </c>
      <c r="B42" s="589"/>
      <c r="C42" s="589"/>
      <c r="D42" s="589"/>
      <c r="E42" s="589"/>
      <c r="F42" s="584"/>
      <c r="G42" s="590"/>
      <c r="H42" s="590"/>
      <c r="I42" s="590"/>
      <c r="J42" s="589"/>
      <c r="K42" s="712"/>
      <c r="L42" s="718"/>
      <c r="M42" s="718"/>
    </row>
    <row r="43" spans="1:13" ht="15">
      <c r="A43" s="547" t="s">
        <v>3373</v>
      </c>
      <c r="B43" s="589"/>
      <c r="C43" s="589"/>
      <c r="D43" s="589"/>
      <c r="E43" s="589"/>
      <c r="F43" s="589"/>
      <c r="G43" s="590"/>
      <c r="H43" s="590"/>
      <c r="I43" s="590"/>
      <c r="J43" s="589"/>
      <c r="K43" s="712"/>
      <c r="L43" s="713"/>
      <c r="M43" s="713"/>
    </row>
    <row r="44" spans="1:13" ht="15">
      <c r="A44" s="547" t="s">
        <v>3374</v>
      </c>
      <c r="B44" s="591">
        <v>548945</v>
      </c>
      <c r="C44" s="591">
        <v>1061850</v>
      </c>
      <c r="D44" s="591">
        <v>7123478</v>
      </c>
      <c r="E44" s="591">
        <v>4425021</v>
      </c>
      <c r="F44" s="593">
        <v>5139351</v>
      </c>
      <c r="G44" s="593">
        <v>8543903</v>
      </c>
      <c r="H44" s="715">
        <f>11285452+309765</f>
        <v>11595217</v>
      </c>
      <c r="I44" s="715">
        <f>11285452+309765</f>
        <v>11595217</v>
      </c>
      <c r="J44" s="604"/>
      <c r="K44" s="719"/>
      <c r="L44" s="714"/>
      <c r="M44" s="714"/>
    </row>
    <row r="45" spans="1:13" ht="15">
      <c r="A45" s="547" t="s">
        <v>3375</v>
      </c>
      <c r="B45" s="594">
        <v>34122</v>
      </c>
      <c r="C45" s="594">
        <v>30787</v>
      </c>
      <c r="D45" s="594">
        <v>30951</v>
      </c>
      <c r="E45" s="594">
        <v>25873</v>
      </c>
      <c r="F45" s="596">
        <v>22992</v>
      </c>
      <c r="G45" s="596">
        <v>38519</v>
      </c>
      <c r="H45" s="716">
        <v>334318</v>
      </c>
      <c r="I45" s="716">
        <v>334318</v>
      </c>
      <c r="J45" s="585"/>
      <c r="K45" s="712"/>
      <c r="L45" s="714"/>
      <c r="M45" s="714"/>
    </row>
    <row r="46" spans="1:13" ht="15">
      <c r="A46" s="547" t="s">
        <v>3376</v>
      </c>
      <c r="B46" s="594">
        <v>1201350</v>
      </c>
      <c r="C46" s="594">
        <v>3763392</v>
      </c>
      <c r="D46" s="594">
        <v>10526233</v>
      </c>
      <c r="E46" s="594">
        <v>5041119</v>
      </c>
      <c r="F46" s="596">
        <v>4570845</v>
      </c>
      <c r="G46" s="596">
        <v>1241808</v>
      </c>
      <c r="H46" s="716"/>
      <c r="I46" s="716"/>
      <c r="J46" s="590"/>
      <c r="K46" s="712"/>
      <c r="L46" s="715"/>
      <c r="M46" s="715"/>
    </row>
    <row r="47" spans="1:13" ht="15">
      <c r="A47" s="547" t="s">
        <v>3377</v>
      </c>
      <c r="B47" s="594">
        <v>88429</v>
      </c>
      <c r="C47" s="594">
        <v>48938</v>
      </c>
      <c r="D47" s="594">
        <v>100096</v>
      </c>
      <c r="E47" s="594">
        <v>861149</v>
      </c>
      <c r="F47" s="596">
        <v>576028</v>
      </c>
      <c r="G47" s="596">
        <v>6158949</v>
      </c>
      <c r="H47" s="716">
        <v>5347428</v>
      </c>
      <c r="I47" s="716">
        <v>5347428</v>
      </c>
      <c r="J47" s="590"/>
      <c r="K47" s="712"/>
      <c r="L47" s="716"/>
      <c r="M47" s="716"/>
    </row>
    <row r="48" spans="1:13" ht="15">
      <c r="A48" s="547" t="s">
        <v>3378</v>
      </c>
      <c r="B48" s="594">
        <v>17496</v>
      </c>
      <c r="C48" s="594">
        <v>189471</v>
      </c>
      <c r="D48" s="594">
        <v>396025</v>
      </c>
      <c r="E48" s="594">
        <v>404376</v>
      </c>
      <c r="F48" s="596">
        <v>361715</v>
      </c>
      <c r="G48" s="596">
        <v>82781</v>
      </c>
      <c r="H48" s="716">
        <v>120831</v>
      </c>
      <c r="I48" s="716">
        <v>120831</v>
      </c>
      <c r="J48" s="593"/>
      <c r="K48" s="712"/>
      <c r="L48" s="716"/>
      <c r="M48" s="716"/>
    </row>
    <row r="49" spans="1:13" ht="15">
      <c r="A49" s="547" t="s">
        <v>3379</v>
      </c>
      <c r="B49" s="594">
        <v>74171</v>
      </c>
      <c r="C49" s="594">
        <v>0</v>
      </c>
      <c r="D49" s="594">
        <v>61231</v>
      </c>
      <c r="E49" s="594">
        <v>60441</v>
      </c>
      <c r="F49" s="596">
        <v>63726</v>
      </c>
      <c r="G49" s="596">
        <v>475370</v>
      </c>
      <c r="H49" s="716">
        <v>1354692</v>
      </c>
      <c r="I49" s="716">
        <v>1354692</v>
      </c>
      <c r="J49" s="596"/>
      <c r="K49" s="712"/>
      <c r="L49" s="716"/>
      <c r="M49" s="716"/>
    </row>
    <row r="50" spans="1:13" ht="15">
      <c r="A50" s="547" t="s">
        <v>3380</v>
      </c>
      <c r="B50" s="594">
        <v>22433</v>
      </c>
      <c r="C50" s="594">
        <v>39510</v>
      </c>
      <c r="D50" s="594">
        <v>135849</v>
      </c>
      <c r="E50" s="594">
        <v>217048</v>
      </c>
      <c r="F50" s="596">
        <v>148814</v>
      </c>
      <c r="G50" s="596">
        <v>767484</v>
      </c>
      <c r="H50" s="716">
        <v>822827</v>
      </c>
      <c r="I50" s="716">
        <v>822827</v>
      </c>
      <c r="J50" s="596"/>
      <c r="K50" s="712"/>
      <c r="L50" s="716"/>
      <c r="M50" s="716"/>
    </row>
    <row r="51" spans="1:13" ht="15">
      <c r="A51" s="547" t="s">
        <v>3381</v>
      </c>
      <c r="B51" s="594">
        <v>1986946</v>
      </c>
      <c r="C51" s="594">
        <v>5133948</v>
      </c>
      <c r="D51" s="594">
        <v>18373863</v>
      </c>
      <c r="E51" s="594">
        <v>86448215</v>
      </c>
      <c r="F51" s="596">
        <v>203466531</v>
      </c>
      <c r="G51" s="596">
        <v>261052</v>
      </c>
      <c r="H51" s="716">
        <v>318849</v>
      </c>
      <c r="I51" s="716">
        <v>318849</v>
      </c>
      <c r="J51" s="596"/>
      <c r="K51" s="712"/>
      <c r="L51" s="716"/>
      <c r="M51" s="716"/>
    </row>
    <row r="52" spans="1:13" ht="15">
      <c r="A52" s="547" t="s">
        <v>3382</v>
      </c>
      <c r="B52" s="594">
        <v>33932</v>
      </c>
      <c r="C52" s="594">
        <v>316094</v>
      </c>
      <c r="D52" s="594">
        <v>988193</v>
      </c>
      <c r="E52" s="594">
        <v>424393</v>
      </c>
      <c r="F52" s="596">
        <v>449925</v>
      </c>
      <c r="G52" s="596">
        <v>265251</v>
      </c>
      <c r="H52" s="716">
        <v>307119</v>
      </c>
      <c r="I52" s="716">
        <v>307119</v>
      </c>
      <c r="J52" s="596"/>
      <c r="K52" s="712"/>
      <c r="L52" s="716"/>
      <c r="M52" s="716"/>
    </row>
    <row r="53" spans="1:13" ht="15">
      <c r="A53" s="547" t="s">
        <v>3383</v>
      </c>
      <c r="B53" s="594">
        <v>123386</v>
      </c>
      <c r="C53" s="594">
        <v>100845</v>
      </c>
      <c r="D53" s="594">
        <v>98385</v>
      </c>
      <c r="E53" s="594">
        <v>69357</v>
      </c>
      <c r="F53" s="596">
        <v>12737</v>
      </c>
      <c r="G53" s="596">
        <v>277536</v>
      </c>
      <c r="H53" s="716">
        <v>187164</v>
      </c>
      <c r="I53" s="716">
        <v>187164</v>
      </c>
      <c r="J53" s="596"/>
      <c r="K53" s="712"/>
      <c r="L53" s="716"/>
      <c r="M53" s="716"/>
    </row>
    <row r="54" spans="1:13" ht="15">
      <c r="A54" s="547" t="s">
        <v>3384</v>
      </c>
      <c r="B54" s="594">
        <v>47117</v>
      </c>
      <c r="C54" s="594">
        <v>49250</v>
      </c>
      <c r="D54" s="594">
        <v>59230</v>
      </c>
      <c r="E54" s="594">
        <v>171853</v>
      </c>
      <c r="F54" s="596">
        <v>192550</v>
      </c>
      <c r="G54" s="596">
        <v>18112653</v>
      </c>
      <c r="H54" s="716">
        <v>20388445</v>
      </c>
      <c r="I54" s="716">
        <v>20388445</v>
      </c>
      <c r="J54" s="596"/>
      <c r="K54" s="712"/>
      <c r="L54" s="716"/>
      <c r="M54" s="716"/>
    </row>
    <row r="55" spans="1:13" ht="15">
      <c r="A55" s="547" t="s">
        <v>47</v>
      </c>
      <c r="B55" s="594">
        <v>54696</v>
      </c>
      <c r="C55" s="594">
        <v>77212</v>
      </c>
      <c r="D55" s="594">
        <v>625758</v>
      </c>
      <c r="E55" s="594">
        <v>1073906</v>
      </c>
      <c r="F55" s="596">
        <v>1139670</v>
      </c>
      <c r="G55" s="596">
        <v>1552995</v>
      </c>
      <c r="H55" s="716">
        <v>1998871</v>
      </c>
      <c r="I55" s="716">
        <v>1998871</v>
      </c>
      <c r="J55" s="596"/>
      <c r="K55" s="712"/>
      <c r="L55" s="716"/>
      <c r="M55" s="716"/>
    </row>
    <row r="56" spans="1:13" ht="15">
      <c r="A56" s="547" t="s">
        <v>3385</v>
      </c>
      <c r="B56" s="594">
        <v>70137</v>
      </c>
      <c r="C56" s="594">
        <v>60825</v>
      </c>
      <c r="D56" s="594">
        <v>176689</v>
      </c>
      <c r="E56" s="594">
        <v>135429</v>
      </c>
      <c r="F56" s="596">
        <v>86422</v>
      </c>
      <c r="G56" s="596">
        <v>941298</v>
      </c>
      <c r="H56" s="716">
        <v>570819</v>
      </c>
      <c r="I56" s="716">
        <v>570819</v>
      </c>
      <c r="J56" s="596"/>
      <c r="K56" s="712"/>
      <c r="L56" s="716"/>
      <c r="M56" s="716"/>
    </row>
    <row r="57" spans="1:13" ht="15">
      <c r="A57" s="547" t="s">
        <v>3386</v>
      </c>
      <c r="B57" s="594">
        <v>75555</v>
      </c>
      <c r="C57" s="594">
        <v>117240</v>
      </c>
      <c r="D57" s="594">
        <v>952307</v>
      </c>
      <c r="E57" s="594">
        <v>1401720</v>
      </c>
      <c r="F57" s="594">
        <v>1635118</v>
      </c>
      <c r="G57" s="596">
        <v>200080</v>
      </c>
      <c r="H57" s="716">
        <v>264573</v>
      </c>
      <c r="I57" s="716">
        <v>264573</v>
      </c>
      <c r="J57" s="596"/>
      <c r="K57" s="712"/>
      <c r="L57" s="716"/>
      <c r="M57" s="716"/>
    </row>
    <row r="58" spans="1:13" ht="15">
      <c r="A58" s="547" t="s">
        <v>3387</v>
      </c>
      <c r="B58" s="591">
        <v>2391769</v>
      </c>
      <c r="C58" s="591">
        <v>5855414</v>
      </c>
      <c r="D58" s="591">
        <v>21274425</v>
      </c>
      <c r="E58" s="591">
        <v>89724873</v>
      </c>
      <c r="F58" s="593">
        <v>206982953</v>
      </c>
      <c r="G58" s="596">
        <v>1139670</v>
      </c>
      <c r="H58" s="716">
        <v>4168967</v>
      </c>
      <c r="I58" s="716">
        <v>4168967</v>
      </c>
      <c r="J58" s="596"/>
      <c r="K58" s="712"/>
      <c r="L58" s="716"/>
      <c r="M58" s="716"/>
    </row>
    <row r="59" spans="1:13" ht="15">
      <c r="A59" s="587" t="s">
        <v>3388</v>
      </c>
      <c r="B59" s="589"/>
      <c r="C59" s="589"/>
      <c r="D59" s="594"/>
      <c r="E59" s="594"/>
      <c r="F59" s="591"/>
      <c r="G59" s="596">
        <v>46804</v>
      </c>
      <c r="H59" s="716">
        <v>1397794</v>
      </c>
      <c r="I59" s="716">
        <v>1397794</v>
      </c>
      <c r="J59" s="596"/>
      <c r="K59" s="712"/>
      <c r="L59" s="716"/>
      <c r="M59" s="716"/>
    </row>
    <row r="60" spans="1:13" ht="15">
      <c r="A60" s="547" t="s">
        <v>3389</v>
      </c>
      <c r="B60" s="589"/>
      <c r="C60" s="589"/>
      <c r="D60" s="594"/>
      <c r="E60" s="594"/>
      <c r="F60" s="594"/>
      <c r="G60" s="596">
        <v>548451</v>
      </c>
      <c r="H60" s="716">
        <v>259378</v>
      </c>
      <c r="I60" s="716">
        <v>259378</v>
      </c>
      <c r="J60" s="596"/>
      <c r="K60" s="712"/>
      <c r="L60" s="716"/>
      <c r="M60" s="716"/>
    </row>
    <row r="61" spans="1:13" ht="15">
      <c r="A61" s="547" t="s">
        <v>3390</v>
      </c>
      <c r="B61" s="591">
        <v>1106815</v>
      </c>
      <c r="C61" s="591">
        <v>3849468</v>
      </c>
      <c r="D61" s="591">
        <v>10480612</v>
      </c>
      <c r="E61" s="591">
        <v>4829587</v>
      </c>
      <c r="F61" s="593">
        <v>4570845</v>
      </c>
      <c r="G61" s="593">
        <v>22541951</v>
      </c>
      <c r="H61" s="715">
        <v>29671832</v>
      </c>
      <c r="I61" s="715">
        <v>29671832</v>
      </c>
      <c r="J61" s="596"/>
      <c r="K61" s="712"/>
      <c r="L61" s="716"/>
      <c r="M61" s="716"/>
    </row>
    <row r="62" spans="1:13" ht="15">
      <c r="A62" s="547" t="s">
        <v>3391</v>
      </c>
      <c r="B62" s="594">
        <v>45453</v>
      </c>
      <c r="C62" s="594">
        <v>85111</v>
      </c>
      <c r="D62" s="594">
        <v>39833</v>
      </c>
      <c r="E62" s="594">
        <v>56043</v>
      </c>
      <c r="F62" s="596">
        <v>39294</v>
      </c>
      <c r="G62" s="590"/>
      <c r="H62" s="715"/>
      <c r="I62" s="715"/>
      <c r="J62" s="596"/>
      <c r="K62" s="712"/>
      <c r="L62" s="716"/>
      <c r="M62" s="716"/>
    </row>
    <row r="63" spans="1:13" ht="15">
      <c r="A63" s="547" t="s">
        <v>3392</v>
      </c>
      <c r="B63" s="594">
        <v>0</v>
      </c>
      <c r="C63" s="594">
        <v>271303</v>
      </c>
      <c r="D63" s="594">
        <v>426665</v>
      </c>
      <c r="E63" s="594">
        <v>331236</v>
      </c>
      <c r="F63" s="596">
        <v>447050</v>
      </c>
      <c r="G63" s="590"/>
      <c r="H63" s="590"/>
      <c r="I63" s="590"/>
      <c r="J63" s="596"/>
      <c r="K63" s="712"/>
      <c r="L63" s="716"/>
      <c r="M63" s="716"/>
    </row>
    <row r="64" spans="1:13" ht="15">
      <c r="A64" s="547" t="s">
        <v>3393</v>
      </c>
      <c r="B64" s="594">
        <v>23775</v>
      </c>
      <c r="C64" s="594">
        <v>25270</v>
      </c>
      <c r="D64" s="594">
        <v>32366</v>
      </c>
      <c r="E64" s="594">
        <v>151505</v>
      </c>
      <c r="F64" s="596">
        <v>62980</v>
      </c>
      <c r="G64" s="593">
        <v>6158949</v>
      </c>
      <c r="H64" s="715">
        <v>5347428</v>
      </c>
      <c r="I64" s="715">
        <v>5347428</v>
      </c>
      <c r="J64" s="596"/>
      <c r="K64" s="712"/>
      <c r="L64" s="715"/>
      <c r="M64" s="715"/>
    </row>
    <row r="65" spans="1:13" ht="15">
      <c r="A65" s="547" t="s">
        <v>3394</v>
      </c>
      <c r="B65" s="594">
        <v>47401</v>
      </c>
      <c r="C65" s="594">
        <v>15703</v>
      </c>
      <c r="D65" s="594">
        <v>439559</v>
      </c>
      <c r="E65" s="594">
        <v>33734</v>
      </c>
      <c r="F65" s="596">
        <v>10902</v>
      </c>
      <c r="G65" s="596">
        <v>63316</v>
      </c>
      <c r="H65" s="716">
        <v>117605</v>
      </c>
      <c r="I65" s="716">
        <v>117605</v>
      </c>
      <c r="J65" s="593"/>
      <c r="K65" s="719"/>
      <c r="L65" s="714"/>
      <c r="M65" s="714"/>
    </row>
    <row r="66" spans="1:13" ht="15">
      <c r="A66" s="547" t="s">
        <v>3395</v>
      </c>
      <c r="B66" s="594">
        <v>1223444</v>
      </c>
      <c r="C66" s="594">
        <v>4246855</v>
      </c>
      <c r="D66" s="594">
        <v>11419035</v>
      </c>
      <c r="E66" s="594">
        <v>80815293</v>
      </c>
      <c r="F66" s="596">
        <v>197714131</v>
      </c>
      <c r="G66" s="596">
        <v>300110</v>
      </c>
      <c r="H66" s="716">
        <v>452105</v>
      </c>
      <c r="I66" s="716">
        <v>452105</v>
      </c>
      <c r="J66" s="590"/>
      <c r="K66" s="712"/>
      <c r="L66" s="714"/>
      <c r="M66" s="714"/>
    </row>
    <row r="67" spans="1:13" ht="15">
      <c r="A67" s="547" t="s">
        <v>3396</v>
      </c>
      <c r="B67" s="594">
        <v>106542</v>
      </c>
      <c r="C67" s="594">
        <v>82508</v>
      </c>
      <c r="D67" s="594">
        <v>74078</v>
      </c>
      <c r="E67" s="594">
        <v>42044</v>
      </c>
      <c r="F67" s="596">
        <v>3821</v>
      </c>
      <c r="G67" s="596">
        <v>792125</v>
      </c>
      <c r="H67" s="716">
        <v>826883</v>
      </c>
      <c r="I67" s="716">
        <v>826883</v>
      </c>
      <c r="J67" s="590"/>
      <c r="K67" s="712"/>
      <c r="L67" s="715"/>
      <c r="M67" s="715"/>
    </row>
    <row r="68" spans="1:13" ht="15">
      <c r="A68" s="547" t="s">
        <v>3397</v>
      </c>
      <c r="B68" s="594"/>
      <c r="C68" s="594"/>
      <c r="D68" s="594">
        <v>3384795</v>
      </c>
      <c r="E68" s="594">
        <v>3393448</v>
      </c>
      <c r="F68" s="596">
        <v>2979957</v>
      </c>
      <c r="G68" s="596">
        <v>626820</v>
      </c>
      <c r="H68" s="716">
        <v>687676</v>
      </c>
      <c r="I68" s="716">
        <v>687676</v>
      </c>
      <c r="J68" s="593"/>
      <c r="K68" s="712"/>
      <c r="L68" s="716"/>
      <c r="M68" s="716"/>
    </row>
    <row r="69" spans="1:13" ht="15">
      <c r="A69" s="547" t="s">
        <v>3398</v>
      </c>
      <c r="B69" s="594"/>
      <c r="C69" s="594"/>
      <c r="D69" s="594">
        <v>14828</v>
      </c>
      <c r="E69" s="594">
        <v>19531</v>
      </c>
      <c r="F69" s="596">
        <v>3395</v>
      </c>
      <c r="G69" s="596">
        <v>7941320</v>
      </c>
      <c r="H69" s="716">
        <v>8701282</v>
      </c>
      <c r="I69" s="716">
        <v>8701282</v>
      </c>
      <c r="J69" s="596"/>
      <c r="K69" s="712"/>
      <c r="L69" s="716"/>
      <c r="M69" s="716"/>
    </row>
    <row r="70" spans="1:13" ht="15">
      <c r="A70" s="547" t="s">
        <v>3399</v>
      </c>
      <c r="B70" s="594">
        <v>1329986</v>
      </c>
      <c r="C70" s="594">
        <v>4329363</v>
      </c>
      <c r="D70" s="594">
        <v>14892736</v>
      </c>
      <c r="E70" s="594">
        <v>84270316</v>
      </c>
      <c r="F70" s="596">
        <v>200701304</v>
      </c>
      <c r="G70" s="596">
        <v>4234081</v>
      </c>
      <c r="H70" s="716">
        <f>5937034+1269585</f>
        <v>7206619</v>
      </c>
      <c r="I70" s="716">
        <f>5937034+1269585</f>
        <v>7206619</v>
      </c>
      <c r="J70" s="596"/>
      <c r="K70" s="712"/>
      <c r="L70" s="716"/>
      <c r="M70" s="716"/>
    </row>
    <row r="71" spans="1:13" ht="15">
      <c r="A71" s="547" t="s">
        <v>3400</v>
      </c>
      <c r="B71" s="589"/>
      <c r="C71" s="589"/>
      <c r="D71" s="594"/>
      <c r="E71" s="594"/>
      <c r="F71" s="594"/>
      <c r="G71" s="596">
        <v>89708</v>
      </c>
      <c r="H71" s="716">
        <v>240458</v>
      </c>
      <c r="I71" s="716">
        <v>240458</v>
      </c>
      <c r="J71" s="596"/>
      <c r="K71" s="712"/>
      <c r="L71" s="716"/>
      <c r="M71" s="716"/>
    </row>
    <row r="72" spans="1:13" ht="15">
      <c r="A72" s="547" t="s">
        <v>3401</v>
      </c>
      <c r="B72" s="594">
        <v>564697</v>
      </c>
      <c r="C72" s="594">
        <v>562467</v>
      </c>
      <c r="D72" s="594"/>
      <c r="E72" s="594"/>
      <c r="F72" s="594"/>
      <c r="G72" s="596">
        <v>12265109</v>
      </c>
      <c r="H72" s="716">
        <v>14878774</v>
      </c>
      <c r="I72" s="716">
        <v>14878774</v>
      </c>
      <c r="J72" s="596"/>
      <c r="K72" s="712"/>
      <c r="L72" s="716"/>
      <c r="M72" s="716"/>
    </row>
    <row r="73" spans="1:13" ht="15">
      <c r="A73" s="547" t="s">
        <v>3402</v>
      </c>
      <c r="B73" s="589"/>
      <c r="C73" s="589"/>
      <c r="F73" s="594"/>
      <c r="G73" s="590"/>
      <c r="H73" s="590"/>
      <c r="I73" s="590"/>
      <c r="J73" s="596"/>
      <c r="K73" s="712"/>
      <c r="L73" s="716"/>
      <c r="M73" s="716"/>
    </row>
    <row r="74" spans="1:13" ht="15">
      <c r="A74" s="547" t="s">
        <v>3403</v>
      </c>
      <c r="B74" s="594">
        <v>0</v>
      </c>
      <c r="C74" s="594">
        <v>0</v>
      </c>
      <c r="D74" s="594">
        <v>2</v>
      </c>
      <c r="E74" s="596">
        <v>2</v>
      </c>
      <c r="F74" s="596">
        <v>2</v>
      </c>
      <c r="G74" s="590"/>
      <c r="H74" s="590"/>
      <c r="I74" s="590"/>
      <c r="J74" s="596"/>
      <c r="K74" s="712"/>
      <c r="L74" s="716"/>
      <c r="M74" s="716"/>
    </row>
    <row r="75" spans="1:13" ht="15">
      <c r="A75" s="547" t="s">
        <v>3404</v>
      </c>
      <c r="B75" s="594">
        <v>0</v>
      </c>
      <c r="C75" s="594">
        <v>0</v>
      </c>
      <c r="D75" s="594">
        <v>0</v>
      </c>
      <c r="E75" s="594"/>
      <c r="F75" s="594"/>
      <c r="G75" s="596">
        <v>0</v>
      </c>
      <c r="H75" s="596"/>
      <c r="I75" s="596"/>
      <c r="J75" s="596"/>
      <c r="K75" s="712"/>
      <c r="L75" s="716"/>
      <c r="M75" s="716"/>
    </row>
    <row r="76" spans="1:13" ht="15">
      <c r="A76" s="547" t="s">
        <v>3405</v>
      </c>
      <c r="B76" s="594">
        <v>93820</v>
      </c>
      <c r="C76" s="594">
        <v>231024</v>
      </c>
      <c r="D76" s="594">
        <v>2034658</v>
      </c>
      <c r="E76" s="594">
        <v>3767686</v>
      </c>
      <c r="F76" s="596">
        <v>4491571</v>
      </c>
      <c r="G76" s="596">
        <v>2</v>
      </c>
      <c r="H76" s="716">
        <v>3</v>
      </c>
      <c r="I76" s="716">
        <v>3</v>
      </c>
      <c r="J76" s="596"/>
      <c r="K76" s="712"/>
      <c r="L76" s="716"/>
      <c r="M76" s="716"/>
    </row>
    <row r="77" spans="1:13" ht="15">
      <c r="A77" s="547" t="s">
        <v>3406</v>
      </c>
      <c r="B77" s="594">
        <v>-721</v>
      </c>
      <c r="C77" s="594">
        <v>6256</v>
      </c>
      <c r="D77" s="594">
        <v>-3395</v>
      </c>
      <c r="E77" s="594">
        <v>-38606</v>
      </c>
      <c r="F77" s="596">
        <v>-30270</v>
      </c>
      <c r="G77" s="596">
        <v>0</v>
      </c>
      <c r="H77" s="596"/>
      <c r="I77" s="596"/>
      <c r="J77" s="590"/>
      <c r="K77" s="712"/>
      <c r="L77" s="714"/>
      <c r="M77" s="714"/>
    </row>
    <row r="78" spans="1:13" ht="15">
      <c r="A78" s="547" t="s">
        <v>3407</v>
      </c>
      <c r="B78" s="594">
        <v>403987</v>
      </c>
      <c r="C78" s="594">
        <v>726304</v>
      </c>
      <c r="D78" s="594">
        <v>4350424</v>
      </c>
      <c r="E78" s="594">
        <v>1725475</v>
      </c>
      <c r="F78" s="596">
        <v>1820346</v>
      </c>
      <c r="G78" s="596">
        <v>5365990</v>
      </c>
      <c r="H78" s="716">
        <v>8566854</v>
      </c>
      <c r="I78" s="716">
        <v>8566854</v>
      </c>
      <c r="J78" s="590"/>
      <c r="K78" s="712"/>
      <c r="L78" s="714"/>
      <c r="M78" s="714"/>
    </row>
    <row r="79" spans="1:13" ht="15">
      <c r="A79" s="547" t="s">
        <v>3408</v>
      </c>
      <c r="B79" s="594">
        <v>497086</v>
      </c>
      <c r="C79" s="594">
        <v>963584</v>
      </c>
      <c r="D79" s="594">
        <v>6381689</v>
      </c>
      <c r="E79" s="594">
        <v>5454557</v>
      </c>
      <c r="F79" s="596">
        <v>6281649</v>
      </c>
      <c r="G79" s="596">
        <v>-50051</v>
      </c>
      <c r="H79" s="716">
        <v>4973</v>
      </c>
      <c r="I79" s="716">
        <v>4973</v>
      </c>
      <c r="J79" s="596"/>
      <c r="K79" s="712"/>
      <c r="L79" s="716"/>
      <c r="M79" s="716"/>
    </row>
    <row r="80" spans="1:13" ht="15">
      <c r="A80" s="547" t="s">
        <v>3409</v>
      </c>
      <c r="B80" s="591">
        <v>2391769</v>
      </c>
      <c r="C80" s="591">
        <v>5855414</v>
      </c>
      <c r="D80" s="591">
        <v>21274425</v>
      </c>
      <c r="E80" s="591">
        <v>89724873</v>
      </c>
      <c r="F80" s="593">
        <v>206982953</v>
      </c>
      <c r="G80" s="596">
        <v>4960901</v>
      </c>
      <c r="H80" s="716">
        <v>6221228</v>
      </c>
      <c r="I80" s="716">
        <v>6221228</v>
      </c>
      <c r="J80" s="596"/>
      <c r="K80" s="712"/>
      <c r="L80" s="716"/>
      <c r="M80" s="716"/>
    </row>
    <row r="81" spans="1:21" ht="15">
      <c r="D81" s="547"/>
      <c r="E81" s="547"/>
      <c r="F81" s="591"/>
      <c r="G81" s="596">
        <v>10276842</v>
      </c>
      <c r="H81" s="716">
        <v>14793058</v>
      </c>
      <c r="I81" s="716">
        <v>14793058</v>
      </c>
      <c r="J81" s="596"/>
      <c r="K81" s="712"/>
      <c r="L81" s="716"/>
      <c r="M81" s="716"/>
    </row>
    <row r="82" spans="1:21" ht="16">
      <c r="A82" s="603" t="s">
        <v>3294</v>
      </c>
      <c r="D82" s="547"/>
      <c r="E82" s="547"/>
      <c r="F82" s="547"/>
      <c r="G82" s="593">
        <v>22541951</v>
      </c>
      <c r="H82" s="715">
        <v>29671832</v>
      </c>
      <c r="I82" s="715">
        <v>29671832</v>
      </c>
      <c r="J82" s="596"/>
      <c r="K82" s="712"/>
      <c r="L82" s="716"/>
      <c r="M82" s="716"/>
      <c r="R82" s="712"/>
      <c r="S82" s="718" t="s">
        <v>3343</v>
      </c>
      <c r="T82" s="718"/>
      <c r="U82" s="718"/>
    </row>
    <row r="83" spans="1:21" ht="15">
      <c r="A83" s="547"/>
      <c r="B83" s="583"/>
      <c r="C83" s="583" t="s">
        <v>3343</v>
      </c>
      <c r="D83" s="547"/>
      <c r="E83" s="547"/>
      <c r="F83" s="547"/>
      <c r="G83" s="547"/>
      <c r="H83" s="593"/>
      <c r="I83" s="593"/>
      <c r="J83" s="586"/>
      <c r="K83" s="712"/>
      <c r="L83" s="716"/>
      <c r="M83" s="716"/>
      <c r="R83" s="712"/>
      <c r="S83" s="713">
        <v>2025</v>
      </c>
      <c r="T83" s="713">
        <v>2024</v>
      </c>
      <c r="U83" s="713">
        <v>2023</v>
      </c>
    </row>
    <row r="84" spans="1:21" ht="15">
      <c r="A84" s="58"/>
      <c r="B84" s="606">
        <v>43830</v>
      </c>
      <c r="C84" s="606">
        <v>44196</v>
      </c>
      <c r="D84" s="606">
        <v>44561</v>
      </c>
      <c r="E84" s="606">
        <v>44926</v>
      </c>
      <c r="F84" s="606">
        <v>45291</v>
      </c>
      <c r="G84" s="606">
        <v>45291</v>
      </c>
      <c r="H84" s="586"/>
      <c r="I84" s="586"/>
      <c r="J84" s="586"/>
      <c r="K84" s="712"/>
      <c r="L84" s="716"/>
      <c r="M84" s="716"/>
      <c r="R84" s="719" t="s">
        <v>3410</v>
      </c>
      <c r="S84" s="714"/>
      <c r="T84" s="714"/>
      <c r="U84" s="714"/>
    </row>
    <row r="85" spans="1:21" ht="15">
      <c r="A85" s="605"/>
      <c r="B85" s="585" t="s">
        <v>3343</v>
      </c>
      <c r="C85" s="585" t="s">
        <v>3343</v>
      </c>
      <c r="D85" s="585" t="s">
        <v>3343</v>
      </c>
      <c r="E85" s="585" t="s">
        <v>3343</v>
      </c>
      <c r="F85" s="585" t="s">
        <v>3343</v>
      </c>
      <c r="G85" s="585" t="s">
        <v>3343</v>
      </c>
      <c r="H85" s="586"/>
      <c r="I85" s="586"/>
      <c r="J85" s="586"/>
      <c r="K85" s="712"/>
      <c r="L85" s="715"/>
      <c r="M85" s="715"/>
      <c r="R85" s="712" t="s">
        <v>3708</v>
      </c>
      <c r="S85" s="715">
        <v>1260327</v>
      </c>
      <c r="T85" s="715">
        <v>2579066</v>
      </c>
      <c r="U85" s="715">
        <v>94871</v>
      </c>
    </row>
    <row r="86" spans="1:21" ht="15">
      <c r="A86" s="605"/>
      <c r="B86" s="585">
        <v>2019</v>
      </c>
      <c r="C86" s="585">
        <v>2020</v>
      </c>
      <c r="D86" s="585">
        <v>2021</v>
      </c>
      <c r="E86" s="585">
        <v>2022</v>
      </c>
      <c r="F86" s="585">
        <v>2023</v>
      </c>
      <c r="G86" s="585">
        <v>2023</v>
      </c>
      <c r="H86" s="586"/>
      <c r="I86" s="586"/>
      <c r="J86" s="586"/>
      <c r="K86"/>
      <c r="L86"/>
      <c r="M86"/>
      <c r="R86" s="712" t="s">
        <v>3710</v>
      </c>
      <c r="S86" s="714"/>
      <c r="T86" s="714"/>
      <c r="U86" s="714"/>
    </row>
    <row r="87" spans="1:21" ht="15">
      <c r="A87" s="605" t="s">
        <v>3410</v>
      </c>
      <c r="B87" s="585"/>
      <c r="C87" s="585"/>
      <c r="D87" s="585"/>
      <c r="E87" s="585"/>
      <c r="F87" s="585"/>
      <c r="G87" s="585"/>
      <c r="H87" s="586"/>
      <c r="I87" s="586"/>
      <c r="J87" s="586" t="s">
        <v>3410</v>
      </c>
      <c r="K87" s="720" t="s">
        <v>3709</v>
      </c>
      <c r="L87"/>
      <c r="M87"/>
      <c r="R87" s="712" t="s">
        <v>3412</v>
      </c>
      <c r="S87" s="716">
        <v>188428</v>
      </c>
      <c r="T87" s="716">
        <v>127518</v>
      </c>
      <c r="U87" s="716">
        <v>139642</v>
      </c>
    </row>
    <row r="88" spans="1:21" ht="15">
      <c r="A88" s="586" t="s">
        <v>3363</v>
      </c>
      <c r="B88" s="593">
        <v>-30387</v>
      </c>
      <c r="C88" s="593">
        <v>322317</v>
      </c>
      <c r="D88" s="593">
        <v>3624120</v>
      </c>
      <c r="E88" s="593">
        <v>-2624949</v>
      </c>
      <c r="F88" s="593">
        <v>94871</v>
      </c>
      <c r="G88" s="593">
        <v>94871</v>
      </c>
      <c r="H88" s="586"/>
      <c r="I88" s="586"/>
      <c r="J88" s="586" t="s">
        <v>3363</v>
      </c>
      <c r="K88"/>
      <c r="L88"/>
      <c r="M88"/>
      <c r="R88" s="712" t="s">
        <v>3413</v>
      </c>
      <c r="S88" s="716">
        <v>839440</v>
      </c>
      <c r="T88" s="716">
        <v>912838</v>
      </c>
      <c r="U88" s="716">
        <v>780668</v>
      </c>
    </row>
    <row r="89" spans="1:21" ht="15">
      <c r="A89" s="605" t="s">
        <v>3411</v>
      </c>
      <c r="B89" s="585"/>
      <c r="C89" s="585"/>
      <c r="D89" s="585"/>
      <c r="E89" s="585"/>
      <c r="F89" s="585"/>
      <c r="G89" s="585"/>
      <c r="H89" s="586"/>
      <c r="I89" s="586"/>
      <c r="J89" s="586" t="s">
        <v>3659</v>
      </c>
      <c r="K89"/>
      <c r="L89"/>
      <c r="M89"/>
      <c r="R89" s="712" t="s">
        <v>3416</v>
      </c>
      <c r="S89" s="716">
        <v>238308</v>
      </c>
      <c r="T89" s="716">
        <v>151315</v>
      </c>
      <c r="U89" s="716">
        <v>-216334</v>
      </c>
    </row>
    <row r="90" spans="1:21" ht="15">
      <c r="A90" s="586" t="s">
        <v>3412</v>
      </c>
      <c r="B90" s="596">
        <v>16878</v>
      </c>
      <c r="C90" s="596">
        <v>30962</v>
      </c>
      <c r="D90" s="596">
        <v>63651</v>
      </c>
      <c r="E90" s="596">
        <v>154069</v>
      </c>
      <c r="F90" s="596">
        <v>139642</v>
      </c>
      <c r="G90" s="596">
        <v>139642</v>
      </c>
      <c r="H90" s="586"/>
      <c r="I90" s="586"/>
      <c r="J90" s="586" t="s">
        <v>3412</v>
      </c>
      <c r="K90" s="596">
        <v>127518</v>
      </c>
      <c r="L90" s="716">
        <v>188428</v>
      </c>
      <c r="R90" s="712" t="s">
        <v>3706</v>
      </c>
      <c r="S90" s="716">
        <v>20704</v>
      </c>
      <c r="T90" s="716">
        <v>-71725</v>
      </c>
      <c r="U90" s="716">
        <v>0</v>
      </c>
    </row>
    <row r="91" spans="1:21" ht="15">
      <c r="A91" s="586" t="s">
        <v>3585</v>
      </c>
      <c r="B91" s="590"/>
      <c r="C91" s="590"/>
      <c r="D91" s="590"/>
      <c r="E91" s="590"/>
      <c r="F91" s="596">
        <v>-117383</v>
      </c>
      <c r="G91" s="596">
        <v>-117383</v>
      </c>
      <c r="H91" s="586"/>
      <c r="I91" s="586"/>
      <c r="J91" s="586" t="s">
        <v>3581</v>
      </c>
      <c r="K91" s="596">
        <v>18717</v>
      </c>
      <c r="L91" s="716"/>
      <c r="R91" s="712" t="s">
        <v>3707</v>
      </c>
      <c r="S91" s="716">
        <v>528857</v>
      </c>
      <c r="T91" s="716">
        <v>-687055</v>
      </c>
      <c r="U91" s="716">
        <v>0</v>
      </c>
    </row>
    <row r="92" spans="1:21" ht="15">
      <c r="A92" s="586" t="s">
        <v>3586</v>
      </c>
      <c r="B92" s="596">
        <v>2252</v>
      </c>
      <c r="C92" s="596">
        <v>8355</v>
      </c>
      <c r="D92" s="596">
        <v>329152</v>
      </c>
      <c r="E92" s="596">
        <v>757257</v>
      </c>
      <c r="F92" s="596">
        <v>96783</v>
      </c>
      <c r="G92" s="596">
        <v>96783</v>
      </c>
      <c r="H92" s="586"/>
      <c r="I92" s="586"/>
      <c r="J92" s="586" t="s">
        <v>3413</v>
      </c>
      <c r="K92" s="596">
        <v>912838</v>
      </c>
      <c r="L92" s="716">
        <v>839440</v>
      </c>
      <c r="R92" s="712" t="s">
        <v>3711</v>
      </c>
      <c r="S92" s="716">
        <v>-680520</v>
      </c>
      <c r="T92" s="716">
        <v>11553</v>
      </c>
      <c r="U92" s="716">
        <v>-24368</v>
      </c>
    </row>
    <row r="93" spans="1:21" ht="15">
      <c r="A93" s="586" t="s">
        <v>3581</v>
      </c>
      <c r="B93" s="590"/>
      <c r="C93" s="596">
        <v>0</v>
      </c>
      <c r="D93" s="596">
        <v>0</v>
      </c>
      <c r="E93" s="596">
        <v>101445</v>
      </c>
      <c r="F93" s="596">
        <v>29375</v>
      </c>
      <c r="G93" s="596">
        <v>29375</v>
      </c>
      <c r="H93" s="586"/>
      <c r="I93" s="586"/>
      <c r="J93" s="586" t="s">
        <v>3416</v>
      </c>
      <c r="K93" s="596">
        <v>151315</v>
      </c>
      <c r="L93" s="716">
        <v>238308</v>
      </c>
      <c r="R93" s="712" t="s">
        <v>3712</v>
      </c>
      <c r="S93" s="716">
        <v>0</v>
      </c>
      <c r="T93" s="716">
        <v>0</v>
      </c>
      <c r="U93" s="716">
        <v>-117383</v>
      </c>
    </row>
    <row r="94" spans="1:21" ht="15">
      <c r="A94" s="586" t="s">
        <v>3580</v>
      </c>
      <c r="B94" s="590"/>
      <c r="C94" s="596">
        <v>0</v>
      </c>
      <c r="D94" s="596">
        <v>500</v>
      </c>
      <c r="E94" s="596">
        <v>26518</v>
      </c>
      <c r="F94" s="596">
        <v>18793</v>
      </c>
      <c r="G94" s="596">
        <v>18793</v>
      </c>
      <c r="H94" s="586"/>
      <c r="I94" s="586"/>
      <c r="J94" s="586" t="s">
        <v>3660</v>
      </c>
      <c r="K94" s="596">
        <v>-71725</v>
      </c>
      <c r="L94" s="716">
        <v>20704</v>
      </c>
      <c r="R94" s="712" t="s">
        <v>3713</v>
      </c>
      <c r="S94" s="716">
        <v>0</v>
      </c>
      <c r="T94" s="716">
        <v>0</v>
      </c>
      <c r="U94" s="716">
        <v>-117650</v>
      </c>
    </row>
    <row r="95" spans="1:21" ht="15">
      <c r="A95" s="586" t="s">
        <v>3413</v>
      </c>
      <c r="B95" s="596">
        <v>31147</v>
      </c>
      <c r="C95" s="596">
        <v>70548</v>
      </c>
      <c r="D95" s="596">
        <v>820685</v>
      </c>
      <c r="E95" s="596">
        <v>1565823</v>
      </c>
      <c r="F95" s="596">
        <v>780668</v>
      </c>
      <c r="G95" s="596">
        <v>780668</v>
      </c>
      <c r="H95" s="586"/>
      <c r="I95" s="586"/>
      <c r="J95" s="586" t="s">
        <v>3661</v>
      </c>
      <c r="K95" s="596">
        <v>-687055</v>
      </c>
      <c r="L95" s="716">
        <f>528857-680520</f>
        <v>-151663</v>
      </c>
      <c r="R95" s="712" t="s">
        <v>3714</v>
      </c>
      <c r="S95" s="716">
        <v>0</v>
      </c>
      <c r="T95" s="716">
        <v>0</v>
      </c>
      <c r="U95" s="716">
        <v>96783</v>
      </c>
    </row>
    <row r="96" spans="1:21" ht="15">
      <c r="A96" s="586" t="s">
        <v>3582</v>
      </c>
      <c r="B96" s="590"/>
      <c r="C96" s="590"/>
      <c r="D96" s="590"/>
      <c r="E96" s="590"/>
      <c r="F96" s="596">
        <v>84042</v>
      </c>
      <c r="G96" s="596">
        <v>84042</v>
      </c>
      <c r="H96" s="586"/>
      <c r="I96" s="586"/>
      <c r="J96" s="586" t="s">
        <v>3585</v>
      </c>
      <c r="K96" s="596">
        <v>0</v>
      </c>
      <c r="R96" s="712" t="s">
        <v>3715</v>
      </c>
      <c r="S96" s="716">
        <v>0</v>
      </c>
      <c r="T96" s="716">
        <v>0</v>
      </c>
      <c r="U96" s="716">
        <v>-460878</v>
      </c>
    </row>
    <row r="97" spans="1:21" ht="15">
      <c r="A97" s="586" t="s">
        <v>3414</v>
      </c>
      <c r="B97" s="596">
        <v>-4679</v>
      </c>
      <c r="C97" s="596">
        <v>-2966</v>
      </c>
      <c r="D97" s="596">
        <v>22390</v>
      </c>
      <c r="E97" s="596">
        <v>-13051</v>
      </c>
      <c r="F97" s="596">
        <v>11059</v>
      </c>
      <c r="G97" s="596">
        <v>11059</v>
      </c>
      <c r="H97" s="586"/>
      <c r="I97" s="586"/>
      <c r="J97" s="586" t="s">
        <v>3662</v>
      </c>
      <c r="K97" s="596">
        <v>0</v>
      </c>
      <c r="R97" s="712" t="s">
        <v>3716</v>
      </c>
      <c r="S97" s="716">
        <v>0</v>
      </c>
      <c r="T97" s="716">
        <v>0</v>
      </c>
      <c r="U97" s="716">
        <v>298255</v>
      </c>
    </row>
    <row r="98" spans="1:21" ht="15">
      <c r="A98" s="586" t="s">
        <v>3415</v>
      </c>
      <c r="B98" s="596">
        <v>9073</v>
      </c>
      <c r="C98" s="596">
        <v>355</v>
      </c>
      <c r="D98" s="596">
        <v>1425</v>
      </c>
      <c r="E98" s="596">
        <v>-58</v>
      </c>
      <c r="F98" s="590"/>
      <c r="G98" s="590"/>
      <c r="H98" s="586"/>
      <c r="I98" s="586"/>
      <c r="J98" s="586" t="s">
        <v>3663</v>
      </c>
      <c r="K98" s="596">
        <v>0</v>
      </c>
      <c r="R98" s="712" t="s">
        <v>3588</v>
      </c>
      <c r="S98" s="716">
        <v>62246</v>
      </c>
      <c r="T98" s="716">
        <v>11336</v>
      </c>
      <c r="U98" s="716">
        <v>151118</v>
      </c>
    </row>
    <row r="99" spans="1:21" ht="15">
      <c r="A99" s="586" t="s">
        <v>3416</v>
      </c>
      <c r="B99" s="596">
        <v>-20903</v>
      </c>
      <c r="C99" s="596">
        <v>474</v>
      </c>
      <c r="D99" s="596">
        <v>-558329</v>
      </c>
      <c r="E99" s="596">
        <v>-468035</v>
      </c>
      <c r="F99" s="596">
        <v>-216334</v>
      </c>
      <c r="G99" s="596">
        <v>-216334</v>
      </c>
      <c r="H99" s="586"/>
      <c r="I99" s="586"/>
      <c r="J99" s="586" t="s">
        <v>3664</v>
      </c>
      <c r="K99" s="596">
        <v>0</v>
      </c>
      <c r="R99" s="712" t="s">
        <v>3422</v>
      </c>
      <c r="S99" s="714"/>
      <c r="T99" s="714"/>
      <c r="U99" s="714"/>
    </row>
    <row r="100" spans="1:21" ht="15">
      <c r="A100" s="586" t="s">
        <v>3417</v>
      </c>
      <c r="B100" s="596">
        <v>-3106</v>
      </c>
      <c r="C100" s="596">
        <v>1057</v>
      </c>
      <c r="D100" s="596">
        <v>-14944</v>
      </c>
      <c r="E100" s="596">
        <v>28516</v>
      </c>
      <c r="F100" s="596">
        <v>17190</v>
      </c>
      <c r="G100" s="596">
        <v>17190</v>
      </c>
      <c r="H100" s="586"/>
      <c r="I100" s="586"/>
      <c r="J100" s="586" t="s">
        <v>3665</v>
      </c>
      <c r="K100" s="596">
        <v>0</v>
      </c>
      <c r="R100" s="712" t="s">
        <v>3657</v>
      </c>
      <c r="S100" s="716">
        <v>-1983</v>
      </c>
      <c r="T100" s="716">
        <v>-100568</v>
      </c>
      <c r="U100" s="716">
        <v>84021</v>
      </c>
    </row>
    <row r="101" spans="1:21" ht="15">
      <c r="A101" s="586" t="s">
        <v>3418</v>
      </c>
      <c r="B101" s="596">
        <v>13323</v>
      </c>
      <c r="C101" s="596">
        <v>25012</v>
      </c>
      <c r="D101" s="596">
        <v>34542</v>
      </c>
      <c r="E101" s="596">
        <v>31123</v>
      </c>
      <c r="F101" s="596">
        <v>40429</v>
      </c>
      <c r="G101" s="596">
        <v>40429</v>
      </c>
      <c r="H101" s="586"/>
      <c r="I101" s="586"/>
      <c r="J101" s="586" t="s">
        <v>3588</v>
      </c>
      <c r="K101" s="596">
        <v>4172</v>
      </c>
      <c r="R101" s="712" t="s">
        <v>3717</v>
      </c>
      <c r="S101" s="716">
        <v>57152</v>
      </c>
      <c r="T101" s="716">
        <v>46829</v>
      </c>
      <c r="U101" s="716">
        <v>-115391</v>
      </c>
    </row>
    <row r="102" spans="1:21" ht="15">
      <c r="A102" s="586" t="s">
        <v>3419</v>
      </c>
      <c r="B102" s="596">
        <v>0</v>
      </c>
      <c r="C102" s="596">
        <v>3281</v>
      </c>
      <c r="D102" s="596">
        <v>-924</v>
      </c>
      <c r="E102" s="596">
        <v>-8312</v>
      </c>
      <c r="F102" s="590"/>
      <c r="G102" s="590"/>
      <c r="H102" s="586"/>
      <c r="I102" s="586"/>
      <c r="J102" s="586" t="s">
        <v>3589</v>
      </c>
      <c r="K102" s="596">
        <v>-478002</v>
      </c>
      <c r="R102" s="712" t="s">
        <v>3621</v>
      </c>
      <c r="S102" s="716">
        <v>-147449</v>
      </c>
      <c r="T102" s="716">
        <v>77099</v>
      </c>
      <c r="U102" s="716">
        <v>8547</v>
      </c>
    </row>
    <row r="103" spans="1:21" ht="15">
      <c r="A103" s="586" t="s">
        <v>3587</v>
      </c>
      <c r="B103" s="596">
        <v>5662</v>
      </c>
      <c r="C103" s="596">
        <v>-23682</v>
      </c>
      <c r="D103" s="596">
        <v>-178234</v>
      </c>
      <c r="E103" s="596">
        <v>-36666</v>
      </c>
      <c r="F103" s="596">
        <v>-145594</v>
      </c>
      <c r="G103" s="596">
        <v>-145594</v>
      </c>
      <c r="H103" s="586"/>
      <c r="I103" s="586"/>
      <c r="J103" s="586" t="s">
        <v>3424</v>
      </c>
      <c r="K103" s="596">
        <v>2556844</v>
      </c>
      <c r="R103" s="712" t="s">
        <v>3622</v>
      </c>
      <c r="S103" s="716">
        <v>-47228</v>
      </c>
      <c r="T103" s="716">
        <v>48564</v>
      </c>
      <c r="U103" s="716">
        <v>28033</v>
      </c>
    </row>
    <row r="104" spans="1:21" ht="15">
      <c r="A104" s="586" t="s">
        <v>3588</v>
      </c>
      <c r="B104" s="590"/>
      <c r="C104" s="590"/>
      <c r="D104" s="590"/>
      <c r="E104" s="590"/>
      <c r="F104" s="596">
        <v>16981</v>
      </c>
      <c r="G104" s="596">
        <v>16981</v>
      </c>
      <c r="H104" s="586"/>
      <c r="I104" s="586"/>
      <c r="J104" s="586" t="s">
        <v>3425</v>
      </c>
      <c r="K104" s="590"/>
      <c r="R104" s="712" t="s">
        <v>3623</v>
      </c>
      <c r="S104" s="716">
        <v>108101</v>
      </c>
      <c r="T104" s="716">
        <v>-2835</v>
      </c>
      <c r="U104" s="716">
        <v>43442</v>
      </c>
    </row>
    <row r="105" spans="1:21" ht="15">
      <c r="A105" s="586" t="s">
        <v>3589</v>
      </c>
      <c r="B105" s="590"/>
      <c r="C105" s="590"/>
      <c r="D105" s="590"/>
      <c r="E105" s="590"/>
      <c r="F105" s="596">
        <v>326206</v>
      </c>
      <c r="G105" s="596">
        <v>326206</v>
      </c>
      <c r="H105" s="586"/>
      <c r="I105" s="586"/>
      <c r="J105" s="586" t="s">
        <v>3666</v>
      </c>
      <c r="K105" s="596">
        <v>0</v>
      </c>
      <c r="L105" s="716">
        <v>-742038</v>
      </c>
      <c r="R105" s="712" t="s">
        <v>3718</v>
      </c>
      <c r="S105" s="716">
        <v>2426383</v>
      </c>
      <c r="T105" s="716">
        <v>3103935</v>
      </c>
      <c r="U105" s="716">
        <v>673376</v>
      </c>
    </row>
    <row r="106" spans="1:21" ht="15">
      <c r="A106" s="586" t="s">
        <v>3420</v>
      </c>
      <c r="B106" s="596">
        <v>-11408</v>
      </c>
      <c r="C106" s="596">
        <v>-94158</v>
      </c>
      <c r="D106" s="596">
        <v>-1015920</v>
      </c>
      <c r="E106" s="596">
        <v>-470591</v>
      </c>
      <c r="F106" s="596">
        <v>-460878</v>
      </c>
      <c r="G106" s="596">
        <v>-460878</v>
      </c>
      <c r="H106" s="586"/>
      <c r="I106" s="586"/>
      <c r="J106" s="586" t="s">
        <v>3667</v>
      </c>
      <c r="K106" s="596">
        <v>-1700055</v>
      </c>
      <c r="R106" s="719" t="s">
        <v>3425</v>
      </c>
      <c r="S106" s="714"/>
      <c r="T106" s="714"/>
      <c r="U106" s="714"/>
    </row>
    <row r="107" spans="1:21" ht="15">
      <c r="A107" s="586" t="s">
        <v>3421</v>
      </c>
      <c r="B107" s="596">
        <v>11622</v>
      </c>
      <c r="C107" s="596">
        <v>40205</v>
      </c>
      <c r="D107" s="596">
        <v>815783</v>
      </c>
      <c r="E107" s="596">
        <v>383221</v>
      </c>
      <c r="F107" s="596">
        <v>298255</v>
      </c>
      <c r="G107" s="596">
        <v>298255</v>
      </c>
      <c r="H107" s="586"/>
      <c r="I107" s="586"/>
      <c r="J107" s="586" t="s">
        <v>3668</v>
      </c>
      <c r="K107" s="596">
        <v>1488500</v>
      </c>
      <c r="R107" s="712" t="s">
        <v>3433</v>
      </c>
      <c r="S107" s="716">
        <v>-12453223</v>
      </c>
      <c r="T107" s="716">
        <v>-7364193</v>
      </c>
      <c r="U107" s="716">
        <v>-923336</v>
      </c>
    </row>
    <row r="108" spans="1:21" ht="15">
      <c r="A108" s="586" t="s">
        <v>3584</v>
      </c>
      <c r="B108" s="596">
        <v>0</v>
      </c>
      <c r="C108" s="596">
        <v>5254</v>
      </c>
      <c r="D108" s="596">
        <v>-32056</v>
      </c>
      <c r="E108" s="596">
        <v>7410</v>
      </c>
      <c r="F108" s="596">
        <v>-41033</v>
      </c>
      <c r="G108" s="596">
        <v>-41033</v>
      </c>
      <c r="H108" s="586"/>
      <c r="I108" s="586"/>
      <c r="J108" s="586" t="s">
        <v>3669</v>
      </c>
      <c r="K108" s="596">
        <v>0</v>
      </c>
      <c r="R108" s="712" t="s">
        <v>3591</v>
      </c>
      <c r="S108" s="716">
        <v>11664530</v>
      </c>
      <c r="T108" s="716">
        <v>7189488</v>
      </c>
      <c r="U108" s="716">
        <v>647448</v>
      </c>
    </row>
    <row r="109" spans="1:21" ht="15">
      <c r="A109" s="586" t="s">
        <v>3618</v>
      </c>
      <c r="B109" s="596">
        <v>0</v>
      </c>
      <c r="C109" s="596">
        <v>0</v>
      </c>
      <c r="D109" s="596">
        <v>5031</v>
      </c>
      <c r="E109" s="596">
        <v>9253</v>
      </c>
      <c r="F109" s="590"/>
      <c r="G109" s="590"/>
      <c r="H109" s="586"/>
      <c r="I109" s="586"/>
      <c r="J109" s="586" t="s">
        <v>3670</v>
      </c>
      <c r="K109" s="596">
        <v>0</v>
      </c>
      <c r="R109" s="712" t="s">
        <v>3592</v>
      </c>
      <c r="S109" s="716">
        <v>-16009</v>
      </c>
      <c r="T109" s="716">
        <v>-100929</v>
      </c>
      <c r="U109" s="716">
        <v>-159835</v>
      </c>
    </row>
    <row r="110" spans="1:21" ht="15">
      <c r="A110" s="586" t="s">
        <v>3583</v>
      </c>
      <c r="B110" s="596">
        <v>245</v>
      </c>
      <c r="C110" s="596">
        <v>150</v>
      </c>
      <c r="D110" s="596">
        <v>-20138</v>
      </c>
      <c r="E110" s="596">
        <v>3056</v>
      </c>
      <c r="F110" s="596">
        <v>-50121</v>
      </c>
      <c r="G110" s="596">
        <v>-50121</v>
      </c>
      <c r="H110" s="586"/>
      <c r="I110" s="586"/>
      <c r="J110" s="586" t="s">
        <v>3597</v>
      </c>
      <c r="K110" s="596">
        <v>-70830</v>
      </c>
      <c r="R110" s="712" t="s">
        <v>3719</v>
      </c>
      <c r="S110" s="716">
        <v>16188</v>
      </c>
      <c r="T110" s="716">
        <v>147096</v>
      </c>
      <c r="U110" s="716">
        <v>196028</v>
      </c>
    </row>
    <row r="111" spans="1:21" ht="15">
      <c r="A111" s="605" t="s">
        <v>3422</v>
      </c>
      <c r="B111" s="585"/>
      <c r="C111" s="585"/>
      <c r="D111" s="585"/>
      <c r="E111" s="585"/>
      <c r="F111" s="585"/>
      <c r="G111" s="585"/>
      <c r="H111" s="586"/>
      <c r="I111" s="586"/>
      <c r="J111" s="586" t="s">
        <v>3624</v>
      </c>
      <c r="K111" s="596">
        <v>-282385</v>
      </c>
      <c r="R111" s="712" t="s">
        <v>3720</v>
      </c>
      <c r="S111" s="716">
        <v>-742038</v>
      </c>
      <c r="T111" s="716">
        <v>0</v>
      </c>
      <c r="U111" s="716">
        <v>-30730</v>
      </c>
    </row>
    <row r="112" spans="1:21" ht="15">
      <c r="A112" s="586" t="s">
        <v>3377</v>
      </c>
      <c r="B112" s="596">
        <v>35303</v>
      </c>
      <c r="C112" s="596">
        <v>37936</v>
      </c>
      <c r="D112" s="596">
        <v>-77471</v>
      </c>
      <c r="E112" s="596">
        <v>-848138</v>
      </c>
      <c r="F112" s="590"/>
      <c r="G112" s="590"/>
      <c r="H112" s="586"/>
      <c r="I112" s="586"/>
      <c r="J112" s="586" t="s">
        <v>3434</v>
      </c>
      <c r="K112" s="590"/>
      <c r="R112" s="712" t="s">
        <v>3721</v>
      </c>
      <c r="S112" s="716">
        <v>-787821</v>
      </c>
      <c r="T112" s="716">
        <v>-35182</v>
      </c>
      <c r="U112" s="716">
        <v>0</v>
      </c>
    </row>
    <row r="113" spans="1:21" ht="15">
      <c r="A113" s="586" t="s">
        <v>3619</v>
      </c>
      <c r="B113" s="596">
        <v>30703</v>
      </c>
      <c r="C113" s="596">
        <v>-117167</v>
      </c>
      <c r="D113" s="596">
        <v>28511</v>
      </c>
      <c r="E113" s="596">
        <v>-141023</v>
      </c>
      <c r="F113" s="590"/>
      <c r="G113" s="590"/>
      <c r="H113" s="586"/>
      <c r="I113" s="586"/>
      <c r="J113" s="586" t="s">
        <v>3598</v>
      </c>
      <c r="K113" s="596">
        <v>126140</v>
      </c>
      <c r="R113" s="712" t="s">
        <v>3722</v>
      </c>
      <c r="S113" s="716">
        <v>266546</v>
      </c>
      <c r="T113" s="716">
        <v>91925</v>
      </c>
      <c r="U113" s="716">
        <v>0</v>
      </c>
    </row>
    <row r="114" spans="1:21" ht="15">
      <c r="A114" s="586" t="s">
        <v>3620</v>
      </c>
      <c r="B114" s="590"/>
      <c r="C114" s="596">
        <v>-39989</v>
      </c>
      <c r="D114" s="596">
        <v>-36527</v>
      </c>
      <c r="E114" s="596">
        <v>28952</v>
      </c>
      <c r="F114" s="590"/>
      <c r="G114" s="590"/>
      <c r="H114" s="586"/>
      <c r="I114" s="586"/>
      <c r="J114" s="586" t="s">
        <v>3599</v>
      </c>
      <c r="K114" s="596">
        <v>-117225</v>
      </c>
      <c r="R114" s="712" t="s">
        <v>3430</v>
      </c>
      <c r="S114" s="716">
        <v>-377426</v>
      </c>
      <c r="T114" s="716">
        <v>-59915</v>
      </c>
      <c r="U114" s="716">
        <v>-18835</v>
      </c>
    </row>
    <row r="115" spans="1:21" ht="15">
      <c r="A115" s="586" t="s">
        <v>3621</v>
      </c>
      <c r="B115" s="596">
        <v>-1912</v>
      </c>
      <c r="C115" s="596">
        <v>86791</v>
      </c>
      <c r="D115" s="596">
        <v>-62145</v>
      </c>
      <c r="E115" s="596">
        <v>1906</v>
      </c>
      <c r="F115" s="590"/>
      <c r="G115" s="590"/>
      <c r="H115" s="586"/>
      <c r="I115" s="586"/>
      <c r="J115" s="586" t="s">
        <v>3658</v>
      </c>
      <c r="K115" s="596">
        <v>1638087</v>
      </c>
      <c r="R115" s="712" t="s">
        <v>3723</v>
      </c>
      <c r="S115" s="716">
        <v>490298</v>
      </c>
      <c r="T115" s="716">
        <v>5001</v>
      </c>
      <c r="U115" s="716">
        <v>3543</v>
      </c>
    </row>
    <row r="116" spans="1:21" ht="15">
      <c r="A116" s="586" t="s">
        <v>3622</v>
      </c>
      <c r="B116" s="596">
        <v>-38594</v>
      </c>
      <c r="C116" s="596">
        <v>-48677</v>
      </c>
      <c r="D116" s="596">
        <v>-20060</v>
      </c>
      <c r="E116" s="596">
        <v>19237</v>
      </c>
      <c r="F116" s="590"/>
      <c r="G116" s="590"/>
      <c r="H116" s="586"/>
      <c r="I116" s="586"/>
      <c r="J116" s="586" t="s">
        <v>3601</v>
      </c>
      <c r="K116" s="596">
        <v>1246025</v>
      </c>
      <c r="R116" s="712" t="s">
        <v>3724</v>
      </c>
      <c r="S116" s="716">
        <v>0</v>
      </c>
      <c r="T116" s="716">
        <v>0</v>
      </c>
      <c r="U116" s="716">
        <v>-279868</v>
      </c>
    </row>
    <row r="117" spans="1:21" ht="15">
      <c r="A117" s="605" t="s">
        <v>3434</v>
      </c>
      <c r="B117" s="585"/>
      <c r="C117" s="585"/>
      <c r="D117" s="585"/>
      <c r="E117" s="585"/>
      <c r="F117" s="585"/>
      <c r="G117" s="585"/>
      <c r="H117" s="586"/>
      <c r="I117" s="586"/>
      <c r="J117" s="586" t="s">
        <v>3671</v>
      </c>
      <c r="K117" s="596">
        <v>-104110</v>
      </c>
      <c r="R117" s="712" t="s">
        <v>3725</v>
      </c>
      <c r="S117" s="716">
        <v>0</v>
      </c>
      <c r="T117" s="716">
        <v>0</v>
      </c>
      <c r="U117" s="716">
        <v>466299</v>
      </c>
    </row>
    <row r="118" spans="1:21" ht="15">
      <c r="A118" s="586" t="s">
        <v>3598</v>
      </c>
      <c r="B118" s="590"/>
      <c r="C118" s="590"/>
      <c r="D118" s="590"/>
      <c r="E118" s="590"/>
      <c r="F118" s="596">
        <v>47944</v>
      </c>
      <c r="G118" s="596">
        <v>47944</v>
      </c>
      <c r="H118" s="586"/>
      <c r="I118" s="586"/>
      <c r="J118" s="586" t="s">
        <v>3604</v>
      </c>
      <c r="K118" s="596">
        <v>0</v>
      </c>
      <c r="R118" s="712" t="s">
        <v>3597</v>
      </c>
      <c r="S118" s="716">
        <v>-110595</v>
      </c>
      <c r="T118" s="716">
        <v>-74294</v>
      </c>
      <c r="U118" s="716">
        <v>-106890</v>
      </c>
    </row>
    <row r="119" spans="1:21" ht="15">
      <c r="A119" s="586" t="s">
        <v>3599</v>
      </c>
      <c r="B119" s="590"/>
      <c r="C119" s="590"/>
      <c r="D119" s="590"/>
      <c r="E119" s="590"/>
      <c r="F119" s="596">
        <v>-277798</v>
      </c>
      <c r="G119" s="596">
        <v>-277798</v>
      </c>
      <c r="H119" s="586"/>
      <c r="I119" s="586"/>
      <c r="J119" s="586" t="s">
        <v>3672</v>
      </c>
      <c r="K119" s="596">
        <v>567806</v>
      </c>
      <c r="R119" s="712" t="s">
        <v>3726</v>
      </c>
      <c r="S119" s="716">
        <v>-2049550</v>
      </c>
      <c r="T119" s="716">
        <v>-201003</v>
      </c>
      <c r="U119" s="716">
        <v>-206176</v>
      </c>
    </row>
    <row r="120" spans="1:21" ht="15">
      <c r="A120" s="586" t="s">
        <v>3600</v>
      </c>
      <c r="B120" s="590"/>
      <c r="C120" s="590"/>
      <c r="D120" s="590"/>
      <c r="E120" s="590"/>
      <c r="F120" s="596">
        <v>16297</v>
      </c>
      <c r="G120" s="596">
        <v>16297</v>
      </c>
      <c r="H120" s="586"/>
      <c r="I120" s="586"/>
      <c r="J120" s="586" t="s">
        <v>3673</v>
      </c>
      <c r="K120" s="596">
        <v>-544228</v>
      </c>
      <c r="R120" s="719" t="s">
        <v>3434</v>
      </c>
      <c r="S120" s="714"/>
      <c r="T120" s="714"/>
      <c r="U120" s="714"/>
    </row>
    <row r="121" spans="1:21" ht="15">
      <c r="A121" s="586" t="s">
        <v>3390</v>
      </c>
      <c r="B121" s="596">
        <v>-130122</v>
      </c>
      <c r="C121" s="590"/>
      <c r="D121" s="590"/>
      <c r="E121" s="590"/>
      <c r="F121" s="596">
        <v>-274822</v>
      </c>
      <c r="G121" s="596">
        <v>-274822</v>
      </c>
      <c r="H121" s="586"/>
      <c r="I121" s="586"/>
      <c r="J121" s="586" t="s">
        <v>3607</v>
      </c>
      <c r="K121" s="596">
        <v>0</v>
      </c>
      <c r="R121" s="712" t="s">
        <v>3598</v>
      </c>
      <c r="S121" s="716">
        <v>78286</v>
      </c>
      <c r="T121" s="716">
        <v>126140</v>
      </c>
      <c r="U121" s="716">
        <v>47944</v>
      </c>
    </row>
    <row r="122" spans="1:21" ht="15">
      <c r="A122" s="586" t="s">
        <v>3601</v>
      </c>
      <c r="B122" s="590"/>
      <c r="C122" s="590"/>
      <c r="D122" s="590"/>
      <c r="E122" s="590"/>
      <c r="F122" s="596">
        <v>0</v>
      </c>
      <c r="G122" s="596">
        <v>0</v>
      </c>
      <c r="H122" s="586"/>
      <c r="I122" s="586"/>
      <c r="J122" s="586" t="s">
        <v>3608</v>
      </c>
      <c r="K122" s="596">
        <v>0</v>
      </c>
      <c r="R122" s="712" t="s">
        <v>3727</v>
      </c>
      <c r="S122" s="716">
        <v>2957135</v>
      </c>
      <c r="T122" s="716">
        <v>1246025</v>
      </c>
      <c r="U122" s="716">
        <v>0</v>
      </c>
    </row>
    <row r="123" spans="1:21" ht="15">
      <c r="A123" s="586" t="s">
        <v>3602</v>
      </c>
      <c r="B123" s="590"/>
      <c r="C123" s="590"/>
      <c r="D123" s="590"/>
      <c r="E123" s="590"/>
      <c r="F123" s="596">
        <v>0</v>
      </c>
      <c r="G123" s="596">
        <v>0</v>
      </c>
      <c r="H123" s="586"/>
      <c r="I123" s="586"/>
      <c r="J123" s="586" t="s">
        <v>3674</v>
      </c>
      <c r="K123" s="596">
        <v>16426</v>
      </c>
      <c r="R123" s="712" t="s">
        <v>3728</v>
      </c>
      <c r="S123" s="716">
        <v>-790195</v>
      </c>
      <c r="T123" s="716">
        <v>0</v>
      </c>
      <c r="U123" s="716">
        <v>0</v>
      </c>
    </row>
    <row r="124" spans="1:21" ht="15">
      <c r="A124" s="586" t="s">
        <v>3603</v>
      </c>
      <c r="B124" s="590"/>
      <c r="C124" s="590"/>
      <c r="D124" s="590"/>
      <c r="E124" s="590"/>
      <c r="F124" s="596">
        <v>0</v>
      </c>
      <c r="G124" s="596">
        <v>0</v>
      </c>
      <c r="H124" s="586"/>
      <c r="I124" s="586"/>
      <c r="J124" s="586" t="s">
        <v>3675</v>
      </c>
      <c r="K124" s="596">
        <v>2828921</v>
      </c>
      <c r="R124" s="712" t="s">
        <v>3604</v>
      </c>
      <c r="S124" s="716">
        <v>0</v>
      </c>
      <c r="T124" s="716">
        <v>0</v>
      </c>
      <c r="U124" s="716">
        <v>-303533</v>
      </c>
    </row>
    <row r="125" spans="1:21" ht="15">
      <c r="A125" s="586" t="s">
        <v>3604</v>
      </c>
      <c r="B125" s="590"/>
      <c r="C125" s="590"/>
      <c r="D125" s="590"/>
      <c r="E125" s="590"/>
      <c r="F125" s="596">
        <v>-303533</v>
      </c>
      <c r="G125" s="596">
        <v>-303533</v>
      </c>
      <c r="H125" s="586"/>
      <c r="I125" s="586"/>
      <c r="J125" s="586" t="s">
        <v>3676</v>
      </c>
      <c r="K125" s="596">
        <v>5103380</v>
      </c>
      <c r="R125" s="712" t="s">
        <v>3671</v>
      </c>
      <c r="S125" s="716">
        <v>-224250</v>
      </c>
      <c r="T125" s="716">
        <v>-104110</v>
      </c>
      <c r="U125" s="716">
        <v>0</v>
      </c>
    </row>
    <row r="126" spans="1:21" ht="15">
      <c r="A126" s="586" t="s">
        <v>3605</v>
      </c>
      <c r="B126" s="590"/>
      <c r="C126" s="590"/>
      <c r="D126" s="590"/>
      <c r="E126" s="590"/>
      <c r="F126" s="596">
        <v>66014</v>
      </c>
      <c r="G126" s="596">
        <v>66014</v>
      </c>
      <c r="H126" s="586"/>
      <c r="I126" s="586"/>
      <c r="J126" s="586" t="s">
        <v>3677</v>
      </c>
      <c r="K126" s="596">
        <v>-48367</v>
      </c>
      <c r="R126" s="712" t="s">
        <v>3658</v>
      </c>
      <c r="S126" s="716">
        <v>-936205</v>
      </c>
      <c r="T126" s="716">
        <v>1638087</v>
      </c>
      <c r="U126" s="716">
        <v>-274822</v>
      </c>
    </row>
    <row r="127" spans="1:21" ht="15">
      <c r="A127" s="586" t="s">
        <v>3606</v>
      </c>
      <c r="B127" s="590"/>
      <c r="C127" s="590"/>
      <c r="D127" s="590"/>
      <c r="E127" s="590"/>
      <c r="F127" s="596">
        <v>-64952</v>
      </c>
      <c r="G127" s="596">
        <v>-64952</v>
      </c>
      <c r="H127" s="586"/>
      <c r="I127" s="586"/>
      <c r="J127" s="586" t="s">
        <v>3678</v>
      </c>
      <c r="K127" s="596">
        <v>9555429</v>
      </c>
      <c r="R127" s="712" t="s">
        <v>3729</v>
      </c>
      <c r="S127" s="716">
        <v>871389</v>
      </c>
      <c r="T127" s="716">
        <v>567806</v>
      </c>
      <c r="U127" s="716">
        <v>321398</v>
      </c>
    </row>
    <row r="128" spans="1:21" ht="15">
      <c r="A128" s="586" t="s">
        <v>3607</v>
      </c>
      <c r="B128" s="590"/>
      <c r="C128" s="590"/>
      <c r="D128" s="590"/>
      <c r="E128" s="590"/>
      <c r="F128" s="596">
        <v>31640</v>
      </c>
      <c r="G128" s="596">
        <v>31640</v>
      </c>
      <c r="H128" s="586"/>
      <c r="I128" s="586"/>
      <c r="J128" s="586" t="s">
        <v>3679</v>
      </c>
      <c r="K128" s="593">
        <v>14610442</v>
      </c>
      <c r="R128" s="712" t="s">
        <v>3730</v>
      </c>
      <c r="S128" s="716">
        <v>-891967</v>
      </c>
      <c r="T128" s="716">
        <v>-544228</v>
      </c>
      <c r="U128" s="716">
        <v>-347209</v>
      </c>
    </row>
    <row r="129" spans="1:21" ht="15">
      <c r="A129" s="586" t="s">
        <v>3608</v>
      </c>
      <c r="B129" s="590"/>
      <c r="C129" s="590"/>
      <c r="D129" s="590"/>
      <c r="E129" s="590"/>
      <c r="F129" s="596">
        <v>-52122</v>
      </c>
      <c r="G129" s="596">
        <v>-52122</v>
      </c>
      <c r="H129" s="586"/>
      <c r="I129" s="586"/>
      <c r="J129" s="586" t="s">
        <v>3679</v>
      </c>
      <c r="K129" s="593">
        <v>14610442</v>
      </c>
      <c r="R129" s="712" t="s">
        <v>3599</v>
      </c>
      <c r="S129" s="716">
        <v>-402791</v>
      </c>
      <c r="T129" s="716">
        <v>-117225</v>
      </c>
      <c r="U129" s="716">
        <v>-277798</v>
      </c>
    </row>
    <row r="130" spans="1:21" ht="15">
      <c r="A130" s="586" t="s">
        <v>3609</v>
      </c>
      <c r="B130" s="590"/>
      <c r="C130" s="590"/>
      <c r="D130" s="590"/>
      <c r="E130" s="590"/>
      <c r="F130" s="596">
        <v>0</v>
      </c>
      <c r="G130" s="596">
        <v>0</v>
      </c>
      <c r="H130" s="586"/>
      <c r="I130" s="586"/>
      <c r="J130" s="596"/>
      <c r="K130" s="596"/>
      <c r="R130" s="712" t="s">
        <v>3607</v>
      </c>
      <c r="S130" s="716">
        <v>626428</v>
      </c>
      <c r="T130" s="716">
        <v>122566</v>
      </c>
      <c r="U130" s="716">
        <v>31640</v>
      </c>
    </row>
    <row r="131" spans="1:21" ht="15">
      <c r="A131" s="586" t="s">
        <v>3610</v>
      </c>
      <c r="B131" s="590"/>
      <c r="C131" s="590"/>
      <c r="D131" s="590"/>
      <c r="E131" s="590"/>
      <c r="F131" s="596">
        <v>-811332</v>
      </c>
      <c r="G131" s="596">
        <v>-811332</v>
      </c>
      <c r="H131" s="586"/>
      <c r="I131" s="586"/>
      <c r="J131" s="596"/>
      <c r="K131" s="596"/>
      <c r="R131" s="712" t="s">
        <v>3608</v>
      </c>
      <c r="S131" s="716">
        <v>-580664</v>
      </c>
      <c r="T131" s="716">
        <v>-48407</v>
      </c>
      <c r="U131" s="716">
        <v>-52122</v>
      </c>
    </row>
    <row r="132" spans="1:21" ht="15">
      <c r="A132" s="586" t="s">
        <v>3435</v>
      </c>
      <c r="B132" s="590"/>
      <c r="C132" s="590"/>
      <c r="D132" s="590"/>
      <c r="E132" s="590"/>
      <c r="F132" s="596">
        <v>117011</v>
      </c>
      <c r="G132" s="596">
        <v>117011</v>
      </c>
      <c r="H132" s="586"/>
      <c r="I132" s="586"/>
      <c r="J132" s="596"/>
      <c r="K132" s="596"/>
      <c r="R132" s="712" t="s">
        <v>3674</v>
      </c>
      <c r="S132" s="716">
        <v>33116</v>
      </c>
      <c r="T132" s="716">
        <v>16424</v>
      </c>
      <c r="U132" s="716">
        <v>16297</v>
      </c>
    </row>
    <row r="133" spans="1:21" ht="15">
      <c r="A133" s="586" t="s">
        <v>3611</v>
      </c>
      <c r="B133" s="590"/>
      <c r="C133" s="590"/>
      <c r="D133" s="590"/>
      <c r="E133" s="590"/>
      <c r="F133" s="596">
        <v>8772</v>
      </c>
      <c r="G133" s="596">
        <v>8772</v>
      </c>
      <c r="H133" s="586"/>
      <c r="I133" s="586"/>
      <c r="J133" s="596"/>
      <c r="K133" s="596"/>
      <c r="R133" s="712" t="s">
        <v>3675</v>
      </c>
      <c r="S133" s="716">
        <v>740282</v>
      </c>
      <c r="T133" s="716">
        <v>2903078</v>
      </c>
      <c r="U133" s="716">
        <v>-838205</v>
      </c>
    </row>
    <row r="134" spans="1:21" ht="15">
      <c r="A134" s="586" t="s">
        <v>3612</v>
      </c>
      <c r="B134" s="590"/>
      <c r="C134" s="590"/>
      <c r="D134" s="590"/>
      <c r="E134" s="590"/>
      <c r="F134" s="596">
        <v>9429646</v>
      </c>
      <c r="G134" s="596">
        <v>9429646</v>
      </c>
      <c r="H134" s="586"/>
      <c r="I134" s="586"/>
      <c r="J134" s="586"/>
      <c r="K134" s="604" t="s">
        <v>3371</v>
      </c>
      <c r="R134" s="712" t="s">
        <v>3676</v>
      </c>
      <c r="S134" s="716">
        <v>1117115</v>
      </c>
      <c r="T134" s="716">
        <v>5806010</v>
      </c>
      <c r="U134" s="716">
        <v>-371005</v>
      </c>
    </row>
    <row r="135" spans="1:21" ht="15">
      <c r="A135" s="586" t="s">
        <v>3613</v>
      </c>
      <c r="B135" s="590"/>
      <c r="C135" s="590"/>
      <c r="D135" s="590"/>
      <c r="E135" s="590"/>
      <c r="F135" s="593">
        <v>9555429</v>
      </c>
      <c r="G135" s="593">
        <v>9555429</v>
      </c>
      <c r="H135" s="586"/>
      <c r="I135" s="586"/>
      <c r="J135" s="586"/>
      <c r="K135" s="585">
        <v>2024</v>
      </c>
      <c r="R135" s="712" t="s">
        <v>3677</v>
      </c>
      <c r="S135" s="716">
        <v>92850</v>
      </c>
      <c r="T135" s="716">
        <v>-48367</v>
      </c>
      <c r="U135" s="716">
        <v>8772</v>
      </c>
    </row>
    <row r="136" spans="1:21" ht="15">
      <c r="A136" s="605" t="s">
        <v>3614</v>
      </c>
      <c r="B136" s="585"/>
      <c r="C136" s="585"/>
      <c r="D136" s="585"/>
      <c r="E136" s="585"/>
      <c r="F136" s="585"/>
      <c r="G136" s="585"/>
      <c r="H136" s="586"/>
      <c r="I136" s="586"/>
      <c r="J136" s="586" t="s">
        <v>3682</v>
      </c>
      <c r="K136" s="593">
        <v>361760</v>
      </c>
      <c r="R136" s="712" t="s">
        <v>3678</v>
      </c>
      <c r="S136" s="716">
        <v>15683455</v>
      </c>
      <c r="T136" s="716">
        <v>9925812</v>
      </c>
      <c r="U136" s="716">
        <v>10288045</v>
      </c>
    </row>
    <row r="137" spans="1:21" ht="15">
      <c r="A137" s="586" t="s">
        <v>3615</v>
      </c>
      <c r="B137" s="590"/>
      <c r="C137" s="590"/>
      <c r="D137" s="590"/>
      <c r="E137" s="590"/>
      <c r="F137" s="593">
        <v>76142</v>
      </c>
      <c r="G137" s="593">
        <v>76142</v>
      </c>
      <c r="H137" s="586"/>
      <c r="I137" s="586"/>
      <c r="J137" s="586" t="s">
        <v>3683</v>
      </c>
      <c r="K137" s="596">
        <v>22938</v>
      </c>
      <c r="R137" s="712" t="s">
        <v>3679</v>
      </c>
      <c r="S137" s="715">
        <v>16893420</v>
      </c>
      <c r="T137" s="715">
        <v>15683455</v>
      </c>
      <c r="U137" s="715">
        <v>9925812</v>
      </c>
    </row>
    <row r="138" spans="1:21">
      <c r="A138" s="586" t="s">
        <v>3616</v>
      </c>
      <c r="B138" s="590"/>
      <c r="C138" s="590"/>
      <c r="D138" s="590"/>
      <c r="E138" s="590"/>
      <c r="F138" s="596">
        <v>39122</v>
      </c>
      <c r="G138" s="596">
        <v>39122</v>
      </c>
      <c r="H138" s="586"/>
      <c r="I138" s="586"/>
      <c r="J138" s="586" t="s">
        <v>3684</v>
      </c>
      <c r="K138" s="596">
        <v>384698</v>
      </c>
    </row>
    <row r="139" spans="1:21">
      <c r="A139" s="586" t="s">
        <v>3617</v>
      </c>
      <c r="B139" s="590"/>
      <c r="C139" s="590"/>
      <c r="D139" s="590"/>
      <c r="E139" s="590"/>
      <c r="F139" s="596">
        <v>14730</v>
      </c>
      <c r="G139" s="596">
        <v>14730</v>
      </c>
      <c r="H139" s="586"/>
      <c r="I139" s="586"/>
      <c r="J139" s="586" t="s">
        <v>3685</v>
      </c>
      <c r="K139" s="596">
        <v>-184618</v>
      </c>
    </row>
    <row r="140" spans="1:21">
      <c r="A140" s="586" t="s">
        <v>3579</v>
      </c>
      <c r="B140" s="596">
        <v>-2387</v>
      </c>
      <c r="C140" s="596">
        <v>6090</v>
      </c>
      <c r="D140" s="596">
        <v>27330</v>
      </c>
      <c r="E140" s="596">
        <v>18612</v>
      </c>
      <c r="F140" s="590"/>
      <c r="G140" s="590"/>
      <c r="H140" s="586"/>
      <c r="I140" s="586"/>
      <c r="J140" s="586" t="s">
        <v>3686</v>
      </c>
      <c r="K140" s="593">
        <v>200080</v>
      </c>
    </row>
    <row r="141" spans="1:21">
      <c r="A141" s="586" t="s">
        <v>3423</v>
      </c>
      <c r="B141" s="596">
        <v>-11025</v>
      </c>
      <c r="C141" s="596">
        <v>-24998</v>
      </c>
      <c r="D141" s="596">
        <v>-20596</v>
      </c>
      <c r="E141" s="596">
        <v>-10223</v>
      </c>
      <c r="F141" s="590"/>
      <c r="G141" s="590"/>
      <c r="H141" s="586"/>
      <c r="I141" s="586"/>
      <c r="J141" s="590"/>
      <c r="K141" s="590"/>
    </row>
    <row r="142" spans="1:21">
      <c r="A142" s="586" t="s">
        <v>3623</v>
      </c>
      <c r="B142" s="596">
        <v>17721</v>
      </c>
      <c r="C142" s="596">
        <v>6398</v>
      </c>
      <c r="D142" s="596">
        <v>302396</v>
      </c>
      <c r="E142" s="596">
        <v>-100771</v>
      </c>
      <c r="F142" s="590"/>
      <c r="G142" s="590"/>
      <c r="H142" s="586"/>
      <c r="I142" s="586"/>
      <c r="J142" s="593"/>
      <c r="K142" s="593"/>
    </row>
    <row r="143" spans="1:21">
      <c r="A143" s="586" t="s">
        <v>3424</v>
      </c>
      <c r="B143" s="596">
        <v>-80594</v>
      </c>
      <c r="C143" s="596">
        <v>293548</v>
      </c>
      <c r="D143" s="596">
        <v>4038172</v>
      </c>
      <c r="E143" s="596">
        <v>-1585419</v>
      </c>
      <c r="F143" s="596">
        <v>922951</v>
      </c>
      <c r="G143" s="596">
        <v>922951</v>
      </c>
      <c r="H143" s="586"/>
      <c r="I143" s="586"/>
      <c r="J143" s="596"/>
      <c r="K143" s="596"/>
    </row>
    <row r="144" spans="1:21" ht="15">
      <c r="A144" s="605" t="s">
        <v>3425</v>
      </c>
      <c r="B144" s="585"/>
      <c r="C144" s="585"/>
      <c r="D144" s="585"/>
      <c r="E144" s="585"/>
      <c r="F144" s="585"/>
      <c r="G144" s="585"/>
      <c r="H144" s="586"/>
      <c r="I144" s="586"/>
      <c r="J144" s="596"/>
      <c r="K144" s="596"/>
    </row>
    <row r="145" spans="1:9">
      <c r="A145" s="586" t="s">
        <v>3426</v>
      </c>
      <c r="B145" s="596">
        <v>-33521</v>
      </c>
      <c r="C145" s="596">
        <v>-9913</v>
      </c>
      <c r="D145" s="596">
        <v>-2910</v>
      </c>
      <c r="E145" s="596">
        <v>-2933</v>
      </c>
      <c r="F145" s="590"/>
      <c r="G145" s="590"/>
      <c r="H145" s="594"/>
      <c r="I145" s="594"/>
    </row>
    <row r="146" spans="1:9">
      <c r="A146" s="586" t="s">
        <v>3427</v>
      </c>
      <c r="B146" s="596">
        <v>2293</v>
      </c>
      <c r="C146" s="596">
        <v>0</v>
      </c>
      <c r="D146" s="596">
        <v>31</v>
      </c>
      <c r="E146" s="596">
        <v>83</v>
      </c>
      <c r="F146" s="590"/>
      <c r="G146" s="590"/>
      <c r="H146" s="591"/>
      <c r="I146" s="591"/>
    </row>
    <row r="147" spans="1:9">
      <c r="A147" s="586" t="s">
        <v>3428</v>
      </c>
      <c r="B147" s="596">
        <v>-6950</v>
      </c>
      <c r="C147" s="596">
        <v>-8889</v>
      </c>
      <c r="D147" s="596">
        <v>-22073</v>
      </c>
      <c r="E147" s="596">
        <v>-61038</v>
      </c>
      <c r="F147" s="596">
        <v>-63202</v>
      </c>
      <c r="G147" s="596">
        <v>-63202</v>
      </c>
      <c r="H147" s="589"/>
      <c r="I147" s="589"/>
    </row>
    <row r="148" spans="1:9">
      <c r="A148" s="586" t="s">
        <v>3429</v>
      </c>
      <c r="B148" s="596">
        <v>-5698</v>
      </c>
      <c r="C148" s="596">
        <v>33615</v>
      </c>
      <c r="D148" s="596">
        <v>-70911</v>
      </c>
      <c r="E148" s="596">
        <v>-186150</v>
      </c>
      <c r="F148" s="596">
        <v>-30730</v>
      </c>
      <c r="G148" s="596">
        <v>-30730</v>
      </c>
      <c r="H148" s="591"/>
      <c r="I148" s="591"/>
    </row>
    <row r="149" spans="1:9">
      <c r="A149" s="586" t="s">
        <v>3430</v>
      </c>
      <c r="B149" s="596">
        <v>-7938</v>
      </c>
      <c r="C149" s="596">
        <v>-10329</v>
      </c>
      <c r="D149" s="596">
        <v>-326513</v>
      </c>
      <c r="E149" s="596">
        <v>-63048</v>
      </c>
      <c r="F149" s="596">
        <v>-11822</v>
      </c>
      <c r="G149" s="596">
        <v>-11822</v>
      </c>
      <c r="H149" s="591"/>
      <c r="I149" s="591"/>
    </row>
    <row r="150" spans="1:9">
      <c r="A150" s="586" t="s">
        <v>3590</v>
      </c>
      <c r="B150" s="596">
        <v>0</v>
      </c>
      <c r="C150" s="596">
        <v>0</v>
      </c>
      <c r="D150" s="596">
        <v>-60800</v>
      </c>
      <c r="E150" s="596">
        <v>0</v>
      </c>
      <c r="F150" s="596">
        <v>0</v>
      </c>
      <c r="G150" s="596">
        <v>0</v>
      </c>
      <c r="H150" s="591"/>
      <c r="I150" s="591"/>
    </row>
    <row r="151" spans="1:9">
      <c r="A151" s="586" t="s">
        <v>3431</v>
      </c>
      <c r="B151" s="596">
        <v>-55389</v>
      </c>
      <c r="C151" s="590"/>
      <c r="D151" s="590"/>
      <c r="E151" s="590"/>
      <c r="F151" s="590"/>
      <c r="G151" s="590"/>
      <c r="H151" s="589"/>
      <c r="I151" s="589"/>
    </row>
    <row r="152" spans="1:9">
      <c r="A152" s="586" t="s">
        <v>3432</v>
      </c>
      <c r="B152" s="596">
        <v>374</v>
      </c>
      <c r="C152" s="596">
        <v>303</v>
      </c>
      <c r="D152" s="596">
        <v>5159</v>
      </c>
      <c r="E152" s="596">
        <v>1551</v>
      </c>
      <c r="F152" s="590"/>
      <c r="G152" s="590"/>
      <c r="H152" s="591"/>
      <c r="I152" s="591"/>
    </row>
    <row r="153" spans="1:9">
      <c r="A153" s="586" t="s">
        <v>3594</v>
      </c>
      <c r="B153" s="590"/>
      <c r="C153" s="590"/>
      <c r="D153" s="590"/>
      <c r="E153" s="590"/>
      <c r="F153" s="596">
        <v>-43339</v>
      </c>
      <c r="G153" s="596">
        <v>-43339</v>
      </c>
      <c r="H153" s="591"/>
      <c r="I153" s="591"/>
    </row>
    <row r="154" spans="1:9">
      <c r="A154" s="586" t="s">
        <v>3595</v>
      </c>
      <c r="B154" s="596">
        <v>-271266</v>
      </c>
      <c r="C154" s="596">
        <v>-528080</v>
      </c>
      <c r="D154" s="596">
        <v>-3009086</v>
      </c>
      <c r="E154" s="596">
        <v>-1400032</v>
      </c>
      <c r="F154" s="596">
        <v>-277367</v>
      </c>
      <c r="G154" s="596">
        <v>-277367</v>
      </c>
      <c r="H154" s="591"/>
      <c r="I154" s="591"/>
    </row>
    <row r="155" spans="1:9">
      <c r="A155" s="586" t="s">
        <v>3596</v>
      </c>
      <c r="B155" s="596">
        <v>272742</v>
      </c>
      <c r="C155" s="596">
        <v>574115</v>
      </c>
      <c r="D155" s="596">
        <v>2574032</v>
      </c>
      <c r="E155" s="596">
        <v>969185</v>
      </c>
      <c r="F155" s="596">
        <v>461325</v>
      </c>
      <c r="G155" s="596">
        <v>461325</v>
      </c>
      <c r="H155" s="591"/>
      <c r="I155" s="591"/>
    </row>
    <row r="156" spans="1:9">
      <c r="A156" s="586" t="s">
        <v>3597</v>
      </c>
      <c r="B156" s="590"/>
      <c r="C156" s="590"/>
      <c r="D156" s="590"/>
      <c r="E156" s="590"/>
      <c r="F156" s="596">
        <v>3081</v>
      </c>
      <c r="G156" s="596">
        <v>3081</v>
      </c>
      <c r="H156" s="591"/>
      <c r="I156" s="591"/>
    </row>
    <row r="157" spans="1:9">
      <c r="A157" s="586" t="s">
        <v>3433</v>
      </c>
      <c r="B157" s="596">
        <v>0</v>
      </c>
      <c r="C157" s="596">
        <v>0</v>
      </c>
      <c r="D157" s="596">
        <v>-336189</v>
      </c>
      <c r="E157" s="596">
        <v>-207349</v>
      </c>
      <c r="F157" s="596">
        <v>-586691</v>
      </c>
      <c r="G157" s="596">
        <v>-586691</v>
      </c>
      <c r="H157" s="591"/>
      <c r="I157" s="591"/>
    </row>
    <row r="158" spans="1:9">
      <c r="A158" s="586" t="s">
        <v>3591</v>
      </c>
      <c r="B158" s="596">
        <v>0</v>
      </c>
      <c r="C158" s="596">
        <v>0</v>
      </c>
      <c r="D158" s="596">
        <v>124520</v>
      </c>
      <c r="E158" s="596">
        <v>327539</v>
      </c>
      <c r="F158" s="596">
        <v>513698</v>
      </c>
      <c r="G158" s="596">
        <v>513698</v>
      </c>
      <c r="H158" s="591"/>
      <c r="I158" s="591"/>
    </row>
    <row r="159" spans="1:9">
      <c r="A159" s="586" t="s">
        <v>3592</v>
      </c>
      <c r="B159" s="590"/>
      <c r="C159" s="596">
        <v>0</v>
      </c>
      <c r="D159" s="596">
        <v>0</v>
      </c>
      <c r="E159" s="596">
        <v>-41630</v>
      </c>
      <c r="F159" s="596">
        <v>-27899</v>
      </c>
      <c r="G159" s="596">
        <v>-27899</v>
      </c>
    </row>
    <row r="160" spans="1:9">
      <c r="A160" s="586" t="s">
        <v>3593</v>
      </c>
      <c r="B160" s="590"/>
      <c r="C160" s="590"/>
      <c r="D160" s="590"/>
      <c r="E160" s="590"/>
      <c r="F160" s="596">
        <v>68338</v>
      </c>
      <c r="G160" s="596">
        <v>68338</v>
      </c>
    </row>
    <row r="161" spans="1:7">
      <c r="A161" s="586" t="s">
        <v>3624</v>
      </c>
      <c r="B161" s="596">
        <v>-105353</v>
      </c>
      <c r="C161" s="596">
        <v>50822</v>
      </c>
      <c r="D161" s="596">
        <v>-1124740</v>
      </c>
      <c r="E161" s="596">
        <v>-663822</v>
      </c>
      <c r="F161" s="596">
        <v>5392</v>
      </c>
      <c r="G161" s="596">
        <v>5392</v>
      </c>
    </row>
  </sheetData>
  <mergeCells count="2">
    <mergeCell ref="M14:O14"/>
    <mergeCell ref="P14:Q14"/>
  </mergeCells>
  <hyperlinks>
    <hyperlink ref="K87" r:id="rId1" xr:uid="{9E4FAB63-6FBC-4C8E-8946-AACBBEBD6058}"/>
  </hyperlinks>
  <pageMargins left="0.7" right="0.7" top="0.75" bottom="0.75" header="0.3" footer="0.3"/>
  <pageSetup orientation="portrait" verticalDpi="0"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BDCB4-36E3-4F40-B96B-FC880D866C66}">
  <sheetPr codeName="Sheet17">
    <tabColor theme="3" tint="0.39997558519241921"/>
  </sheetPr>
  <dimension ref="A1:AE105"/>
  <sheetViews>
    <sheetView showOutlineSymbols="0" workbookViewId="0">
      <selection activeCell="H35" sqref="H35"/>
    </sheetView>
  </sheetViews>
  <sheetFormatPr baseColWidth="10" defaultColWidth="8.83203125" defaultRowHeight="14"/>
  <cols>
    <col min="1" max="1" width="40.83203125" style="582" customWidth="1"/>
    <col min="2" max="2" width="15.5" style="582" customWidth="1"/>
    <col min="3" max="3" width="17.1640625" style="582" customWidth="1"/>
    <col min="4" max="5" width="16.83203125" style="582" customWidth="1"/>
    <col min="6" max="8" width="14.33203125" style="582" bestFit="1" customWidth="1"/>
    <col min="9" max="10" width="18.5" style="582" customWidth="1"/>
    <col min="11" max="11" width="20.33203125" style="582" customWidth="1"/>
    <col min="12" max="12" width="18.33203125" style="582" customWidth="1"/>
    <col min="13" max="13" width="18.5" style="582" customWidth="1"/>
    <col min="14" max="14" width="19.5" style="582" customWidth="1"/>
    <col min="15" max="15" width="16.5" style="582" customWidth="1"/>
    <col min="16" max="16" width="17.5" style="582" customWidth="1"/>
    <col min="17" max="17" width="20.5" style="582" customWidth="1"/>
    <col min="18" max="18" width="17.5" style="582" customWidth="1"/>
    <col min="19" max="19" width="18.5" style="582" customWidth="1"/>
    <col min="20" max="20" width="14.83203125" style="582" customWidth="1"/>
    <col min="21" max="22" width="17" style="582" customWidth="1"/>
    <col min="23" max="23" width="18.5" style="582" customWidth="1"/>
    <col min="24" max="24" width="18.1640625" style="582" customWidth="1"/>
    <col min="25" max="25" width="17.83203125" style="582" customWidth="1"/>
    <col min="26" max="26" width="18.5" style="582" customWidth="1"/>
    <col min="27" max="27" width="17.5" style="582" customWidth="1"/>
    <col min="28" max="28" width="11.83203125" style="582" customWidth="1"/>
    <col min="29" max="31" width="9.83203125" style="582" bestFit="1" customWidth="1"/>
    <col min="32" max="257" width="8.6640625" style="582"/>
    <col min="258" max="258" width="40.83203125" style="582" customWidth="1"/>
    <col min="259" max="259" width="15.5" style="582" customWidth="1"/>
    <col min="260" max="260" width="17.1640625" style="582" customWidth="1"/>
    <col min="261" max="262" width="16.83203125" style="582" customWidth="1"/>
    <col min="263" max="265" width="14.33203125" style="582" bestFit="1" customWidth="1"/>
    <col min="266" max="267" width="18.5" style="582" customWidth="1"/>
    <col min="268" max="268" width="20.33203125" style="582" customWidth="1"/>
    <col min="269" max="269" width="18.33203125" style="582" customWidth="1"/>
    <col min="270" max="270" width="18.5" style="582" customWidth="1"/>
    <col min="271" max="271" width="19.5" style="582" customWidth="1"/>
    <col min="272" max="272" width="16.5" style="582" customWidth="1"/>
    <col min="273" max="273" width="17.5" style="582" customWidth="1"/>
    <col min="274" max="513" width="8.6640625" style="582"/>
    <col min="514" max="514" width="40.83203125" style="582" customWidth="1"/>
    <col min="515" max="515" width="15.5" style="582" customWidth="1"/>
    <col min="516" max="516" width="17.1640625" style="582" customWidth="1"/>
    <col min="517" max="518" width="16.83203125" style="582" customWidth="1"/>
    <col min="519" max="521" width="14.33203125" style="582" bestFit="1" customWidth="1"/>
    <col min="522" max="523" width="18.5" style="582" customWidth="1"/>
    <col min="524" max="524" width="20.33203125" style="582" customWidth="1"/>
    <col min="525" max="525" width="18.33203125" style="582" customWidth="1"/>
    <col min="526" max="526" width="18.5" style="582" customWidth="1"/>
    <col min="527" max="527" width="19.5" style="582" customWidth="1"/>
    <col min="528" max="528" width="16.5" style="582" customWidth="1"/>
    <col min="529" max="529" width="17.5" style="582" customWidth="1"/>
    <col min="530" max="769" width="8.6640625" style="582"/>
    <col min="770" max="770" width="40.83203125" style="582" customWidth="1"/>
    <col min="771" max="771" width="15.5" style="582" customWidth="1"/>
    <col min="772" max="772" width="17.1640625" style="582" customWidth="1"/>
    <col min="773" max="774" width="16.83203125" style="582" customWidth="1"/>
    <col min="775" max="777" width="14.33203125" style="582" bestFit="1" customWidth="1"/>
    <col min="778" max="779" width="18.5" style="582" customWidth="1"/>
    <col min="780" max="780" width="20.33203125" style="582" customWidth="1"/>
    <col min="781" max="781" width="18.33203125" style="582" customWidth="1"/>
    <col min="782" max="782" width="18.5" style="582" customWidth="1"/>
    <col min="783" max="783" width="19.5" style="582" customWidth="1"/>
    <col min="784" max="784" width="16.5" style="582" customWidth="1"/>
    <col min="785" max="785" width="17.5" style="582" customWidth="1"/>
    <col min="786" max="1025" width="8.6640625" style="582"/>
    <col min="1026" max="1026" width="40.83203125" style="582" customWidth="1"/>
    <col min="1027" max="1027" width="15.5" style="582" customWidth="1"/>
    <col min="1028" max="1028" width="17.1640625" style="582" customWidth="1"/>
    <col min="1029" max="1030" width="16.83203125" style="582" customWidth="1"/>
    <col min="1031" max="1033" width="14.33203125" style="582" bestFit="1" customWidth="1"/>
    <col min="1034" max="1035" width="18.5" style="582" customWidth="1"/>
    <col min="1036" max="1036" width="20.33203125" style="582" customWidth="1"/>
    <col min="1037" max="1037" width="18.33203125" style="582" customWidth="1"/>
    <col min="1038" max="1038" width="18.5" style="582" customWidth="1"/>
    <col min="1039" max="1039" width="19.5" style="582" customWidth="1"/>
    <col min="1040" max="1040" width="16.5" style="582" customWidth="1"/>
    <col min="1041" max="1041" width="17.5" style="582" customWidth="1"/>
    <col min="1042" max="1281" width="8.6640625" style="582"/>
    <col min="1282" max="1282" width="40.83203125" style="582" customWidth="1"/>
    <col min="1283" max="1283" width="15.5" style="582" customWidth="1"/>
    <col min="1284" max="1284" width="17.1640625" style="582" customWidth="1"/>
    <col min="1285" max="1286" width="16.83203125" style="582" customWidth="1"/>
    <col min="1287" max="1289" width="14.33203125" style="582" bestFit="1" customWidth="1"/>
    <col min="1290" max="1291" width="18.5" style="582" customWidth="1"/>
    <col min="1292" max="1292" width="20.33203125" style="582" customWidth="1"/>
    <col min="1293" max="1293" width="18.33203125" style="582" customWidth="1"/>
    <col min="1294" max="1294" width="18.5" style="582" customWidth="1"/>
    <col min="1295" max="1295" width="19.5" style="582" customWidth="1"/>
    <col min="1296" max="1296" width="16.5" style="582" customWidth="1"/>
    <col min="1297" max="1297" width="17.5" style="582" customWidth="1"/>
    <col min="1298" max="1537" width="8.6640625" style="582"/>
    <col min="1538" max="1538" width="40.83203125" style="582" customWidth="1"/>
    <col min="1539" max="1539" width="15.5" style="582" customWidth="1"/>
    <col min="1540" max="1540" width="17.1640625" style="582" customWidth="1"/>
    <col min="1541" max="1542" width="16.83203125" style="582" customWidth="1"/>
    <col min="1543" max="1545" width="14.33203125" style="582" bestFit="1" customWidth="1"/>
    <col min="1546" max="1547" width="18.5" style="582" customWidth="1"/>
    <col min="1548" max="1548" width="20.33203125" style="582" customWidth="1"/>
    <col min="1549" max="1549" width="18.33203125" style="582" customWidth="1"/>
    <col min="1550" max="1550" width="18.5" style="582" customWidth="1"/>
    <col min="1551" max="1551" width="19.5" style="582" customWidth="1"/>
    <col min="1552" max="1552" width="16.5" style="582" customWidth="1"/>
    <col min="1553" max="1553" width="17.5" style="582" customWidth="1"/>
    <col min="1554" max="1793" width="8.6640625" style="582"/>
    <col min="1794" max="1794" width="40.83203125" style="582" customWidth="1"/>
    <col min="1795" max="1795" width="15.5" style="582" customWidth="1"/>
    <col min="1796" max="1796" width="17.1640625" style="582" customWidth="1"/>
    <col min="1797" max="1798" width="16.83203125" style="582" customWidth="1"/>
    <col min="1799" max="1801" width="14.33203125" style="582" bestFit="1" customWidth="1"/>
    <col min="1802" max="1803" width="18.5" style="582" customWidth="1"/>
    <col min="1804" max="1804" width="20.33203125" style="582" customWidth="1"/>
    <col min="1805" max="1805" width="18.33203125" style="582" customWidth="1"/>
    <col min="1806" max="1806" width="18.5" style="582" customWidth="1"/>
    <col min="1807" max="1807" width="19.5" style="582" customWidth="1"/>
    <col min="1808" max="1808" width="16.5" style="582" customWidth="1"/>
    <col min="1809" max="1809" width="17.5" style="582" customWidth="1"/>
    <col min="1810" max="2049" width="8.6640625" style="582"/>
    <col min="2050" max="2050" width="40.83203125" style="582" customWidth="1"/>
    <col min="2051" max="2051" width="15.5" style="582" customWidth="1"/>
    <col min="2052" max="2052" width="17.1640625" style="582" customWidth="1"/>
    <col min="2053" max="2054" width="16.83203125" style="582" customWidth="1"/>
    <col min="2055" max="2057" width="14.33203125" style="582" bestFit="1" customWidth="1"/>
    <col min="2058" max="2059" width="18.5" style="582" customWidth="1"/>
    <col min="2060" max="2060" width="20.33203125" style="582" customWidth="1"/>
    <col min="2061" max="2061" width="18.33203125" style="582" customWidth="1"/>
    <col min="2062" max="2062" width="18.5" style="582" customWidth="1"/>
    <col min="2063" max="2063" width="19.5" style="582" customWidth="1"/>
    <col min="2064" max="2064" width="16.5" style="582" customWidth="1"/>
    <col min="2065" max="2065" width="17.5" style="582" customWidth="1"/>
    <col min="2066" max="2305" width="8.6640625" style="582"/>
    <col min="2306" max="2306" width="40.83203125" style="582" customWidth="1"/>
    <col min="2307" max="2307" width="15.5" style="582" customWidth="1"/>
    <col min="2308" max="2308" width="17.1640625" style="582" customWidth="1"/>
    <col min="2309" max="2310" width="16.83203125" style="582" customWidth="1"/>
    <col min="2311" max="2313" width="14.33203125" style="582" bestFit="1" customWidth="1"/>
    <col min="2314" max="2315" width="18.5" style="582" customWidth="1"/>
    <col min="2316" max="2316" width="20.33203125" style="582" customWidth="1"/>
    <col min="2317" max="2317" width="18.33203125" style="582" customWidth="1"/>
    <col min="2318" max="2318" width="18.5" style="582" customWidth="1"/>
    <col min="2319" max="2319" width="19.5" style="582" customWidth="1"/>
    <col min="2320" max="2320" width="16.5" style="582" customWidth="1"/>
    <col min="2321" max="2321" width="17.5" style="582" customWidth="1"/>
    <col min="2322" max="2561" width="8.6640625" style="582"/>
    <col min="2562" max="2562" width="40.83203125" style="582" customWidth="1"/>
    <col min="2563" max="2563" width="15.5" style="582" customWidth="1"/>
    <col min="2564" max="2564" width="17.1640625" style="582" customWidth="1"/>
    <col min="2565" max="2566" width="16.83203125" style="582" customWidth="1"/>
    <col min="2567" max="2569" width="14.33203125" style="582" bestFit="1" customWidth="1"/>
    <col min="2570" max="2571" width="18.5" style="582" customWidth="1"/>
    <col min="2572" max="2572" width="20.33203125" style="582" customWidth="1"/>
    <col min="2573" max="2573" width="18.33203125" style="582" customWidth="1"/>
    <col min="2574" max="2574" width="18.5" style="582" customWidth="1"/>
    <col min="2575" max="2575" width="19.5" style="582" customWidth="1"/>
    <col min="2576" max="2576" width="16.5" style="582" customWidth="1"/>
    <col min="2577" max="2577" width="17.5" style="582" customWidth="1"/>
    <col min="2578" max="2817" width="8.6640625" style="582"/>
    <col min="2818" max="2818" width="40.83203125" style="582" customWidth="1"/>
    <col min="2819" max="2819" width="15.5" style="582" customWidth="1"/>
    <col min="2820" max="2820" width="17.1640625" style="582" customWidth="1"/>
    <col min="2821" max="2822" width="16.83203125" style="582" customWidth="1"/>
    <col min="2823" max="2825" width="14.33203125" style="582" bestFit="1" customWidth="1"/>
    <col min="2826" max="2827" width="18.5" style="582" customWidth="1"/>
    <col min="2828" max="2828" width="20.33203125" style="582" customWidth="1"/>
    <col min="2829" max="2829" width="18.33203125" style="582" customWidth="1"/>
    <col min="2830" max="2830" width="18.5" style="582" customWidth="1"/>
    <col min="2831" max="2831" width="19.5" style="582" customWidth="1"/>
    <col min="2832" max="2832" width="16.5" style="582" customWidth="1"/>
    <col min="2833" max="2833" width="17.5" style="582" customWidth="1"/>
    <col min="2834" max="3073" width="8.6640625" style="582"/>
    <col min="3074" max="3074" width="40.83203125" style="582" customWidth="1"/>
    <col min="3075" max="3075" width="15.5" style="582" customWidth="1"/>
    <col min="3076" max="3076" width="17.1640625" style="582" customWidth="1"/>
    <col min="3077" max="3078" width="16.83203125" style="582" customWidth="1"/>
    <col min="3079" max="3081" width="14.33203125" style="582" bestFit="1" customWidth="1"/>
    <col min="3082" max="3083" width="18.5" style="582" customWidth="1"/>
    <col min="3084" max="3084" width="20.33203125" style="582" customWidth="1"/>
    <col min="3085" max="3085" width="18.33203125" style="582" customWidth="1"/>
    <col min="3086" max="3086" width="18.5" style="582" customWidth="1"/>
    <col min="3087" max="3087" width="19.5" style="582" customWidth="1"/>
    <col min="3088" max="3088" width="16.5" style="582" customWidth="1"/>
    <col min="3089" max="3089" width="17.5" style="582" customWidth="1"/>
    <col min="3090" max="3329" width="8.6640625" style="582"/>
    <col min="3330" max="3330" width="40.83203125" style="582" customWidth="1"/>
    <col min="3331" max="3331" width="15.5" style="582" customWidth="1"/>
    <col min="3332" max="3332" width="17.1640625" style="582" customWidth="1"/>
    <col min="3333" max="3334" width="16.83203125" style="582" customWidth="1"/>
    <col min="3335" max="3337" width="14.33203125" style="582" bestFit="1" customWidth="1"/>
    <col min="3338" max="3339" width="18.5" style="582" customWidth="1"/>
    <col min="3340" max="3340" width="20.33203125" style="582" customWidth="1"/>
    <col min="3341" max="3341" width="18.33203125" style="582" customWidth="1"/>
    <col min="3342" max="3342" width="18.5" style="582" customWidth="1"/>
    <col min="3343" max="3343" width="19.5" style="582" customWidth="1"/>
    <col min="3344" max="3344" width="16.5" style="582" customWidth="1"/>
    <col min="3345" max="3345" width="17.5" style="582" customWidth="1"/>
    <col min="3346" max="3585" width="8.6640625" style="582"/>
    <col min="3586" max="3586" width="40.83203125" style="582" customWidth="1"/>
    <col min="3587" max="3587" width="15.5" style="582" customWidth="1"/>
    <col min="3588" max="3588" width="17.1640625" style="582" customWidth="1"/>
    <col min="3589" max="3590" width="16.83203125" style="582" customWidth="1"/>
    <col min="3591" max="3593" width="14.33203125" style="582" bestFit="1" customWidth="1"/>
    <col min="3594" max="3595" width="18.5" style="582" customWidth="1"/>
    <col min="3596" max="3596" width="20.33203125" style="582" customWidth="1"/>
    <col min="3597" max="3597" width="18.33203125" style="582" customWidth="1"/>
    <col min="3598" max="3598" width="18.5" style="582" customWidth="1"/>
    <col min="3599" max="3599" width="19.5" style="582" customWidth="1"/>
    <col min="3600" max="3600" width="16.5" style="582" customWidth="1"/>
    <col min="3601" max="3601" width="17.5" style="582" customWidth="1"/>
    <col min="3602" max="3841" width="8.6640625" style="582"/>
    <col min="3842" max="3842" width="40.83203125" style="582" customWidth="1"/>
    <col min="3843" max="3843" width="15.5" style="582" customWidth="1"/>
    <col min="3844" max="3844" width="17.1640625" style="582" customWidth="1"/>
    <col min="3845" max="3846" width="16.83203125" style="582" customWidth="1"/>
    <col min="3847" max="3849" width="14.33203125" style="582" bestFit="1" customWidth="1"/>
    <col min="3850" max="3851" width="18.5" style="582" customWidth="1"/>
    <col min="3852" max="3852" width="20.33203125" style="582" customWidth="1"/>
    <col min="3853" max="3853" width="18.33203125" style="582" customWidth="1"/>
    <col min="3854" max="3854" width="18.5" style="582" customWidth="1"/>
    <col min="3855" max="3855" width="19.5" style="582" customWidth="1"/>
    <col min="3856" max="3856" width="16.5" style="582" customWidth="1"/>
    <col min="3857" max="3857" width="17.5" style="582" customWidth="1"/>
    <col min="3858" max="4097" width="8.6640625" style="582"/>
    <col min="4098" max="4098" width="40.83203125" style="582" customWidth="1"/>
    <col min="4099" max="4099" width="15.5" style="582" customWidth="1"/>
    <col min="4100" max="4100" width="17.1640625" style="582" customWidth="1"/>
    <col min="4101" max="4102" width="16.83203125" style="582" customWidth="1"/>
    <col min="4103" max="4105" width="14.33203125" style="582" bestFit="1" customWidth="1"/>
    <col min="4106" max="4107" width="18.5" style="582" customWidth="1"/>
    <col min="4108" max="4108" width="20.33203125" style="582" customWidth="1"/>
    <col min="4109" max="4109" width="18.33203125" style="582" customWidth="1"/>
    <col min="4110" max="4110" width="18.5" style="582" customWidth="1"/>
    <col min="4111" max="4111" width="19.5" style="582" customWidth="1"/>
    <col min="4112" max="4112" width="16.5" style="582" customWidth="1"/>
    <col min="4113" max="4113" width="17.5" style="582" customWidth="1"/>
    <col min="4114" max="4353" width="8.6640625" style="582"/>
    <col min="4354" max="4354" width="40.83203125" style="582" customWidth="1"/>
    <col min="4355" max="4355" width="15.5" style="582" customWidth="1"/>
    <col min="4356" max="4356" width="17.1640625" style="582" customWidth="1"/>
    <col min="4357" max="4358" width="16.83203125" style="582" customWidth="1"/>
    <col min="4359" max="4361" width="14.33203125" style="582" bestFit="1" customWidth="1"/>
    <col min="4362" max="4363" width="18.5" style="582" customWidth="1"/>
    <col min="4364" max="4364" width="20.33203125" style="582" customWidth="1"/>
    <col min="4365" max="4365" width="18.33203125" style="582" customWidth="1"/>
    <col min="4366" max="4366" width="18.5" style="582" customWidth="1"/>
    <col min="4367" max="4367" width="19.5" style="582" customWidth="1"/>
    <col min="4368" max="4368" width="16.5" style="582" customWidth="1"/>
    <col min="4369" max="4369" width="17.5" style="582" customWidth="1"/>
    <col min="4370" max="4609" width="8.6640625" style="582"/>
    <col min="4610" max="4610" width="40.83203125" style="582" customWidth="1"/>
    <col min="4611" max="4611" width="15.5" style="582" customWidth="1"/>
    <col min="4612" max="4612" width="17.1640625" style="582" customWidth="1"/>
    <col min="4613" max="4614" width="16.83203125" style="582" customWidth="1"/>
    <col min="4615" max="4617" width="14.33203125" style="582" bestFit="1" customWidth="1"/>
    <col min="4618" max="4619" width="18.5" style="582" customWidth="1"/>
    <col min="4620" max="4620" width="20.33203125" style="582" customWidth="1"/>
    <col min="4621" max="4621" width="18.33203125" style="582" customWidth="1"/>
    <col min="4622" max="4622" width="18.5" style="582" customWidth="1"/>
    <col min="4623" max="4623" width="19.5" style="582" customWidth="1"/>
    <col min="4624" max="4624" width="16.5" style="582" customWidth="1"/>
    <col min="4625" max="4625" width="17.5" style="582" customWidth="1"/>
    <col min="4626" max="4865" width="8.6640625" style="582"/>
    <col min="4866" max="4866" width="40.83203125" style="582" customWidth="1"/>
    <col min="4867" max="4867" width="15.5" style="582" customWidth="1"/>
    <col min="4868" max="4868" width="17.1640625" style="582" customWidth="1"/>
    <col min="4869" max="4870" width="16.83203125" style="582" customWidth="1"/>
    <col min="4871" max="4873" width="14.33203125" style="582" bestFit="1" customWidth="1"/>
    <col min="4874" max="4875" width="18.5" style="582" customWidth="1"/>
    <col min="4876" max="4876" width="20.33203125" style="582" customWidth="1"/>
    <col min="4877" max="4877" width="18.33203125" style="582" customWidth="1"/>
    <col min="4878" max="4878" width="18.5" style="582" customWidth="1"/>
    <col min="4879" max="4879" width="19.5" style="582" customWidth="1"/>
    <col min="4880" max="4880" width="16.5" style="582" customWidth="1"/>
    <col min="4881" max="4881" width="17.5" style="582" customWidth="1"/>
    <col min="4882" max="5121" width="8.6640625" style="582"/>
    <col min="5122" max="5122" width="40.83203125" style="582" customWidth="1"/>
    <col min="5123" max="5123" width="15.5" style="582" customWidth="1"/>
    <col min="5124" max="5124" width="17.1640625" style="582" customWidth="1"/>
    <col min="5125" max="5126" width="16.83203125" style="582" customWidth="1"/>
    <col min="5127" max="5129" width="14.33203125" style="582" bestFit="1" customWidth="1"/>
    <col min="5130" max="5131" width="18.5" style="582" customWidth="1"/>
    <col min="5132" max="5132" width="20.33203125" style="582" customWidth="1"/>
    <col min="5133" max="5133" width="18.33203125" style="582" customWidth="1"/>
    <col min="5134" max="5134" width="18.5" style="582" customWidth="1"/>
    <col min="5135" max="5135" width="19.5" style="582" customWidth="1"/>
    <col min="5136" max="5136" width="16.5" style="582" customWidth="1"/>
    <col min="5137" max="5137" width="17.5" style="582" customWidth="1"/>
    <col min="5138" max="5377" width="8.6640625" style="582"/>
    <col min="5378" max="5378" width="40.83203125" style="582" customWidth="1"/>
    <col min="5379" max="5379" width="15.5" style="582" customWidth="1"/>
    <col min="5380" max="5380" width="17.1640625" style="582" customWidth="1"/>
    <col min="5381" max="5382" width="16.83203125" style="582" customWidth="1"/>
    <col min="5383" max="5385" width="14.33203125" style="582" bestFit="1" customWidth="1"/>
    <col min="5386" max="5387" width="18.5" style="582" customWidth="1"/>
    <col min="5388" max="5388" width="20.33203125" style="582" customWidth="1"/>
    <col min="5389" max="5389" width="18.33203125" style="582" customWidth="1"/>
    <col min="5390" max="5390" width="18.5" style="582" customWidth="1"/>
    <col min="5391" max="5391" width="19.5" style="582" customWidth="1"/>
    <col min="5392" max="5392" width="16.5" style="582" customWidth="1"/>
    <col min="5393" max="5393" width="17.5" style="582" customWidth="1"/>
    <col min="5394" max="5633" width="8.6640625" style="582"/>
    <col min="5634" max="5634" width="40.83203125" style="582" customWidth="1"/>
    <col min="5635" max="5635" width="15.5" style="582" customWidth="1"/>
    <col min="5636" max="5636" width="17.1640625" style="582" customWidth="1"/>
    <col min="5637" max="5638" width="16.83203125" style="582" customWidth="1"/>
    <col min="5639" max="5641" width="14.33203125" style="582" bestFit="1" customWidth="1"/>
    <col min="5642" max="5643" width="18.5" style="582" customWidth="1"/>
    <col min="5644" max="5644" width="20.33203125" style="582" customWidth="1"/>
    <col min="5645" max="5645" width="18.33203125" style="582" customWidth="1"/>
    <col min="5646" max="5646" width="18.5" style="582" customWidth="1"/>
    <col min="5647" max="5647" width="19.5" style="582" customWidth="1"/>
    <col min="5648" max="5648" width="16.5" style="582" customWidth="1"/>
    <col min="5649" max="5649" width="17.5" style="582" customWidth="1"/>
    <col min="5650" max="5889" width="8.6640625" style="582"/>
    <col min="5890" max="5890" width="40.83203125" style="582" customWidth="1"/>
    <col min="5891" max="5891" width="15.5" style="582" customWidth="1"/>
    <col min="5892" max="5892" width="17.1640625" style="582" customWidth="1"/>
    <col min="5893" max="5894" width="16.83203125" style="582" customWidth="1"/>
    <col min="5895" max="5897" width="14.33203125" style="582" bestFit="1" customWidth="1"/>
    <col min="5898" max="5899" width="18.5" style="582" customWidth="1"/>
    <col min="5900" max="5900" width="20.33203125" style="582" customWidth="1"/>
    <col min="5901" max="5901" width="18.33203125" style="582" customWidth="1"/>
    <col min="5902" max="5902" width="18.5" style="582" customWidth="1"/>
    <col min="5903" max="5903" width="19.5" style="582" customWidth="1"/>
    <col min="5904" max="5904" width="16.5" style="582" customWidth="1"/>
    <col min="5905" max="5905" width="17.5" style="582" customWidth="1"/>
    <col min="5906" max="6145" width="8.6640625" style="582"/>
    <col min="6146" max="6146" width="40.83203125" style="582" customWidth="1"/>
    <col min="6147" max="6147" width="15.5" style="582" customWidth="1"/>
    <col min="6148" max="6148" width="17.1640625" style="582" customWidth="1"/>
    <col min="6149" max="6150" width="16.83203125" style="582" customWidth="1"/>
    <col min="6151" max="6153" width="14.33203125" style="582" bestFit="1" customWidth="1"/>
    <col min="6154" max="6155" width="18.5" style="582" customWidth="1"/>
    <col min="6156" max="6156" width="20.33203125" style="582" customWidth="1"/>
    <col min="6157" max="6157" width="18.33203125" style="582" customWidth="1"/>
    <col min="6158" max="6158" width="18.5" style="582" customWidth="1"/>
    <col min="6159" max="6159" width="19.5" style="582" customWidth="1"/>
    <col min="6160" max="6160" width="16.5" style="582" customWidth="1"/>
    <col min="6161" max="6161" width="17.5" style="582" customWidth="1"/>
    <col min="6162" max="6401" width="8.6640625" style="582"/>
    <col min="6402" max="6402" width="40.83203125" style="582" customWidth="1"/>
    <col min="6403" max="6403" width="15.5" style="582" customWidth="1"/>
    <col min="6404" max="6404" width="17.1640625" style="582" customWidth="1"/>
    <col min="6405" max="6406" width="16.83203125" style="582" customWidth="1"/>
    <col min="6407" max="6409" width="14.33203125" style="582" bestFit="1" customWidth="1"/>
    <col min="6410" max="6411" width="18.5" style="582" customWidth="1"/>
    <col min="6412" max="6412" width="20.33203125" style="582" customWidth="1"/>
    <col min="6413" max="6413" width="18.33203125" style="582" customWidth="1"/>
    <col min="6414" max="6414" width="18.5" style="582" customWidth="1"/>
    <col min="6415" max="6415" width="19.5" style="582" customWidth="1"/>
    <col min="6416" max="6416" width="16.5" style="582" customWidth="1"/>
    <col min="6417" max="6417" width="17.5" style="582" customWidth="1"/>
    <col min="6418" max="6657" width="8.6640625" style="582"/>
    <col min="6658" max="6658" width="40.83203125" style="582" customWidth="1"/>
    <col min="6659" max="6659" width="15.5" style="582" customWidth="1"/>
    <col min="6660" max="6660" width="17.1640625" style="582" customWidth="1"/>
    <col min="6661" max="6662" width="16.83203125" style="582" customWidth="1"/>
    <col min="6663" max="6665" width="14.33203125" style="582" bestFit="1" customWidth="1"/>
    <col min="6666" max="6667" width="18.5" style="582" customWidth="1"/>
    <col min="6668" max="6668" width="20.33203125" style="582" customWidth="1"/>
    <col min="6669" max="6669" width="18.33203125" style="582" customWidth="1"/>
    <col min="6670" max="6670" width="18.5" style="582" customWidth="1"/>
    <col min="6671" max="6671" width="19.5" style="582" customWidth="1"/>
    <col min="6672" max="6672" width="16.5" style="582" customWidth="1"/>
    <col min="6673" max="6673" width="17.5" style="582" customWidth="1"/>
    <col min="6674" max="6913" width="8.6640625" style="582"/>
    <col min="6914" max="6914" width="40.83203125" style="582" customWidth="1"/>
    <col min="6915" max="6915" width="15.5" style="582" customWidth="1"/>
    <col min="6916" max="6916" width="17.1640625" style="582" customWidth="1"/>
    <col min="6917" max="6918" width="16.83203125" style="582" customWidth="1"/>
    <col min="6919" max="6921" width="14.33203125" style="582" bestFit="1" customWidth="1"/>
    <col min="6922" max="6923" width="18.5" style="582" customWidth="1"/>
    <col min="6924" max="6924" width="20.33203125" style="582" customWidth="1"/>
    <col min="6925" max="6925" width="18.33203125" style="582" customWidth="1"/>
    <col min="6926" max="6926" width="18.5" style="582" customWidth="1"/>
    <col min="6927" max="6927" width="19.5" style="582" customWidth="1"/>
    <col min="6928" max="6928" width="16.5" style="582" customWidth="1"/>
    <col min="6929" max="6929" width="17.5" style="582" customWidth="1"/>
    <col min="6930" max="7169" width="8.6640625" style="582"/>
    <col min="7170" max="7170" width="40.83203125" style="582" customWidth="1"/>
    <col min="7171" max="7171" width="15.5" style="582" customWidth="1"/>
    <col min="7172" max="7172" width="17.1640625" style="582" customWidth="1"/>
    <col min="7173" max="7174" width="16.83203125" style="582" customWidth="1"/>
    <col min="7175" max="7177" width="14.33203125" style="582" bestFit="1" customWidth="1"/>
    <col min="7178" max="7179" width="18.5" style="582" customWidth="1"/>
    <col min="7180" max="7180" width="20.33203125" style="582" customWidth="1"/>
    <col min="7181" max="7181" width="18.33203125" style="582" customWidth="1"/>
    <col min="7182" max="7182" width="18.5" style="582" customWidth="1"/>
    <col min="7183" max="7183" width="19.5" style="582" customWidth="1"/>
    <col min="7184" max="7184" width="16.5" style="582" customWidth="1"/>
    <col min="7185" max="7185" width="17.5" style="582" customWidth="1"/>
    <col min="7186" max="7425" width="8.6640625" style="582"/>
    <col min="7426" max="7426" width="40.83203125" style="582" customWidth="1"/>
    <col min="7427" max="7427" width="15.5" style="582" customWidth="1"/>
    <col min="7428" max="7428" width="17.1640625" style="582" customWidth="1"/>
    <col min="7429" max="7430" width="16.83203125" style="582" customWidth="1"/>
    <col min="7431" max="7433" width="14.33203125" style="582" bestFit="1" customWidth="1"/>
    <col min="7434" max="7435" width="18.5" style="582" customWidth="1"/>
    <col min="7436" max="7436" width="20.33203125" style="582" customWidth="1"/>
    <col min="7437" max="7437" width="18.33203125" style="582" customWidth="1"/>
    <col min="7438" max="7438" width="18.5" style="582" customWidth="1"/>
    <col min="7439" max="7439" width="19.5" style="582" customWidth="1"/>
    <col min="7440" max="7440" width="16.5" style="582" customWidth="1"/>
    <col min="7441" max="7441" width="17.5" style="582" customWidth="1"/>
    <col min="7442" max="7681" width="8.6640625" style="582"/>
    <col min="7682" max="7682" width="40.83203125" style="582" customWidth="1"/>
    <col min="7683" max="7683" width="15.5" style="582" customWidth="1"/>
    <col min="7684" max="7684" width="17.1640625" style="582" customWidth="1"/>
    <col min="7685" max="7686" width="16.83203125" style="582" customWidth="1"/>
    <col min="7687" max="7689" width="14.33203125" style="582" bestFit="1" customWidth="1"/>
    <col min="7690" max="7691" width="18.5" style="582" customWidth="1"/>
    <col min="7692" max="7692" width="20.33203125" style="582" customWidth="1"/>
    <col min="7693" max="7693" width="18.33203125" style="582" customWidth="1"/>
    <col min="7694" max="7694" width="18.5" style="582" customWidth="1"/>
    <col min="7695" max="7695" width="19.5" style="582" customWidth="1"/>
    <col min="7696" max="7696" width="16.5" style="582" customWidth="1"/>
    <col min="7697" max="7697" width="17.5" style="582" customWidth="1"/>
    <col min="7698" max="7937" width="8.6640625" style="582"/>
    <col min="7938" max="7938" width="40.83203125" style="582" customWidth="1"/>
    <col min="7939" max="7939" width="15.5" style="582" customWidth="1"/>
    <col min="7940" max="7940" width="17.1640625" style="582" customWidth="1"/>
    <col min="7941" max="7942" width="16.83203125" style="582" customWidth="1"/>
    <col min="7943" max="7945" width="14.33203125" style="582" bestFit="1" customWidth="1"/>
    <col min="7946" max="7947" width="18.5" style="582" customWidth="1"/>
    <col min="7948" max="7948" width="20.33203125" style="582" customWidth="1"/>
    <col min="7949" max="7949" width="18.33203125" style="582" customWidth="1"/>
    <col min="7950" max="7950" width="18.5" style="582" customWidth="1"/>
    <col min="7951" max="7951" width="19.5" style="582" customWidth="1"/>
    <col min="7952" max="7952" width="16.5" style="582" customWidth="1"/>
    <col min="7953" max="7953" width="17.5" style="582" customWidth="1"/>
    <col min="7954" max="8193" width="8.6640625" style="582"/>
    <col min="8194" max="8194" width="40.83203125" style="582" customWidth="1"/>
    <col min="8195" max="8195" width="15.5" style="582" customWidth="1"/>
    <col min="8196" max="8196" width="17.1640625" style="582" customWidth="1"/>
    <col min="8197" max="8198" width="16.83203125" style="582" customWidth="1"/>
    <col min="8199" max="8201" width="14.33203125" style="582" bestFit="1" customWidth="1"/>
    <col min="8202" max="8203" width="18.5" style="582" customWidth="1"/>
    <col min="8204" max="8204" width="20.33203125" style="582" customWidth="1"/>
    <col min="8205" max="8205" width="18.33203125" style="582" customWidth="1"/>
    <col min="8206" max="8206" width="18.5" style="582" customWidth="1"/>
    <col min="8207" max="8207" width="19.5" style="582" customWidth="1"/>
    <col min="8208" max="8208" width="16.5" style="582" customWidth="1"/>
    <col min="8209" max="8209" width="17.5" style="582" customWidth="1"/>
    <col min="8210" max="8449" width="8.6640625" style="582"/>
    <col min="8450" max="8450" width="40.83203125" style="582" customWidth="1"/>
    <col min="8451" max="8451" width="15.5" style="582" customWidth="1"/>
    <col min="8452" max="8452" width="17.1640625" style="582" customWidth="1"/>
    <col min="8453" max="8454" width="16.83203125" style="582" customWidth="1"/>
    <col min="8455" max="8457" width="14.33203125" style="582" bestFit="1" customWidth="1"/>
    <col min="8458" max="8459" width="18.5" style="582" customWidth="1"/>
    <col min="8460" max="8460" width="20.33203125" style="582" customWidth="1"/>
    <col min="8461" max="8461" width="18.33203125" style="582" customWidth="1"/>
    <col min="8462" max="8462" width="18.5" style="582" customWidth="1"/>
    <col min="8463" max="8463" width="19.5" style="582" customWidth="1"/>
    <col min="8464" max="8464" width="16.5" style="582" customWidth="1"/>
    <col min="8465" max="8465" width="17.5" style="582" customWidth="1"/>
    <col min="8466" max="8705" width="8.6640625" style="582"/>
    <col min="8706" max="8706" width="40.83203125" style="582" customWidth="1"/>
    <col min="8707" max="8707" width="15.5" style="582" customWidth="1"/>
    <col min="8708" max="8708" width="17.1640625" style="582" customWidth="1"/>
    <col min="8709" max="8710" width="16.83203125" style="582" customWidth="1"/>
    <col min="8711" max="8713" width="14.33203125" style="582" bestFit="1" customWidth="1"/>
    <col min="8714" max="8715" width="18.5" style="582" customWidth="1"/>
    <col min="8716" max="8716" width="20.33203125" style="582" customWidth="1"/>
    <col min="8717" max="8717" width="18.33203125" style="582" customWidth="1"/>
    <col min="8718" max="8718" width="18.5" style="582" customWidth="1"/>
    <col min="8719" max="8719" width="19.5" style="582" customWidth="1"/>
    <col min="8720" max="8720" width="16.5" style="582" customWidth="1"/>
    <col min="8721" max="8721" width="17.5" style="582" customWidth="1"/>
    <col min="8722" max="8961" width="8.6640625" style="582"/>
    <col min="8962" max="8962" width="40.83203125" style="582" customWidth="1"/>
    <col min="8963" max="8963" width="15.5" style="582" customWidth="1"/>
    <col min="8964" max="8964" width="17.1640625" style="582" customWidth="1"/>
    <col min="8965" max="8966" width="16.83203125" style="582" customWidth="1"/>
    <col min="8967" max="8969" width="14.33203125" style="582" bestFit="1" customWidth="1"/>
    <col min="8970" max="8971" width="18.5" style="582" customWidth="1"/>
    <col min="8972" max="8972" width="20.33203125" style="582" customWidth="1"/>
    <col min="8973" max="8973" width="18.33203125" style="582" customWidth="1"/>
    <col min="8974" max="8974" width="18.5" style="582" customWidth="1"/>
    <col min="8975" max="8975" width="19.5" style="582" customWidth="1"/>
    <col min="8976" max="8976" width="16.5" style="582" customWidth="1"/>
    <col min="8977" max="8977" width="17.5" style="582" customWidth="1"/>
    <col min="8978" max="9217" width="8.6640625" style="582"/>
    <col min="9218" max="9218" width="40.83203125" style="582" customWidth="1"/>
    <col min="9219" max="9219" width="15.5" style="582" customWidth="1"/>
    <col min="9220" max="9220" width="17.1640625" style="582" customWidth="1"/>
    <col min="9221" max="9222" width="16.83203125" style="582" customWidth="1"/>
    <col min="9223" max="9225" width="14.33203125" style="582" bestFit="1" customWidth="1"/>
    <col min="9226" max="9227" width="18.5" style="582" customWidth="1"/>
    <col min="9228" max="9228" width="20.33203125" style="582" customWidth="1"/>
    <col min="9229" max="9229" width="18.33203125" style="582" customWidth="1"/>
    <col min="9230" max="9230" width="18.5" style="582" customWidth="1"/>
    <col min="9231" max="9231" width="19.5" style="582" customWidth="1"/>
    <col min="9232" max="9232" width="16.5" style="582" customWidth="1"/>
    <col min="9233" max="9233" width="17.5" style="582" customWidth="1"/>
    <col min="9234" max="9473" width="8.6640625" style="582"/>
    <col min="9474" max="9474" width="40.83203125" style="582" customWidth="1"/>
    <col min="9475" max="9475" width="15.5" style="582" customWidth="1"/>
    <col min="9476" max="9476" width="17.1640625" style="582" customWidth="1"/>
    <col min="9477" max="9478" width="16.83203125" style="582" customWidth="1"/>
    <col min="9479" max="9481" width="14.33203125" style="582" bestFit="1" customWidth="1"/>
    <col min="9482" max="9483" width="18.5" style="582" customWidth="1"/>
    <col min="9484" max="9484" width="20.33203125" style="582" customWidth="1"/>
    <col min="9485" max="9485" width="18.33203125" style="582" customWidth="1"/>
    <col min="9486" max="9486" width="18.5" style="582" customWidth="1"/>
    <col min="9487" max="9487" width="19.5" style="582" customWidth="1"/>
    <col min="9488" max="9488" width="16.5" style="582" customWidth="1"/>
    <col min="9489" max="9489" width="17.5" style="582" customWidth="1"/>
    <col min="9490" max="9729" width="8.6640625" style="582"/>
    <col min="9730" max="9730" width="40.83203125" style="582" customWidth="1"/>
    <col min="9731" max="9731" width="15.5" style="582" customWidth="1"/>
    <col min="9732" max="9732" width="17.1640625" style="582" customWidth="1"/>
    <col min="9733" max="9734" width="16.83203125" style="582" customWidth="1"/>
    <col min="9735" max="9737" width="14.33203125" style="582" bestFit="1" customWidth="1"/>
    <col min="9738" max="9739" width="18.5" style="582" customWidth="1"/>
    <col min="9740" max="9740" width="20.33203125" style="582" customWidth="1"/>
    <col min="9741" max="9741" width="18.33203125" style="582" customWidth="1"/>
    <col min="9742" max="9742" width="18.5" style="582" customWidth="1"/>
    <col min="9743" max="9743" width="19.5" style="582" customWidth="1"/>
    <col min="9744" max="9744" width="16.5" style="582" customWidth="1"/>
    <col min="9745" max="9745" width="17.5" style="582" customWidth="1"/>
    <col min="9746" max="9985" width="8.6640625" style="582"/>
    <col min="9986" max="9986" width="40.83203125" style="582" customWidth="1"/>
    <col min="9987" max="9987" width="15.5" style="582" customWidth="1"/>
    <col min="9988" max="9988" width="17.1640625" style="582" customWidth="1"/>
    <col min="9989" max="9990" width="16.83203125" style="582" customWidth="1"/>
    <col min="9991" max="9993" width="14.33203125" style="582" bestFit="1" customWidth="1"/>
    <col min="9994" max="9995" width="18.5" style="582" customWidth="1"/>
    <col min="9996" max="9996" width="20.33203125" style="582" customWidth="1"/>
    <col min="9997" max="9997" width="18.33203125" style="582" customWidth="1"/>
    <col min="9998" max="9998" width="18.5" style="582" customWidth="1"/>
    <col min="9999" max="9999" width="19.5" style="582" customWidth="1"/>
    <col min="10000" max="10000" width="16.5" style="582" customWidth="1"/>
    <col min="10001" max="10001" width="17.5" style="582" customWidth="1"/>
    <col min="10002" max="10241" width="8.6640625" style="582"/>
    <col min="10242" max="10242" width="40.83203125" style="582" customWidth="1"/>
    <col min="10243" max="10243" width="15.5" style="582" customWidth="1"/>
    <col min="10244" max="10244" width="17.1640625" style="582" customWidth="1"/>
    <col min="10245" max="10246" width="16.83203125" style="582" customWidth="1"/>
    <col min="10247" max="10249" width="14.33203125" style="582" bestFit="1" customWidth="1"/>
    <col min="10250" max="10251" width="18.5" style="582" customWidth="1"/>
    <col min="10252" max="10252" width="20.33203125" style="582" customWidth="1"/>
    <col min="10253" max="10253" width="18.33203125" style="582" customWidth="1"/>
    <col min="10254" max="10254" width="18.5" style="582" customWidth="1"/>
    <col min="10255" max="10255" width="19.5" style="582" customWidth="1"/>
    <col min="10256" max="10256" width="16.5" style="582" customWidth="1"/>
    <col min="10257" max="10257" width="17.5" style="582" customWidth="1"/>
    <col min="10258" max="10497" width="8.6640625" style="582"/>
    <col min="10498" max="10498" width="40.83203125" style="582" customWidth="1"/>
    <col min="10499" max="10499" width="15.5" style="582" customWidth="1"/>
    <col min="10500" max="10500" width="17.1640625" style="582" customWidth="1"/>
    <col min="10501" max="10502" width="16.83203125" style="582" customWidth="1"/>
    <col min="10503" max="10505" width="14.33203125" style="582" bestFit="1" customWidth="1"/>
    <col min="10506" max="10507" width="18.5" style="582" customWidth="1"/>
    <col min="10508" max="10508" width="20.33203125" style="582" customWidth="1"/>
    <col min="10509" max="10509" width="18.33203125" style="582" customWidth="1"/>
    <col min="10510" max="10510" width="18.5" style="582" customWidth="1"/>
    <col min="10511" max="10511" width="19.5" style="582" customWidth="1"/>
    <col min="10512" max="10512" width="16.5" style="582" customWidth="1"/>
    <col min="10513" max="10513" width="17.5" style="582" customWidth="1"/>
    <col min="10514" max="10753" width="8.6640625" style="582"/>
    <col min="10754" max="10754" width="40.83203125" style="582" customWidth="1"/>
    <col min="10755" max="10755" width="15.5" style="582" customWidth="1"/>
    <col min="10756" max="10756" width="17.1640625" style="582" customWidth="1"/>
    <col min="10757" max="10758" width="16.83203125" style="582" customWidth="1"/>
    <col min="10759" max="10761" width="14.33203125" style="582" bestFit="1" customWidth="1"/>
    <col min="10762" max="10763" width="18.5" style="582" customWidth="1"/>
    <col min="10764" max="10764" width="20.33203125" style="582" customWidth="1"/>
    <col min="10765" max="10765" width="18.33203125" style="582" customWidth="1"/>
    <col min="10766" max="10766" width="18.5" style="582" customWidth="1"/>
    <col min="10767" max="10767" width="19.5" style="582" customWidth="1"/>
    <col min="10768" max="10768" width="16.5" style="582" customWidth="1"/>
    <col min="10769" max="10769" width="17.5" style="582" customWidth="1"/>
    <col min="10770" max="11009" width="8.6640625" style="582"/>
    <col min="11010" max="11010" width="40.83203125" style="582" customWidth="1"/>
    <col min="11011" max="11011" width="15.5" style="582" customWidth="1"/>
    <col min="11012" max="11012" width="17.1640625" style="582" customWidth="1"/>
    <col min="11013" max="11014" width="16.83203125" style="582" customWidth="1"/>
    <col min="11015" max="11017" width="14.33203125" style="582" bestFit="1" customWidth="1"/>
    <col min="11018" max="11019" width="18.5" style="582" customWidth="1"/>
    <col min="11020" max="11020" width="20.33203125" style="582" customWidth="1"/>
    <col min="11021" max="11021" width="18.33203125" style="582" customWidth="1"/>
    <col min="11022" max="11022" width="18.5" style="582" customWidth="1"/>
    <col min="11023" max="11023" width="19.5" style="582" customWidth="1"/>
    <col min="11024" max="11024" width="16.5" style="582" customWidth="1"/>
    <col min="11025" max="11025" width="17.5" style="582" customWidth="1"/>
    <col min="11026" max="11265" width="8.6640625" style="582"/>
    <col min="11266" max="11266" width="40.83203125" style="582" customWidth="1"/>
    <col min="11267" max="11267" width="15.5" style="582" customWidth="1"/>
    <col min="11268" max="11268" width="17.1640625" style="582" customWidth="1"/>
    <col min="11269" max="11270" width="16.83203125" style="582" customWidth="1"/>
    <col min="11271" max="11273" width="14.33203125" style="582" bestFit="1" customWidth="1"/>
    <col min="11274" max="11275" width="18.5" style="582" customWidth="1"/>
    <col min="11276" max="11276" width="20.33203125" style="582" customWidth="1"/>
    <col min="11277" max="11277" width="18.33203125" style="582" customWidth="1"/>
    <col min="11278" max="11278" width="18.5" style="582" customWidth="1"/>
    <col min="11279" max="11279" width="19.5" style="582" customWidth="1"/>
    <col min="11280" max="11280" width="16.5" style="582" customWidth="1"/>
    <col min="11281" max="11281" width="17.5" style="582" customWidth="1"/>
    <col min="11282" max="11521" width="8.6640625" style="582"/>
    <col min="11522" max="11522" width="40.83203125" style="582" customWidth="1"/>
    <col min="11523" max="11523" width="15.5" style="582" customWidth="1"/>
    <col min="11524" max="11524" width="17.1640625" style="582" customWidth="1"/>
    <col min="11525" max="11526" width="16.83203125" style="582" customWidth="1"/>
    <col min="11527" max="11529" width="14.33203125" style="582" bestFit="1" customWidth="1"/>
    <col min="11530" max="11531" width="18.5" style="582" customWidth="1"/>
    <col min="11532" max="11532" width="20.33203125" style="582" customWidth="1"/>
    <col min="11533" max="11533" width="18.33203125" style="582" customWidth="1"/>
    <col min="11534" max="11534" width="18.5" style="582" customWidth="1"/>
    <col min="11535" max="11535" width="19.5" style="582" customWidth="1"/>
    <col min="11536" max="11536" width="16.5" style="582" customWidth="1"/>
    <col min="11537" max="11537" width="17.5" style="582" customWidth="1"/>
    <col min="11538" max="11777" width="8.6640625" style="582"/>
    <col min="11778" max="11778" width="40.83203125" style="582" customWidth="1"/>
    <col min="11779" max="11779" width="15.5" style="582" customWidth="1"/>
    <col min="11780" max="11780" width="17.1640625" style="582" customWidth="1"/>
    <col min="11781" max="11782" width="16.83203125" style="582" customWidth="1"/>
    <col min="11783" max="11785" width="14.33203125" style="582" bestFit="1" customWidth="1"/>
    <col min="11786" max="11787" width="18.5" style="582" customWidth="1"/>
    <col min="11788" max="11788" width="20.33203125" style="582" customWidth="1"/>
    <col min="11789" max="11789" width="18.33203125" style="582" customWidth="1"/>
    <col min="11790" max="11790" width="18.5" style="582" customWidth="1"/>
    <col min="11791" max="11791" width="19.5" style="582" customWidth="1"/>
    <col min="11792" max="11792" width="16.5" style="582" customWidth="1"/>
    <col min="11793" max="11793" width="17.5" style="582" customWidth="1"/>
    <col min="11794" max="12033" width="8.6640625" style="582"/>
    <col min="12034" max="12034" width="40.83203125" style="582" customWidth="1"/>
    <col min="12035" max="12035" width="15.5" style="582" customWidth="1"/>
    <col min="12036" max="12036" width="17.1640625" style="582" customWidth="1"/>
    <col min="12037" max="12038" width="16.83203125" style="582" customWidth="1"/>
    <col min="12039" max="12041" width="14.33203125" style="582" bestFit="1" customWidth="1"/>
    <col min="12042" max="12043" width="18.5" style="582" customWidth="1"/>
    <col min="12044" max="12044" width="20.33203125" style="582" customWidth="1"/>
    <col min="12045" max="12045" width="18.33203125" style="582" customWidth="1"/>
    <col min="12046" max="12046" width="18.5" style="582" customWidth="1"/>
    <col min="12047" max="12047" width="19.5" style="582" customWidth="1"/>
    <col min="12048" max="12048" width="16.5" style="582" customWidth="1"/>
    <col min="12049" max="12049" width="17.5" style="582" customWidth="1"/>
    <col min="12050" max="12289" width="8.6640625" style="582"/>
    <col min="12290" max="12290" width="40.83203125" style="582" customWidth="1"/>
    <col min="12291" max="12291" width="15.5" style="582" customWidth="1"/>
    <col min="12292" max="12292" width="17.1640625" style="582" customWidth="1"/>
    <col min="12293" max="12294" width="16.83203125" style="582" customWidth="1"/>
    <col min="12295" max="12297" width="14.33203125" style="582" bestFit="1" customWidth="1"/>
    <col min="12298" max="12299" width="18.5" style="582" customWidth="1"/>
    <col min="12300" max="12300" width="20.33203125" style="582" customWidth="1"/>
    <col min="12301" max="12301" width="18.33203125" style="582" customWidth="1"/>
    <col min="12302" max="12302" width="18.5" style="582" customWidth="1"/>
    <col min="12303" max="12303" width="19.5" style="582" customWidth="1"/>
    <col min="12304" max="12304" width="16.5" style="582" customWidth="1"/>
    <col min="12305" max="12305" width="17.5" style="582" customWidth="1"/>
    <col min="12306" max="12545" width="8.6640625" style="582"/>
    <col min="12546" max="12546" width="40.83203125" style="582" customWidth="1"/>
    <col min="12547" max="12547" width="15.5" style="582" customWidth="1"/>
    <col min="12548" max="12548" width="17.1640625" style="582" customWidth="1"/>
    <col min="12549" max="12550" width="16.83203125" style="582" customWidth="1"/>
    <col min="12551" max="12553" width="14.33203125" style="582" bestFit="1" customWidth="1"/>
    <col min="12554" max="12555" width="18.5" style="582" customWidth="1"/>
    <col min="12556" max="12556" width="20.33203125" style="582" customWidth="1"/>
    <col min="12557" max="12557" width="18.33203125" style="582" customWidth="1"/>
    <col min="12558" max="12558" width="18.5" style="582" customWidth="1"/>
    <col min="12559" max="12559" width="19.5" style="582" customWidth="1"/>
    <col min="12560" max="12560" width="16.5" style="582" customWidth="1"/>
    <col min="12561" max="12561" width="17.5" style="582" customWidth="1"/>
    <col min="12562" max="12801" width="8.6640625" style="582"/>
    <col min="12802" max="12802" width="40.83203125" style="582" customWidth="1"/>
    <col min="12803" max="12803" width="15.5" style="582" customWidth="1"/>
    <col min="12804" max="12804" width="17.1640625" style="582" customWidth="1"/>
    <col min="12805" max="12806" width="16.83203125" style="582" customWidth="1"/>
    <col min="12807" max="12809" width="14.33203125" style="582" bestFit="1" customWidth="1"/>
    <col min="12810" max="12811" width="18.5" style="582" customWidth="1"/>
    <col min="12812" max="12812" width="20.33203125" style="582" customWidth="1"/>
    <col min="12813" max="12813" width="18.33203125" style="582" customWidth="1"/>
    <col min="12814" max="12814" width="18.5" style="582" customWidth="1"/>
    <col min="12815" max="12815" width="19.5" style="582" customWidth="1"/>
    <col min="12816" max="12816" width="16.5" style="582" customWidth="1"/>
    <col min="12817" max="12817" width="17.5" style="582" customWidth="1"/>
    <col min="12818" max="13057" width="8.6640625" style="582"/>
    <col min="13058" max="13058" width="40.83203125" style="582" customWidth="1"/>
    <col min="13059" max="13059" width="15.5" style="582" customWidth="1"/>
    <col min="13060" max="13060" width="17.1640625" style="582" customWidth="1"/>
    <col min="13061" max="13062" width="16.83203125" style="582" customWidth="1"/>
    <col min="13063" max="13065" width="14.33203125" style="582" bestFit="1" customWidth="1"/>
    <col min="13066" max="13067" width="18.5" style="582" customWidth="1"/>
    <col min="13068" max="13068" width="20.33203125" style="582" customWidth="1"/>
    <col min="13069" max="13069" width="18.33203125" style="582" customWidth="1"/>
    <col min="13070" max="13070" width="18.5" style="582" customWidth="1"/>
    <col min="13071" max="13071" width="19.5" style="582" customWidth="1"/>
    <col min="13072" max="13072" width="16.5" style="582" customWidth="1"/>
    <col min="13073" max="13073" width="17.5" style="582" customWidth="1"/>
    <col min="13074" max="13313" width="8.6640625" style="582"/>
    <col min="13314" max="13314" width="40.83203125" style="582" customWidth="1"/>
    <col min="13315" max="13315" width="15.5" style="582" customWidth="1"/>
    <col min="13316" max="13316" width="17.1640625" style="582" customWidth="1"/>
    <col min="13317" max="13318" width="16.83203125" style="582" customWidth="1"/>
    <col min="13319" max="13321" width="14.33203125" style="582" bestFit="1" customWidth="1"/>
    <col min="13322" max="13323" width="18.5" style="582" customWidth="1"/>
    <col min="13324" max="13324" width="20.33203125" style="582" customWidth="1"/>
    <col min="13325" max="13325" width="18.33203125" style="582" customWidth="1"/>
    <col min="13326" max="13326" width="18.5" style="582" customWidth="1"/>
    <col min="13327" max="13327" width="19.5" style="582" customWidth="1"/>
    <col min="13328" max="13328" width="16.5" style="582" customWidth="1"/>
    <col min="13329" max="13329" width="17.5" style="582" customWidth="1"/>
    <col min="13330" max="13569" width="8.6640625" style="582"/>
    <col min="13570" max="13570" width="40.83203125" style="582" customWidth="1"/>
    <col min="13571" max="13571" width="15.5" style="582" customWidth="1"/>
    <col min="13572" max="13572" width="17.1640625" style="582" customWidth="1"/>
    <col min="13573" max="13574" width="16.83203125" style="582" customWidth="1"/>
    <col min="13575" max="13577" width="14.33203125" style="582" bestFit="1" customWidth="1"/>
    <col min="13578" max="13579" width="18.5" style="582" customWidth="1"/>
    <col min="13580" max="13580" width="20.33203125" style="582" customWidth="1"/>
    <col min="13581" max="13581" width="18.33203125" style="582" customWidth="1"/>
    <col min="13582" max="13582" width="18.5" style="582" customWidth="1"/>
    <col min="13583" max="13583" width="19.5" style="582" customWidth="1"/>
    <col min="13584" max="13584" width="16.5" style="582" customWidth="1"/>
    <col min="13585" max="13585" width="17.5" style="582" customWidth="1"/>
    <col min="13586" max="13825" width="8.6640625" style="582"/>
    <col min="13826" max="13826" width="40.83203125" style="582" customWidth="1"/>
    <col min="13827" max="13827" width="15.5" style="582" customWidth="1"/>
    <col min="13828" max="13828" width="17.1640625" style="582" customWidth="1"/>
    <col min="13829" max="13830" width="16.83203125" style="582" customWidth="1"/>
    <col min="13831" max="13833" width="14.33203125" style="582" bestFit="1" customWidth="1"/>
    <col min="13834" max="13835" width="18.5" style="582" customWidth="1"/>
    <col min="13836" max="13836" width="20.33203125" style="582" customWidth="1"/>
    <col min="13837" max="13837" width="18.33203125" style="582" customWidth="1"/>
    <col min="13838" max="13838" width="18.5" style="582" customWidth="1"/>
    <col min="13839" max="13839" width="19.5" style="582" customWidth="1"/>
    <col min="13840" max="13840" width="16.5" style="582" customWidth="1"/>
    <col min="13841" max="13841" width="17.5" style="582" customWidth="1"/>
    <col min="13842" max="14081" width="8.6640625" style="582"/>
    <col min="14082" max="14082" width="40.83203125" style="582" customWidth="1"/>
    <col min="14083" max="14083" width="15.5" style="582" customWidth="1"/>
    <col min="14084" max="14084" width="17.1640625" style="582" customWidth="1"/>
    <col min="14085" max="14086" width="16.83203125" style="582" customWidth="1"/>
    <col min="14087" max="14089" width="14.33203125" style="582" bestFit="1" customWidth="1"/>
    <col min="14090" max="14091" width="18.5" style="582" customWidth="1"/>
    <col min="14092" max="14092" width="20.33203125" style="582" customWidth="1"/>
    <col min="14093" max="14093" width="18.33203125" style="582" customWidth="1"/>
    <col min="14094" max="14094" width="18.5" style="582" customWidth="1"/>
    <col min="14095" max="14095" width="19.5" style="582" customWidth="1"/>
    <col min="14096" max="14096" width="16.5" style="582" customWidth="1"/>
    <col min="14097" max="14097" width="17.5" style="582" customWidth="1"/>
    <col min="14098" max="14337" width="8.6640625" style="582"/>
    <col min="14338" max="14338" width="40.83203125" style="582" customWidth="1"/>
    <col min="14339" max="14339" width="15.5" style="582" customWidth="1"/>
    <col min="14340" max="14340" width="17.1640625" style="582" customWidth="1"/>
    <col min="14341" max="14342" width="16.83203125" style="582" customWidth="1"/>
    <col min="14343" max="14345" width="14.33203125" style="582" bestFit="1" customWidth="1"/>
    <col min="14346" max="14347" width="18.5" style="582" customWidth="1"/>
    <col min="14348" max="14348" width="20.33203125" style="582" customWidth="1"/>
    <col min="14349" max="14349" width="18.33203125" style="582" customWidth="1"/>
    <col min="14350" max="14350" width="18.5" style="582" customWidth="1"/>
    <col min="14351" max="14351" width="19.5" style="582" customWidth="1"/>
    <col min="14352" max="14352" width="16.5" style="582" customWidth="1"/>
    <col min="14353" max="14353" width="17.5" style="582" customWidth="1"/>
    <col min="14354" max="14593" width="8.6640625" style="582"/>
    <col min="14594" max="14594" width="40.83203125" style="582" customWidth="1"/>
    <col min="14595" max="14595" width="15.5" style="582" customWidth="1"/>
    <col min="14596" max="14596" width="17.1640625" style="582" customWidth="1"/>
    <col min="14597" max="14598" width="16.83203125" style="582" customWidth="1"/>
    <col min="14599" max="14601" width="14.33203125" style="582" bestFit="1" customWidth="1"/>
    <col min="14602" max="14603" width="18.5" style="582" customWidth="1"/>
    <col min="14604" max="14604" width="20.33203125" style="582" customWidth="1"/>
    <col min="14605" max="14605" width="18.33203125" style="582" customWidth="1"/>
    <col min="14606" max="14606" width="18.5" style="582" customWidth="1"/>
    <col min="14607" max="14607" width="19.5" style="582" customWidth="1"/>
    <col min="14608" max="14608" width="16.5" style="582" customWidth="1"/>
    <col min="14609" max="14609" width="17.5" style="582" customWidth="1"/>
    <col min="14610" max="14849" width="8.6640625" style="582"/>
    <col min="14850" max="14850" width="40.83203125" style="582" customWidth="1"/>
    <col min="14851" max="14851" width="15.5" style="582" customWidth="1"/>
    <col min="14852" max="14852" width="17.1640625" style="582" customWidth="1"/>
    <col min="14853" max="14854" width="16.83203125" style="582" customWidth="1"/>
    <col min="14855" max="14857" width="14.33203125" style="582" bestFit="1" customWidth="1"/>
    <col min="14858" max="14859" width="18.5" style="582" customWidth="1"/>
    <col min="14860" max="14860" width="20.33203125" style="582" customWidth="1"/>
    <col min="14861" max="14861" width="18.33203125" style="582" customWidth="1"/>
    <col min="14862" max="14862" width="18.5" style="582" customWidth="1"/>
    <col min="14863" max="14863" width="19.5" style="582" customWidth="1"/>
    <col min="14864" max="14864" width="16.5" style="582" customWidth="1"/>
    <col min="14865" max="14865" width="17.5" style="582" customWidth="1"/>
    <col min="14866" max="15105" width="8.6640625" style="582"/>
    <col min="15106" max="15106" width="40.83203125" style="582" customWidth="1"/>
    <col min="15107" max="15107" width="15.5" style="582" customWidth="1"/>
    <col min="15108" max="15108" width="17.1640625" style="582" customWidth="1"/>
    <col min="15109" max="15110" width="16.83203125" style="582" customWidth="1"/>
    <col min="15111" max="15113" width="14.33203125" style="582" bestFit="1" customWidth="1"/>
    <col min="15114" max="15115" width="18.5" style="582" customWidth="1"/>
    <col min="15116" max="15116" width="20.33203125" style="582" customWidth="1"/>
    <col min="15117" max="15117" width="18.33203125" style="582" customWidth="1"/>
    <col min="15118" max="15118" width="18.5" style="582" customWidth="1"/>
    <col min="15119" max="15119" width="19.5" style="582" customWidth="1"/>
    <col min="15120" max="15120" width="16.5" style="582" customWidth="1"/>
    <col min="15121" max="15121" width="17.5" style="582" customWidth="1"/>
    <col min="15122" max="15361" width="8.6640625" style="582"/>
    <col min="15362" max="15362" width="40.83203125" style="582" customWidth="1"/>
    <col min="15363" max="15363" width="15.5" style="582" customWidth="1"/>
    <col min="15364" max="15364" width="17.1640625" style="582" customWidth="1"/>
    <col min="15365" max="15366" width="16.83203125" style="582" customWidth="1"/>
    <col min="15367" max="15369" width="14.33203125" style="582" bestFit="1" customWidth="1"/>
    <col min="15370" max="15371" width="18.5" style="582" customWidth="1"/>
    <col min="15372" max="15372" width="20.33203125" style="582" customWidth="1"/>
    <col min="15373" max="15373" width="18.33203125" style="582" customWidth="1"/>
    <col min="15374" max="15374" width="18.5" style="582" customWidth="1"/>
    <col min="15375" max="15375" width="19.5" style="582" customWidth="1"/>
    <col min="15376" max="15376" width="16.5" style="582" customWidth="1"/>
    <col min="15377" max="15377" width="17.5" style="582" customWidth="1"/>
    <col min="15378" max="15617" width="8.6640625" style="582"/>
    <col min="15618" max="15618" width="40.83203125" style="582" customWidth="1"/>
    <col min="15619" max="15619" width="15.5" style="582" customWidth="1"/>
    <col min="15620" max="15620" width="17.1640625" style="582" customWidth="1"/>
    <col min="15621" max="15622" width="16.83203125" style="582" customWidth="1"/>
    <col min="15623" max="15625" width="14.33203125" style="582" bestFit="1" customWidth="1"/>
    <col min="15626" max="15627" width="18.5" style="582" customWidth="1"/>
    <col min="15628" max="15628" width="20.33203125" style="582" customWidth="1"/>
    <col min="15629" max="15629" width="18.33203125" style="582" customWidth="1"/>
    <col min="15630" max="15630" width="18.5" style="582" customWidth="1"/>
    <col min="15631" max="15631" width="19.5" style="582" customWidth="1"/>
    <col min="15632" max="15632" width="16.5" style="582" customWidth="1"/>
    <col min="15633" max="15633" width="17.5" style="582" customWidth="1"/>
    <col min="15634" max="15873" width="8.6640625" style="582"/>
    <col min="15874" max="15874" width="40.83203125" style="582" customWidth="1"/>
    <col min="15875" max="15875" width="15.5" style="582" customWidth="1"/>
    <col min="15876" max="15876" width="17.1640625" style="582" customWidth="1"/>
    <col min="15877" max="15878" width="16.83203125" style="582" customWidth="1"/>
    <col min="15879" max="15881" width="14.33203125" style="582" bestFit="1" customWidth="1"/>
    <col min="15882" max="15883" width="18.5" style="582" customWidth="1"/>
    <col min="15884" max="15884" width="20.33203125" style="582" customWidth="1"/>
    <col min="15885" max="15885" width="18.33203125" style="582" customWidth="1"/>
    <col min="15886" max="15886" width="18.5" style="582" customWidth="1"/>
    <col min="15887" max="15887" width="19.5" style="582" customWidth="1"/>
    <col min="15888" max="15888" width="16.5" style="582" customWidth="1"/>
    <col min="15889" max="15889" width="17.5" style="582" customWidth="1"/>
    <col min="15890" max="16129" width="8.6640625" style="582"/>
    <col min="16130" max="16130" width="40.83203125" style="582" customWidth="1"/>
    <col min="16131" max="16131" width="15.5" style="582" customWidth="1"/>
    <col min="16132" max="16132" width="17.1640625" style="582" customWidth="1"/>
    <col min="16133" max="16134" width="16.83203125" style="582" customWidth="1"/>
    <col min="16135" max="16137" width="14.33203125" style="582" bestFit="1" customWidth="1"/>
    <col min="16138" max="16139" width="18.5" style="582" customWidth="1"/>
    <col min="16140" max="16140" width="20.33203125" style="582" customWidth="1"/>
    <col min="16141" max="16141" width="18.33203125" style="582" customWidth="1"/>
    <col min="16142" max="16142" width="18.5" style="582" customWidth="1"/>
    <col min="16143" max="16143" width="19.5" style="582" customWidth="1"/>
    <col min="16144" max="16144" width="16.5" style="582" customWidth="1"/>
    <col min="16145" max="16145" width="17.5" style="582" customWidth="1"/>
    <col min="16146" max="16384" width="8.6640625" style="582"/>
  </cols>
  <sheetData>
    <row r="1" spans="1:10" ht="15">
      <c r="A1" s="547"/>
      <c r="B1" s="583" t="s">
        <v>3436</v>
      </c>
      <c r="C1" s="583"/>
      <c r="D1" s="584"/>
      <c r="E1" s="584"/>
    </row>
    <row r="2" spans="1:10" ht="15">
      <c r="A2" s="547"/>
      <c r="B2" s="584">
        <v>2019</v>
      </c>
      <c r="C2" s="584">
        <v>2020</v>
      </c>
      <c r="D2" s="584">
        <v>2021</v>
      </c>
      <c r="E2" s="584">
        <v>2022</v>
      </c>
      <c r="F2" s="582">
        <v>2023</v>
      </c>
      <c r="G2" s="582">
        <v>2024</v>
      </c>
    </row>
    <row r="3" spans="1:10">
      <c r="A3" s="547"/>
      <c r="B3" s="588"/>
      <c r="C3" s="588" t="s">
        <v>3437</v>
      </c>
      <c r="D3" s="588"/>
      <c r="E3" s="588"/>
    </row>
    <row r="4" spans="1:10">
      <c r="A4" s="547" t="s">
        <v>3438</v>
      </c>
      <c r="B4" s="594">
        <v>32</v>
      </c>
      <c r="C4" s="594">
        <v>43</v>
      </c>
      <c r="D4" s="594">
        <v>89</v>
      </c>
      <c r="E4" s="594">
        <v>110</v>
      </c>
      <c r="F4" s="594"/>
    </row>
    <row r="5" spans="1:10">
      <c r="A5" s="547" t="s">
        <v>3439</v>
      </c>
      <c r="B5" s="607">
        <v>1</v>
      </c>
      <c r="C5" s="607">
        <v>2.8</v>
      </c>
      <c r="D5" s="607">
        <v>11.4</v>
      </c>
      <c r="E5" s="607">
        <v>8.3000000000000007</v>
      </c>
      <c r="F5" s="607">
        <v>7</v>
      </c>
      <c r="G5" s="582">
        <v>8.4</v>
      </c>
      <c r="H5" s="582">
        <v>9.1999999999999993</v>
      </c>
    </row>
    <row r="6" spans="1:10">
      <c r="A6" s="547" t="s">
        <v>3440</v>
      </c>
      <c r="B6" s="591">
        <v>16.969000000000001</v>
      </c>
      <c r="C6" s="591">
        <v>90.307000000000002</v>
      </c>
      <c r="D6" s="591">
        <v>278</v>
      </c>
      <c r="E6" s="591">
        <v>80</v>
      </c>
      <c r="F6" s="591">
        <v>191</v>
      </c>
      <c r="G6" s="582">
        <v>404</v>
      </c>
      <c r="H6" s="582">
        <v>376</v>
      </c>
    </row>
    <row r="7" spans="1:10">
      <c r="A7" s="547" t="s">
        <v>3441</v>
      </c>
      <c r="B7" s="591">
        <v>79906</v>
      </c>
      <c r="C7" s="591">
        <v>193097</v>
      </c>
      <c r="D7" s="591">
        <v>1671000</v>
      </c>
      <c r="E7" s="591">
        <v>830000</v>
      </c>
      <c r="F7" s="591">
        <v>468000</v>
      </c>
      <c r="G7" s="608">
        <v>1162000</v>
      </c>
      <c r="H7" s="582">
        <v>1221000</v>
      </c>
    </row>
    <row r="8" spans="1:10">
      <c r="A8" s="547" t="s">
        <v>3363</v>
      </c>
      <c r="B8" s="591">
        <v>-30</v>
      </c>
      <c r="C8" s="591">
        <v>322</v>
      </c>
      <c r="D8" s="591">
        <v>3624</v>
      </c>
      <c r="E8" s="591">
        <v>-2625</v>
      </c>
      <c r="F8" s="591">
        <v>95</v>
      </c>
      <c r="G8" s="582">
        <v>2579</v>
      </c>
      <c r="H8" s="582">
        <v>1260</v>
      </c>
    </row>
    <row r="9" spans="1:10">
      <c r="A9" s="547" t="s">
        <v>3442</v>
      </c>
      <c r="B9" s="591">
        <v>24</v>
      </c>
      <c r="C9" s="591">
        <v>527</v>
      </c>
      <c r="D9" s="591">
        <v>4090</v>
      </c>
      <c r="E9" s="591">
        <v>-371</v>
      </c>
      <c r="F9" s="591">
        <v>964</v>
      </c>
      <c r="G9" s="582">
        <v>3348</v>
      </c>
      <c r="H9" s="582">
        <v>2808</v>
      </c>
    </row>
    <row r="12" spans="1:10" ht="15">
      <c r="A12" s="547"/>
      <c r="B12" s="583">
        <v>2019</v>
      </c>
      <c r="C12" s="583"/>
      <c r="D12" s="583">
        <v>2020</v>
      </c>
      <c r="E12" s="583"/>
      <c r="F12" s="609">
        <v>2021</v>
      </c>
      <c r="H12" s="609">
        <v>2022</v>
      </c>
    </row>
    <row r="13" spans="1:10" ht="15">
      <c r="A13" s="547"/>
      <c r="B13" s="584" t="s">
        <v>3443</v>
      </c>
      <c r="C13" s="584" t="s">
        <v>3444</v>
      </c>
      <c r="D13" s="584" t="s">
        <v>3443</v>
      </c>
      <c r="E13" s="584" t="s">
        <v>3444</v>
      </c>
      <c r="F13" s="584" t="s">
        <v>3445</v>
      </c>
      <c r="G13" s="584" t="s">
        <v>3446</v>
      </c>
      <c r="H13" s="584" t="s">
        <v>3445</v>
      </c>
      <c r="I13" s="584" t="s">
        <v>3446</v>
      </c>
      <c r="J13" s="584"/>
    </row>
    <row r="14" spans="1:10">
      <c r="A14" s="547"/>
      <c r="B14" s="588"/>
      <c r="C14" s="588"/>
      <c r="D14" s="588" t="s">
        <v>3447</v>
      </c>
      <c r="E14" s="588"/>
    </row>
    <row r="15" spans="1:10">
      <c r="A15" s="547" t="s">
        <v>3448</v>
      </c>
      <c r="B15" s="610">
        <v>15</v>
      </c>
      <c r="C15" s="610">
        <v>27</v>
      </c>
      <c r="D15" s="610">
        <v>39.4</v>
      </c>
      <c r="E15" s="610">
        <v>130.1</v>
      </c>
      <c r="F15" s="611">
        <v>183.4</v>
      </c>
      <c r="G15" s="611">
        <v>363.70000000000005</v>
      </c>
      <c r="H15" s="611">
        <v>117</v>
      </c>
      <c r="I15" s="611">
        <v>157.60000000000002</v>
      </c>
      <c r="J15" s="611"/>
    </row>
    <row r="16" spans="1:10">
      <c r="A16" s="547" t="s">
        <v>3449</v>
      </c>
      <c r="B16" s="607">
        <v>4.0999999999999996</v>
      </c>
      <c r="C16" s="607">
        <v>4.5</v>
      </c>
      <c r="D16" s="607">
        <v>5.0999999999999996</v>
      </c>
      <c r="E16" s="607">
        <v>23.8</v>
      </c>
      <c r="F16" s="611">
        <v>104.30000000000001</v>
      </c>
      <c r="G16" s="611">
        <v>242.5</v>
      </c>
      <c r="H16" s="611">
        <v>115.6</v>
      </c>
      <c r="I16" s="611">
        <v>164.5</v>
      </c>
      <c r="J16" s="611"/>
    </row>
    <row r="17" spans="1:10">
      <c r="A17" s="547" t="s">
        <v>3450</v>
      </c>
      <c r="B17" s="607">
        <v>14.8</v>
      </c>
      <c r="C17" s="607">
        <v>15.1</v>
      </c>
      <c r="D17" s="607">
        <v>17.8</v>
      </c>
      <c r="E17" s="607">
        <v>34</v>
      </c>
      <c r="F17" s="611">
        <v>278.8</v>
      </c>
      <c r="G17" s="611">
        <v>530.6</v>
      </c>
      <c r="H17" s="611">
        <v>123.60000000000001</v>
      </c>
      <c r="I17" s="611">
        <v>194.9</v>
      </c>
      <c r="J17" s="611"/>
    </row>
    <row r="18" spans="1:10">
      <c r="A18" s="547" t="s">
        <v>3451</v>
      </c>
      <c r="B18" s="610">
        <v>33.9</v>
      </c>
      <c r="C18" s="610">
        <v>46.6</v>
      </c>
      <c r="D18" s="610">
        <v>62.3</v>
      </c>
      <c r="E18" s="610">
        <v>187.9</v>
      </c>
      <c r="F18" s="611">
        <v>566.5</v>
      </c>
      <c r="G18" s="611">
        <v>1136.8</v>
      </c>
      <c r="H18" s="611">
        <v>356.2</v>
      </c>
      <c r="I18" s="611">
        <v>517</v>
      </c>
      <c r="J18" s="611"/>
    </row>
    <row r="20" spans="1:10" ht="15">
      <c r="A20" s="547"/>
      <c r="B20" s="583" t="s">
        <v>3343</v>
      </c>
      <c r="C20" s="583"/>
    </row>
    <row r="21" spans="1:10" ht="15">
      <c r="A21" s="547"/>
      <c r="B21" s="584">
        <v>2019</v>
      </c>
      <c r="C21" s="584">
        <v>2020</v>
      </c>
      <c r="D21" s="584">
        <v>2021</v>
      </c>
      <c r="E21" s="584">
        <v>2022</v>
      </c>
      <c r="F21" s="582">
        <v>2023</v>
      </c>
      <c r="G21" s="582">
        <v>2024</v>
      </c>
    </row>
    <row r="22" spans="1:10">
      <c r="A22" s="547"/>
      <c r="B22" s="588"/>
      <c r="C22" s="588" t="s">
        <v>3452</v>
      </c>
      <c r="D22" s="588"/>
      <c r="E22" s="588"/>
    </row>
    <row r="23" spans="1:10" ht="15" thickBot="1">
      <c r="A23" s="547" t="s">
        <v>3453</v>
      </c>
      <c r="B23" s="591">
        <v>463005</v>
      </c>
      <c r="C23" s="591">
        <v>1096174</v>
      </c>
      <c r="D23" s="591">
        <v>6837266</v>
      </c>
      <c r="E23" s="591">
        <v>2356244</v>
      </c>
      <c r="F23" s="591">
        <v>1519654</v>
      </c>
      <c r="G23" s="582">
        <v>3986113</v>
      </c>
      <c r="H23" s="582">
        <v>4055390</v>
      </c>
    </row>
    <row r="24" spans="1:10" ht="15" thickBot="1">
      <c r="A24" s="547" t="s">
        <v>3454</v>
      </c>
      <c r="B24" s="594">
        <v>19944</v>
      </c>
      <c r="C24" s="594">
        <v>44993</v>
      </c>
      <c r="D24" s="594">
        <v>517487</v>
      </c>
      <c r="E24" s="594">
        <v>792571</v>
      </c>
      <c r="F24" s="612">
        <v>1406886</v>
      </c>
      <c r="G24" s="613">
        <v>2306133</v>
      </c>
      <c r="H24" s="582">
        <v>2828048</v>
      </c>
    </row>
    <row r="25" spans="1:10" ht="15" thickTop="1">
      <c r="A25" s="547" t="s">
        <v>3348</v>
      </c>
      <c r="B25" s="594">
        <v>50786</v>
      </c>
      <c r="C25" s="594">
        <v>136314</v>
      </c>
      <c r="D25" s="594">
        <v>484691</v>
      </c>
      <c r="E25" s="594">
        <v>45393</v>
      </c>
      <c r="F25" s="594">
        <v>181843</v>
      </c>
      <c r="G25" s="582">
        <v>270782</v>
      </c>
      <c r="H25" s="582">
        <v>297887</v>
      </c>
    </row>
    <row r="26" spans="1:10">
      <c r="A26" s="547" t="s">
        <v>3349</v>
      </c>
      <c r="B26" s="591">
        <v>533735</v>
      </c>
      <c r="C26" s="591">
        <v>1277481</v>
      </c>
      <c r="D26" s="591">
        <v>7839444</v>
      </c>
      <c r="E26" s="591">
        <v>3194208</v>
      </c>
      <c r="F26" s="591">
        <f>SUM(F23:F25)</f>
        <v>3108383</v>
      </c>
      <c r="G26" s="591">
        <f>SUM(G23:G25)</f>
        <v>6563028</v>
      </c>
      <c r="H26" s="582">
        <f>SUM(H23:H25)</f>
        <v>7181325</v>
      </c>
    </row>
    <row r="27" spans="1:10">
      <c r="D27" s="614"/>
      <c r="E27" s="614"/>
      <c r="G27" s="614"/>
    </row>
    <row r="28" spans="1:10" ht="15">
      <c r="A28" s="547"/>
      <c r="B28" s="583" t="s">
        <v>3343</v>
      </c>
      <c r="C28" s="583"/>
      <c r="D28" s="614"/>
      <c r="E28" s="614"/>
    </row>
    <row r="29" spans="1:10" ht="15">
      <c r="A29" s="547"/>
      <c r="B29" s="584">
        <v>2019</v>
      </c>
      <c r="C29" s="584">
        <v>2020</v>
      </c>
      <c r="D29" s="584">
        <v>2021</v>
      </c>
      <c r="E29" s="584">
        <v>2022</v>
      </c>
      <c r="F29" s="582">
        <v>2023</v>
      </c>
      <c r="G29" s="582">
        <v>2024</v>
      </c>
    </row>
    <row r="30" spans="1:10">
      <c r="A30" s="547" t="s">
        <v>3347</v>
      </c>
      <c r="B30" s="589"/>
      <c r="C30" s="589"/>
      <c r="D30" s="589"/>
      <c r="E30" s="589"/>
    </row>
    <row r="31" spans="1:10">
      <c r="A31" s="547" t="s">
        <v>3453</v>
      </c>
      <c r="B31" s="589"/>
      <c r="C31" s="589"/>
      <c r="D31" s="589"/>
      <c r="E31" s="589"/>
    </row>
    <row r="32" spans="1:10">
      <c r="A32" s="547" t="s">
        <v>3455</v>
      </c>
      <c r="B32" s="591">
        <v>432919</v>
      </c>
      <c r="C32" s="591">
        <v>1040246</v>
      </c>
      <c r="D32" s="591">
        <v>6490992</v>
      </c>
      <c r="E32" s="591">
        <v>2236900</v>
      </c>
      <c r="F32" s="593">
        <v>1334018</v>
      </c>
      <c r="G32" s="593">
        <v>3430322</v>
      </c>
      <c r="H32" s="582">
        <v>3322835</v>
      </c>
    </row>
    <row r="33" spans="1:9">
      <c r="A33" s="547" t="s">
        <v>3456</v>
      </c>
      <c r="B33" s="594">
        <v>30086</v>
      </c>
      <c r="C33" s="594">
        <v>55928</v>
      </c>
      <c r="D33" s="594">
        <v>346274</v>
      </c>
      <c r="E33" s="594">
        <v>119344</v>
      </c>
      <c r="F33" s="596">
        <v>90164</v>
      </c>
      <c r="G33" s="596">
        <v>345598</v>
      </c>
      <c r="H33" s="582">
        <v>479667</v>
      </c>
    </row>
    <row r="34" spans="1:9">
      <c r="A34" s="547" t="s">
        <v>3680</v>
      </c>
      <c r="B34" s="594"/>
      <c r="C34" s="594"/>
      <c r="D34" s="594"/>
      <c r="E34" s="594"/>
      <c r="F34" s="596">
        <v>95472</v>
      </c>
      <c r="G34" s="596">
        <v>210193</v>
      </c>
      <c r="H34" s="582">
        <v>252888</v>
      </c>
    </row>
    <row r="35" spans="1:9">
      <c r="A35" s="547" t="s">
        <v>3457</v>
      </c>
      <c r="B35" s="594">
        <v>463005</v>
      </c>
      <c r="C35" s="594">
        <v>1096174</v>
      </c>
      <c r="D35" s="594">
        <v>6837266</v>
      </c>
      <c r="E35" s="594">
        <v>2356244</v>
      </c>
      <c r="F35" s="593">
        <v>1519654</v>
      </c>
      <c r="G35" s="593">
        <v>3986113</v>
      </c>
      <c r="H35" s="582">
        <v>4055390</v>
      </c>
    </row>
    <row r="36" spans="1:9">
      <c r="A36" s="547" t="s">
        <v>3454</v>
      </c>
      <c r="B36" s="589"/>
      <c r="C36" s="589"/>
      <c r="D36" s="589"/>
      <c r="E36" s="589"/>
      <c r="F36" s="590"/>
    </row>
    <row r="37" spans="1:9">
      <c r="A37" s="547" t="s">
        <v>3458</v>
      </c>
      <c r="B37" s="594">
        <v>3009</v>
      </c>
      <c r="C37" s="594">
        <v>18561</v>
      </c>
      <c r="D37" s="594">
        <v>223055</v>
      </c>
      <c r="E37" s="594">
        <v>79847</v>
      </c>
      <c r="F37" s="596">
        <v>69501</v>
      </c>
      <c r="G37" s="582">
        <v>141706</v>
      </c>
    </row>
    <row r="38" spans="1:9">
      <c r="A38" s="547" t="s">
        <v>3459</v>
      </c>
      <c r="B38" s="594">
        <v>188</v>
      </c>
      <c r="C38" s="594">
        <v>10413</v>
      </c>
      <c r="D38" s="594">
        <v>136293</v>
      </c>
      <c r="E38" s="594">
        <v>275507</v>
      </c>
      <c r="F38" s="596">
        <v>330885</v>
      </c>
      <c r="G38" s="582">
        <v>705757</v>
      </c>
      <c r="H38" s="582">
        <v>677405</v>
      </c>
    </row>
    <row r="39" spans="1:9">
      <c r="A39" s="547" t="s">
        <v>3460</v>
      </c>
      <c r="B39" s="594">
        <v>117</v>
      </c>
      <c r="C39" s="594">
        <v>7720</v>
      </c>
      <c r="D39" s="594">
        <v>63125</v>
      </c>
      <c r="E39" s="594"/>
      <c r="F39" s="596"/>
    </row>
    <row r="40" spans="1:9">
      <c r="A40" s="547" t="s">
        <v>3681</v>
      </c>
      <c r="B40" s="594"/>
      <c r="C40" s="594"/>
      <c r="D40" s="594"/>
      <c r="E40" s="596">
        <v>245710</v>
      </c>
      <c r="F40" s="596">
        <v>694247</v>
      </c>
      <c r="G40" s="596">
        <v>910464</v>
      </c>
      <c r="H40" s="582">
        <v>1348821</v>
      </c>
    </row>
    <row r="41" spans="1:9">
      <c r="A41" s="547" t="s">
        <v>3461</v>
      </c>
      <c r="B41" s="594">
        <v>14414</v>
      </c>
      <c r="C41" s="594">
        <v>5535</v>
      </c>
      <c r="D41" s="594">
        <v>25835</v>
      </c>
      <c r="E41" s="596">
        <v>82395</v>
      </c>
      <c r="F41" s="596">
        <v>186685</v>
      </c>
      <c r="G41" s="596">
        <v>265799</v>
      </c>
      <c r="H41" s="582">
        <v>247047</v>
      </c>
      <c r="I41" s="547"/>
    </row>
    <row r="42" spans="1:9">
      <c r="A42" s="547" t="s">
        <v>3462</v>
      </c>
      <c r="B42" s="594">
        <v>2216</v>
      </c>
      <c r="C42" s="594">
        <v>2764</v>
      </c>
      <c r="D42" s="594">
        <v>69179</v>
      </c>
      <c r="E42" s="594">
        <v>110261</v>
      </c>
      <c r="F42" s="596">
        <v>138339</v>
      </c>
      <c r="G42" s="596">
        <v>283407</v>
      </c>
      <c r="H42" s="582">
        <v>554775</v>
      </c>
    </row>
    <row r="43" spans="1:9">
      <c r="A43" s="547" t="s">
        <v>3463</v>
      </c>
      <c r="B43" s="594">
        <v>19944</v>
      </c>
      <c r="C43" s="594">
        <v>44993</v>
      </c>
      <c r="D43" s="594">
        <v>517487</v>
      </c>
      <c r="E43" s="594">
        <v>792571</v>
      </c>
      <c r="F43" s="596">
        <v>1406886</v>
      </c>
      <c r="G43" s="596">
        <v>2307133</v>
      </c>
      <c r="H43" s="582">
        <v>2828048</v>
      </c>
    </row>
    <row r="44" spans="1:9">
      <c r="A44" s="547" t="s">
        <v>3464</v>
      </c>
      <c r="B44" s="591">
        <v>482949</v>
      </c>
      <c r="C44" s="591">
        <v>1141167</v>
      </c>
      <c r="D44" s="594">
        <v>7354753</v>
      </c>
      <c r="E44" s="594">
        <v>3148815</v>
      </c>
      <c r="F44" s="596">
        <v>2926540</v>
      </c>
      <c r="G44" s="596">
        <v>6293246</v>
      </c>
      <c r="H44" s="582">
        <v>6883438</v>
      </c>
    </row>
    <row r="45" spans="1:9">
      <c r="A45" s="547" t="s">
        <v>3348</v>
      </c>
      <c r="B45" s="589"/>
      <c r="C45" s="589"/>
      <c r="D45" s="589"/>
      <c r="E45" s="589"/>
      <c r="F45" s="590"/>
    </row>
    <row r="46" spans="1:9">
      <c r="A46" s="547" t="s">
        <v>3465</v>
      </c>
      <c r="B46" s="591">
        <v>39863</v>
      </c>
      <c r="C46" s="591">
        <v>133688</v>
      </c>
      <c r="D46" s="594">
        <v>482550</v>
      </c>
      <c r="E46" s="594">
        <v>625</v>
      </c>
      <c r="F46" s="596">
        <v>16</v>
      </c>
    </row>
    <row r="47" spans="1:9">
      <c r="A47" s="547" t="s">
        <v>3466</v>
      </c>
      <c r="B47" s="594">
        <v>10923</v>
      </c>
      <c r="C47" s="594">
        <v>2626</v>
      </c>
      <c r="D47" s="594">
        <v>2141</v>
      </c>
      <c r="E47" s="594">
        <v>44768</v>
      </c>
      <c r="F47" s="596">
        <v>181827</v>
      </c>
    </row>
    <row r="48" spans="1:9">
      <c r="A48" s="547" t="s">
        <v>3467</v>
      </c>
      <c r="B48" s="591">
        <v>50786</v>
      </c>
      <c r="C48" s="591">
        <v>136314</v>
      </c>
      <c r="D48" s="594">
        <v>484691</v>
      </c>
      <c r="E48" s="594">
        <v>45393</v>
      </c>
      <c r="F48" s="596">
        <v>181843</v>
      </c>
      <c r="G48" s="596">
        <v>270782</v>
      </c>
      <c r="H48" s="582">
        <v>297887</v>
      </c>
    </row>
    <row r="49" spans="1:10">
      <c r="A49" s="547" t="s">
        <v>3349</v>
      </c>
      <c r="B49" s="591">
        <v>533735</v>
      </c>
      <c r="C49" s="591">
        <v>1277481</v>
      </c>
      <c r="D49" s="591">
        <v>7839444</v>
      </c>
      <c r="E49" s="591">
        <v>3194208</v>
      </c>
      <c r="F49" s="593">
        <v>3108383</v>
      </c>
      <c r="G49" s="593">
        <v>6564028</v>
      </c>
      <c r="H49" s="582">
        <v>7181325</v>
      </c>
    </row>
    <row r="51" spans="1:10" ht="15">
      <c r="A51" s="547"/>
      <c r="B51" s="583" t="s">
        <v>3343</v>
      </c>
      <c r="C51" s="583"/>
    </row>
    <row r="52" spans="1:10" ht="15">
      <c r="A52" s="547"/>
      <c r="B52" s="584">
        <v>2019</v>
      </c>
      <c r="C52" s="584">
        <v>2020</v>
      </c>
      <c r="D52" s="584">
        <v>2021</v>
      </c>
      <c r="E52" s="584">
        <v>2022</v>
      </c>
      <c r="F52" s="582">
        <v>2023</v>
      </c>
      <c r="G52" s="582">
        <v>2024</v>
      </c>
    </row>
    <row r="53" spans="1:10">
      <c r="A53" s="547" t="s">
        <v>3468</v>
      </c>
      <c r="B53" s="591">
        <v>417260</v>
      </c>
      <c r="C53" s="591">
        <v>966153</v>
      </c>
      <c r="D53" s="591">
        <v>6339270</v>
      </c>
      <c r="E53" s="591">
        <v>2684425</v>
      </c>
      <c r="F53" s="593">
        <v>2725620</v>
      </c>
      <c r="G53" s="582">
        <v>5460820</v>
      </c>
      <c r="H53" s="582">
        <v>6010607</v>
      </c>
    </row>
    <row r="54" spans="1:10">
      <c r="A54" s="547" t="s">
        <v>3469</v>
      </c>
      <c r="B54" s="594">
        <v>116475</v>
      </c>
      <c r="C54" s="594">
        <v>311328</v>
      </c>
      <c r="D54" s="594">
        <v>1500174</v>
      </c>
      <c r="E54" s="594">
        <v>509783</v>
      </c>
      <c r="F54" s="596">
        <v>382763</v>
      </c>
      <c r="G54" s="582">
        <v>1103208</v>
      </c>
      <c r="H54" s="615">
        <v>1170718</v>
      </c>
      <c r="I54" s="615"/>
      <c r="J54" s="615"/>
    </row>
    <row r="55" spans="1:10">
      <c r="A55" s="547" t="s">
        <v>3349</v>
      </c>
      <c r="B55" s="591">
        <v>533735</v>
      </c>
      <c r="C55" s="591">
        <v>1277481</v>
      </c>
      <c r="D55" s="591">
        <v>7839444</v>
      </c>
      <c r="E55" s="591">
        <v>3194208</v>
      </c>
      <c r="F55" s="593">
        <v>3108383</v>
      </c>
      <c r="G55" s="582">
        <v>6564028</v>
      </c>
      <c r="H55" s="582">
        <f>SUM(H53:H54)</f>
        <v>7181325</v>
      </c>
    </row>
    <row r="57" spans="1:10" ht="15">
      <c r="A57" s="587" t="s">
        <v>3470</v>
      </c>
      <c r="B57" s="584" t="s">
        <v>3471</v>
      </c>
      <c r="C57" s="584" t="s">
        <v>3472</v>
      </c>
      <c r="D57" s="584" t="s">
        <v>3473</v>
      </c>
      <c r="E57" s="584" t="s">
        <v>3473</v>
      </c>
    </row>
    <row r="58" spans="1:10">
      <c r="A58" s="547" t="s">
        <v>3474</v>
      </c>
      <c r="B58" s="589"/>
      <c r="C58" s="589"/>
      <c r="D58" s="589"/>
      <c r="E58" s="589"/>
    </row>
    <row r="59" spans="1:10">
      <c r="A59" s="547" t="s">
        <v>3475</v>
      </c>
      <c r="B59" s="591">
        <v>20708</v>
      </c>
      <c r="C59" s="591">
        <v>-13024</v>
      </c>
      <c r="D59" s="591">
        <v>7684</v>
      </c>
      <c r="E59" s="591">
        <v>7684</v>
      </c>
    </row>
    <row r="60" spans="1:10">
      <c r="A60" s="547" t="s">
        <v>3476</v>
      </c>
      <c r="B60" s="594">
        <v>66591</v>
      </c>
      <c r="C60" s="594">
        <v>-15771</v>
      </c>
      <c r="D60" s="594">
        <v>50820</v>
      </c>
      <c r="E60" s="594">
        <v>50820</v>
      </c>
    </row>
    <row r="61" spans="1:10">
      <c r="A61" s="547" t="s">
        <v>3477</v>
      </c>
      <c r="B61" s="594">
        <v>30</v>
      </c>
      <c r="C61" s="594">
        <v>-30</v>
      </c>
      <c r="D61" s="594">
        <v>0</v>
      </c>
      <c r="E61" s="594">
        <v>0</v>
      </c>
    </row>
    <row r="62" spans="1:10">
      <c r="A62" s="547" t="s">
        <v>3478</v>
      </c>
      <c r="B62" s="594">
        <v>2402</v>
      </c>
      <c r="C62" s="594">
        <v>-681</v>
      </c>
      <c r="D62" s="594">
        <v>1721</v>
      </c>
      <c r="E62" s="594">
        <v>1721</v>
      </c>
    </row>
    <row r="63" spans="1:10">
      <c r="A63" s="547" t="s">
        <v>3479</v>
      </c>
      <c r="B63" s="589"/>
      <c r="C63" s="589"/>
      <c r="D63" s="589"/>
      <c r="E63" s="589"/>
    </row>
    <row r="64" spans="1:10">
      <c r="A64" s="547" t="s">
        <v>3480</v>
      </c>
      <c r="B64" s="594">
        <v>250</v>
      </c>
      <c r="C64" s="594">
        <v>0</v>
      </c>
      <c r="D64" s="594">
        <v>250</v>
      </c>
      <c r="E64" s="594">
        <v>250</v>
      </c>
    </row>
    <row r="65" spans="1:31">
      <c r="A65" s="547" t="s">
        <v>3481</v>
      </c>
      <c r="B65" s="594">
        <v>350</v>
      </c>
      <c r="C65" s="594">
        <v>0</v>
      </c>
      <c r="D65" s="594">
        <v>350</v>
      </c>
      <c r="E65" s="594">
        <v>350</v>
      </c>
    </row>
    <row r="66" spans="1:31">
      <c r="A66" s="547" t="s">
        <v>3382</v>
      </c>
      <c r="B66" s="594">
        <v>316094</v>
      </c>
      <c r="C66" s="594">
        <v>0</v>
      </c>
      <c r="D66" s="594">
        <v>316094</v>
      </c>
      <c r="E66" s="594">
        <v>316094</v>
      </c>
    </row>
    <row r="67" spans="1:31">
      <c r="A67" s="547" t="s">
        <v>3451</v>
      </c>
      <c r="B67" s="591">
        <v>406425</v>
      </c>
      <c r="C67" s="591">
        <v>-29506</v>
      </c>
      <c r="D67" s="591">
        <v>376919</v>
      </c>
      <c r="E67" s="591">
        <v>376919</v>
      </c>
    </row>
    <row r="72" spans="1:31">
      <c r="A72" s="58"/>
      <c r="B72" s="58"/>
      <c r="C72" s="58" t="s">
        <v>3482</v>
      </c>
      <c r="D72" s="58" t="s">
        <v>3483</v>
      </c>
      <c r="E72" s="58" t="s">
        <v>3483</v>
      </c>
      <c r="F72" s="58" t="s">
        <v>3484</v>
      </c>
      <c r="G72" s="58" t="s">
        <v>3485</v>
      </c>
      <c r="H72" s="58" t="s">
        <v>3486</v>
      </c>
      <c r="I72" s="58" t="s">
        <v>3487</v>
      </c>
      <c r="J72" s="58" t="s">
        <v>3488</v>
      </c>
      <c r="K72" s="58" t="s">
        <v>3489</v>
      </c>
      <c r="L72" s="58" t="s">
        <v>3490</v>
      </c>
      <c r="M72" s="58" t="s">
        <v>3491</v>
      </c>
      <c r="N72" s="58" t="s">
        <v>3492</v>
      </c>
      <c r="O72" s="58" t="s">
        <v>3493</v>
      </c>
      <c r="P72" s="58" t="s">
        <v>3552</v>
      </c>
      <c r="Q72" s="58" t="s">
        <v>3553</v>
      </c>
      <c r="R72" s="58" t="s">
        <v>3554</v>
      </c>
      <c r="S72" s="58" t="s">
        <v>3555</v>
      </c>
      <c r="T72" s="58" t="s">
        <v>3556</v>
      </c>
      <c r="U72" s="58" t="s">
        <v>3557</v>
      </c>
      <c r="V72" s="58" t="s">
        <v>3558</v>
      </c>
      <c r="W72" s="58" t="s">
        <v>3559</v>
      </c>
      <c r="X72" s="58" t="s">
        <v>3687</v>
      </c>
      <c r="Y72" s="58" t="s">
        <v>3688</v>
      </c>
      <c r="Z72" s="58" t="s">
        <v>3689</v>
      </c>
      <c r="AA72" s="58" t="s">
        <v>3690</v>
      </c>
      <c r="AB72" s="58" t="s">
        <v>3702</v>
      </c>
      <c r="AC72" s="58" t="s">
        <v>3703</v>
      </c>
      <c r="AD72" s="58" t="s">
        <v>3704</v>
      </c>
      <c r="AE72" s="58" t="s">
        <v>3705</v>
      </c>
    </row>
    <row r="73" spans="1:31">
      <c r="A73" s="58" t="s">
        <v>3494</v>
      </c>
      <c r="B73" s="58">
        <v>123000000</v>
      </c>
      <c r="C73" s="550">
        <v>143000000</v>
      </c>
      <c r="D73" s="550">
        <v>331000000</v>
      </c>
      <c r="E73" s="550">
        <v>331000000</v>
      </c>
      <c r="F73" s="550">
        <v>217000000</v>
      </c>
      <c r="G73" s="550">
        <v>192000000</v>
      </c>
      <c r="H73" s="550">
        <v>182000000</v>
      </c>
      <c r="I73" s="550">
        <v>266000000</v>
      </c>
      <c r="J73" s="550">
        <v>352000000</v>
      </c>
      <c r="K73" s="550">
        <v>782000000</v>
      </c>
      <c r="L73" s="550">
        <v>1880000000</v>
      </c>
      <c r="M73" s="550">
        <v>1380000000</v>
      </c>
      <c r="N73" s="550">
        <v>2000000000</v>
      </c>
      <c r="O73" s="550">
        <v>2240000000</v>
      </c>
      <c r="P73" s="550">
        <v>2140000000</v>
      </c>
      <c r="Q73" s="550">
        <v>941000000</v>
      </c>
      <c r="R73" s="550">
        <v>941000000</v>
      </c>
      <c r="S73" s="550">
        <v>798000000</v>
      </c>
      <c r="T73" s="616">
        <v>1190000000</v>
      </c>
      <c r="U73" s="616">
        <v>1190000000</v>
      </c>
      <c r="V73" s="550">
        <v>1070000000</v>
      </c>
      <c r="W73" s="616">
        <v>1710000000</v>
      </c>
      <c r="X73" s="608">
        <v>2700000000</v>
      </c>
      <c r="Y73" s="608">
        <v>2310000000</v>
      </c>
      <c r="Z73" s="582">
        <v>2230000000</v>
      </c>
      <c r="AA73" s="608">
        <v>3400000000</v>
      </c>
      <c r="AB73" s="582">
        <v>2670000000</v>
      </c>
      <c r="AC73" s="582">
        <v>3310000000</v>
      </c>
      <c r="AD73" s="582">
        <v>3900000000</v>
      </c>
      <c r="AE73" s="582">
        <v>2990000000</v>
      </c>
    </row>
    <row r="74" spans="1:31">
      <c r="A74" s="58" t="s">
        <v>3495</v>
      </c>
      <c r="B74" s="58"/>
      <c r="C74" s="550">
        <f>(C73+B73)/2</f>
        <v>133000000</v>
      </c>
      <c r="D74" s="550">
        <v>237000000</v>
      </c>
      <c r="E74" s="550">
        <v>237000000</v>
      </c>
      <c r="F74" s="550">
        <v>274000000</v>
      </c>
      <c r="G74" s="550">
        <v>204500000</v>
      </c>
      <c r="H74" s="550">
        <v>187000000</v>
      </c>
      <c r="I74" s="550">
        <v>224000000</v>
      </c>
      <c r="J74" s="550">
        <v>309000000</v>
      </c>
      <c r="K74" s="550">
        <v>567000000</v>
      </c>
      <c r="L74" s="550">
        <f t="shared" ref="L74:X74" si="0">AVERAGE(K73,L73)</f>
        <v>1331000000</v>
      </c>
      <c r="M74" s="550">
        <f t="shared" si="0"/>
        <v>1630000000</v>
      </c>
      <c r="N74" s="550">
        <f t="shared" si="0"/>
        <v>1690000000</v>
      </c>
      <c r="O74" s="550">
        <f t="shared" si="0"/>
        <v>2120000000</v>
      </c>
      <c r="P74" s="550">
        <f t="shared" si="0"/>
        <v>2190000000</v>
      </c>
      <c r="Q74" s="550">
        <f t="shared" si="0"/>
        <v>1540500000</v>
      </c>
      <c r="R74" s="550">
        <f t="shared" si="0"/>
        <v>941000000</v>
      </c>
      <c r="S74" s="550">
        <f t="shared" si="0"/>
        <v>869500000</v>
      </c>
      <c r="T74" s="550">
        <f t="shared" si="0"/>
        <v>994000000</v>
      </c>
      <c r="U74" s="550">
        <f t="shared" si="0"/>
        <v>1190000000</v>
      </c>
      <c r="V74" s="550">
        <f t="shared" si="0"/>
        <v>1130000000</v>
      </c>
      <c r="W74" s="550">
        <f t="shared" si="0"/>
        <v>1390000000</v>
      </c>
      <c r="X74" s="550">
        <f t="shared" si="0"/>
        <v>2205000000</v>
      </c>
      <c r="Y74" s="550">
        <v>2400000000</v>
      </c>
      <c r="Z74" s="550">
        <v>2210000000</v>
      </c>
      <c r="AA74" s="550">
        <v>3000000000</v>
      </c>
      <c r="AB74" s="608">
        <f>AVERAGE(AA73:AB73)</f>
        <v>3035000000</v>
      </c>
      <c r="AC74" s="608">
        <f>AVERAGE(AB73:AC73)</f>
        <v>2990000000</v>
      </c>
      <c r="AD74" s="608">
        <f>AVERAGE(AC73:AD73)</f>
        <v>3605000000</v>
      </c>
      <c r="AE74" s="608">
        <f>AVERAGE(AD73:AE73)</f>
        <v>3445000000</v>
      </c>
    </row>
    <row r="75" spans="1:31">
      <c r="A75" s="58" t="s">
        <v>3441</v>
      </c>
      <c r="B75" s="58"/>
      <c r="C75" s="550">
        <v>7000000</v>
      </c>
      <c r="D75" s="550">
        <v>31000000</v>
      </c>
      <c r="E75" s="550">
        <v>31000000</v>
      </c>
      <c r="F75" s="550">
        <v>27000000</v>
      </c>
      <c r="G75" s="550">
        <v>14000000</v>
      </c>
      <c r="H75" s="550">
        <v>30000000</v>
      </c>
      <c r="I75" s="550">
        <v>28000000</v>
      </c>
      <c r="J75" s="550">
        <v>45000000</v>
      </c>
      <c r="K75" s="550">
        <v>89000000</v>
      </c>
      <c r="L75" s="550">
        <v>335000000</v>
      </c>
      <c r="M75" s="550">
        <v>462000000</v>
      </c>
      <c r="N75" s="616">
        <v>327000000</v>
      </c>
      <c r="O75" s="616">
        <v>547000000</v>
      </c>
      <c r="P75" s="616">
        <v>309000000</v>
      </c>
      <c r="Q75" s="616">
        <v>217000000</v>
      </c>
      <c r="R75" s="616">
        <v>159000000</v>
      </c>
      <c r="S75" s="616">
        <v>145000000</v>
      </c>
      <c r="T75" s="616">
        <v>145000000</v>
      </c>
      <c r="U75" s="616">
        <v>92000000</v>
      </c>
      <c r="V75" s="616">
        <v>76000000</v>
      </c>
      <c r="W75" s="616">
        <v>154000000</v>
      </c>
      <c r="X75" s="608">
        <v>312000000</v>
      </c>
      <c r="Y75" s="608">
        <v>226000000</v>
      </c>
      <c r="Z75" s="608">
        <v>185000000</v>
      </c>
      <c r="AA75" s="608">
        <v>439000000</v>
      </c>
      <c r="AB75" s="582">
        <v>393000000</v>
      </c>
      <c r="AC75" s="582">
        <v>237000000</v>
      </c>
      <c r="AD75" s="582">
        <v>295000000</v>
      </c>
    </row>
    <row r="76" spans="1:31">
      <c r="A76" s="58" t="s">
        <v>3496</v>
      </c>
      <c r="B76" s="58"/>
      <c r="C76" s="550">
        <v>61465</v>
      </c>
      <c r="D76" s="550">
        <v>205603</v>
      </c>
      <c r="E76" s="550">
        <v>205603</v>
      </c>
      <c r="F76" s="550">
        <v>153732</v>
      </c>
      <c r="G76" s="550">
        <v>92991</v>
      </c>
      <c r="H76" s="550">
        <v>183539</v>
      </c>
      <c r="I76" s="550">
        <v>179915</v>
      </c>
      <c r="J76" s="550">
        <v>304598</v>
      </c>
      <c r="K76" s="550">
        <v>564436</v>
      </c>
      <c r="L76" s="550">
        <v>1540600</v>
      </c>
      <c r="M76" s="550">
        <v>1930400</v>
      </c>
      <c r="N76" s="550">
        <v>1089700</v>
      </c>
      <c r="O76" s="550">
        <v>2276600</v>
      </c>
      <c r="P76" s="550">
        <v>1013000</v>
      </c>
      <c r="Q76" s="550">
        <v>655200</v>
      </c>
      <c r="R76" s="550">
        <v>365900</v>
      </c>
      <c r="S76" s="550">
        <v>322100</v>
      </c>
      <c r="T76" s="550">
        <v>374700</v>
      </c>
      <c r="U76" s="550">
        <v>327100</v>
      </c>
      <c r="V76" s="550">
        <v>288600</v>
      </c>
      <c r="W76" s="582">
        <f>529300-23600</f>
        <v>505700</v>
      </c>
      <c r="X76" s="582">
        <f>1076700-56100</f>
        <v>1020600</v>
      </c>
      <c r="Y76" s="582">
        <f>780900-52500</f>
        <v>728400</v>
      </c>
      <c r="Z76" s="582">
        <f>572500-34000</f>
        <v>538500</v>
      </c>
      <c r="AA76" s="582">
        <f>1556000-67600</f>
        <v>1488400</v>
      </c>
      <c r="AB76" s="582">
        <f>1095506+98888</f>
        <v>1194394</v>
      </c>
      <c r="AC76" s="582">
        <f>649908+60819</f>
        <v>710727</v>
      </c>
      <c r="AD76" s="582">
        <f>843544+135009</f>
        <v>978553</v>
      </c>
    </row>
    <row r="77" spans="1:31">
      <c r="A77" s="58" t="s">
        <v>3497</v>
      </c>
      <c r="B77" s="58"/>
      <c r="C77" s="617">
        <f>C76/C73</f>
        <v>4.2982517482517484E-4</v>
      </c>
      <c r="D77" s="617">
        <f t="shared" ref="D77:V77" si="1">D76/D73</f>
        <v>6.2115709969788515E-4</v>
      </c>
      <c r="E77" s="617">
        <f t="shared" si="1"/>
        <v>6.2115709969788515E-4</v>
      </c>
      <c r="F77" s="617">
        <f t="shared" si="1"/>
        <v>7.0844239631336406E-4</v>
      </c>
      <c r="G77" s="617">
        <f t="shared" si="1"/>
        <v>4.84328125E-4</v>
      </c>
      <c r="H77" s="617">
        <f t="shared" si="1"/>
        <v>1.0084560439560439E-3</v>
      </c>
      <c r="I77" s="617">
        <f t="shared" si="1"/>
        <v>6.7637218045112784E-4</v>
      </c>
      <c r="J77" s="617">
        <f t="shared" si="1"/>
        <v>8.6533522727272728E-4</v>
      </c>
      <c r="K77" s="617">
        <f t="shared" si="1"/>
        <v>7.217851662404092E-4</v>
      </c>
      <c r="L77" s="617">
        <f t="shared" si="1"/>
        <v>8.1946808510638294E-4</v>
      </c>
      <c r="M77" s="617">
        <f t="shared" si="1"/>
        <v>1.3988405797101448E-3</v>
      </c>
      <c r="N77" s="617">
        <f t="shared" si="1"/>
        <v>5.4485000000000004E-4</v>
      </c>
      <c r="O77" s="617">
        <f t="shared" si="1"/>
        <v>1.0163392857142858E-3</v>
      </c>
      <c r="P77" s="617">
        <f t="shared" si="1"/>
        <v>4.7336448598130841E-4</v>
      </c>
      <c r="Q77" s="617">
        <f t="shared" si="1"/>
        <v>6.9628055260361323E-4</v>
      </c>
      <c r="R77" s="617">
        <f t="shared" si="1"/>
        <v>3.8884165781083956E-4</v>
      </c>
      <c r="S77" s="617">
        <f t="shared" si="1"/>
        <v>4.0363408521303259E-4</v>
      </c>
      <c r="T77" s="617">
        <f t="shared" si="1"/>
        <v>3.1487394957983194E-4</v>
      </c>
      <c r="U77" s="617">
        <f t="shared" si="1"/>
        <v>2.7487394957983194E-4</v>
      </c>
      <c r="V77" s="617">
        <f t="shared" si="1"/>
        <v>2.6971962616822428E-4</v>
      </c>
      <c r="W77" s="617">
        <f t="shared" ref="W77:AD77" si="2">W76/W73</f>
        <v>2.9573099415204678E-4</v>
      </c>
      <c r="X77" s="617">
        <f t="shared" si="2"/>
        <v>3.7800000000000003E-4</v>
      </c>
      <c r="Y77" s="617">
        <f t="shared" si="2"/>
        <v>3.1532467532467532E-4</v>
      </c>
      <c r="Z77" s="617">
        <f t="shared" si="2"/>
        <v>2.414798206278027E-4</v>
      </c>
      <c r="AA77" s="617">
        <f t="shared" si="2"/>
        <v>4.3776470588235294E-4</v>
      </c>
      <c r="AB77" s="617">
        <f t="shared" si="2"/>
        <v>4.4733857677902621E-4</v>
      </c>
      <c r="AC77" s="617">
        <f t="shared" si="2"/>
        <v>2.1472114803625377E-4</v>
      </c>
      <c r="AD77" s="617">
        <f t="shared" si="2"/>
        <v>2.5091102564102564E-4</v>
      </c>
    </row>
    <row r="78" spans="1:31">
      <c r="A78" s="58" t="s">
        <v>3498</v>
      </c>
      <c r="B78" s="58"/>
      <c r="C78" s="617">
        <f>C76/C74</f>
        <v>4.6214285714285715E-4</v>
      </c>
      <c r="D78" s="617">
        <f t="shared" ref="D78:V78" si="3">D76/D74</f>
        <v>8.675232067510549E-4</v>
      </c>
      <c r="E78" s="617">
        <f t="shared" si="3"/>
        <v>8.675232067510549E-4</v>
      </c>
      <c r="F78" s="617">
        <f t="shared" si="3"/>
        <v>5.6106569343065689E-4</v>
      </c>
      <c r="G78" s="617">
        <f t="shared" si="3"/>
        <v>4.5472371638141808E-4</v>
      </c>
      <c r="H78" s="617">
        <f t="shared" si="3"/>
        <v>9.8149197860962576E-4</v>
      </c>
      <c r="I78" s="617">
        <f t="shared" si="3"/>
        <v>8.0319196428571429E-4</v>
      </c>
      <c r="J78" s="617">
        <f t="shared" si="3"/>
        <v>9.8575404530744327E-4</v>
      </c>
      <c r="K78" s="617">
        <f t="shared" si="3"/>
        <v>9.9547795414462077E-4</v>
      </c>
      <c r="L78" s="617">
        <f t="shared" si="3"/>
        <v>1.1574755822689707E-3</v>
      </c>
      <c r="M78" s="617">
        <f t="shared" si="3"/>
        <v>1.1842944785276073E-3</v>
      </c>
      <c r="N78" s="617">
        <f t="shared" si="3"/>
        <v>6.44792899408284E-4</v>
      </c>
      <c r="O78" s="617">
        <f t="shared" si="3"/>
        <v>1.0738679245283018E-3</v>
      </c>
      <c r="P78" s="617">
        <f t="shared" si="3"/>
        <v>4.6255707762557079E-4</v>
      </c>
      <c r="Q78" s="617">
        <f t="shared" si="3"/>
        <v>4.2531645569620253E-4</v>
      </c>
      <c r="R78" s="617">
        <f t="shared" si="3"/>
        <v>3.8884165781083956E-4</v>
      </c>
      <c r="S78" s="617">
        <f t="shared" si="3"/>
        <v>3.7044278320874066E-4</v>
      </c>
      <c r="T78" s="617">
        <f t="shared" si="3"/>
        <v>3.7696177062374243E-4</v>
      </c>
      <c r="U78" s="617">
        <f t="shared" si="3"/>
        <v>2.7487394957983194E-4</v>
      </c>
      <c r="V78" s="617">
        <f t="shared" si="3"/>
        <v>2.5539823008849556E-4</v>
      </c>
      <c r="W78" s="617">
        <f t="shared" ref="W78:AD78" si="4">W76/W74</f>
        <v>3.6381294964028777E-4</v>
      </c>
      <c r="X78" s="617">
        <f t="shared" si="4"/>
        <v>4.6285714285714284E-4</v>
      </c>
      <c r="Y78" s="617">
        <f t="shared" si="4"/>
        <v>3.035E-4</v>
      </c>
      <c r="Z78" s="617">
        <f t="shared" si="4"/>
        <v>2.4366515837104073E-4</v>
      </c>
      <c r="AA78" s="617">
        <f t="shared" si="4"/>
        <v>4.9613333333333332E-4</v>
      </c>
      <c r="AB78" s="617">
        <f t="shared" si="4"/>
        <v>3.9354003294892918E-4</v>
      </c>
      <c r="AC78" s="617">
        <f t="shared" si="4"/>
        <v>2.3770133779264213E-4</v>
      </c>
      <c r="AD78" s="617">
        <f t="shared" si="4"/>
        <v>2.7144327323162272E-4</v>
      </c>
    </row>
    <row r="79" spans="1:31">
      <c r="A79" s="58" t="s">
        <v>3499</v>
      </c>
      <c r="B79" s="58"/>
      <c r="C79" s="617">
        <f>C75/C74</f>
        <v>5.2631578947368418E-2</v>
      </c>
      <c r="D79" s="617">
        <f t="shared" ref="D79:V79" si="5">D75/D74</f>
        <v>0.13080168776371309</v>
      </c>
      <c r="E79" s="617">
        <f t="shared" si="5"/>
        <v>0.13080168776371309</v>
      </c>
      <c r="F79" s="617">
        <f t="shared" si="5"/>
        <v>9.8540145985401464E-2</v>
      </c>
      <c r="G79" s="617">
        <f t="shared" si="5"/>
        <v>6.8459657701711488E-2</v>
      </c>
      <c r="H79" s="617">
        <f t="shared" si="5"/>
        <v>0.16042780748663102</v>
      </c>
      <c r="I79" s="617">
        <f t="shared" si="5"/>
        <v>0.125</v>
      </c>
      <c r="J79" s="617">
        <f t="shared" si="5"/>
        <v>0.14563106796116504</v>
      </c>
      <c r="K79" s="617">
        <f t="shared" si="5"/>
        <v>0.15696649029982362</v>
      </c>
      <c r="L79" s="617">
        <f t="shared" si="5"/>
        <v>0.25169045830202857</v>
      </c>
      <c r="M79" s="617">
        <f t="shared" si="5"/>
        <v>0.28343558282208586</v>
      </c>
      <c r="N79" s="617">
        <f t="shared" si="5"/>
        <v>0.19349112426035503</v>
      </c>
      <c r="O79" s="617">
        <f t="shared" si="5"/>
        <v>0.25801886792452833</v>
      </c>
      <c r="P79" s="617">
        <f t="shared" si="5"/>
        <v>0.14109589041095891</v>
      </c>
      <c r="Q79" s="617">
        <f t="shared" si="5"/>
        <v>0.14086335605322947</v>
      </c>
      <c r="R79" s="617">
        <f t="shared" si="5"/>
        <v>0.1689691817215728</v>
      </c>
      <c r="S79" s="617">
        <f t="shared" si="5"/>
        <v>0.16676250718803912</v>
      </c>
      <c r="T79" s="617">
        <f t="shared" si="5"/>
        <v>0.14587525150905434</v>
      </c>
      <c r="U79" s="617">
        <f t="shared" si="5"/>
        <v>7.7310924369747902E-2</v>
      </c>
      <c r="V79" s="617">
        <f t="shared" si="5"/>
        <v>6.7256637168141592E-2</v>
      </c>
      <c r="W79" s="617">
        <f t="shared" ref="W79:AD80" si="6">W75/W74</f>
        <v>0.11079136690647481</v>
      </c>
      <c r="X79" s="617">
        <f t="shared" si="6"/>
        <v>0.1414965986394558</v>
      </c>
      <c r="Y79" s="617">
        <f t="shared" si="6"/>
        <v>9.4166666666666662E-2</v>
      </c>
      <c r="Z79" s="617">
        <f t="shared" si="6"/>
        <v>8.3710407239818999E-2</v>
      </c>
      <c r="AA79" s="617">
        <f t="shared" si="6"/>
        <v>0.14633333333333334</v>
      </c>
      <c r="AB79" s="617">
        <f t="shared" si="6"/>
        <v>0.12948929159802305</v>
      </c>
      <c r="AC79" s="617">
        <f t="shared" si="6"/>
        <v>7.926421404682274E-2</v>
      </c>
      <c r="AD79" s="617">
        <f t="shared" si="6"/>
        <v>8.1830790568654652E-2</v>
      </c>
    </row>
    <row r="80" spans="1:31">
      <c r="A80" s="58" t="s">
        <v>3500</v>
      </c>
      <c r="B80" s="58"/>
      <c r="C80" s="618">
        <f t="shared" ref="C80:V80" si="7">C76/C75</f>
        <v>8.7807142857142858E-3</v>
      </c>
      <c r="D80" s="618">
        <f t="shared" si="7"/>
        <v>6.6323548387096773E-3</v>
      </c>
      <c r="E80" s="618">
        <f t="shared" si="7"/>
        <v>6.6323548387096773E-3</v>
      </c>
      <c r="F80" s="618">
        <f t="shared" si="7"/>
        <v>5.6937777777777776E-3</v>
      </c>
      <c r="G80" s="618">
        <f t="shared" si="7"/>
        <v>6.642214285714286E-3</v>
      </c>
      <c r="H80" s="618">
        <f t="shared" si="7"/>
        <v>6.117966666666667E-3</v>
      </c>
      <c r="I80" s="618">
        <f t="shared" si="7"/>
        <v>6.4255357142857144E-3</v>
      </c>
      <c r="J80" s="618">
        <f t="shared" si="7"/>
        <v>6.7688444444444443E-3</v>
      </c>
      <c r="K80" s="618">
        <f t="shared" si="7"/>
        <v>6.3419775280898873E-3</v>
      </c>
      <c r="L80" s="618">
        <f t="shared" si="7"/>
        <v>4.5988059701492535E-3</v>
      </c>
      <c r="M80" s="618">
        <f t="shared" si="7"/>
        <v>4.1783549783549782E-3</v>
      </c>
      <c r="N80" s="618">
        <f t="shared" si="7"/>
        <v>3.332415902140673E-3</v>
      </c>
      <c r="O80" s="618">
        <f t="shared" si="7"/>
        <v>4.1619744058500911E-3</v>
      </c>
      <c r="P80" s="618">
        <f t="shared" si="7"/>
        <v>3.27831715210356E-3</v>
      </c>
      <c r="Q80" s="618">
        <f t="shared" si="7"/>
        <v>3.0193548387096774E-3</v>
      </c>
      <c r="R80" s="618">
        <f t="shared" si="7"/>
        <v>2.3012578616352203E-3</v>
      </c>
      <c r="S80" s="618">
        <f t="shared" si="7"/>
        <v>2.2213793103448274E-3</v>
      </c>
      <c r="T80" s="618">
        <f t="shared" si="7"/>
        <v>2.5841379310344828E-3</v>
      </c>
      <c r="U80" s="618">
        <f t="shared" si="7"/>
        <v>3.5554347826086958E-3</v>
      </c>
      <c r="V80" s="618">
        <f t="shared" si="7"/>
        <v>3.7973684210526317E-3</v>
      </c>
      <c r="W80" s="618">
        <f t="shared" si="6"/>
        <v>3.2837662337662338E-3</v>
      </c>
      <c r="X80" s="618">
        <f t="shared" si="6"/>
        <v>3.2711538461538459E-3</v>
      </c>
      <c r="Y80" s="618">
        <f t="shared" si="6"/>
        <v>3.2230088495575223E-3</v>
      </c>
      <c r="Z80" s="618">
        <f t="shared" si="6"/>
        <v>2.9108108108108106E-3</v>
      </c>
      <c r="AA80" s="618">
        <f t="shared" si="6"/>
        <v>3.3904328018223235E-3</v>
      </c>
      <c r="AB80" s="618">
        <f t="shared" si="6"/>
        <v>3.0391704834605597E-3</v>
      </c>
      <c r="AC80" s="618">
        <f t="shared" si="6"/>
        <v>2.9988481012658227E-3</v>
      </c>
      <c r="AD80" s="618">
        <f t="shared" si="6"/>
        <v>3.3171288135593218E-3</v>
      </c>
    </row>
    <row r="81" spans="1:30">
      <c r="A81" s="58" t="s">
        <v>3560</v>
      </c>
      <c r="B81" s="58"/>
      <c r="C81" s="617">
        <f>C76/C74</f>
        <v>4.6214285714285715E-4</v>
      </c>
      <c r="D81" s="617">
        <f t="shared" ref="D81:V81" si="8">D76/D74</f>
        <v>8.675232067510549E-4</v>
      </c>
      <c r="E81" s="617">
        <f t="shared" si="8"/>
        <v>8.675232067510549E-4</v>
      </c>
      <c r="F81" s="617">
        <f t="shared" si="8"/>
        <v>5.6106569343065689E-4</v>
      </c>
      <c r="G81" s="617">
        <f t="shared" si="8"/>
        <v>4.5472371638141808E-4</v>
      </c>
      <c r="H81" s="617">
        <f t="shared" si="8"/>
        <v>9.8149197860962576E-4</v>
      </c>
      <c r="I81" s="617">
        <f t="shared" si="8"/>
        <v>8.0319196428571429E-4</v>
      </c>
      <c r="J81" s="617">
        <f t="shared" si="8"/>
        <v>9.8575404530744327E-4</v>
      </c>
      <c r="K81" s="617">
        <f t="shared" si="8"/>
        <v>9.9547795414462077E-4</v>
      </c>
      <c r="L81" s="617">
        <f t="shared" si="8"/>
        <v>1.1574755822689707E-3</v>
      </c>
      <c r="M81" s="617">
        <f t="shared" si="8"/>
        <v>1.1842944785276073E-3</v>
      </c>
      <c r="N81" s="617">
        <f t="shared" si="8"/>
        <v>6.44792899408284E-4</v>
      </c>
      <c r="O81" s="617">
        <f t="shared" si="8"/>
        <v>1.0738679245283018E-3</v>
      </c>
      <c r="P81" s="617">
        <f t="shared" si="8"/>
        <v>4.6255707762557079E-4</v>
      </c>
      <c r="Q81" s="617">
        <f t="shared" si="8"/>
        <v>4.2531645569620253E-4</v>
      </c>
      <c r="R81" s="617">
        <f t="shared" si="8"/>
        <v>3.8884165781083956E-4</v>
      </c>
      <c r="S81" s="617">
        <f t="shared" si="8"/>
        <v>3.7044278320874066E-4</v>
      </c>
      <c r="T81" s="617">
        <f t="shared" si="8"/>
        <v>3.7696177062374243E-4</v>
      </c>
      <c r="U81" s="617">
        <f t="shared" si="8"/>
        <v>2.7487394957983194E-4</v>
      </c>
      <c r="V81" s="617">
        <f t="shared" si="8"/>
        <v>2.5539823008849556E-4</v>
      </c>
      <c r="W81" s="617">
        <f t="shared" ref="W81:AD81" si="9">W76/W74</f>
        <v>3.6381294964028777E-4</v>
      </c>
      <c r="X81" s="617">
        <f t="shared" si="9"/>
        <v>4.6285714285714284E-4</v>
      </c>
      <c r="Y81" s="617">
        <f t="shared" si="9"/>
        <v>3.035E-4</v>
      </c>
      <c r="Z81" s="617">
        <f t="shared" si="9"/>
        <v>2.4366515837104073E-4</v>
      </c>
      <c r="AA81" s="617">
        <f t="shared" si="9"/>
        <v>4.9613333333333332E-4</v>
      </c>
      <c r="AB81" s="617">
        <f t="shared" si="9"/>
        <v>3.9354003294892918E-4</v>
      </c>
      <c r="AC81" s="617">
        <f t="shared" si="9"/>
        <v>2.3770133779264213E-4</v>
      </c>
      <c r="AD81" s="617">
        <f t="shared" si="9"/>
        <v>2.7144327323162272E-4</v>
      </c>
    </row>
    <row r="84" spans="1:30">
      <c r="A84" s="547"/>
    </row>
    <row r="85" spans="1:30">
      <c r="A85" s="58"/>
      <c r="B85" s="606">
        <v>43830</v>
      </c>
      <c r="C85" s="606">
        <v>44196</v>
      </c>
      <c r="D85" s="606">
        <v>44561</v>
      </c>
    </row>
    <row r="86" spans="1:30" ht="15">
      <c r="A86" s="605"/>
      <c r="B86" s="585"/>
      <c r="C86" s="585" t="s">
        <v>3343</v>
      </c>
      <c r="D86" s="585" t="s">
        <v>3343</v>
      </c>
    </row>
    <row r="87" spans="1:30" ht="15">
      <c r="A87" s="605"/>
      <c r="B87" s="585">
        <v>2019</v>
      </c>
      <c r="C87" s="585">
        <v>2020</v>
      </c>
      <c r="D87" s="585">
        <v>2021</v>
      </c>
      <c r="E87" s="582">
        <v>2022</v>
      </c>
      <c r="F87" s="582">
        <v>2023</v>
      </c>
      <c r="G87" s="582">
        <v>2024</v>
      </c>
    </row>
    <row r="88" spans="1:30" ht="15">
      <c r="A88" s="605" t="s">
        <v>3343</v>
      </c>
      <c r="B88" s="585"/>
      <c r="C88" s="585"/>
      <c r="D88" s="585"/>
    </row>
    <row r="89" spans="1:30" ht="15">
      <c r="A89" s="605">
        <v>2022</v>
      </c>
      <c r="B89" s="585"/>
      <c r="C89" s="585"/>
      <c r="D89" s="619"/>
    </row>
    <row r="90" spans="1:30" ht="15">
      <c r="A90" s="605" t="s">
        <v>3625</v>
      </c>
      <c r="B90" s="585"/>
      <c r="C90" s="585"/>
      <c r="D90" s="585"/>
    </row>
    <row r="91" spans="1:30">
      <c r="A91" s="586" t="s">
        <v>3626</v>
      </c>
      <c r="B91" s="593"/>
      <c r="C91" s="593"/>
      <c r="D91" s="593"/>
      <c r="E91" s="615"/>
    </row>
    <row r="92" spans="1:30">
      <c r="A92" s="586" t="s">
        <v>3627</v>
      </c>
      <c r="B92" s="593">
        <v>35</v>
      </c>
      <c r="C92" s="593">
        <v>73</v>
      </c>
      <c r="D92" s="593">
        <v>535</v>
      </c>
      <c r="E92" s="593">
        <v>167</v>
      </c>
      <c r="F92" s="593">
        <v>75</v>
      </c>
      <c r="G92" s="582">
        <v>224</v>
      </c>
      <c r="H92" s="582">
        <v>239</v>
      </c>
    </row>
    <row r="93" spans="1:30">
      <c r="A93" s="586" t="s">
        <v>3456</v>
      </c>
      <c r="B93" s="596">
        <v>45</v>
      </c>
      <c r="C93" s="596">
        <v>120</v>
      </c>
      <c r="D93" s="596">
        <v>1136</v>
      </c>
      <c r="E93" s="596">
        <v>663</v>
      </c>
      <c r="F93" s="596">
        <v>393</v>
      </c>
      <c r="G93" s="582">
        <v>965</v>
      </c>
      <c r="H93" s="582">
        <v>982</v>
      </c>
    </row>
    <row r="94" spans="1:30">
      <c r="A94" s="586" t="s">
        <v>3451</v>
      </c>
      <c r="B94" s="593">
        <v>80</v>
      </c>
      <c r="C94" s="593">
        <v>193</v>
      </c>
      <c r="D94" s="593">
        <v>1671</v>
      </c>
      <c r="E94" s="593">
        <v>830</v>
      </c>
      <c r="F94" s="593">
        <v>468</v>
      </c>
      <c r="G94" s="582">
        <v>1189</v>
      </c>
      <c r="H94" s="582">
        <v>1221</v>
      </c>
    </row>
    <row r="95" spans="1:30" ht="15">
      <c r="A95" s="605" t="s">
        <v>3628</v>
      </c>
      <c r="B95" s="585"/>
      <c r="C95" s="585"/>
      <c r="D95" s="585"/>
      <c r="E95" s="590"/>
      <c r="F95" s="590"/>
    </row>
    <row r="96" spans="1:30">
      <c r="A96" s="586" t="s">
        <v>3448</v>
      </c>
      <c r="B96" s="620">
        <v>0.57999999999999996</v>
      </c>
      <c r="C96" s="620">
        <v>0.41</v>
      </c>
      <c r="D96" s="620">
        <v>0.24</v>
      </c>
      <c r="E96" s="620">
        <v>0.28999999999999998</v>
      </c>
      <c r="F96" s="620">
        <v>0.34</v>
      </c>
      <c r="G96" s="621">
        <v>0.32</v>
      </c>
    </row>
    <row r="97" spans="1:8">
      <c r="A97" s="586" t="s">
        <v>3449</v>
      </c>
      <c r="B97" s="620">
        <v>0.14000000000000001</v>
      </c>
      <c r="C97" s="620">
        <v>0.15</v>
      </c>
      <c r="D97" s="620">
        <v>0.21</v>
      </c>
      <c r="E97" s="622">
        <v>0.25</v>
      </c>
      <c r="F97" s="596">
        <v>20</v>
      </c>
      <c r="G97" s="621">
        <v>0.12</v>
      </c>
    </row>
    <row r="98" spans="1:8">
      <c r="A98" s="586" t="s">
        <v>3629</v>
      </c>
      <c r="B98" s="590"/>
      <c r="C98" s="590"/>
      <c r="D98" s="590"/>
      <c r="E98" s="623"/>
      <c r="F98" s="596">
        <v>11</v>
      </c>
      <c r="G98" s="621">
        <v>0.13</v>
      </c>
    </row>
    <row r="99" spans="1:8">
      <c r="A99" s="586" t="s">
        <v>3630</v>
      </c>
      <c r="B99" s="620">
        <v>0.28000000000000003</v>
      </c>
      <c r="C99" s="620">
        <v>0.44</v>
      </c>
      <c r="D99" s="620">
        <v>0.55000000000000004</v>
      </c>
      <c r="E99" s="622">
        <v>0.46</v>
      </c>
      <c r="F99" s="596">
        <v>35</v>
      </c>
      <c r="G99" s="621">
        <v>0.43</v>
      </c>
    </row>
    <row r="100" spans="1:8">
      <c r="A100" s="586" t="s">
        <v>3451</v>
      </c>
      <c r="B100" s="620">
        <v>1</v>
      </c>
      <c r="C100" s="620">
        <v>1</v>
      </c>
      <c r="D100" s="620">
        <v>1</v>
      </c>
      <c r="E100" s="620">
        <v>1</v>
      </c>
      <c r="F100" s="620">
        <v>1</v>
      </c>
      <c r="G100" s="582">
        <v>100</v>
      </c>
    </row>
    <row r="101" spans="1:8" ht="15">
      <c r="A101" s="605" t="s">
        <v>3631</v>
      </c>
      <c r="B101" s="585"/>
      <c r="C101" s="585"/>
      <c r="D101" s="585"/>
      <c r="E101" s="590"/>
      <c r="F101" s="590"/>
    </row>
    <row r="102" spans="1:8">
      <c r="A102" s="586" t="s">
        <v>3448</v>
      </c>
      <c r="B102" s="620">
        <v>0.6</v>
      </c>
      <c r="C102" s="620">
        <v>0.44</v>
      </c>
      <c r="D102" s="620">
        <v>0.25</v>
      </c>
      <c r="E102" s="620">
        <v>0.28999999999999998</v>
      </c>
      <c r="F102" s="620">
        <v>0.35</v>
      </c>
      <c r="G102" s="582">
        <v>33</v>
      </c>
      <c r="H102" s="582">
        <v>29</v>
      </c>
    </row>
    <row r="103" spans="1:8">
      <c r="A103" s="586" t="s">
        <v>3449</v>
      </c>
      <c r="B103" s="620">
        <v>0.11</v>
      </c>
      <c r="C103" s="620">
        <v>0.12</v>
      </c>
      <c r="D103" s="620">
        <v>0.21</v>
      </c>
      <c r="E103" s="596">
        <v>22</v>
      </c>
      <c r="F103" s="596">
        <v>17</v>
      </c>
      <c r="G103" s="582">
        <v>13</v>
      </c>
      <c r="H103" s="582">
        <v>16</v>
      </c>
    </row>
    <row r="104" spans="1:8">
      <c r="A104" s="586" t="s">
        <v>3630</v>
      </c>
      <c r="B104" s="620">
        <v>0.28999999999999998</v>
      </c>
      <c r="C104" s="620">
        <v>0.44</v>
      </c>
      <c r="D104" s="620">
        <v>0.54</v>
      </c>
      <c r="E104" s="596">
        <v>49</v>
      </c>
      <c r="F104" s="596">
        <v>48</v>
      </c>
      <c r="G104" s="582">
        <v>54</v>
      </c>
      <c r="H104" s="582">
        <v>55</v>
      </c>
    </row>
    <row r="105" spans="1:8">
      <c r="A105" s="586" t="s">
        <v>3451</v>
      </c>
      <c r="B105" s="620">
        <v>1</v>
      </c>
      <c r="C105" s="620">
        <v>1</v>
      </c>
      <c r="D105" s="620">
        <v>1</v>
      </c>
      <c r="E105" s="620">
        <v>1</v>
      </c>
      <c r="F105" s="620">
        <v>1</v>
      </c>
    </row>
  </sheetData>
  <phoneticPr fontId="8" type="noConversion"/>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D747-3513-4B8E-92B7-162E5B468AD4}">
  <sheetPr codeName="Sheet18">
    <tabColor theme="3" tint="0.39997558519241921"/>
  </sheetPr>
  <dimension ref="A1:T70"/>
  <sheetViews>
    <sheetView showOutlineSymbols="0" topLeftCell="A25" workbookViewId="0">
      <selection activeCell="F64" sqref="F64"/>
    </sheetView>
  </sheetViews>
  <sheetFormatPr baseColWidth="10" defaultColWidth="8.83203125" defaultRowHeight="14"/>
  <cols>
    <col min="1" max="1" width="29" style="582" customWidth="1"/>
    <col min="2" max="2" width="16.5" style="582" customWidth="1"/>
    <col min="3" max="3" width="19" style="582" customWidth="1"/>
    <col min="4" max="4" width="15.1640625" style="582" customWidth="1"/>
    <col min="5" max="5" width="13" style="582" customWidth="1"/>
    <col min="6" max="6" width="13.83203125" style="582" customWidth="1"/>
    <col min="7" max="7" width="13.33203125" style="582" customWidth="1"/>
    <col min="8" max="9" width="14.83203125" style="582" customWidth="1"/>
    <col min="10" max="21" width="14.5" style="582" customWidth="1"/>
    <col min="22" max="256" width="8.6640625" style="582"/>
    <col min="257" max="257" width="29" style="582" customWidth="1"/>
    <col min="258" max="258" width="11.83203125" style="582" customWidth="1"/>
    <col min="259" max="259" width="14.33203125" style="582" customWidth="1"/>
    <col min="260" max="260" width="12.5" style="582" customWidth="1"/>
    <col min="261" max="261" width="13" style="582" customWidth="1"/>
    <col min="262" max="262" width="13.83203125" style="582" customWidth="1"/>
    <col min="263" max="263" width="13.33203125" style="582" customWidth="1"/>
    <col min="264" max="264" width="14.83203125" style="582" customWidth="1"/>
    <col min="265" max="265" width="12.1640625" style="582" customWidth="1"/>
    <col min="266" max="266" width="11.5" style="582" customWidth="1"/>
    <col min="267" max="267" width="13.1640625" style="582" customWidth="1"/>
    <col min="268" max="268" width="9.1640625" style="582" bestFit="1" customWidth="1"/>
    <col min="269" max="270" width="8.6640625" style="582"/>
    <col min="271" max="271" width="8.6640625" style="582" bestFit="1"/>
    <col min="272" max="512" width="8.6640625" style="582"/>
    <col min="513" max="513" width="29" style="582" customWidth="1"/>
    <col min="514" max="514" width="11.83203125" style="582" customWidth="1"/>
    <col min="515" max="515" width="14.33203125" style="582" customWidth="1"/>
    <col min="516" max="516" width="12.5" style="582" customWidth="1"/>
    <col min="517" max="517" width="13" style="582" customWidth="1"/>
    <col min="518" max="518" width="13.83203125" style="582" customWidth="1"/>
    <col min="519" max="519" width="13.33203125" style="582" customWidth="1"/>
    <col min="520" max="520" width="14.83203125" style="582" customWidth="1"/>
    <col min="521" max="521" width="12.1640625" style="582" customWidth="1"/>
    <col min="522" max="522" width="11.5" style="582" customWidth="1"/>
    <col min="523" max="523" width="13.1640625" style="582" customWidth="1"/>
    <col min="524" max="524" width="9.1640625" style="582" bestFit="1" customWidth="1"/>
    <col min="525" max="526" width="8.6640625" style="582"/>
    <col min="527" max="527" width="8.6640625" style="582" bestFit="1"/>
    <col min="528" max="768" width="8.6640625" style="582"/>
    <col min="769" max="769" width="29" style="582" customWidth="1"/>
    <col min="770" max="770" width="11.83203125" style="582" customWidth="1"/>
    <col min="771" max="771" width="14.33203125" style="582" customWidth="1"/>
    <col min="772" max="772" width="12.5" style="582" customWidth="1"/>
    <col min="773" max="773" width="13" style="582" customWidth="1"/>
    <col min="774" max="774" width="13.83203125" style="582" customWidth="1"/>
    <col min="775" max="775" width="13.33203125" style="582" customWidth="1"/>
    <col min="776" max="776" width="14.83203125" style="582" customWidth="1"/>
    <col min="777" max="777" width="12.1640625" style="582" customWidth="1"/>
    <col min="778" max="778" width="11.5" style="582" customWidth="1"/>
    <col min="779" max="779" width="13.1640625" style="582" customWidth="1"/>
    <col min="780" max="780" width="9.1640625" style="582" bestFit="1" customWidth="1"/>
    <col min="781" max="782" width="8.6640625" style="582"/>
    <col min="783" max="783" width="8.6640625" style="582" bestFit="1"/>
    <col min="784" max="1024" width="8.6640625" style="582"/>
    <col min="1025" max="1025" width="29" style="582" customWidth="1"/>
    <col min="1026" max="1026" width="11.83203125" style="582" customWidth="1"/>
    <col min="1027" max="1027" width="14.33203125" style="582" customWidth="1"/>
    <col min="1028" max="1028" width="12.5" style="582" customWidth="1"/>
    <col min="1029" max="1029" width="13" style="582" customWidth="1"/>
    <col min="1030" max="1030" width="13.83203125" style="582" customWidth="1"/>
    <col min="1031" max="1031" width="13.33203125" style="582" customWidth="1"/>
    <col min="1032" max="1032" width="14.83203125" style="582" customWidth="1"/>
    <col min="1033" max="1033" width="12.1640625" style="582" customWidth="1"/>
    <col min="1034" max="1034" width="11.5" style="582" customWidth="1"/>
    <col min="1035" max="1035" width="13.1640625" style="582" customWidth="1"/>
    <col min="1036" max="1036" width="9.1640625" style="582" bestFit="1" customWidth="1"/>
    <col min="1037" max="1038" width="8.6640625" style="582"/>
    <col min="1039" max="1039" width="8.6640625" style="582" bestFit="1"/>
    <col min="1040" max="1280" width="8.6640625" style="582"/>
    <col min="1281" max="1281" width="29" style="582" customWidth="1"/>
    <col min="1282" max="1282" width="11.83203125" style="582" customWidth="1"/>
    <col min="1283" max="1283" width="14.33203125" style="582" customWidth="1"/>
    <col min="1284" max="1284" width="12.5" style="582" customWidth="1"/>
    <col min="1285" max="1285" width="13" style="582" customWidth="1"/>
    <col min="1286" max="1286" width="13.83203125" style="582" customWidth="1"/>
    <col min="1287" max="1287" width="13.33203125" style="582" customWidth="1"/>
    <col min="1288" max="1288" width="14.83203125" style="582" customWidth="1"/>
    <col min="1289" max="1289" width="12.1640625" style="582" customWidth="1"/>
    <col min="1290" max="1290" width="11.5" style="582" customWidth="1"/>
    <col min="1291" max="1291" width="13.1640625" style="582" customWidth="1"/>
    <col min="1292" max="1292" width="9.1640625" style="582" bestFit="1" customWidth="1"/>
    <col min="1293" max="1294" width="8.6640625" style="582"/>
    <col min="1295" max="1295" width="8.6640625" style="582" bestFit="1"/>
    <col min="1296" max="1536" width="8.6640625" style="582"/>
    <col min="1537" max="1537" width="29" style="582" customWidth="1"/>
    <col min="1538" max="1538" width="11.83203125" style="582" customWidth="1"/>
    <col min="1539" max="1539" width="14.33203125" style="582" customWidth="1"/>
    <col min="1540" max="1540" width="12.5" style="582" customWidth="1"/>
    <col min="1541" max="1541" width="13" style="582" customWidth="1"/>
    <col min="1542" max="1542" width="13.83203125" style="582" customWidth="1"/>
    <col min="1543" max="1543" width="13.33203125" style="582" customWidth="1"/>
    <col min="1544" max="1544" width="14.83203125" style="582" customWidth="1"/>
    <col min="1545" max="1545" width="12.1640625" style="582" customWidth="1"/>
    <col min="1546" max="1546" width="11.5" style="582" customWidth="1"/>
    <col min="1547" max="1547" width="13.1640625" style="582" customWidth="1"/>
    <col min="1548" max="1548" width="9.1640625" style="582" bestFit="1" customWidth="1"/>
    <col min="1549" max="1550" width="8.6640625" style="582"/>
    <col min="1551" max="1551" width="8.6640625" style="582" bestFit="1"/>
    <col min="1552" max="1792" width="8.6640625" style="582"/>
    <col min="1793" max="1793" width="29" style="582" customWidth="1"/>
    <col min="1794" max="1794" width="11.83203125" style="582" customWidth="1"/>
    <col min="1795" max="1795" width="14.33203125" style="582" customWidth="1"/>
    <col min="1796" max="1796" width="12.5" style="582" customWidth="1"/>
    <col min="1797" max="1797" width="13" style="582" customWidth="1"/>
    <col min="1798" max="1798" width="13.83203125" style="582" customWidth="1"/>
    <col min="1799" max="1799" width="13.33203125" style="582" customWidth="1"/>
    <col min="1800" max="1800" width="14.83203125" style="582" customWidth="1"/>
    <col min="1801" max="1801" width="12.1640625" style="582" customWidth="1"/>
    <col min="1802" max="1802" width="11.5" style="582" customWidth="1"/>
    <col min="1803" max="1803" width="13.1640625" style="582" customWidth="1"/>
    <col min="1804" max="1804" width="9.1640625" style="582" bestFit="1" customWidth="1"/>
    <col min="1805" max="1806" width="8.6640625" style="582"/>
    <col min="1807" max="1807" width="8.6640625" style="582" bestFit="1"/>
    <col min="1808" max="2048" width="8.6640625" style="582"/>
    <col min="2049" max="2049" width="29" style="582" customWidth="1"/>
    <col min="2050" max="2050" width="11.83203125" style="582" customWidth="1"/>
    <col min="2051" max="2051" width="14.33203125" style="582" customWidth="1"/>
    <col min="2052" max="2052" width="12.5" style="582" customWidth="1"/>
    <col min="2053" max="2053" width="13" style="582" customWidth="1"/>
    <col min="2054" max="2054" width="13.83203125" style="582" customWidth="1"/>
    <col min="2055" max="2055" width="13.33203125" style="582" customWidth="1"/>
    <col min="2056" max="2056" width="14.83203125" style="582" customWidth="1"/>
    <col min="2057" max="2057" width="12.1640625" style="582" customWidth="1"/>
    <col min="2058" max="2058" width="11.5" style="582" customWidth="1"/>
    <col min="2059" max="2059" width="13.1640625" style="582" customWidth="1"/>
    <col min="2060" max="2060" width="9.1640625" style="582" bestFit="1" customWidth="1"/>
    <col min="2061" max="2062" width="8.6640625" style="582"/>
    <col min="2063" max="2063" width="8.6640625" style="582" bestFit="1"/>
    <col min="2064" max="2304" width="8.6640625" style="582"/>
    <col min="2305" max="2305" width="29" style="582" customWidth="1"/>
    <col min="2306" max="2306" width="11.83203125" style="582" customWidth="1"/>
    <col min="2307" max="2307" width="14.33203125" style="582" customWidth="1"/>
    <col min="2308" max="2308" width="12.5" style="582" customWidth="1"/>
    <col min="2309" max="2309" width="13" style="582" customWidth="1"/>
    <col min="2310" max="2310" width="13.83203125" style="582" customWidth="1"/>
    <col min="2311" max="2311" width="13.33203125" style="582" customWidth="1"/>
    <col min="2312" max="2312" width="14.83203125" style="582" customWidth="1"/>
    <col min="2313" max="2313" width="12.1640625" style="582" customWidth="1"/>
    <col min="2314" max="2314" width="11.5" style="582" customWidth="1"/>
    <col min="2315" max="2315" width="13.1640625" style="582" customWidth="1"/>
    <col min="2316" max="2316" width="9.1640625" style="582" bestFit="1" customWidth="1"/>
    <col min="2317" max="2318" width="8.6640625" style="582"/>
    <col min="2319" max="2319" width="8.6640625" style="582" bestFit="1"/>
    <col min="2320" max="2560" width="8.6640625" style="582"/>
    <col min="2561" max="2561" width="29" style="582" customWidth="1"/>
    <col min="2562" max="2562" width="11.83203125" style="582" customWidth="1"/>
    <col min="2563" max="2563" width="14.33203125" style="582" customWidth="1"/>
    <col min="2564" max="2564" width="12.5" style="582" customWidth="1"/>
    <col min="2565" max="2565" width="13" style="582" customWidth="1"/>
    <col min="2566" max="2566" width="13.83203125" style="582" customWidth="1"/>
    <col min="2567" max="2567" width="13.33203125" style="582" customWidth="1"/>
    <col min="2568" max="2568" width="14.83203125" style="582" customWidth="1"/>
    <col min="2569" max="2569" width="12.1640625" style="582" customWidth="1"/>
    <col min="2570" max="2570" width="11.5" style="582" customWidth="1"/>
    <col min="2571" max="2571" width="13.1640625" style="582" customWidth="1"/>
    <col min="2572" max="2572" width="9.1640625" style="582" bestFit="1" customWidth="1"/>
    <col min="2573" max="2574" width="8.6640625" style="582"/>
    <col min="2575" max="2575" width="8.6640625" style="582" bestFit="1"/>
    <col min="2576" max="2816" width="8.6640625" style="582"/>
    <col min="2817" max="2817" width="29" style="582" customWidth="1"/>
    <col min="2818" max="2818" width="11.83203125" style="582" customWidth="1"/>
    <col min="2819" max="2819" width="14.33203125" style="582" customWidth="1"/>
    <col min="2820" max="2820" width="12.5" style="582" customWidth="1"/>
    <col min="2821" max="2821" width="13" style="582" customWidth="1"/>
    <col min="2822" max="2822" width="13.83203125" style="582" customWidth="1"/>
    <col min="2823" max="2823" width="13.33203125" style="582" customWidth="1"/>
    <col min="2824" max="2824" width="14.83203125" style="582" customWidth="1"/>
    <col min="2825" max="2825" width="12.1640625" style="582" customWidth="1"/>
    <col min="2826" max="2826" width="11.5" style="582" customWidth="1"/>
    <col min="2827" max="2827" width="13.1640625" style="582" customWidth="1"/>
    <col min="2828" max="2828" width="9.1640625" style="582" bestFit="1" customWidth="1"/>
    <col min="2829" max="2830" width="8.6640625" style="582"/>
    <col min="2831" max="2831" width="8.6640625" style="582" bestFit="1"/>
    <col min="2832" max="3072" width="8.6640625" style="582"/>
    <col min="3073" max="3073" width="29" style="582" customWidth="1"/>
    <col min="3074" max="3074" width="11.83203125" style="582" customWidth="1"/>
    <col min="3075" max="3075" width="14.33203125" style="582" customWidth="1"/>
    <col min="3076" max="3076" width="12.5" style="582" customWidth="1"/>
    <col min="3077" max="3077" width="13" style="582" customWidth="1"/>
    <col min="3078" max="3078" width="13.83203125" style="582" customWidth="1"/>
    <col min="3079" max="3079" width="13.33203125" style="582" customWidth="1"/>
    <col min="3080" max="3080" width="14.83203125" style="582" customWidth="1"/>
    <col min="3081" max="3081" width="12.1640625" style="582" customWidth="1"/>
    <col min="3082" max="3082" width="11.5" style="582" customWidth="1"/>
    <col min="3083" max="3083" width="13.1640625" style="582" customWidth="1"/>
    <col min="3084" max="3084" width="9.1640625" style="582" bestFit="1" customWidth="1"/>
    <col min="3085" max="3086" width="8.6640625" style="582"/>
    <col min="3087" max="3087" width="8.6640625" style="582" bestFit="1"/>
    <col min="3088" max="3328" width="8.6640625" style="582"/>
    <col min="3329" max="3329" width="29" style="582" customWidth="1"/>
    <col min="3330" max="3330" width="11.83203125" style="582" customWidth="1"/>
    <col min="3331" max="3331" width="14.33203125" style="582" customWidth="1"/>
    <col min="3332" max="3332" width="12.5" style="582" customWidth="1"/>
    <col min="3333" max="3333" width="13" style="582" customWidth="1"/>
    <col min="3334" max="3334" width="13.83203125" style="582" customWidth="1"/>
    <col min="3335" max="3335" width="13.33203125" style="582" customWidth="1"/>
    <col min="3336" max="3336" width="14.83203125" style="582" customWidth="1"/>
    <col min="3337" max="3337" width="12.1640625" style="582" customWidth="1"/>
    <col min="3338" max="3338" width="11.5" style="582" customWidth="1"/>
    <col min="3339" max="3339" width="13.1640625" style="582" customWidth="1"/>
    <col min="3340" max="3340" width="9.1640625" style="582" bestFit="1" customWidth="1"/>
    <col min="3341" max="3342" width="8.6640625" style="582"/>
    <col min="3343" max="3343" width="8.6640625" style="582" bestFit="1"/>
    <col min="3344" max="3584" width="8.6640625" style="582"/>
    <col min="3585" max="3585" width="29" style="582" customWidth="1"/>
    <col min="3586" max="3586" width="11.83203125" style="582" customWidth="1"/>
    <col min="3587" max="3587" width="14.33203125" style="582" customWidth="1"/>
    <col min="3588" max="3588" width="12.5" style="582" customWidth="1"/>
    <col min="3589" max="3589" width="13" style="582" customWidth="1"/>
    <col min="3590" max="3590" width="13.83203125" style="582" customWidth="1"/>
    <col min="3591" max="3591" width="13.33203125" style="582" customWidth="1"/>
    <col min="3592" max="3592" width="14.83203125" style="582" customWidth="1"/>
    <col min="3593" max="3593" width="12.1640625" style="582" customWidth="1"/>
    <col min="3594" max="3594" width="11.5" style="582" customWidth="1"/>
    <col min="3595" max="3595" width="13.1640625" style="582" customWidth="1"/>
    <col min="3596" max="3596" width="9.1640625" style="582" bestFit="1" customWidth="1"/>
    <col min="3597" max="3598" width="8.6640625" style="582"/>
    <col min="3599" max="3599" width="8.6640625" style="582" bestFit="1"/>
    <col min="3600" max="3840" width="8.6640625" style="582"/>
    <col min="3841" max="3841" width="29" style="582" customWidth="1"/>
    <col min="3842" max="3842" width="11.83203125" style="582" customWidth="1"/>
    <col min="3843" max="3843" width="14.33203125" style="582" customWidth="1"/>
    <col min="3844" max="3844" width="12.5" style="582" customWidth="1"/>
    <col min="3845" max="3845" width="13" style="582" customWidth="1"/>
    <col min="3846" max="3846" width="13.83203125" style="582" customWidth="1"/>
    <col min="3847" max="3847" width="13.33203125" style="582" customWidth="1"/>
    <col min="3848" max="3848" width="14.83203125" style="582" customWidth="1"/>
    <col min="3849" max="3849" width="12.1640625" style="582" customWidth="1"/>
    <col min="3850" max="3850" width="11.5" style="582" customWidth="1"/>
    <col min="3851" max="3851" width="13.1640625" style="582" customWidth="1"/>
    <col min="3852" max="3852" width="9.1640625" style="582" bestFit="1" customWidth="1"/>
    <col min="3853" max="3854" width="8.6640625" style="582"/>
    <col min="3855" max="3855" width="8.6640625" style="582" bestFit="1"/>
    <col min="3856" max="4096" width="8.6640625" style="582"/>
    <col min="4097" max="4097" width="29" style="582" customWidth="1"/>
    <col min="4098" max="4098" width="11.83203125" style="582" customWidth="1"/>
    <col min="4099" max="4099" width="14.33203125" style="582" customWidth="1"/>
    <col min="4100" max="4100" width="12.5" style="582" customWidth="1"/>
    <col min="4101" max="4101" width="13" style="582" customWidth="1"/>
    <col min="4102" max="4102" width="13.83203125" style="582" customWidth="1"/>
    <col min="4103" max="4103" width="13.33203125" style="582" customWidth="1"/>
    <col min="4104" max="4104" width="14.83203125" style="582" customWidth="1"/>
    <col min="4105" max="4105" width="12.1640625" style="582" customWidth="1"/>
    <col min="4106" max="4106" width="11.5" style="582" customWidth="1"/>
    <col min="4107" max="4107" width="13.1640625" style="582" customWidth="1"/>
    <col min="4108" max="4108" width="9.1640625" style="582" bestFit="1" customWidth="1"/>
    <col min="4109" max="4110" width="8.6640625" style="582"/>
    <col min="4111" max="4111" width="8.6640625" style="582" bestFit="1"/>
    <col min="4112" max="4352" width="8.6640625" style="582"/>
    <col min="4353" max="4353" width="29" style="582" customWidth="1"/>
    <col min="4354" max="4354" width="11.83203125" style="582" customWidth="1"/>
    <col min="4355" max="4355" width="14.33203125" style="582" customWidth="1"/>
    <col min="4356" max="4356" width="12.5" style="582" customWidth="1"/>
    <col min="4357" max="4357" width="13" style="582" customWidth="1"/>
    <col min="4358" max="4358" width="13.83203125" style="582" customWidth="1"/>
    <col min="4359" max="4359" width="13.33203125" style="582" customWidth="1"/>
    <col min="4360" max="4360" width="14.83203125" style="582" customWidth="1"/>
    <col min="4361" max="4361" width="12.1640625" style="582" customWidth="1"/>
    <col min="4362" max="4362" width="11.5" style="582" customWidth="1"/>
    <col min="4363" max="4363" width="13.1640625" style="582" customWidth="1"/>
    <col min="4364" max="4364" width="9.1640625" style="582" bestFit="1" customWidth="1"/>
    <col min="4365" max="4366" width="8.6640625" style="582"/>
    <col min="4367" max="4367" width="8.6640625" style="582" bestFit="1"/>
    <col min="4368" max="4608" width="8.6640625" style="582"/>
    <col min="4609" max="4609" width="29" style="582" customWidth="1"/>
    <col min="4610" max="4610" width="11.83203125" style="582" customWidth="1"/>
    <col min="4611" max="4611" width="14.33203125" style="582" customWidth="1"/>
    <col min="4612" max="4612" width="12.5" style="582" customWidth="1"/>
    <col min="4613" max="4613" width="13" style="582" customWidth="1"/>
    <col min="4614" max="4614" width="13.83203125" style="582" customWidth="1"/>
    <col min="4615" max="4615" width="13.33203125" style="582" customWidth="1"/>
    <col min="4616" max="4616" width="14.83203125" style="582" customWidth="1"/>
    <col min="4617" max="4617" width="12.1640625" style="582" customWidth="1"/>
    <col min="4618" max="4618" width="11.5" style="582" customWidth="1"/>
    <col min="4619" max="4619" width="13.1640625" style="582" customWidth="1"/>
    <col min="4620" max="4620" width="9.1640625" style="582" bestFit="1" customWidth="1"/>
    <col min="4621" max="4622" width="8.6640625" style="582"/>
    <col min="4623" max="4623" width="8.6640625" style="582" bestFit="1"/>
    <col min="4624" max="4864" width="8.6640625" style="582"/>
    <col min="4865" max="4865" width="29" style="582" customWidth="1"/>
    <col min="4866" max="4866" width="11.83203125" style="582" customWidth="1"/>
    <col min="4867" max="4867" width="14.33203125" style="582" customWidth="1"/>
    <col min="4868" max="4868" width="12.5" style="582" customWidth="1"/>
    <col min="4869" max="4869" width="13" style="582" customWidth="1"/>
    <col min="4870" max="4870" width="13.83203125" style="582" customWidth="1"/>
    <col min="4871" max="4871" width="13.33203125" style="582" customWidth="1"/>
    <col min="4872" max="4872" width="14.83203125" style="582" customWidth="1"/>
    <col min="4873" max="4873" width="12.1640625" style="582" customWidth="1"/>
    <col min="4874" max="4874" width="11.5" style="582" customWidth="1"/>
    <col min="4875" max="4875" width="13.1640625" style="582" customWidth="1"/>
    <col min="4876" max="4876" width="9.1640625" style="582" bestFit="1" customWidth="1"/>
    <col min="4877" max="4878" width="8.6640625" style="582"/>
    <col min="4879" max="4879" width="8.6640625" style="582" bestFit="1"/>
    <col min="4880" max="5120" width="8.6640625" style="582"/>
    <col min="5121" max="5121" width="29" style="582" customWidth="1"/>
    <col min="5122" max="5122" width="11.83203125" style="582" customWidth="1"/>
    <col min="5123" max="5123" width="14.33203125" style="582" customWidth="1"/>
    <col min="5124" max="5124" width="12.5" style="582" customWidth="1"/>
    <col min="5125" max="5125" width="13" style="582" customWidth="1"/>
    <col min="5126" max="5126" width="13.83203125" style="582" customWidth="1"/>
    <col min="5127" max="5127" width="13.33203125" style="582" customWidth="1"/>
    <col min="5128" max="5128" width="14.83203125" style="582" customWidth="1"/>
    <col min="5129" max="5129" width="12.1640625" style="582" customWidth="1"/>
    <col min="5130" max="5130" width="11.5" style="582" customWidth="1"/>
    <col min="5131" max="5131" width="13.1640625" style="582" customWidth="1"/>
    <col min="5132" max="5132" width="9.1640625" style="582" bestFit="1" customWidth="1"/>
    <col min="5133" max="5134" width="8.6640625" style="582"/>
    <col min="5135" max="5135" width="8.6640625" style="582" bestFit="1"/>
    <col min="5136" max="5376" width="8.6640625" style="582"/>
    <col min="5377" max="5377" width="29" style="582" customWidth="1"/>
    <col min="5378" max="5378" width="11.83203125" style="582" customWidth="1"/>
    <col min="5379" max="5379" width="14.33203125" style="582" customWidth="1"/>
    <col min="5380" max="5380" width="12.5" style="582" customWidth="1"/>
    <col min="5381" max="5381" width="13" style="582" customWidth="1"/>
    <col min="5382" max="5382" width="13.83203125" style="582" customWidth="1"/>
    <col min="5383" max="5383" width="13.33203125" style="582" customWidth="1"/>
    <col min="5384" max="5384" width="14.83203125" style="582" customWidth="1"/>
    <col min="5385" max="5385" width="12.1640625" style="582" customWidth="1"/>
    <col min="5386" max="5386" width="11.5" style="582" customWidth="1"/>
    <col min="5387" max="5387" width="13.1640625" style="582" customWidth="1"/>
    <col min="5388" max="5388" width="9.1640625" style="582" bestFit="1" customWidth="1"/>
    <col min="5389" max="5390" width="8.6640625" style="582"/>
    <col min="5391" max="5391" width="8.6640625" style="582" bestFit="1"/>
    <col min="5392" max="5632" width="8.6640625" style="582"/>
    <col min="5633" max="5633" width="29" style="582" customWidth="1"/>
    <col min="5634" max="5634" width="11.83203125" style="582" customWidth="1"/>
    <col min="5635" max="5635" width="14.33203125" style="582" customWidth="1"/>
    <col min="5636" max="5636" width="12.5" style="582" customWidth="1"/>
    <col min="5637" max="5637" width="13" style="582" customWidth="1"/>
    <col min="5638" max="5638" width="13.83203125" style="582" customWidth="1"/>
    <col min="5639" max="5639" width="13.33203125" style="582" customWidth="1"/>
    <col min="5640" max="5640" width="14.83203125" style="582" customWidth="1"/>
    <col min="5641" max="5641" width="12.1640625" style="582" customWidth="1"/>
    <col min="5642" max="5642" width="11.5" style="582" customWidth="1"/>
    <col min="5643" max="5643" width="13.1640625" style="582" customWidth="1"/>
    <col min="5644" max="5644" width="9.1640625" style="582" bestFit="1" customWidth="1"/>
    <col min="5645" max="5646" width="8.6640625" style="582"/>
    <col min="5647" max="5647" width="8.6640625" style="582" bestFit="1"/>
    <col min="5648" max="5888" width="8.6640625" style="582"/>
    <col min="5889" max="5889" width="29" style="582" customWidth="1"/>
    <col min="5890" max="5890" width="11.83203125" style="582" customWidth="1"/>
    <col min="5891" max="5891" width="14.33203125" style="582" customWidth="1"/>
    <col min="5892" max="5892" width="12.5" style="582" customWidth="1"/>
    <col min="5893" max="5893" width="13" style="582" customWidth="1"/>
    <col min="5894" max="5894" width="13.83203125" style="582" customWidth="1"/>
    <col min="5895" max="5895" width="13.33203125" style="582" customWidth="1"/>
    <col min="5896" max="5896" width="14.83203125" style="582" customWidth="1"/>
    <col min="5897" max="5897" width="12.1640625" style="582" customWidth="1"/>
    <col min="5898" max="5898" width="11.5" style="582" customWidth="1"/>
    <col min="5899" max="5899" width="13.1640625" style="582" customWidth="1"/>
    <col min="5900" max="5900" width="9.1640625" style="582" bestFit="1" customWidth="1"/>
    <col min="5901" max="5902" width="8.6640625" style="582"/>
    <col min="5903" max="5903" width="8.6640625" style="582" bestFit="1"/>
    <col min="5904" max="6144" width="8.6640625" style="582"/>
    <col min="6145" max="6145" width="29" style="582" customWidth="1"/>
    <col min="6146" max="6146" width="11.83203125" style="582" customWidth="1"/>
    <col min="6147" max="6147" width="14.33203125" style="582" customWidth="1"/>
    <col min="6148" max="6148" width="12.5" style="582" customWidth="1"/>
    <col min="6149" max="6149" width="13" style="582" customWidth="1"/>
    <col min="6150" max="6150" width="13.83203125" style="582" customWidth="1"/>
    <col min="6151" max="6151" width="13.33203125" style="582" customWidth="1"/>
    <col min="6152" max="6152" width="14.83203125" style="582" customWidth="1"/>
    <col min="6153" max="6153" width="12.1640625" style="582" customWidth="1"/>
    <col min="6154" max="6154" width="11.5" style="582" customWidth="1"/>
    <col min="6155" max="6155" width="13.1640625" style="582" customWidth="1"/>
    <col min="6156" max="6156" width="9.1640625" style="582" bestFit="1" customWidth="1"/>
    <col min="6157" max="6158" width="8.6640625" style="582"/>
    <col min="6159" max="6159" width="8.6640625" style="582" bestFit="1"/>
    <col min="6160" max="6400" width="8.6640625" style="582"/>
    <col min="6401" max="6401" width="29" style="582" customWidth="1"/>
    <col min="6402" max="6402" width="11.83203125" style="582" customWidth="1"/>
    <col min="6403" max="6403" width="14.33203125" style="582" customWidth="1"/>
    <col min="6404" max="6404" width="12.5" style="582" customWidth="1"/>
    <col min="6405" max="6405" width="13" style="582" customWidth="1"/>
    <col min="6406" max="6406" width="13.83203125" style="582" customWidth="1"/>
    <col min="6407" max="6407" width="13.33203125" style="582" customWidth="1"/>
    <col min="6408" max="6408" width="14.83203125" style="582" customWidth="1"/>
    <col min="6409" max="6409" width="12.1640625" style="582" customWidth="1"/>
    <col min="6410" max="6410" width="11.5" style="582" customWidth="1"/>
    <col min="6411" max="6411" width="13.1640625" style="582" customWidth="1"/>
    <col min="6412" max="6412" width="9.1640625" style="582" bestFit="1" customWidth="1"/>
    <col min="6413" max="6414" width="8.6640625" style="582"/>
    <col min="6415" max="6415" width="8.6640625" style="582" bestFit="1"/>
    <col min="6416" max="6656" width="8.6640625" style="582"/>
    <col min="6657" max="6657" width="29" style="582" customWidth="1"/>
    <col min="6658" max="6658" width="11.83203125" style="582" customWidth="1"/>
    <col min="6659" max="6659" width="14.33203125" style="582" customWidth="1"/>
    <col min="6660" max="6660" width="12.5" style="582" customWidth="1"/>
    <col min="6661" max="6661" width="13" style="582" customWidth="1"/>
    <col min="6662" max="6662" width="13.83203125" style="582" customWidth="1"/>
    <col min="6663" max="6663" width="13.33203125" style="582" customWidth="1"/>
    <col min="6664" max="6664" width="14.83203125" style="582" customWidth="1"/>
    <col min="6665" max="6665" width="12.1640625" style="582" customWidth="1"/>
    <col min="6666" max="6666" width="11.5" style="582" customWidth="1"/>
    <col min="6667" max="6667" width="13.1640625" style="582" customWidth="1"/>
    <col min="6668" max="6668" width="9.1640625" style="582" bestFit="1" customWidth="1"/>
    <col min="6669" max="6670" width="8.6640625" style="582"/>
    <col min="6671" max="6671" width="8.6640625" style="582" bestFit="1"/>
    <col min="6672" max="6912" width="8.6640625" style="582"/>
    <col min="6913" max="6913" width="29" style="582" customWidth="1"/>
    <col min="6914" max="6914" width="11.83203125" style="582" customWidth="1"/>
    <col min="6915" max="6915" width="14.33203125" style="582" customWidth="1"/>
    <col min="6916" max="6916" width="12.5" style="582" customWidth="1"/>
    <col min="6917" max="6917" width="13" style="582" customWidth="1"/>
    <col min="6918" max="6918" width="13.83203125" style="582" customWidth="1"/>
    <col min="6919" max="6919" width="13.33203125" style="582" customWidth="1"/>
    <col min="6920" max="6920" width="14.83203125" style="582" customWidth="1"/>
    <col min="6921" max="6921" width="12.1640625" style="582" customWidth="1"/>
    <col min="6922" max="6922" width="11.5" style="582" customWidth="1"/>
    <col min="6923" max="6923" width="13.1640625" style="582" customWidth="1"/>
    <col min="6924" max="6924" width="9.1640625" style="582" bestFit="1" customWidth="1"/>
    <col min="6925" max="6926" width="8.6640625" style="582"/>
    <col min="6927" max="6927" width="8.6640625" style="582" bestFit="1"/>
    <col min="6928" max="7168" width="8.6640625" style="582"/>
    <col min="7169" max="7169" width="29" style="582" customWidth="1"/>
    <col min="7170" max="7170" width="11.83203125" style="582" customWidth="1"/>
    <col min="7171" max="7171" width="14.33203125" style="582" customWidth="1"/>
    <col min="7172" max="7172" width="12.5" style="582" customWidth="1"/>
    <col min="7173" max="7173" width="13" style="582" customWidth="1"/>
    <col min="7174" max="7174" width="13.83203125" style="582" customWidth="1"/>
    <col min="7175" max="7175" width="13.33203125" style="582" customWidth="1"/>
    <col min="7176" max="7176" width="14.83203125" style="582" customWidth="1"/>
    <col min="7177" max="7177" width="12.1640625" style="582" customWidth="1"/>
    <col min="7178" max="7178" width="11.5" style="582" customWidth="1"/>
    <col min="7179" max="7179" width="13.1640625" style="582" customWidth="1"/>
    <col min="7180" max="7180" width="9.1640625" style="582" bestFit="1" customWidth="1"/>
    <col min="7181" max="7182" width="8.6640625" style="582"/>
    <col min="7183" max="7183" width="8.6640625" style="582" bestFit="1"/>
    <col min="7184" max="7424" width="8.6640625" style="582"/>
    <col min="7425" max="7425" width="29" style="582" customWidth="1"/>
    <col min="7426" max="7426" width="11.83203125" style="582" customWidth="1"/>
    <col min="7427" max="7427" width="14.33203125" style="582" customWidth="1"/>
    <col min="7428" max="7428" width="12.5" style="582" customWidth="1"/>
    <col min="7429" max="7429" width="13" style="582" customWidth="1"/>
    <col min="7430" max="7430" width="13.83203125" style="582" customWidth="1"/>
    <col min="7431" max="7431" width="13.33203125" style="582" customWidth="1"/>
    <col min="7432" max="7432" width="14.83203125" style="582" customWidth="1"/>
    <col min="7433" max="7433" width="12.1640625" style="582" customWidth="1"/>
    <col min="7434" max="7434" width="11.5" style="582" customWidth="1"/>
    <col min="7435" max="7435" width="13.1640625" style="582" customWidth="1"/>
    <col min="7436" max="7436" width="9.1640625" style="582" bestFit="1" customWidth="1"/>
    <col min="7437" max="7438" width="8.6640625" style="582"/>
    <col min="7439" max="7439" width="8.6640625" style="582" bestFit="1"/>
    <col min="7440" max="7680" width="8.6640625" style="582"/>
    <col min="7681" max="7681" width="29" style="582" customWidth="1"/>
    <col min="7682" max="7682" width="11.83203125" style="582" customWidth="1"/>
    <col min="7683" max="7683" width="14.33203125" style="582" customWidth="1"/>
    <col min="7684" max="7684" width="12.5" style="582" customWidth="1"/>
    <col min="7685" max="7685" width="13" style="582" customWidth="1"/>
    <col min="7686" max="7686" width="13.83203125" style="582" customWidth="1"/>
    <col min="7687" max="7687" width="13.33203125" style="582" customWidth="1"/>
    <col min="7688" max="7688" width="14.83203125" style="582" customWidth="1"/>
    <col min="7689" max="7689" width="12.1640625" style="582" customWidth="1"/>
    <col min="7690" max="7690" width="11.5" style="582" customWidth="1"/>
    <col min="7691" max="7691" width="13.1640625" style="582" customWidth="1"/>
    <col min="7692" max="7692" width="9.1640625" style="582" bestFit="1" customWidth="1"/>
    <col min="7693" max="7694" width="8.6640625" style="582"/>
    <col min="7695" max="7695" width="8.6640625" style="582" bestFit="1"/>
    <col min="7696" max="7936" width="8.6640625" style="582"/>
    <col min="7937" max="7937" width="29" style="582" customWidth="1"/>
    <col min="7938" max="7938" width="11.83203125" style="582" customWidth="1"/>
    <col min="7939" max="7939" width="14.33203125" style="582" customWidth="1"/>
    <col min="7940" max="7940" width="12.5" style="582" customWidth="1"/>
    <col min="7941" max="7941" width="13" style="582" customWidth="1"/>
    <col min="7942" max="7942" width="13.83203125" style="582" customWidth="1"/>
    <col min="7943" max="7943" width="13.33203125" style="582" customWidth="1"/>
    <col min="7944" max="7944" width="14.83203125" style="582" customWidth="1"/>
    <col min="7945" max="7945" width="12.1640625" style="582" customWidth="1"/>
    <col min="7946" max="7946" width="11.5" style="582" customWidth="1"/>
    <col min="7947" max="7947" width="13.1640625" style="582" customWidth="1"/>
    <col min="7948" max="7948" width="9.1640625" style="582" bestFit="1" customWidth="1"/>
    <col min="7949" max="7950" width="8.6640625" style="582"/>
    <col min="7951" max="7951" width="8.6640625" style="582" bestFit="1"/>
    <col min="7952" max="8192" width="8.6640625" style="582"/>
    <col min="8193" max="8193" width="29" style="582" customWidth="1"/>
    <col min="8194" max="8194" width="11.83203125" style="582" customWidth="1"/>
    <col min="8195" max="8195" width="14.33203125" style="582" customWidth="1"/>
    <col min="8196" max="8196" width="12.5" style="582" customWidth="1"/>
    <col min="8197" max="8197" width="13" style="582" customWidth="1"/>
    <col min="8198" max="8198" width="13.83203125" style="582" customWidth="1"/>
    <col min="8199" max="8199" width="13.33203125" style="582" customWidth="1"/>
    <col min="8200" max="8200" width="14.83203125" style="582" customWidth="1"/>
    <col min="8201" max="8201" width="12.1640625" style="582" customWidth="1"/>
    <col min="8202" max="8202" width="11.5" style="582" customWidth="1"/>
    <col min="8203" max="8203" width="13.1640625" style="582" customWidth="1"/>
    <col min="8204" max="8204" width="9.1640625" style="582" bestFit="1" customWidth="1"/>
    <col min="8205" max="8206" width="8.6640625" style="582"/>
    <col min="8207" max="8207" width="8.6640625" style="582" bestFit="1"/>
    <col min="8208" max="8448" width="8.6640625" style="582"/>
    <col min="8449" max="8449" width="29" style="582" customWidth="1"/>
    <col min="8450" max="8450" width="11.83203125" style="582" customWidth="1"/>
    <col min="8451" max="8451" width="14.33203125" style="582" customWidth="1"/>
    <col min="8452" max="8452" width="12.5" style="582" customWidth="1"/>
    <col min="8453" max="8453" width="13" style="582" customWidth="1"/>
    <col min="8454" max="8454" width="13.83203125" style="582" customWidth="1"/>
    <col min="8455" max="8455" width="13.33203125" style="582" customWidth="1"/>
    <col min="8456" max="8456" width="14.83203125" style="582" customWidth="1"/>
    <col min="8457" max="8457" width="12.1640625" style="582" customWidth="1"/>
    <col min="8458" max="8458" width="11.5" style="582" customWidth="1"/>
    <col min="8459" max="8459" width="13.1640625" style="582" customWidth="1"/>
    <col min="8460" max="8460" width="9.1640625" style="582" bestFit="1" customWidth="1"/>
    <col min="8461" max="8462" width="8.6640625" style="582"/>
    <col min="8463" max="8463" width="8.6640625" style="582" bestFit="1"/>
    <col min="8464" max="8704" width="8.6640625" style="582"/>
    <col min="8705" max="8705" width="29" style="582" customWidth="1"/>
    <col min="8706" max="8706" width="11.83203125" style="582" customWidth="1"/>
    <col min="8707" max="8707" width="14.33203125" style="582" customWidth="1"/>
    <col min="8708" max="8708" width="12.5" style="582" customWidth="1"/>
    <col min="8709" max="8709" width="13" style="582" customWidth="1"/>
    <col min="8710" max="8710" width="13.83203125" style="582" customWidth="1"/>
    <col min="8711" max="8711" width="13.33203125" style="582" customWidth="1"/>
    <col min="8712" max="8712" width="14.83203125" style="582" customWidth="1"/>
    <col min="8713" max="8713" width="12.1640625" style="582" customWidth="1"/>
    <col min="8714" max="8714" width="11.5" style="582" customWidth="1"/>
    <col min="8715" max="8715" width="13.1640625" style="582" customWidth="1"/>
    <col min="8716" max="8716" width="9.1640625" style="582" bestFit="1" customWidth="1"/>
    <col min="8717" max="8718" width="8.6640625" style="582"/>
    <col min="8719" max="8719" width="8.6640625" style="582" bestFit="1"/>
    <col min="8720" max="8960" width="8.6640625" style="582"/>
    <col min="8961" max="8961" width="29" style="582" customWidth="1"/>
    <col min="8962" max="8962" width="11.83203125" style="582" customWidth="1"/>
    <col min="8963" max="8963" width="14.33203125" style="582" customWidth="1"/>
    <col min="8964" max="8964" width="12.5" style="582" customWidth="1"/>
    <col min="8965" max="8965" width="13" style="582" customWidth="1"/>
    <col min="8966" max="8966" width="13.83203125" style="582" customWidth="1"/>
    <col min="8967" max="8967" width="13.33203125" style="582" customWidth="1"/>
    <col min="8968" max="8968" width="14.83203125" style="582" customWidth="1"/>
    <col min="8969" max="8969" width="12.1640625" style="582" customWidth="1"/>
    <col min="8970" max="8970" width="11.5" style="582" customWidth="1"/>
    <col min="8971" max="8971" width="13.1640625" style="582" customWidth="1"/>
    <col min="8972" max="8972" width="9.1640625" style="582" bestFit="1" customWidth="1"/>
    <col min="8973" max="8974" width="8.6640625" style="582"/>
    <col min="8975" max="8975" width="8.6640625" style="582" bestFit="1"/>
    <col min="8976" max="9216" width="8.6640625" style="582"/>
    <col min="9217" max="9217" width="29" style="582" customWidth="1"/>
    <col min="9218" max="9218" width="11.83203125" style="582" customWidth="1"/>
    <col min="9219" max="9219" width="14.33203125" style="582" customWidth="1"/>
    <col min="9220" max="9220" width="12.5" style="582" customWidth="1"/>
    <col min="9221" max="9221" width="13" style="582" customWidth="1"/>
    <col min="9222" max="9222" width="13.83203125" style="582" customWidth="1"/>
    <col min="9223" max="9223" width="13.33203125" style="582" customWidth="1"/>
    <col min="9224" max="9224" width="14.83203125" style="582" customWidth="1"/>
    <col min="9225" max="9225" width="12.1640625" style="582" customWidth="1"/>
    <col min="9226" max="9226" width="11.5" style="582" customWidth="1"/>
    <col min="9227" max="9227" width="13.1640625" style="582" customWidth="1"/>
    <col min="9228" max="9228" width="9.1640625" style="582" bestFit="1" customWidth="1"/>
    <col min="9229" max="9230" width="8.6640625" style="582"/>
    <col min="9231" max="9231" width="8.6640625" style="582" bestFit="1"/>
    <col min="9232" max="9472" width="8.6640625" style="582"/>
    <col min="9473" max="9473" width="29" style="582" customWidth="1"/>
    <col min="9474" max="9474" width="11.83203125" style="582" customWidth="1"/>
    <col min="9475" max="9475" width="14.33203125" style="582" customWidth="1"/>
    <col min="9476" max="9476" width="12.5" style="582" customWidth="1"/>
    <col min="9477" max="9477" width="13" style="582" customWidth="1"/>
    <col min="9478" max="9478" width="13.83203125" style="582" customWidth="1"/>
    <col min="9479" max="9479" width="13.33203125" style="582" customWidth="1"/>
    <col min="9480" max="9480" width="14.83203125" style="582" customWidth="1"/>
    <col min="9481" max="9481" width="12.1640625" style="582" customWidth="1"/>
    <col min="9482" max="9482" width="11.5" style="582" customWidth="1"/>
    <col min="9483" max="9483" width="13.1640625" style="582" customWidth="1"/>
    <col min="9484" max="9484" width="9.1640625" style="582" bestFit="1" customWidth="1"/>
    <col min="9485" max="9486" width="8.6640625" style="582"/>
    <col min="9487" max="9487" width="8.6640625" style="582" bestFit="1"/>
    <col min="9488" max="9728" width="8.6640625" style="582"/>
    <col min="9729" max="9729" width="29" style="582" customWidth="1"/>
    <col min="9730" max="9730" width="11.83203125" style="582" customWidth="1"/>
    <col min="9731" max="9731" width="14.33203125" style="582" customWidth="1"/>
    <col min="9732" max="9732" width="12.5" style="582" customWidth="1"/>
    <col min="9733" max="9733" width="13" style="582" customWidth="1"/>
    <col min="9734" max="9734" width="13.83203125" style="582" customWidth="1"/>
    <col min="9735" max="9735" width="13.33203125" style="582" customWidth="1"/>
    <col min="9736" max="9736" width="14.83203125" style="582" customWidth="1"/>
    <col min="9737" max="9737" width="12.1640625" style="582" customWidth="1"/>
    <col min="9738" max="9738" width="11.5" style="582" customWidth="1"/>
    <col min="9739" max="9739" width="13.1640625" style="582" customWidth="1"/>
    <col min="9740" max="9740" width="9.1640625" style="582" bestFit="1" customWidth="1"/>
    <col min="9741" max="9742" width="8.6640625" style="582"/>
    <col min="9743" max="9743" width="8.6640625" style="582" bestFit="1"/>
    <col min="9744" max="9984" width="8.6640625" style="582"/>
    <col min="9985" max="9985" width="29" style="582" customWidth="1"/>
    <col min="9986" max="9986" width="11.83203125" style="582" customWidth="1"/>
    <col min="9987" max="9987" width="14.33203125" style="582" customWidth="1"/>
    <col min="9988" max="9988" width="12.5" style="582" customWidth="1"/>
    <col min="9989" max="9989" width="13" style="582" customWidth="1"/>
    <col min="9990" max="9990" width="13.83203125" style="582" customWidth="1"/>
    <col min="9991" max="9991" width="13.33203125" style="582" customWidth="1"/>
    <col min="9992" max="9992" width="14.83203125" style="582" customWidth="1"/>
    <col min="9993" max="9993" width="12.1640625" style="582" customWidth="1"/>
    <col min="9994" max="9994" width="11.5" style="582" customWidth="1"/>
    <col min="9995" max="9995" width="13.1640625" style="582" customWidth="1"/>
    <col min="9996" max="9996" width="9.1640625" style="582" bestFit="1" customWidth="1"/>
    <col min="9997" max="9998" width="8.6640625" style="582"/>
    <col min="9999" max="9999" width="8.6640625" style="582" bestFit="1"/>
    <col min="10000" max="10240" width="8.6640625" style="582"/>
    <col min="10241" max="10241" width="29" style="582" customWidth="1"/>
    <col min="10242" max="10242" width="11.83203125" style="582" customWidth="1"/>
    <col min="10243" max="10243" width="14.33203125" style="582" customWidth="1"/>
    <col min="10244" max="10244" width="12.5" style="582" customWidth="1"/>
    <col min="10245" max="10245" width="13" style="582" customWidth="1"/>
    <col min="10246" max="10246" width="13.83203125" style="582" customWidth="1"/>
    <col min="10247" max="10247" width="13.33203125" style="582" customWidth="1"/>
    <col min="10248" max="10248" width="14.83203125" style="582" customWidth="1"/>
    <col min="10249" max="10249" width="12.1640625" style="582" customWidth="1"/>
    <col min="10250" max="10250" width="11.5" style="582" customWidth="1"/>
    <col min="10251" max="10251" width="13.1640625" style="582" customWidth="1"/>
    <col min="10252" max="10252" width="9.1640625" style="582" bestFit="1" customWidth="1"/>
    <col min="10253" max="10254" width="8.6640625" style="582"/>
    <col min="10255" max="10255" width="8.6640625" style="582" bestFit="1"/>
    <col min="10256" max="10496" width="8.6640625" style="582"/>
    <col min="10497" max="10497" width="29" style="582" customWidth="1"/>
    <col min="10498" max="10498" width="11.83203125" style="582" customWidth="1"/>
    <col min="10499" max="10499" width="14.33203125" style="582" customWidth="1"/>
    <col min="10500" max="10500" width="12.5" style="582" customWidth="1"/>
    <col min="10501" max="10501" width="13" style="582" customWidth="1"/>
    <col min="10502" max="10502" width="13.83203125" style="582" customWidth="1"/>
    <col min="10503" max="10503" width="13.33203125" style="582" customWidth="1"/>
    <col min="10504" max="10504" width="14.83203125" style="582" customWidth="1"/>
    <col min="10505" max="10505" width="12.1640625" style="582" customWidth="1"/>
    <col min="10506" max="10506" width="11.5" style="582" customWidth="1"/>
    <col min="10507" max="10507" width="13.1640625" style="582" customWidth="1"/>
    <col min="10508" max="10508" width="9.1640625" style="582" bestFit="1" customWidth="1"/>
    <col min="10509" max="10510" width="8.6640625" style="582"/>
    <col min="10511" max="10511" width="8.6640625" style="582" bestFit="1"/>
    <col min="10512" max="10752" width="8.6640625" style="582"/>
    <col min="10753" max="10753" width="29" style="582" customWidth="1"/>
    <col min="10754" max="10754" width="11.83203125" style="582" customWidth="1"/>
    <col min="10755" max="10755" width="14.33203125" style="582" customWidth="1"/>
    <col min="10756" max="10756" width="12.5" style="582" customWidth="1"/>
    <col min="10757" max="10757" width="13" style="582" customWidth="1"/>
    <col min="10758" max="10758" width="13.83203125" style="582" customWidth="1"/>
    <col min="10759" max="10759" width="13.33203125" style="582" customWidth="1"/>
    <col min="10760" max="10760" width="14.83203125" style="582" customWidth="1"/>
    <col min="10761" max="10761" width="12.1640625" style="582" customWidth="1"/>
    <col min="10762" max="10762" width="11.5" style="582" customWidth="1"/>
    <col min="10763" max="10763" width="13.1640625" style="582" customWidth="1"/>
    <col min="10764" max="10764" width="9.1640625" style="582" bestFit="1" customWidth="1"/>
    <col min="10765" max="10766" width="8.6640625" style="582"/>
    <col min="10767" max="10767" width="8.6640625" style="582" bestFit="1"/>
    <col min="10768" max="11008" width="8.6640625" style="582"/>
    <col min="11009" max="11009" width="29" style="582" customWidth="1"/>
    <col min="11010" max="11010" width="11.83203125" style="582" customWidth="1"/>
    <col min="11011" max="11011" width="14.33203125" style="582" customWidth="1"/>
    <col min="11012" max="11012" width="12.5" style="582" customWidth="1"/>
    <col min="11013" max="11013" width="13" style="582" customWidth="1"/>
    <col min="11014" max="11014" width="13.83203125" style="582" customWidth="1"/>
    <col min="11015" max="11015" width="13.33203125" style="582" customWidth="1"/>
    <col min="11016" max="11016" width="14.83203125" style="582" customWidth="1"/>
    <col min="11017" max="11017" width="12.1640625" style="582" customWidth="1"/>
    <col min="11018" max="11018" width="11.5" style="582" customWidth="1"/>
    <col min="11019" max="11019" width="13.1640625" style="582" customWidth="1"/>
    <col min="11020" max="11020" width="9.1640625" style="582" bestFit="1" customWidth="1"/>
    <col min="11021" max="11022" width="8.6640625" style="582"/>
    <col min="11023" max="11023" width="8.6640625" style="582" bestFit="1"/>
    <col min="11024" max="11264" width="8.6640625" style="582"/>
    <col min="11265" max="11265" width="29" style="582" customWidth="1"/>
    <col min="11266" max="11266" width="11.83203125" style="582" customWidth="1"/>
    <col min="11267" max="11267" width="14.33203125" style="582" customWidth="1"/>
    <col min="11268" max="11268" width="12.5" style="582" customWidth="1"/>
    <col min="11269" max="11269" width="13" style="582" customWidth="1"/>
    <col min="11270" max="11270" width="13.83203125" style="582" customWidth="1"/>
    <col min="11271" max="11271" width="13.33203125" style="582" customWidth="1"/>
    <col min="11272" max="11272" width="14.83203125" style="582" customWidth="1"/>
    <col min="11273" max="11273" width="12.1640625" style="582" customWidth="1"/>
    <col min="11274" max="11274" width="11.5" style="582" customWidth="1"/>
    <col min="11275" max="11275" width="13.1640625" style="582" customWidth="1"/>
    <col min="11276" max="11276" width="9.1640625" style="582" bestFit="1" customWidth="1"/>
    <col min="11277" max="11278" width="8.6640625" style="582"/>
    <col min="11279" max="11279" width="8.6640625" style="582" bestFit="1"/>
    <col min="11280" max="11520" width="8.6640625" style="582"/>
    <col min="11521" max="11521" width="29" style="582" customWidth="1"/>
    <col min="11522" max="11522" width="11.83203125" style="582" customWidth="1"/>
    <col min="11523" max="11523" width="14.33203125" style="582" customWidth="1"/>
    <col min="11524" max="11524" width="12.5" style="582" customWidth="1"/>
    <col min="11525" max="11525" width="13" style="582" customWidth="1"/>
    <col min="11526" max="11526" width="13.83203125" style="582" customWidth="1"/>
    <col min="11527" max="11527" width="13.33203125" style="582" customWidth="1"/>
    <col min="11528" max="11528" width="14.83203125" style="582" customWidth="1"/>
    <col min="11529" max="11529" width="12.1640625" style="582" customWidth="1"/>
    <col min="11530" max="11530" width="11.5" style="582" customWidth="1"/>
    <col min="11531" max="11531" width="13.1640625" style="582" customWidth="1"/>
    <col min="11532" max="11532" width="9.1640625" style="582" bestFit="1" customWidth="1"/>
    <col min="11533" max="11534" width="8.6640625" style="582"/>
    <col min="11535" max="11535" width="8.6640625" style="582" bestFit="1"/>
    <col min="11536" max="11776" width="8.6640625" style="582"/>
    <col min="11777" max="11777" width="29" style="582" customWidth="1"/>
    <col min="11778" max="11778" width="11.83203125" style="582" customWidth="1"/>
    <col min="11779" max="11779" width="14.33203125" style="582" customWidth="1"/>
    <col min="11780" max="11780" width="12.5" style="582" customWidth="1"/>
    <col min="11781" max="11781" width="13" style="582" customWidth="1"/>
    <col min="11782" max="11782" width="13.83203125" style="582" customWidth="1"/>
    <col min="11783" max="11783" width="13.33203125" style="582" customWidth="1"/>
    <col min="11784" max="11784" width="14.83203125" style="582" customWidth="1"/>
    <col min="11785" max="11785" width="12.1640625" style="582" customWidth="1"/>
    <col min="11786" max="11786" width="11.5" style="582" customWidth="1"/>
    <col min="11787" max="11787" width="13.1640625" style="582" customWidth="1"/>
    <col min="11788" max="11788" width="9.1640625" style="582" bestFit="1" customWidth="1"/>
    <col min="11789" max="11790" width="8.6640625" style="582"/>
    <col min="11791" max="11791" width="8.6640625" style="582" bestFit="1"/>
    <col min="11792" max="12032" width="8.6640625" style="582"/>
    <col min="12033" max="12033" width="29" style="582" customWidth="1"/>
    <col min="12034" max="12034" width="11.83203125" style="582" customWidth="1"/>
    <col min="12035" max="12035" width="14.33203125" style="582" customWidth="1"/>
    <col min="12036" max="12036" width="12.5" style="582" customWidth="1"/>
    <col min="12037" max="12037" width="13" style="582" customWidth="1"/>
    <col min="12038" max="12038" width="13.83203125" style="582" customWidth="1"/>
    <col min="12039" max="12039" width="13.33203125" style="582" customWidth="1"/>
    <col min="12040" max="12040" width="14.83203125" style="582" customWidth="1"/>
    <col min="12041" max="12041" width="12.1640625" style="582" customWidth="1"/>
    <col min="12042" max="12042" width="11.5" style="582" customWidth="1"/>
    <col min="12043" max="12043" width="13.1640625" style="582" customWidth="1"/>
    <col min="12044" max="12044" width="9.1640625" style="582" bestFit="1" customWidth="1"/>
    <col min="12045" max="12046" width="8.6640625" style="582"/>
    <col min="12047" max="12047" width="8.6640625" style="582" bestFit="1"/>
    <col min="12048" max="12288" width="8.6640625" style="582"/>
    <col min="12289" max="12289" width="29" style="582" customWidth="1"/>
    <col min="12290" max="12290" width="11.83203125" style="582" customWidth="1"/>
    <col min="12291" max="12291" width="14.33203125" style="582" customWidth="1"/>
    <col min="12292" max="12292" width="12.5" style="582" customWidth="1"/>
    <col min="12293" max="12293" width="13" style="582" customWidth="1"/>
    <col min="12294" max="12294" width="13.83203125" style="582" customWidth="1"/>
    <col min="12295" max="12295" width="13.33203125" style="582" customWidth="1"/>
    <col min="12296" max="12296" width="14.83203125" style="582" customWidth="1"/>
    <col min="12297" max="12297" width="12.1640625" style="582" customWidth="1"/>
    <col min="12298" max="12298" width="11.5" style="582" customWidth="1"/>
    <col min="12299" max="12299" width="13.1640625" style="582" customWidth="1"/>
    <col min="12300" max="12300" width="9.1640625" style="582" bestFit="1" customWidth="1"/>
    <col min="12301" max="12302" width="8.6640625" style="582"/>
    <col min="12303" max="12303" width="8.6640625" style="582" bestFit="1"/>
    <col min="12304" max="12544" width="8.6640625" style="582"/>
    <col min="12545" max="12545" width="29" style="582" customWidth="1"/>
    <col min="12546" max="12546" width="11.83203125" style="582" customWidth="1"/>
    <col min="12547" max="12547" width="14.33203125" style="582" customWidth="1"/>
    <col min="12548" max="12548" width="12.5" style="582" customWidth="1"/>
    <col min="12549" max="12549" width="13" style="582" customWidth="1"/>
    <col min="12550" max="12550" width="13.83203125" style="582" customWidth="1"/>
    <col min="12551" max="12551" width="13.33203125" style="582" customWidth="1"/>
    <col min="12552" max="12552" width="14.83203125" style="582" customWidth="1"/>
    <col min="12553" max="12553" width="12.1640625" style="582" customWidth="1"/>
    <col min="12554" max="12554" width="11.5" style="582" customWidth="1"/>
    <col min="12555" max="12555" width="13.1640625" style="582" customWidth="1"/>
    <col min="12556" max="12556" width="9.1640625" style="582" bestFit="1" customWidth="1"/>
    <col min="12557" max="12558" width="8.6640625" style="582"/>
    <col min="12559" max="12559" width="8.6640625" style="582" bestFit="1"/>
    <col min="12560" max="12800" width="8.6640625" style="582"/>
    <col min="12801" max="12801" width="29" style="582" customWidth="1"/>
    <col min="12802" max="12802" width="11.83203125" style="582" customWidth="1"/>
    <col min="12803" max="12803" width="14.33203125" style="582" customWidth="1"/>
    <col min="12804" max="12804" width="12.5" style="582" customWidth="1"/>
    <col min="12805" max="12805" width="13" style="582" customWidth="1"/>
    <col min="12806" max="12806" width="13.83203125" style="582" customWidth="1"/>
    <col min="12807" max="12807" width="13.33203125" style="582" customWidth="1"/>
    <col min="12808" max="12808" width="14.83203125" style="582" customWidth="1"/>
    <col min="12809" max="12809" width="12.1640625" style="582" customWidth="1"/>
    <col min="12810" max="12810" width="11.5" style="582" customWidth="1"/>
    <col min="12811" max="12811" width="13.1640625" style="582" customWidth="1"/>
    <col min="12812" max="12812" width="9.1640625" style="582" bestFit="1" customWidth="1"/>
    <col min="12813" max="12814" width="8.6640625" style="582"/>
    <col min="12815" max="12815" width="8.6640625" style="582" bestFit="1"/>
    <col min="12816" max="13056" width="8.6640625" style="582"/>
    <col min="13057" max="13057" width="29" style="582" customWidth="1"/>
    <col min="13058" max="13058" width="11.83203125" style="582" customWidth="1"/>
    <col min="13059" max="13059" width="14.33203125" style="582" customWidth="1"/>
    <col min="13060" max="13060" width="12.5" style="582" customWidth="1"/>
    <col min="13061" max="13061" width="13" style="582" customWidth="1"/>
    <col min="13062" max="13062" width="13.83203125" style="582" customWidth="1"/>
    <col min="13063" max="13063" width="13.33203125" style="582" customWidth="1"/>
    <col min="13064" max="13064" width="14.83203125" style="582" customWidth="1"/>
    <col min="13065" max="13065" width="12.1640625" style="582" customWidth="1"/>
    <col min="13066" max="13066" width="11.5" style="582" customWidth="1"/>
    <col min="13067" max="13067" width="13.1640625" style="582" customWidth="1"/>
    <col min="13068" max="13068" width="9.1640625" style="582" bestFit="1" customWidth="1"/>
    <col min="13069" max="13070" width="8.6640625" style="582"/>
    <col min="13071" max="13071" width="8.6640625" style="582" bestFit="1"/>
    <col min="13072" max="13312" width="8.6640625" style="582"/>
    <col min="13313" max="13313" width="29" style="582" customWidth="1"/>
    <col min="13314" max="13314" width="11.83203125" style="582" customWidth="1"/>
    <col min="13315" max="13315" width="14.33203125" style="582" customWidth="1"/>
    <col min="13316" max="13316" width="12.5" style="582" customWidth="1"/>
    <col min="13317" max="13317" width="13" style="582" customWidth="1"/>
    <col min="13318" max="13318" width="13.83203125" style="582" customWidth="1"/>
    <col min="13319" max="13319" width="13.33203125" style="582" customWidth="1"/>
    <col min="13320" max="13320" width="14.83203125" style="582" customWidth="1"/>
    <col min="13321" max="13321" width="12.1640625" style="582" customWidth="1"/>
    <col min="13322" max="13322" width="11.5" style="582" customWidth="1"/>
    <col min="13323" max="13323" width="13.1640625" style="582" customWidth="1"/>
    <col min="13324" max="13324" width="9.1640625" style="582" bestFit="1" customWidth="1"/>
    <col min="13325" max="13326" width="8.6640625" style="582"/>
    <col min="13327" max="13327" width="8.6640625" style="582" bestFit="1"/>
    <col min="13328" max="13568" width="8.6640625" style="582"/>
    <col min="13569" max="13569" width="29" style="582" customWidth="1"/>
    <col min="13570" max="13570" width="11.83203125" style="582" customWidth="1"/>
    <col min="13571" max="13571" width="14.33203125" style="582" customWidth="1"/>
    <col min="13572" max="13572" width="12.5" style="582" customWidth="1"/>
    <col min="13573" max="13573" width="13" style="582" customWidth="1"/>
    <col min="13574" max="13574" width="13.83203125" style="582" customWidth="1"/>
    <col min="13575" max="13575" width="13.33203125" style="582" customWidth="1"/>
    <col min="13576" max="13576" width="14.83203125" style="582" customWidth="1"/>
    <col min="13577" max="13577" width="12.1640625" style="582" customWidth="1"/>
    <col min="13578" max="13578" width="11.5" style="582" customWidth="1"/>
    <col min="13579" max="13579" width="13.1640625" style="582" customWidth="1"/>
    <col min="13580" max="13580" width="9.1640625" style="582" bestFit="1" customWidth="1"/>
    <col min="13581" max="13582" width="8.6640625" style="582"/>
    <col min="13583" max="13583" width="8.6640625" style="582" bestFit="1"/>
    <col min="13584" max="13824" width="8.6640625" style="582"/>
    <col min="13825" max="13825" width="29" style="582" customWidth="1"/>
    <col min="13826" max="13826" width="11.83203125" style="582" customWidth="1"/>
    <col min="13827" max="13827" width="14.33203125" style="582" customWidth="1"/>
    <col min="13828" max="13828" width="12.5" style="582" customWidth="1"/>
    <col min="13829" max="13829" width="13" style="582" customWidth="1"/>
    <col min="13830" max="13830" width="13.83203125" style="582" customWidth="1"/>
    <col min="13831" max="13831" width="13.33203125" style="582" customWidth="1"/>
    <col min="13832" max="13832" width="14.83203125" style="582" customWidth="1"/>
    <col min="13833" max="13833" width="12.1640625" style="582" customWidth="1"/>
    <col min="13834" max="13834" width="11.5" style="582" customWidth="1"/>
    <col min="13835" max="13835" width="13.1640625" style="582" customWidth="1"/>
    <col min="13836" max="13836" width="9.1640625" style="582" bestFit="1" customWidth="1"/>
    <col min="13837" max="13838" width="8.6640625" style="582"/>
    <col min="13839" max="13839" width="8.6640625" style="582" bestFit="1"/>
    <col min="13840" max="14080" width="8.6640625" style="582"/>
    <col min="14081" max="14081" width="29" style="582" customWidth="1"/>
    <col min="14082" max="14082" width="11.83203125" style="582" customWidth="1"/>
    <col min="14083" max="14083" width="14.33203125" style="582" customWidth="1"/>
    <col min="14084" max="14084" width="12.5" style="582" customWidth="1"/>
    <col min="14085" max="14085" width="13" style="582" customWidth="1"/>
    <col min="14086" max="14086" width="13.83203125" style="582" customWidth="1"/>
    <col min="14087" max="14087" width="13.33203125" style="582" customWidth="1"/>
    <col min="14088" max="14088" width="14.83203125" style="582" customWidth="1"/>
    <col min="14089" max="14089" width="12.1640625" style="582" customWidth="1"/>
    <col min="14090" max="14090" width="11.5" style="582" customWidth="1"/>
    <col min="14091" max="14091" width="13.1640625" style="582" customWidth="1"/>
    <col min="14092" max="14092" width="9.1640625" style="582" bestFit="1" customWidth="1"/>
    <col min="14093" max="14094" width="8.6640625" style="582"/>
    <col min="14095" max="14095" width="8.6640625" style="582" bestFit="1"/>
    <col min="14096" max="14336" width="8.6640625" style="582"/>
    <col min="14337" max="14337" width="29" style="582" customWidth="1"/>
    <col min="14338" max="14338" width="11.83203125" style="582" customWidth="1"/>
    <col min="14339" max="14339" width="14.33203125" style="582" customWidth="1"/>
    <col min="14340" max="14340" width="12.5" style="582" customWidth="1"/>
    <col min="14341" max="14341" width="13" style="582" customWidth="1"/>
    <col min="14342" max="14342" width="13.83203125" style="582" customWidth="1"/>
    <col min="14343" max="14343" width="13.33203125" style="582" customWidth="1"/>
    <col min="14344" max="14344" width="14.83203125" style="582" customWidth="1"/>
    <col min="14345" max="14345" width="12.1640625" style="582" customWidth="1"/>
    <col min="14346" max="14346" width="11.5" style="582" customWidth="1"/>
    <col min="14347" max="14347" width="13.1640625" style="582" customWidth="1"/>
    <col min="14348" max="14348" width="9.1640625" style="582" bestFit="1" customWidth="1"/>
    <col min="14349" max="14350" width="8.6640625" style="582"/>
    <col min="14351" max="14351" width="8.6640625" style="582" bestFit="1"/>
    <col min="14352" max="14592" width="8.6640625" style="582"/>
    <col min="14593" max="14593" width="29" style="582" customWidth="1"/>
    <col min="14594" max="14594" width="11.83203125" style="582" customWidth="1"/>
    <col min="14595" max="14595" width="14.33203125" style="582" customWidth="1"/>
    <col min="14596" max="14596" width="12.5" style="582" customWidth="1"/>
    <col min="14597" max="14597" width="13" style="582" customWidth="1"/>
    <col min="14598" max="14598" width="13.83203125" style="582" customWidth="1"/>
    <col min="14599" max="14599" width="13.33203125" style="582" customWidth="1"/>
    <col min="14600" max="14600" width="14.83203125" style="582" customWidth="1"/>
    <col min="14601" max="14601" width="12.1640625" style="582" customWidth="1"/>
    <col min="14602" max="14602" width="11.5" style="582" customWidth="1"/>
    <col min="14603" max="14603" width="13.1640625" style="582" customWidth="1"/>
    <col min="14604" max="14604" width="9.1640625" style="582" bestFit="1" customWidth="1"/>
    <col min="14605" max="14606" width="8.6640625" style="582"/>
    <col min="14607" max="14607" width="8.6640625" style="582" bestFit="1"/>
    <col min="14608" max="14848" width="8.6640625" style="582"/>
    <col min="14849" max="14849" width="29" style="582" customWidth="1"/>
    <col min="14850" max="14850" width="11.83203125" style="582" customWidth="1"/>
    <col min="14851" max="14851" width="14.33203125" style="582" customWidth="1"/>
    <col min="14852" max="14852" width="12.5" style="582" customWidth="1"/>
    <col min="14853" max="14853" width="13" style="582" customWidth="1"/>
    <col min="14854" max="14854" width="13.83203125" style="582" customWidth="1"/>
    <col min="14855" max="14855" width="13.33203125" style="582" customWidth="1"/>
    <col min="14856" max="14856" width="14.83203125" style="582" customWidth="1"/>
    <col min="14857" max="14857" width="12.1640625" style="582" customWidth="1"/>
    <col min="14858" max="14858" width="11.5" style="582" customWidth="1"/>
    <col min="14859" max="14859" width="13.1640625" style="582" customWidth="1"/>
    <col min="14860" max="14860" width="9.1640625" style="582" bestFit="1" customWidth="1"/>
    <col min="14861" max="14862" width="8.6640625" style="582"/>
    <col min="14863" max="14863" width="8.6640625" style="582" bestFit="1"/>
    <col min="14864" max="15104" width="8.6640625" style="582"/>
    <col min="15105" max="15105" width="29" style="582" customWidth="1"/>
    <col min="15106" max="15106" width="11.83203125" style="582" customWidth="1"/>
    <col min="15107" max="15107" width="14.33203125" style="582" customWidth="1"/>
    <col min="15108" max="15108" width="12.5" style="582" customWidth="1"/>
    <col min="15109" max="15109" width="13" style="582" customWidth="1"/>
    <col min="15110" max="15110" width="13.83203125" style="582" customWidth="1"/>
    <col min="15111" max="15111" width="13.33203125" style="582" customWidth="1"/>
    <col min="15112" max="15112" width="14.83203125" style="582" customWidth="1"/>
    <col min="15113" max="15113" width="12.1640625" style="582" customWidth="1"/>
    <col min="15114" max="15114" width="11.5" style="582" customWidth="1"/>
    <col min="15115" max="15115" width="13.1640625" style="582" customWidth="1"/>
    <col min="15116" max="15116" width="9.1640625" style="582" bestFit="1" customWidth="1"/>
    <col min="15117" max="15118" width="8.6640625" style="582"/>
    <col min="15119" max="15119" width="8.6640625" style="582" bestFit="1"/>
    <col min="15120" max="15360" width="8.6640625" style="582"/>
    <col min="15361" max="15361" width="29" style="582" customWidth="1"/>
    <col min="15362" max="15362" width="11.83203125" style="582" customWidth="1"/>
    <col min="15363" max="15363" width="14.33203125" style="582" customWidth="1"/>
    <col min="15364" max="15364" width="12.5" style="582" customWidth="1"/>
    <col min="15365" max="15365" width="13" style="582" customWidth="1"/>
    <col min="15366" max="15366" width="13.83203125" style="582" customWidth="1"/>
    <col min="15367" max="15367" width="13.33203125" style="582" customWidth="1"/>
    <col min="15368" max="15368" width="14.83203125" style="582" customWidth="1"/>
    <col min="15369" max="15369" width="12.1640625" style="582" customWidth="1"/>
    <col min="15370" max="15370" width="11.5" style="582" customWidth="1"/>
    <col min="15371" max="15371" width="13.1640625" style="582" customWidth="1"/>
    <col min="15372" max="15372" width="9.1640625" style="582" bestFit="1" customWidth="1"/>
    <col min="15373" max="15374" width="8.6640625" style="582"/>
    <col min="15375" max="15375" width="8.6640625" style="582" bestFit="1"/>
    <col min="15376" max="15616" width="8.6640625" style="582"/>
    <col min="15617" max="15617" width="29" style="582" customWidth="1"/>
    <col min="15618" max="15618" width="11.83203125" style="582" customWidth="1"/>
    <col min="15619" max="15619" width="14.33203125" style="582" customWidth="1"/>
    <col min="15620" max="15620" width="12.5" style="582" customWidth="1"/>
    <col min="15621" max="15621" width="13" style="582" customWidth="1"/>
    <col min="15622" max="15622" width="13.83203125" style="582" customWidth="1"/>
    <col min="15623" max="15623" width="13.33203125" style="582" customWidth="1"/>
    <col min="15624" max="15624" width="14.83203125" style="582" customWidth="1"/>
    <col min="15625" max="15625" width="12.1640625" style="582" customWidth="1"/>
    <col min="15626" max="15626" width="11.5" style="582" customWidth="1"/>
    <col min="15627" max="15627" width="13.1640625" style="582" customWidth="1"/>
    <col min="15628" max="15628" width="9.1640625" style="582" bestFit="1" customWidth="1"/>
    <col min="15629" max="15630" width="8.6640625" style="582"/>
    <col min="15631" max="15631" width="8.6640625" style="582" bestFit="1"/>
    <col min="15632" max="15872" width="8.6640625" style="582"/>
    <col min="15873" max="15873" width="29" style="582" customWidth="1"/>
    <col min="15874" max="15874" width="11.83203125" style="582" customWidth="1"/>
    <col min="15875" max="15875" width="14.33203125" style="582" customWidth="1"/>
    <col min="15876" max="15876" width="12.5" style="582" customWidth="1"/>
    <col min="15877" max="15877" width="13" style="582" customWidth="1"/>
    <col min="15878" max="15878" width="13.83203125" style="582" customWidth="1"/>
    <col min="15879" max="15879" width="13.33203125" style="582" customWidth="1"/>
    <col min="15880" max="15880" width="14.83203125" style="582" customWidth="1"/>
    <col min="15881" max="15881" width="12.1640625" style="582" customWidth="1"/>
    <col min="15882" max="15882" width="11.5" style="582" customWidth="1"/>
    <col min="15883" max="15883" width="13.1640625" style="582" customWidth="1"/>
    <col min="15884" max="15884" width="9.1640625" style="582" bestFit="1" customWidth="1"/>
    <col min="15885" max="15886" width="8.6640625" style="582"/>
    <col min="15887" max="15887" width="8.6640625" style="582" bestFit="1"/>
    <col min="15888" max="16128" width="8.6640625" style="582"/>
    <col min="16129" max="16129" width="29" style="582" customWidth="1"/>
    <col min="16130" max="16130" width="11.83203125" style="582" customWidth="1"/>
    <col min="16131" max="16131" width="14.33203125" style="582" customWidth="1"/>
    <col min="16132" max="16132" width="12.5" style="582" customWidth="1"/>
    <col min="16133" max="16133" width="13" style="582" customWidth="1"/>
    <col min="16134" max="16134" width="13.83203125" style="582" customWidth="1"/>
    <col min="16135" max="16135" width="13.33203125" style="582" customWidth="1"/>
    <col min="16136" max="16136" width="14.83203125" style="582" customWidth="1"/>
    <col min="16137" max="16137" width="12.1640625" style="582" customWidth="1"/>
    <col min="16138" max="16138" width="11.5" style="582" customWidth="1"/>
    <col min="16139" max="16139" width="13.1640625" style="582" customWidth="1"/>
    <col min="16140" max="16140" width="9.1640625" style="582" bestFit="1" customWidth="1"/>
    <col min="16141" max="16142" width="8.6640625" style="582"/>
    <col min="16143" max="16143" width="8.6640625" style="582" bestFit="1"/>
    <col min="16144" max="16384" width="8.6640625" style="582"/>
  </cols>
  <sheetData>
    <row r="1" spans="1:20" ht="15">
      <c r="A1" s="547"/>
      <c r="B1" s="583" t="s">
        <v>3501</v>
      </c>
      <c r="C1" s="583"/>
      <c r="D1" s="583"/>
      <c r="E1" s="583"/>
      <c r="F1" s="583"/>
      <c r="G1" s="583"/>
      <c r="H1" s="583"/>
      <c r="I1" s="583"/>
    </row>
    <row r="2" spans="1:20" ht="15">
      <c r="A2" s="547"/>
      <c r="B2" s="584" t="s">
        <v>3502</v>
      </c>
      <c r="C2" s="584" t="s">
        <v>3503</v>
      </c>
      <c r="D2" s="584" t="s">
        <v>3504</v>
      </c>
      <c r="E2" s="584" t="s">
        <v>3505</v>
      </c>
      <c r="F2" s="584" t="s">
        <v>3506</v>
      </c>
      <c r="G2" s="584" t="s">
        <v>3507</v>
      </c>
      <c r="H2" s="584" t="s">
        <v>3508</v>
      </c>
      <c r="I2" s="584" t="s">
        <v>3509</v>
      </c>
      <c r="J2" s="606">
        <v>44286</v>
      </c>
      <c r="K2" s="606">
        <v>44377</v>
      </c>
      <c r="L2" s="606">
        <v>44469</v>
      </c>
      <c r="M2" s="606">
        <v>44561</v>
      </c>
      <c r="N2" s="606">
        <v>44651</v>
      </c>
      <c r="O2" s="606">
        <v>44742</v>
      </c>
      <c r="P2" s="606">
        <v>44834</v>
      </c>
      <c r="Q2" s="606">
        <v>44926</v>
      </c>
      <c r="R2" s="606">
        <v>45016</v>
      </c>
      <c r="S2" s="606">
        <v>45107</v>
      </c>
      <c r="T2" s="606">
        <v>45199</v>
      </c>
    </row>
    <row r="3" spans="1:20">
      <c r="A3" s="547"/>
      <c r="B3" s="624"/>
      <c r="C3" s="624"/>
      <c r="D3" s="624"/>
      <c r="E3" s="624"/>
      <c r="F3" s="624"/>
      <c r="G3" s="624"/>
      <c r="H3" s="624"/>
      <c r="I3" s="624"/>
    </row>
    <row r="4" spans="1:20">
      <c r="A4" s="547" t="s">
        <v>3510</v>
      </c>
      <c r="B4" s="591">
        <v>61316</v>
      </c>
      <c r="C4" s="591">
        <v>183907</v>
      </c>
      <c r="D4" s="591">
        <v>143417</v>
      </c>
      <c r="E4" s="591">
        <v>94309</v>
      </c>
      <c r="F4" s="591">
        <v>179082</v>
      </c>
      <c r="G4" s="591">
        <v>178331</v>
      </c>
      <c r="H4" s="591">
        <v>286663</v>
      </c>
      <c r="I4" s="591">
        <v>497091</v>
      </c>
      <c r="J4" s="593">
        <v>1596981</v>
      </c>
      <c r="K4" s="593">
        <v>2033011</v>
      </c>
      <c r="L4" s="593">
        <v>1234736</v>
      </c>
      <c r="M4" s="593">
        <v>2490025</v>
      </c>
      <c r="N4" s="593">
        <v>1164891</v>
      </c>
      <c r="O4" s="593">
        <v>802603</v>
      </c>
      <c r="P4" s="593">
        <v>576375</v>
      </c>
      <c r="Q4" s="625">
        <v>604946</v>
      </c>
      <c r="R4" s="593">
        <v>736398</v>
      </c>
      <c r="S4" s="593">
        <v>662500</v>
      </c>
      <c r="T4" s="593">
        <v>623004</v>
      </c>
    </row>
    <row r="5" spans="1:20">
      <c r="A5" s="547" t="s">
        <v>3348</v>
      </c>
      <c r="B5" s="594">
        <v>4796</v>
      </c>
      <c r="C5" s="594">
        <v>26928</v>
      </c>
      <c r="D5" s="594">
        <v>15100</v>
      </c>
      <c r="E5" s="594">
        <v>3962</v>
      </c>
      <c r="F5" s="594">
        <v>11548</v>
      </c>
      <c r="G5" s="594">
        <v>8051</v>
      </c>
      <c r="H5" s="594">
        <v>28694</v>
      </c>
      <c r="I5" s="594">
        <v>88021</v>
      </c>
      <c r="J5" s="593">
        <v>1596981</v>
      </c>
      <c r="K5" s="593">
        <v>2033011</v>
      </c>
      <c r="L5" s="593">
        <v>1234736</v>
      </c>
      <c r="M5" s="593">
        <v>2490025</v>
      </c>
      <c r="N5" s="593">
        <v>1164891</v>
      </c>
      <c r="O5" s="593">
        <v>802603</v>
      </c>
      <c r="P5" s="593">
        <v>576375</v>
      </c>
      <c r="Q5" s="625">
        <v>604946</v>
      </c>
      <c r="R5" s="593">
        <v>736398</v>
      </c>
      <c r="S5" s="593">
        <v>662500</v>
      </c>
      <c r="T5" s="593">
        <v>623004</v>
      </c>
    </row>
    <row r="6" spans="1:20">
      <c r="A6" s="547" t="s">
        <v>3349</v>
      </c>
      <c r="B6" s="594">
        <v>66112</v>
      </c>
      <c r="C6" s="594">
        <v>210835</v>
      </c>
      <c r="D6" s="594">
        <v>158517</v>
      </c>
      <c r="E6" s="594">
        <v>98271</v>
      </c>
      <c r="F6" s="594">
        <v>190630</v>
      </c>
      <c r="G6" s="594">
        <v>186382</v>
      </c>
      <c r="H6" s="594">
        <v>315357</v>
      </c>
      <c r="I6" s="594">
        <v>585112</v>
      </c>
      <c r="J6" s="593">
        <v>1596981</v>
      </c>
      <c r="K6" s="593">
        <v>2033011</v>
      </c>
      <c r="L6" s="593">
        <v>1234736</v>
      </c>
      <c r="M6" s="593">
        <v>2490025</v>
      </c>
      <c r="N6" s="593">
        <v>1164891</v>
      </c>
      <c r="O6" s="593">
        <v>802603</v>
      </c>
      <c r="P6" s="593">
        <v>576375</v>
      </c>
      <c r="Q6" s="625">
        <v>604946</v>
      </c>
      <c r="R6" s="593">
        <v>736398</v>
      </c>
      <c r="S6" s="593">
        <v>662500</v>
      </c>
      <c r="T6" s="593">
        <v>623004</v>
      </c>
    </row>
    <row r="7" spans="1:20">
      <c r="A7" s="547" t="s">
        <v>3350</v>
      </c>
      <c r="B7" s="626"/>
      <c r="C7" s="626"/>
      <c r="D7" s="626"/>
      <c r="E7" s="626"/>
      <c r="F7" s="626"/>
      <c r="G7" s="626"/>
      <c r="H7" s="626"/>
      <c r="I7" s="626"/>
    </row>
    <row r="8" spans="1:20">
      <c r="A8" s="547" t="s">
        <v>3351</v>
      </c>
      <c r="B8" s="594">
        <v>15618</v>
      </c>
      <c r="C8" s="594">
        <v>29159</v>
      </c>
      <c r="D8" s="594">
        <v>23051</v>
      </c>
      <c r="E8" s="594">
        <v>14227</v>
      </c>
      <c r="F8" s="594">
        <v>25407</v>
      </c>
      <c r="G8" s="594">
        <v>23395</v>
      </c>
      <c r="H8" s="594">
        <v>36766</v>
      </c>
      <c r="I8" s="594">
        <v>49946</v>
      </c>
      <c r="J8" s="596">
        <v>234066</v>
      </c>
      <c r="K8" s="596">
        <v>335426</v>
      </c>
      <c r="L8" s="596">
        <v>197251</v>
      </c>
      <c r="M8" s="593">
        <v>501181</v>
      </c>
      <c r="N8" s="596">
        <v>277826</v>
      </c>
      <c r="O8" s="596">
        <v>167187</v>
      </c>
      <c r="P8" s="596">
        <v>101876</v>
      </c>
      <c r="Q8" s="625">
        <v>82991</v>
      </c>
      <c r="R8" s="596">
        <v>96369</v>
      </c>
      <c r="S8" s="596">
        <v>108200</v>
      </c>
      <c r="T8" s="596">
        <v>90577</v>
      </c>
    </row>
    <row r="9" spans="1:20">
      <c r="A9" s="547" t="s">
        <v>3352</v>
      </c>
      <c r="B9" s="594">
        <v>52932</v>
      </c>
      <c r="C9" s="594">
        <v>43887</v>
      </c>
      <c r="D9" s="594">
        <v>44751</v>
      </c>
      <c r="E9" s="594">
        <v>43474</v>
      </c>
      <c r="F9" s="594">
        <v>47138</v>
      </c>
      <c r="G9" s="594">
        <v>60777</v>
      </c>
      <c r="H9" s="594">
        <v>73319</v>
      </c>
      <c r="I9" s="594">
        <v>90498</v>
      </c>
      <c r="J9" s="596">
        <v>184225</v>
      </c>
      <c r="K9" s="596">
        <v>291461</v>
      </c>
      <c r="L9" s="596">
        <v>356264</v>
      </c>
      <c r="M9" s="593">
        <v>459611</v>
      </c>
      <c r="N9" s="596">
        <v>570664</v>
      </c>
      <c r="O9" s="596">
        <v>609249</v>
      </c>
      <c r="P9" s="596">
        <v>556338</v>
      </c>
      <c r="Q9" s="625">
        <v>590103</v>
      </c>
      <c r="R9" s="596">
        <v>358031</v>
      </c>
      <c r="S9" s="596">
        <v>320667</v>
      </c>
      <c r="T9" s="596">
        <v>322756</v>
      </c>
    </row>
    <row r="10" spans="1:20">
      <c r="A10" s="547" t="s">
        <v>3353</v>
      </c>
      <c r="B10" s="594">
        <v>4562</v>
      </c>
      <c r="C10" s="594">
        <v>4213</v>
      </c>
      <c r="D10" s="594">
        <v>5716</v>
      </c>
      <c r="E10" s="594">
        <v>9659</v>
      </c>
      <c r="F10" s="594">
        <v>9921</v>
      </c>
      <c r="G10" s="594">
        <v>11383</v>
      </c>
      <c r="H10" s="594">
        <v>11977</v>
      </c>
      <c r="I10" s="594">
        <v>23501</v>
      </c>
      <c r="J10" s="596">
        <v>117990</v>
      </c>
      <c r="K10" s="596">
        <v>195733</v>
      </c>
      <c r="L10" s="596">
        <v>105395</v>
      </c>
      <c r="M10" s="593">
        <v>244571</v>
      </c>
      <c r="N10" s="596">
        <v>200204</v>
      </c>
      <c r="O10" s="596">
        <v>140894</v>
      </c>
      <c r="P10" s="596">
        <v>75888</v>
      </c>
      <c r="Q10" s="625">
        <v>93103</v>
      </c>
      <c r="R10" s="596">
        <v>63976</v>
      </c>
      <c r="S10" s="596">
        <v>83853</v>
      </c>
      <c r="T10" s="596">
        <v>78178</v>
      </c>
    </row>
    <row r="11" spans="1:20">
      <c r="A11" s="547" t="s">
        <v>3354</v>
      </c>
      <c r="B11" s="594">
        <v>61646</v>
      </c>
      <c r="C11" s="594">
        <v>46648</v>
      </c>
      <c r="D11" s="594">
        <v>53408</v>
      </c>
      <c r="E11" s="594">
        <v>70227</v>
      </c>
      <c r="F11" s="594">
        <v>58958</v>
      </c>
      <c r="G11" s="594">
        <v>51988</v>
      </c>
      <c r="H11" s="594">
        <v>71433</v>
      </c>
      <c r="I11" s="594">
        <v>97501</v>
      </c>
      <c r="J11" s="596">
        <v>121231</v>
      </c>
      <c r="K11" s="596">
        <v>248195</v>
      </c>
      <c r="L11" s="596">
        <v>242642</v>
      </c>
      <c r="M11" s="593">
        <v>297324</v>
      </c>
      <c r="N11" s="596">
        <v>413578</v>
      </c>
      <c r="O11" s="596">
        <v>470169</v>
      </c>
      <c r="P11" s="596">
        <v>339157</v>
      </c>
      <c r="Q11" s="625">
        <v>377682</v>
      </c>
      <c r="R11" s="596">
        <v>248761</v>
      </c>
      <c r="S11" s="596">
        <v>258988</v>
      </c>
      <c r="T11" s="596">
        <v>252630</v>
      </c>
    </row>
    <row r="12" spans="1:20">
      <c r="A12" s="547" t="s">
        <v>3355</v>
      </c>
      <c r="B12" s="594">
        <v>0</v>
      </c>
      <c r="C12" s="594">
        <v>10140</v>
      </c>
      <c r="D12" s="594">
        <v>0</v>
      </c>
      <c r="E12" s="594">
        <v>0</v>
      </c>
      <c r="F12" s="594">
        <v>0</v>
      </c>
      <c r="G12" s="594">
        <v>0</v>
      </c>
      <c r="H12" s="594">
        <v>0</v>
      </c>
      <c r="I12" s="594">
        <v>0</v>
      </c>
      <c r="J12" s="590"/>
      <c r="K12" s="590"/>
      <c r="L12" s="590"/>
      <c r="M12" s="593">
        <v>0</v>
      </c>
      <c r="N12" s="590"/>
      <c r="O12" s="596">
        <v>42453</v>
      </c>
      <c r="P12" s="596">
        <v>-1232</v>
      </c>
      <c r="Q12" s="625">
        <v>-518</v>
      </c>
      <c r="R12" s="596">
        <v>144489</v>
      </c>
      <c r="S12" s="596">
        <v>-1035</v>
      </c>
      <c r="T12" s="596">
        <v>-860</v>
      </c>
    </row>
    <row r="13" spans="1:20">
      <c r="A13" s="547" t="s">
        <v>3356</v>
      </c>
      <c r="B13" s="594">
        <v>4355</v>
      </c>
      <c r="C13" s="594">
        <v>20761</v>
      </c>
      <c r="D13" s="594">
        <v>16705</v>
      </c>
      <c r="E13" s="594">
        <v>4379</v>
      </c>
      <c r="F13" s="594">
        <v>10431</v>
      </c>
      <c r="G13" s="594">
        <v>-3247</v>
      </c>
      <c r="H13" s="594">
        <v>20357</v>
      </c>
      <c r="I13" s="594">
        <v>97081</v>
      </c>
      <c r="J13" s="596">
        <v>155887</v>
      </c>
      <c r="K13" s="596">
        <v>282422</v>
      </c>
      <c r="L13" s="596">
        <v>118548</v>
      </c>
      <c r="M13" s="593">
        <v>73451</v>
      </c>
      <c r="N13" s="596">
        <v>258627</v>
      </c>
      <c r="O13" s="596">
        <v>422762</v>
      </c>
      <c r="P13" s="596">
        <v>74796</v>
      </c>
      <c r="Q13" s="625">
        <v>40619</v>
      </c>
      <c r="R13" s="596">
        <v>-15222</v>
      </c>
      <c r="S13" s="596">
        <v>10813</v>
      </c>
      <c r="T13" s="596">
        <f>3512+7180</f>
        <v>10692</v>
      </c>
    </row>
    <row r="14" spans="1:20">
      <c r="A14" s="547" t="s">
        <v>3357</v>
      </c>
      <c r="B14" s="594">
        <v>139113</v>
      </c>
      <c r="C14" s="594">
        <v>154808</v>
      </c>
      <c r="D14" s="594">
        <v>143631</v>
      </c>
      <c r="E14" s="594">
        <v>141966</v>
      </c>
      <c r="F14" s="594">
        <v>151855</v>
      </c>
      <c r="G14" s="594">
        <v>144296</v>
      </c>
      <c r="H14" s="594">
        <v>213852</v>
      </c>
      <c r="I14" s="594">
        <v>358527</v>
      </c>
      <c r="J14" s="596">
        <v>813399</v>
      </c>
      <c r="K14" s="596">
        <v>1353237</v>
      </c>
      <c r="L14" s="596">
        <v>1020100</v>
      </c>
      <c r="M14" s="593">
        <v>1576138</v>
      </c>
      <c r="N14" s="596">
        <v>1720899</v>
      </c>
      <c r="O14" s="596">
        <v>1852714</v>
      </c>
      <c r="P14" s="596">
        <v>1146823</v>
      </c>
      <c r="Q14" s="625">
        <v>1183980</v>
      </c>
      <c r="R14" s="596">
        <v>896404</v>
      </c>
      <c r="S14" s="596">
        <v>781486</v>
      </c>
      <c r="T14" s="596">
        <v>753973</v>
      </c>
    </row>
    <row r="15" spans="1:20">
      <c r="A15" s="547" t="s">
        <v>3358</v>
      </c>
      <c r="B15" s="594">
        <v>-73001</v>
      </c>
      <c r="C15" s="594">
        <v>56027</v>
      </c>
      <c r="D15" s="594">
        <v>14886</v>
      </c>
      <c r="E15" s="594">
        <v>-43695</v>
      </c>
      <c r="F15" s="594">
        <v>38775</v>
      </c>
      <c r="G15" s="594">
        <v>42086</v>
      </c>
      <c r="H15" s="594">
        <v>101505</v>
      </c>
      <c r="I15" s="594">
        <v>226585</v>
      </c>
      <c r="J15" s="596">
        <v>987713</v>
      </c>
      <c r="K15" s="596">
        <v>874725</v>
      </c>
      <c r="L15" s="596">
        <v>291808</v>
      </c>
      <c r="M15" s="593">
        <v>922324</v>
      </c>
      <c r="N15" s="596">
        <v>-554463</v>
      </c>
      <c r="O15" s="596">
        <v>-1044389</v>
      </c>
      <c r="P15" s="596">
        <v>-556484</v>
      </c>
      <c r="Q15" s="625">
        <v>-554872</v>
      </c>
      <c r="R15" s="596">
        <v>-123875</v>
      </c>
      <c r="S15" s="596">
        <v>-73575</v>
      </c>
      <c r="T15" s="596">
        <v>-79825</v>
      </c>
    </row>
    <row r="16" spans="1:20">
      <c r="A16" s="547" t="s">
        <v>3511</v>
      </c>
      <c r="B16" s="594">
        <v>-496</v>
      </c>
      <c r="C16" s="594">
        <v>-764</v>
      </c>
      <c r="D16" s="594">
        <v>2929</v>
      </c>
      <c r="E16" s="594">
        <v>-2036</v>
      </c>
      <c r="F16" s="594">
        <v>3866</v>
      </c>
      <c r="G16" s="594">
        <v>3280</v>
      </c>
      <c r="H16" s="594">
        <v>-1211</v>
      </c>
      <c r="I16" s="594">
        <v>-6183</v>
      </c>
      <c r="J16" s="627">
        <v>-8953</v>
      </c>
      <c r="K16" s="582">
        <v>5844</v>
      </c>
      <c r="L16" s="582">
        <v>20948</v>
      </c>
      <c r="M16" s="582">
        <v>31784</v>
      </c>
      <c r="N16" s="582">
        <v>54982</v>
      </c>
      <c r="O16" s="582">
        <v>196180</v>
      </c>
      <c r="P16" s="582">
        <v>87206</v>
      </c>
      <c r="Q16" s="582">
        <v>16006</v>
      </c>
      <c r="R16" s="582">
        <v>41801</v>
      </c>
      <c r="S16" s="582">
        <v>5108</v>
      </c>
      <c r="T16" s="582">
        <v>-114486</v>
      </c>
    </row>
    <row r="17" spans="1:20">
      <c r="A17" s="547" t="s">
        <v>3361</v>
      </c>
      <c r="B17" s="594">
        <v>-72505</v>
      </c>
      <c r="C17" s="594">
        <v>56791</v>
      </c>
      <c r="D17" s="594">
        <v>11957</v>
      </c>
      <c r="E17" s="594">
        <v>-41659</v>
      </c>
      <c r="F17" s="594">
        <v>34909</v>
      </c>
      <c r="G17" s="594">
        <v>38806</v>
      </c>
      <c r="H17" s="594">
        <v>102716</v>
      </c>
      <c r="I17" s="594">
        <v>232768</v>
      </c>
      <c r="J17" s="596">
        <v>996666</v>
      </c>
      <c r="K17" s="596">
        <v>868881</v>
      </c>
      <c r="L17" s="596">
        <v>270860</v>
      </c>
      <c r="M17" s="593">
        <v>890540</v>
      </c>
      <c r="N17" s="596">
        <v>-609445</v>
      </c>
      <c r="O17" s="596">
        <v>-1240569</v>
      </c>
      <c r="P17" s="596">
        <v>-643690</v>
      </c>
      <c r="Q17" s="625">
        <v>-570878</v>
      </c>
      <c r="R17" s="596">
        <v>-165676</v>
      </c>
      <c r="S17" s="596">
        <v>-78683</v>
      </c>
      <c r="T17" s="596">
        <v>34661</v>
      </c>
    </row>
    <row r="18" spans="1:20">
      <c r="A18" s="547" t="s">
        <v>3362</v>
      </c>
      <c r="B18" s="594">
        <v>-23992</v>
      </c>
      <c r="C18" s="594">
        <v>18793</v>
      </c>
      <c r="D18" s="594">
        <v>3956</v>
      </c>
      <c r="E18" s="594">
        <v>-13786</v>
      </c>
      <c r="F18" s="594">
        <v>2936</v>
      </c>
      <c r="G18" s="594">
        <v>6546</v>
      </c>
      <c r="H18" s="594">
        <v>21417</v>
      </c>
      <c r="I18" s="594">
        <v>55983</v>
      </c>
      <c r="J18" s="596">
        <v>225203</v>
      </c>
      <c r="K18" s="596">
        <v>-737468</v>
      </c>
      <c r="L18" s="596">
        <v>-135240</v>
      </c>
      <c r="M18" s="593">
        <v>50332</v>
      </c>
      <c r="N18" s="596">
        <v>-179786</v>
      </c>
      <c r="O18" s="596">
        <v>-146915</v>
      </c>
      <c r="P18" s="596">
        <v>-99055</v>
      </c>
      <c r="Q18" s="625">
        <v>-13877</v>
      </c>
      <c r="R18" s="596">
        <v>-86780</v>
      </c>
      <c r="S18" s="596">
        <v>18722</v>
      </c>
      <c r="T18" s="596">
        <v>36926</v>
      </c>
    </row>
    <row r="19" spans="1:20">
      <c r="A19" s="547" t="s">
        <v>3363</v>
      </c>
      <c r="B19" s="591">
        <v>-48513</v>
      </c>
      <c r="C19" s="591">
        <v>37998</v>
      </c>
      <c r="D19" s="591">
        <v>8001</v>
      </c>
      <c r="E19" s="591">
        <v>-27873</v>
      </c>
      <c r="F19" s="591">
        <v>31973</v>
      </c>
      <c r="G19" s="591">
        <v>32260</v>
      </c>
      <c r="H19" s="591">
        <v>81299</v>
      </c>
      <c r="I19" s="591">
        <v>176785</v>
      </c>
      <c r="J19" s="593">
        <v>771463</v>
      </c>
      <c r="K19" s="593">
        <v>1606349</v>
      </c>
      <c r="L19" s="593">
        <v>406100</v>
      </c>
      <c r="M19" s="593">
        <v>840208</v>
      </c>
      <c r="N19" s="593">
        <v>-429659</v>
      </c>
      <c r="O19" s="593">
        <v>-1093654</v>
      </c>
      <c r="P19" s="593">
        <v>-544635</v>
      </c>
      <c r="Q19" s="625">
        <v>-557001</v>
      </c>
      <c r="R19" s="593">
        <v>-78896</v>
      </c>
      <c r="S19" s="593">
        <v>-97405</v>
      </c>
      <c r="T19" s="593">
        <v>-2265</v>
      </c>
    </row>
    <row r="20" spans="1:20">
      <c r="B20" s="628">
        <f>B26/B24</f>
        <v>8.463180927844148E-2</v>
      </c>
      <c r="C20" s="628">
        <f t="shared" ref="C20:I20" si="0">C26/C24</f>
        <v>0.15070938855463831</v>
      </c>
      <c r="D20" s="628">
        <f t="shared" si="0"/>
        <v>0.1089214611345144</v>
      </c>
      <c r="E20" s="628">
        <f t="shared" si="0"/>
        <v>4.4502353165822371E-2</v>
      </c>
      <c r="F20" s="628">
        <f t="shared" si="0"/>
        <v>6.7143048182753753E-2</v>
      </c>
      <c r="G20" s="628">
        <f t="shared" si="0"/>
        <v>4.6845179909696041E-2</v>
      </c>
      <c r="H20" s="628">
        <f t="shared" si="0"/>
        <v>0.10399994200881466</v>
      </c>
      <c r="I20" s="628">
        <f t="shared" si="0"/>
        <v>0.18475698708059149</v>
      </c>
      <c r="K20" s="614"/>
    </row>
    <row r="21" spans="1:20" ht="15">
      <c r="B21" s="584"/>
      <c r="C21" s="584"/>
      <c r="D21" s="584"/>
      <c r="E21" s="584"/>
      <c r="F21" s="584"/>
      <c r="G21" s="584"/>
      <c r="H21" s="584"/>
      <c r="I21" s="584"/>
    </row>
    <row r="22" spans="1:20" ht="15">
      <c r="A22" s="547"/>
      <c r="B22" s="584" t="s">
        <v>3502</v>
      </c>
      <c r="C22" s="584" t="s">
        <v>3503</v>
      </c>
      <c r="D22" s="584" t="s">
        <v>3504</v>
      </c>
      <c r="E22" s="584" t="s">
        <v>3505</v>
      </c>
      <c r="F22" s="584" t="s">
        <v>3506</v>
      </c>
      <c r="G22" s="584" t="s">
        <v>3507</v>
      </c>
      <c r="H22" s="584" t="s">
        <v>3508</v>
      </c>
      <c r="I22" s="584" t="s">
        <v>3509</v>
      </c>
      <c r="J22" s="629">
        <v>44276</v>
      </c>
    </row>
    <row r="23" spans="1:20">
      <c r="A23" s="547"/>
      <c r="B23" s="624">
        <f>B26/B24</f>
        <v>8.463180927844148E-2</v>
      </c>
      <c r="C23" s="624">
        <f t="shared" ref="C23:J23" si="1">C26/C24</f>
        <v>0.15070938855463831</v>
      </c>
      <c r="D23" s="624">
        <f t="shared" si="1"/>
        <v>0.1089214611345144</v>
      </c>
      <c r="E23" s="624">
        <f t="shared" si="1"/>
        <v>4.4502353165822371E-2</v>
      </c>
      <c r="F23" s="624">
        <f t="shared" si="1"/>
        <v>6.7143048182753753E-2</v>
      </c>
      <c r="G23" s="624">
        <f t="shared" si="1"/>
        <v>4.6845179909696041E-2</v>
      </c>
      <c r="H23" s="624">
        <f t="shared" si="1"/>
        <v>0.10399994200881466</v>
      </c>
      <c r="I23" s="624">
        <f t="shared" si="1"/>
        <v>0.18475698708059149</v>
      </c>
      <c r="J23" s="624">
        <f t="shared" si="1"/>
        <v>0.13250269379065027</v>
      </c>
    </row>
    <row r="24" spans="1:20">
      <c r="A24" s="547" t="s">
        <v>3453</v>
      </c>
      <c r="B24" s="591">
        <v>56669</v>
      </c>
      <c r="C24" s="591">
        <v>178675</v>
      </c>
      <c r="D24" s="591">
        <v>138632</v>
      </c>
      <c r="E24" s="591">
        <v>89029</v>
      </c>
      <c r="F24" s="591">
        <v>171991</v>
      </c>
      <c r="G24" s="591">
        <v>171864</v>
      </c>
      <c r="H24" s="591">
        <v>275904</v>
      </c>
      <c r="I24" s="591">
        <v>476415</v>
      </c>
      <c r="J24" s="591">
        <v>1540580</v>
      </c>
      <c r="K24" s="591"/>
    </row>
    <row r="25" spans="1:20">
      <c r="A25" s="547" t="s">
        <v>3454</v>
      </c>
      <c r="B25" s="594">
        <v>4647</v>
      </c>
      <c r="C25" s="594">
        <v>5232</v>
      </c>
      <c r="D25" s="594">
        <v>4785</v>
      </c>
      <c r="E25" s="594">
        <v>5280</v>
      </c>
      <c r="F25" s="594">
        <v>7091</v>
      </c>
      <c r="G25" s="594">
        <v>6467</v>
      </c>
      <c r="H25" s="594">
        <v>10759</v>
      </c>
      <c r="I25" s="594">
        <v>20676</v>
      </c>
      <c r="J25" s="594">
        <v>56401</v>
      </c>
      <c r="K25" s="594"/>
    </row>
    <row r="26" spans="1:20">
      <c r="A26" s="547" t="s">
        <v>3348</v>
      </c>
      <c r="B26" s="594">
        <v>4796</v>
      </c>
      <c r="C26" s="594">
        <v>26928</v>
      </c>
      <c r="D26" s="594">
        <v>15100</v>
      </c>
      <c r="E26" s="594">
        <v>3962</v>
      </c>
      <c r="F26" s="594">
        <v>11548</v>
      </c>
      <c r="G26" s="594">
        <v>8051</v>
      </c>
      <c r="H26" s="594">
        <v>28694</v>
      </c>
      <c r="I26" s="594">
        <v>88021</v>
      </c>
      <c r="J26" s="594">
        <v>204131</v>
      </c>
      <c r="K26" s="594"/>
    </row>
    <row r="27" spans="1:20">
      <c r="A27" s="547" t="s">
        <v>3349</v>
      </c>
      <c r="B27" s="591">
        <v>66112</v>
      </c>
      <c r="C27" s="591">
        <v>210835</v>
      </c>
      <c r="D27" s="591">
        <v>158517</v>
      </c>
      <c r="E27" s="591">
        <v>98271</v>
      </c>
      <c r="F27" s="591">
        <v>190630</v>
      </c>
      <c r="G27" s="591">
        <v>186382</v>
      </c>
      <c r="H27" s="591">
        <v>315357</v>
      </c>
      <c r="I27" s="591">
        <v>585112</v>
      </c>
      <c r="J27" s="591">
        <v>1801112</v>
      </c>
      <c r="K27" s="591"/>
    </row>
    <row r="28" spans="1:20" ht="21" customHeight="1">
      <c r="B28" s="594"/>
      <c r="C28" s="594"/>
      <c r="D28" s="594"/>
      <c r="E28" s="594"/>
      <c r="F28" s="594"/>
      <c r="G28" s="594"/>
      <c r="H28" s="594"/>
      <c r="I28" s="594"/>
    </row>
    <row r="29" spans="1:20" ht="21" customHeight="1">
      <c r="B29" s="594"/>
      <c r="C29" s="594"/>
      <c r="D29" s="594"/>
      <c r="E29" s="594"/>
      <c r="F29" s="594"/>
      <c r="G29" s="594"/>
      <c r="H29" s="594"/>
      <c r="I29" s="594"/>
    </row>
    <row r="30" spans="1:20" ht="21" customHeight="1">
      <c r="A30" s="547" t="s">
        <v>3351</v>
      </c>
      <c r="B30" s="622">
        <f>B8/B$6</f>
        <v>0.23623547918683446</v>
      </c>
      <c r="C30" s="622">
        <f t="shared" ref="C30:I30" si="2">C8/C$6</f>
        <v>0.13830246401214219</v>
      </c>
      <c r="D30" s="622">
        <f t="shared" si="2"/>
        <v>0.14541657992518153</v>
      </c>
      <c r="E30" s="622">
        <f t="shared" si="2"/>
        <v>0.1447731273722665</v>
      </c>
      <c r="F30" s="622">
        <f t="shared" si="2"/>
        <v>0.13327912710486281</v>
      </c>
      <c r="G30" s="622">
        <f t="shared" si="2"/>
        <v>0.12552177785408461</v>
      </c>
      <c r="H30" s="622">
        <f t="shared" si="2"/>
        <v>0.11658533027648031</v>
      </c>
      <c r="I30" s="622">
        <f t="shared" si="2"/>
        <v>8.5361435075677825E-2</v>
      </c>
      <c r="J30" s="622">
        <f t="shared" ref="J30:S30" si="3">J8/J$6</f>
        <v>0.14656780512729958</v>
      </c>
      <c r="K30" s="622">
        <f t="shared" si="3"/>
        <v>0.16498976149169878</v>
      </c>
      <c r="L30" s="622">
        <f t="shared" si="3"/>
        <v>0.15975155822783169</v>
      </c>
      <c r="M30" s="622">
        <f t="shared" si="3"/>
        <v>0.20127548920191565</v>
      </c>
      <c r="N30" s="622">
        <f t="shared" si="3"/>
        <v>0.23849956777071846</v>
      </c>
      <c r="O30" s="622">
        <f t="shared" si="3"/>
        <v>0.20830597443567991</v>
      </c>
      <c r="P30" s="622">
        <f t="shared" si="3"/>
        <v>0.17675298199956627</v>
      </c>
      <c r="Q30" s="622">
        <f t="shared" si="3"/>
        <v>0.13718745144194688</v>
      </c>
      <c r="R30" s="622">
        <f t="shared" si="3"/>
        <v>0.13086537443067472</v>
      </c>
      <c r="S30" s="622">
        <f t="shared" si="3"/>
        <v>0.16332075471698113</v>
      </c>
      <c r="T30" s="622">
        <f t="shared" ref="T30:T37" si="4">T8/T$6</f>
        <v>0.14538750955050048</v>
      </c>
    </row>
    <row r="31" spans="1:20" ht="21" customHeight="1">
      <c r="A31" s="547" t="s">
        <v>3352</v>
      </c>
      <c r="B31" s="622">
        <f t="shared" ref="B31:I37" si="5">B9/B$6</f>
        <v>0.80064133591481124</v>
      </c>
      <c r="C31" s="622">
        <f t="shared" si="5"/>
        <v>0.20815803827637727</v>
      </c>
      <c r="D31" s="622">
        <f t="shared" si="5"/>
        <v>0.28231041465584134</v>
      </c>
      <c r="E31" s="622">
        <f t="shared" si="5"/>
        <v>0.44238890415280196</v>
      </c>
      <c r="F31" s="622">
        <f t="shared" si="5"/>
        <v>0.24727482557834549</v>
      </c>
      <c r="G31" s="622">
        <f t="shared" si="5"/>
        <v>0.32608835617173332</v>
      </c>
      <c r="H31" s="622">
        <f t="shared" si="5"/>
        <v>0.2324952355584306</v>
      </c>
      <c r="I31" s="622">
        <f t="shared" si="5"/>
        <v>0.154667824279796</v>
      </c>
      <c r="J31" s="622">
        <f t="shared" ref="J31:S31" si="6">J9/J$6</f>
        <v>0.1153582916766073</v>
      </c>
      <c r="K31" s="622">
        <f t="shared" si="6"/>
        <v>0.14336420216122786</v>
      </c>
      <c r="L31" s="622">
        <f t="shared" si="6"/>
        <v>0.28853455313524512</v>
      </c>
      <c r="M31" s="622">
        <f t="shared" si="6"/>
        <v>0.1845808777020311</v>
      </c>
      <c r="N31" s="622">
        <f t="shared" si="6"/>
        <v>0.48988617819177932</v>
      </c>
      <c r="O31" s="622">
        <f t="shared" si="6"/>
        <v>0.759091356498792</v>
      </c>
      <c r="P31" s="622">
        <f t="shared" si="6"/>
        <v>0.96523617436564735</v>
      </c>
      <c r="Q31" s="622">
        <f t="shared" si="6"/>
        <v>0.97546392570576546</v>
      </c>
      <c r="R31" s="622">
        <f t="shared" si="6"/>
        <v>0.48619224929997096</v>
      </c>
      <c r="S31" s="622">
        <f t="shared" si="6"/>
        <v>0.4840256603773585</v>
      </c>
      <c r="T31" s="622">
        <f t="shared" si="4"/>
        <v>0.51806408947615101</v>
      </c>
    </row>
    <row r="32" spans="1:20" ht="21" customHeight="1">
      <c r="A32" s="547" t="s">
        <v>3353</v>
      </c>
      <c r="B32" s="622">
        <f t="shared" si="5"/>
        <v>6.9004114230396901E-2</v>
      </c>
      <c r="C32" s="622">
        <f t="shared" si="5"/>
        <v>1.9982450731614771E-2</v>
      </c>
      <c r="D32" s="622">
        <f t="shared" si="5"/>
        <v>3.6059223931818041E-2</v>
      </c>
      <c r="E32" s="622">
        <f t="shared" si="5"/>
        <v>9.8289424143440079E-2</v>
      </c>
      <c r="F32" s="622">
        <f t="shared" si="5"/>
        <v>5.2043225095735196E-2</v>
      </c>
      <c r="G32" s="622">
        <f t="shared" si="5"/>
        <v>6.1073494221544997E-2</v>
      </c>
      <c r="H32" s="622">
        <f t="shared" si="5"/>
        <v>3.7979179152516036E-2</v>
      </c>
      <c r="I32" s="622">
        <f t="shared" si="5"/>
        <v>4.0164959870930696E-2</v>
      </c>
      <c r="J32" s="622">
        <f t="shared" ref="J32:S32" si="7">J10/J$6</f>
        <v>7.3883158284287667E-2</v>
      </c>
      <c r="K32" s="622">
        <f t="shared" si="7"/>
        <v>9.6277393481884757E-2</v>
      </c>
      <c r="L32" s="622">
        <f t="shared" si="7"/>
        <v>8.5358327610112611E-2</v>
      </c>
      <c r="M32" s="622">
        <f t="shared" si="7"/>
        <v>9.8220298992982E-2</v>
      </c>
      <c r="N32" s="622">
        <f t="shared" si="7"/>
        <v>0.17186500711225342</v>
      </c>
      <c r="O32" s="622">
        <f t="shared" si="7"/>
        <v>0.17554631617374966</v>
      </c>
      <c r="P32" s="622">
        <f t="shared" si="7"/>
        <v>0.13166428106701367</v>
      </c>
      <c r="Q32" s="622">
        <f t="shared" si="7"/>
        <v>0.15390299299441604</v>
      </c>
      <c r="R32" s="622">
        <f t="shared" si="7"/>
        <v>8.6876933397429107E-2</v>
      </c>
      <c r="S32" s="622">
        <f t="shared" si="7"/>
        <v>0.12657056603773584</v>
      </c>
      <c r="T32" s="622">
        <f t="shared" si="4"/>
        <v>0.12548555065457043</v>
      </c>
    </row>
    <row r="33" spans="1:20" ht="21" customHeight="1">
      <c r="A33" s="547" t="s">
        <v>3354</v>
      </c>
      <c r="B33" s="622">
        <f t="shared" si="5"/>
        <v>0.93244796708615685</v>
      </c>
      <c r="C33" s="622">
        <f t="shared" si="5"/>
        <v>0.22125358692816657</v>
      </c>
      <c r="D33" s="622">
        <f t="shared" si="5"/>
        <v>0.33692285370023406</v>
      </c>
      <c r="E33" s="622">
        <f t="shared" si="5"/>
        <v>0.71462588149097905</v>
      </c>
      <c r="F33" s="622">
        <f t="shared" si="5"/>
        <v>0.30927975659654827</v>
      </c>
      <c r="G33" s="622">
        <f t="shared" si="5"/>
        <v>0.27893251494243004</v>
      </c>
      <c r="H33" s="622">
        <f t="shared" si="5"/>
        <v>0.22651471189794423</v>
      </c>
      <c r="I33" s="622">
        <f t="shared" si="5"/>
        <v>0.16663647301713178</v>
      </c>
      <c r="J33" s="622">
        <f t="shared" ref="J33:S33" si="8">J11/J$6</f>
        <v>7.5912612610920235E-2</v>
      </c>
      <c r="K33" s="622">
        <f t="shared" si="8"/>
        <v>0.12208246782727689</v>
      </c>
      <c r="L33" s="622">
        <f t="shared" si="8"/>
        <v>0.19651326275414341</v>
      </c>
      <c r="M33" s="622">
        <f t="shared" si="8"/>
        <v>0.11940603005993916</v>
      </c>
      <c r="N33" s="622">
        <f t="shared" si="8"/>
        <v>0.35503579304844829</v>
      </c>
      <c r="O33" s="622">
        <f t="shared" si="8"/>
        <v>0.58580518637483292</v>
      </c>
      <c r="P33" s="622">
        <f t="shared" si="8"/>
        <v>0.58843114291910648</v>
      </c>
      <c r="Q33" s="622">
        <f t="shared" si="8"/>
        <v>0.62432349333659531</v>
      </c>
      <c r="R33" s="622">
        <f t="shared" si="8"/>
        <v>0.3378078158821724</v>
      </c>
      <c r="S33" s="622">
        <f t="shared" si="8"/>
        <v>0.39092528301886792</v>
      </c>
      <c r="T33" s="622">
        <f t="shared" si="4"/>
        <v>0.40550301442687364</v>
      </c>
    </row>
    <row r="34" spans="1:20" ht="21" customHeight="1">
      <c r="A34" s="547" t="s">
        <v>3355</v>
      </c>
      <c r="B34" s="622">
        <f t="shared" si="5"/>
        <v>0</v>
      </c>
      <c r="C34" s="622">
        <f t="shared" si="5"/>
        <v>4.8094481466549668E-2</v>
      </c>
      <c r="D34" s="622">
        <f t="shared" si="5"/>
        <v>0</v>
      </c>
      <c r="E34" s="622">
        <f t="shared" si="5"/>
        <v>0</v>
      </c>
      <c r="F34" s="622">
        <f t="shared" si="5"/>
        <v>0</v>
      </c>
      <c r="G34" s="622">
        <f t="shared" si="5"/>
        <v>0</v>
      </c>
      <c r="H34" s="622">
        <f t="shared" si="5"/>
        <v>0</v>
      </c>
      <c r="I34" s="622">
        <f t="shared" si="5"/>
        <v>0</v>
      </c>
      <c r="J34" s="622">
        <f t="shared" ref="J34:S34" si="9">J12/J$6</f>
        <v>0</v>
      </c>
      <c r="K34" s="622">
        <f t="shared" si="9"/>
        <v>0</v>
      </c>
      <c r="L34" s="622">
        <f t="shared" si="9"/>
        <v>0</v>
      </c>
      <c r="M34" s="622">
        <f t="shared" si="9"/>
        <v>0</v>
      </c>
      <c r="N34" s="622">
        <f t="shared" si="9"/>
        <v>0</v>
      </c>
      <c r="O34" s="622">
        <f t="shared" si="9"/>
        <v>5.2894145673514803E-2</v>
      </c>
      <c r="P34" s="622">
        <f t="shared" si="9"/>
        <v>-2.1374972890913033E-3</v>
      </c>
      <c r="Q34" s="622">
        <f t="shared" si="9"/>
        <v>-8.5627477493858961E-4</v>
      </c>
      <c r="R34" s="622">
        <f t="shared" si="9"/>
        <v>0.19621047314088305</v>
      </c>
      <c r="S34" s="622">
        <f t="shared" si="9"/>
        <v>-1.5622641509433963E-3</v>
      </c>
      <c r="T34" s="622">
        <f t="shared" si="4"/>
        <v>-1.3804084724977688E-3</v>
      </c>
    </row>
    <row r="35" spans="1:20" ht="21" customHeight="1">
      <c r="A35" s="547" t="s">
        <v>3356</v>
      </c>
      <c r="B35" s="622">
        <f t="shared" si="5"/>
        <v>6.5873063891577932E-2</v>
      </c>
      <c r="C35" s="622">
        <f t="shared" si="5"/>
        <v>9.8470367823179264E-2</v>
      </c>
      <c r="D35" s="622">
        <f t="shared" si="5"/>
        <v>0.10538301885602175</v>
      </c>
      <c r="E35" s="622">
        <f t="shared" si="5"/>
        <v>4.4560450183675757E-2</v>
      </c>
      <c r="F35" s="622">
        <f t="shared" si="5"/>
        <v>5.4718564758957144E-2</v>
      </c>
      <c r="G35" s="622">
        <f t="shared" si="5"/>
        <v>-1.7421210202701976E-2</v>
      </c>
      <c r="H35" s="622">
        <f t="shared" si="5"/>
        <v>6.4552237622757705E-2</v>
      </c>
      <c r="I35" s="622">
        <f t="shared" si="5"/>
        <v>0.16591866172630199</v>
      </c>
      <c r="J35" s="622">
        <f t="shared" ref="J35:S35" si="10">J13/J$6</f>
        <v>9.7613559585242399E-2</v>
      </c>
      <c r="K35" s="622">
        <f t="shared" si="10"/>
        <v>0.13891808750665885</v>
      </c>
      <c r="L35" s="622">
        <f t="shared" si="10"/>
        <v>9.6010807168495943E-2</v>
      </c>
      <c r="M35" s="622">
        <f t="shared" si="10"/>
        <v>2.9498097408660554E-2</v>
      </c>
      <c r="N35" s="622">
        <f t="shared" si="10"/>
        <v>0.22201819741074486</v>
      </c>
      <c r="O35" s="622">
        <f t="shared" si="10"/>
        <v>0.5267386242015043</v>
      </c>
      <c r="P35" s="622">
        <f t="shared" si="10"/>
        <v>0.12976968119713728</v>
      </c>
      <c r="Q35" s="622">
        <f t="shared" si="10"/>
        <v>6.7144836068012678E-2</v>
      </c>
      <c r="R35" s="622">
        <f t="shared" si="10"/>
        <v>-2.0670887210448699E-2</v>
      </c>
      <c r="S35" s="622">
        <f t="shared" si="10"/>
        <v>1.6321509433962263E-2</v>
      </c>
      <c r="T35" s="622">
        <f t="shared" si="4"/>
        <v>1.7162008590635051E-2</v>
      </c>
    </row>
    <row r="36" spans="1:20" ht="21" customHeight="1">
      <c r="A36" s="547" t="s">
        <v>3357</v>
      </c>
      <c r="B36" s="622">
        <f t="shared" si="5"/>
        <v>2.1042019603097772</v>
      </c>
      <c r="C36" s="622">
        <f t="shared" si="5"/>
        <v>0.73426138923802975</v>
      </c>
      <c r="D36" s="622">
        <f t="shared" si="5"/>
        <v>0.90609209106909672</v>
      </c>
      <c r="E36" s="622">
        <f t="shared" si="5"/>
        <v>1.4446377873431633</v>
      </c>
      <c r="F36" s="622">
        <f t="shared" si="5"/>
        <v>0.79659549913444894</v>
      </c>
      <c r="G36" s="622">
        <f t="shared" si="5"/>
        <v>0.77419493298709108</v>
      </c>
      <c r="H36" s="622">
        <f t="shared" si="5"/>
        <v>0.6781266945081289</v>
      </c>
      <c r="I36" s="622">
        <f t="shared" si="5"/>
        <v>0.61274935396983821</v>
      </c>
      <c r="J36" s="622">
        <f t="shared" ref="J36:S36" si="11">J14/J$6</f>
        <v>0.50933542728435721</v>
      </c>
      <c r="K36" s="622">
        <f t="shared" si="11"/>
        <v>0.66563191246874709</v>
      </c>
      <c r="L36" s="622">
        <f t="shared" si="11"/>
        <v>0.82616850889582871</v>
      </c>
      <c r="M36" s="622">
        <f t="shared" si="11"/>
        <v>0.63298079336552848</v>
      </c>
      <c r="N36" s="622">
        <f t="shared" si="11"/>
        <v>1.4773047435339444</v>
      </c>
      <c r="O36" s="622">
        <f t="shared" si="11"/>
        <v>2.3083816033580735</v>
      </c>
      <c r="P36" s="622">
        <f t="shared" si="11"/>
        <v>1.9897167642593798</v>
      </c>
      <c r="Q36" s="622">
        <f t="shared" si="11"/>
        <v>1.9571664247717979</v>
      </c>
      <c r="R36" s="622">
        <f t="shared" si="11"/>
        <v>1.2172819589406816</v>
      </c>
      <c r="S36" s="622">
        <f t="shared" si="11"/>
        <v>1.1796015094339622</v>
      </c>
      <c r="T36" s="622">
        <f t="shared" si="4"/>
        <v>1.210221764226233</v>
      </c>
    </row>
    <row r="37" spans="1:20" ht="21" customHeight="1">
      <c r="A37" s="547" t="s">
        <v>3358</v>
      </c>
      <c r="B37" s="622">
        <f t="shared" si="5"/>
        <v>-1.1042019603097772</v>
      </c>
      <c r="C37" s="622">
        <f t="shared" si="5"/>
        <v>0.26573861076197025</v>
      </c>
      <c r="D37" s="622">
        <f t="shared" si="5"/>
        <v>9.3907908930903311E-2</v>
      </c>
      <c r="E37" s="622">
        <f t="shared" si="5"/>
        <v>-0.44463778734316328</v>
      </c>
      <c r="F37" s="622">
        <f t="shared" si="5"/>
        <v>0.20340450086555106</v>
      </c>
      <c r="G37" s="622">
        <f t="shared" si="5"/>
        <v>0.22580506701290898</v>
      </c>
      <c r="H37" s="622">
        <f t="shared" si="5"/>
        <v>0.3218733054918711</v>
      </c>
      <c r="I37" s="622">
        <f t="shared" si="5"/>
        <v>0.38725064603016174</v>
      </c>
      <c r="J37" s="622">
        <f t="shared" ref="J37:S37" si="12">J15/J$6</f>
        <v>0.61848763385412853</v>
      </c>
      <c r="K37" s="622">
        <f t="shared" si="12"/>
        <v>0.43026082987253883</v>
      </c>
      <c r="L37" s="622">
        <f t="shared" si="12"/>
        <v>0.23633230099389668</v>
      </c>
      <c r="M37" s="622">
        <f t="shared" si="12"/>
        <v>0.37040752602885513</v>
      </c>
      <c r="N37" s="622">
        <f t="shared" si="12"/>
        <v>-0.47597843918443872</v>
      </c>
      <c r="O37" s="622">
        <f t="shared" si="12"/>
        <v>-1.3012523003278085</v>
      </c>
      <c r="P37" s="622">
        <f t="shared" si="12"/>
        <v>-0.96548948167425719</v>
      </c>
      <c r="Q37" s="622">
        <f t="shared" si="12"/>
        <v>-0.91722566972919894</v>
      </c>
      <c r="R37" s="622">
        <f t="shared" si="12"/>
        <v>-0.16821745849391226</v>
      </c>
      <c r="S37" s="622">
        <f t="shared" si="12"/>
        <v>-0.11105660377358491</v>
      </c>
      <c r="T37" s="622">
        <f t="shared" si="4"/>
        <v>-0.12812919339201675</v>
      </c>
    </row>
    <row r="38" spans="1:20" ht="21" customHeight="1">
      <c r="B38" s="594"/>
      <c r="C38" s="594"/>
      <c r="D38" s="594"/>
      <c r="E38" s="594"/>
      <c r="F38" s="594"/>
      <c r="G38" s="594"/>
      <c r="H38" s="594"/>
      <c r="I38" s="594"/>
    </row>
    <row r="39" spans="1:20" ht="21" customHeight="1">
      <c r="B39" s="594"/>
      <c r="C39" s="594"/>
      <c r="D39" s="594"/>
      <c r="E39" s="594"/>
      <c r="F39" s="594"/>
      <c r="G39" s="594"/>
      <c r="H39" s="594"/>
      <c r="I39" s="594"/>
    </row>
    <row r="42" spans="1:20">
      <c r="B42" s="606">
        <v>43921</v>
      </c>
      <c r="C42" s="606">
        <v>44012</v>
      </c>
      <c r="D42" s="606">
        <v>44104</v>
      </c>
      <c r="E42" s="606">
        <v>44196</v>
      </c>
      <c r="F42" s="606">
        <v>44286</v>
      </c>
      <c r="G42" s="606">
        <v>44377</v>
      </c>
      <c r="H42" s="606">
        <v>44469</v>
      </c>
      <c r="I42" s="606">
        <v>44561</v>
      </c>
      <c r="J42" s="606">
        <v>44651</v>
      </c>
      <c r="K42" s="606">
        <v>44742</v>
      </c>
      <c r="L42" s="606">
        <v>44834</v>
      </c>
      <c r="M42" s="606">
        <v>44926</v>
      </c>
      <c r="N42" s="630">
        <v>45016</v>
      </c>
      <c r="O42" s="582" t="s">
        <v>3547</v>
      </c>
      <c r="P42" s="582" t="s">
        <v>3548</v>
      </c>
    </row>
    <row r="43" spans="1:20">
      <c r="A43" s="582" t="s">
        <v>3438</v>
      </c>
      <c r="B43" s="596">
        <v>34</v>
      </c>
      <c r="C43" s="596">
        <v>36</v>
      </c>
      <c r="D43" s="596">
        <v>39</v>
      </c>
      <c r="E43" s="596">
        <v>43</v>
      </c>
      <c r="F43" s="596">
        <v>54</v>
      </c>
      <c r="G43" s="596">
        <v>68</v>
      </c>
      <c r="H43" s="596">
        <v>73</v>
      </c>
      <c r="I43" s="596">
        <v>89</v>
      </c>
      <c r="J43" s="596">
        <v>98</v>
      </c>
      <c r="K43" s="596">
        <v>103</v>
      </c>
      <c r="L43" s="596">
        <v>108</v>
      </c>
      <c r="M43" s="590">
        <v>110</v>
      </c>
      <c r="N43" s="58"/>
      <c r="O43" s="58"/>
      <c r="P43" s="58"/>
    </row>
    <row r="44" spans="1:20">
      <c r="A44" s="582" t="s">
        <v>3512</v>
      </c>
      <c r="B44" s="631">
        <v>1.3</v>
      </c>
      <c r="C44" s="631">
        <v>1.5</v>
      </c>
      <c r="D44" s="631">
        <v>2.1</v>
      </c>
      <c r="E44" s="631">
        <v>2.8</v>
      </c>
      <c r="F44" s="631">
        <v>6.1</v>
      </c>
      <c r="G44" s="631">
        <v>8.8000000000000007</v>
      </c>
      <c r="H44" s="631">
        <v>7.4</v>
      </c>
      <c r="I44" s="631">
        <v>11.4</v>
      </c>
      <c r="J44" s="631">
        <v>9.1999999999999993</v>
      </c>
      <c r="K44" s="631">
        <v>9</v>
      </c>
      <c r="L44" s="631">
        <v>8.5</v>
      </c>
      <c r="M44" s="631">
        <v>8.3000000000000007</v>
      </c>
      <c r="N44" s="631">
        <v>8.4</v>
      </c>
      <c r="O44" s="631">
        <v>7.3</v>
      </c>
      <c r="P44" s="631">
        <v>6.7</v>
      </c>
    </row>
    <row r="45" spans="1:20">
      <c r="A45" s="582" t="s">
        <v>3440</v>
      </c>
      <c r="B45" s="602">
        <v>16.896000000000001</v>
      </c>
      <c r="C45" s="593">
        <v>26</v>
      </c>
      <c r="D45" s="593">
        <v>36</v>
      </c>
      <c r="E45" s="593">
        <v>90</v>
      </c>
      <c r="F45" s="593">
        <v>223</v>
      </c>
      <c r="G45" s="593">
        <v>180</v>
      </c>
      <c r="H45" s="593">
        <v>255</v>
      </c>
      <c r="I45" s="593">
        <v>278</v>
      </c>
      <c r="J45" s="593">
        <v>256</v>
      </c>
      <c r="K45" s="593">
        <v>96</v>
      </c>
      <c r="L45" s="593">
        <v>101</v>
      </c>
      <c r="M45" s="590">
        <v>80</v>
      </c>
      <c r="N45" s="58"/>
      <c r="O45" s="58"/>
      <c r="P45" s="58"/>
    </row>
    <row r="46" spans="1:20">
      <c r="A46" s="582" t="s">
        <v>3441</v>
      </c>
      <c r="B46" s="602">
        <v>29.827000000000002</v>
      </c>
      <c r="C46" s="593">
        <v>28</v>
      </c>
      <c r="D46" s="593">
        <v>45</v>
      </c>
      <c r="E46" s="593">
        <v>90.173000000000002</v>
      </c>
      <c r="F46" s="593">
        <v>335</v>
      </c>
      <c r="G46" s="593">
        <v>462</v>
      </c>
      <c r="H46" s="593">
        <v>327</v>
      </c>
      <c r="I46" s="593">
        <v>547</v>
      </c>
      <c r="J46" s="593">
        <v>309</v>
      </c>
      <c r="K46" s="593">
        <v>217</v>
      </c>
      <c r="L46" s="593">
        <v>159</v>
      </c>
      <c r="M46" s="593">
        <f>830-L46-K46-J46</f>
        <v>145</v>
      </c>
      <c r="N46" s="593">
        <v>145</v>
      </c>
      <c r="O46" s="593">
        <v>92</v>
      </c>
      <c r="P46" s="593">
        <v>76</v>
      </c>
    </row>
    <row r="47" spans="1:20">
      <c r="A47" s="586" t="s">
        <v>3545</v>
      </c>
      <c r="B47" s="593">
        <v>32</v>
      </c>
      <c r="C47" s="593">
        <v>32</v>
      </c>
      <c r="D47" s="593">
        <v>81</v>
      </c>
      <c r="E47" s="593">
        <v>177</v>
      </c>
      <c r="F47" s="593">
        <v>771</v>
      </c>
      <c r="G47" s="593">
        <v>1606</v>
      </c>
      <c r="H47" s="593">
        <v>406</v>
      </c>
      <c r="I47" s="593">
        <v>841</v>
      </c>
      <c r="J47" s="593">
        <v>-430</v>
      </c>
      <c r="K47" s="593">
        <v>-1094</v>
      </c>
      <c r="L47" s="593">
        <v>-545</v>
      </c>
      <c r="M47" s="593">
        <f>-2625-L47-K47-J47</f>
        <v>-556</v>
      </c>
      <c r="N47" s="593">
        <v>-79</v>
      </c>
      <c r="O47" s="593">
        <v>-97</v>
      </c>
      <c r="P47" s="593">
        <v>-2</v>
      </c>
    </row>
    <row r="48" spans="1:20">
      <c r="A48" s="586" t="s">
        <v>3546</v>
      </c>
      <c r="B48" s="593">
        <v>55</v>
      </c>
      <c r="C48" s="593">
        <v>61</v>
      </c>
      <c r="D48" s="593">
        <v>123</v>
      </c>
      <c r="E48" s="593">
        <v>288</v>
      </c>
      <c r="F48" s="593">
        <v>1117</v>
      </c>
      <c r="G48" s="593">
        <v>1150</v>
      </c>
      <c r="H48" s="593">
        <v>618</v>
      </c>
      <c r="I48" s="593">
        <v>1205</v>
      </c>
      <c r="J48" s="593">
        <v>20</v>
      </c>
      <c r="K48" s="593">
        <v>-151</v>
      </c>
      <c r="L48" s="593">
        <v>-116</v>
      </c>
      <c r="M48" s="593">
        <f>-371-L48-K48-J48</f>
        <v>-124</v>
      </c>
      <c r="N48" s="593">
        <v>284</v>
      </c>
      <c r="O48" s="593">
        <v>194</v>
      </c>
      <c r="P48" s="593">
        <v>181</v>
      </c>
    </row>
    <row r="49" spans="1:18">
      <c r="A49" s="582" t="s">
        <v>3550</v>
      </c>
      <c r="B49" s="632">
        <v>12</v>
      </c>
      <c r="C49" s="632">
        <v>11</v>
      </c>
      <c r="D49" s="582">
        <v>18</v>
      </c>
      <c r="E49" s="582">
        <v>32</v>
      </c>
      <c r="F49" s="582">
        <v>120</v>
      </c>
      <c r="G49" s="582">
        <v>145</v>
      </c>
      <c r="H49" s="582">
        <v>93</v>
      </c>
      <c r="I49" s="582">
        <v>177</v>
      </c>
      <c r="J49" s="582">
        <v>74</v>
      </c>
      <c r="K49" s="582">
        <v>46</v>
      </c>
      <c r="L49" s="582">
        <v>26</v>
      </c>
      <c r="M49" s="582">
        <v>20</v>
      </c>
      <c r="N49" s="582">
        <v>21</v>
      </c>
      <c r="O49" s="582">
        <v>14</v>
      </c>
      <c r="P49" s="582">
        <v>11</v>
      </c>
      <c r="Q49" s="582">
        <v>25</v>
      </c>
      <c r="R49" s="582">
        <v>32</v>
      </c>
    </row>
    <row r="50" spans="1:18" ht="15">
      <c r="A50" s="582" t="s">
        <v>3551</v>
      </c>
      <c r="B50" s="633">
        <v>18</v>
      </c>
      <c r="C50" s="633">
        <v>17</v>
      </c>
      <c r="D50" s="582">
        <v>27</v>
      </c>
      <c r="E50" s="582">
        <v>57</v>
      </c>
      <c r="F50" s="582">
        <v>215</v>
      </c>
      <c r="G50" s="582">
        <v>317</v>
      </c>
      <c r="H50" s="582">
        <v>234</v>
      </c>
      <c r="I50" s="582">
        <v>371</v>
      </c>
      <c r="J50" s="582">
        <v>235</v>
      </c>
      <c r="K50" s="582">
        <v>171</v>
      </c>
      <c r="L50" s="582">
        <v>133</v>
      </c>
      <c r="M50" s="582">
        <v>125</v>
      </c>
      <c r="N50" s="582">
        <v>124</v>
      </c>
      <c r="O50" s="582">
        <v>78</v>
      </c>
      <c r="P50" s="582">
        <v>65</v>
      </c>
      <c r="Q50" s="582">
        <v>180</v>
      </c>
      <c r="R50" s="582">
        <v>200</v>
      </c>
    </row>
    <row r="51" spans="1:18">
      <c r="A51" s="582" t="s">
        <v>3540</v>
      </c>
      <c r="B51" s="593">
        <v>162002</v>
      </c>
      <c r="C51" s="593">
        <v>163825</v>
      </c>
      <c r="D51" s="593">
        <v>262624</v>
      </c>
      <c r="E51" s="593">
        <v>451795</v>
      </c>
      <c r="F51" s="593">
        <v>1455171</v>
      </c>
      <c r="G51" s="593">
        <v>1827951</v>
      </c>
      <c r="H51" s="593">
        <v>1021967</v>
      </c>
      <c r="I51" s="593">
        <v>2185903</v>
      </c>
      <c r="J51" s="593">
        <v>965841</v>
      </c>
      <c r="K51" s="593">
        <v>616212</v>
      </c>
      <c r="L51" s="593">
        <v>346091</v>
      </c>
      <c r="M51" s="593">
        <v>308756</v>
      </c>
      <c r="N51" s="590">
        <v>352402</v>
      </c>
      <c r="O51" s="590">
        <v>310037</v>
      </c>
      <c r="P51" s="625">
        <v>274505</v>
      </c>
      <c r="Q51" s="634">
        <f>Q49*Q54*1000000</f>
        <v>420000</v>
      </c>
      <c r="R51" s="634">
        <f>R49*R54*1000000</f>
        <v>448000</v>
      </c>
    </row>
    <row r="52" spans="1:18">
      <c r="A52" s="547" t="s">
        <v>3541</v>
      </c>
      <c r="B52" s="596">
        <v>9989</v>
      </c>
      <c r="C52" s="596">
        <v>8039</v>
      </c>
      <c r="D52" s="596">
        <v>13280</v>
      </c>
      <c r="E52" s="596">
        <v>24620</v>
      </c>
      <c r="F52" s="596">
        <v>85409</v>
      </c>
      <c r="G52" s="596">
        <v>102431</v>
      </c>
      <c r="H52" s="596">
        <v>67689</v>
      </c>
      <c r="I52" s="596">
        <v>90745</v>
      </c>
      <c r="J52" s="596">
        <v>47195</v>
      </c>
      <c r="K52" s="596">
        <v>39001</v>
      </c>
      <c r="L52" s="596">
        <v>19777</v>
      </c>
      <c r="M52" s="593">
        <v>13371</v>
      </c>
      <c r="N52" s="596">
        <v>22311</v>
      </c>
      <c r="O52" s="596">
        <v>17061</v>
      </c>
      <c r="P52" s="596">
        <v>14070</v>
      </c>
      <c r="Q52" s="582">
        <v>35000</v>
      </c>
    </row>
    <row r="53" spans="1:18">
      <c r="A53" s="547" t="s">
        <v>3549</v>
      </c>
      <c r="B53" s="596">
        <v>171991</v>
      </c>
      <c r="C53" s="596">
        <v>171864</v>
      </c>
      <c r="D53" s="596">
        <v>275904</v>
      </c>
      <c r="E53" s="596">
        <v>476415</v>
      </c>
      <c r="F53" s="596">
        <v>1540580</v>
      </c>
      <c r="G53" s="596">
        <v>1930382</v>
      </c>
      <c r="H53" s="596">
        <v>1089656</v>
      </c>
      <c r="I53" s="596">
        <v>2276648</v>
      </c>
      <c r="J53" s="596">
        <v>1013036</v>
      </c>
      <c r="K53" s="596">
        <v>655213</v>
      </c>
      <c r="L53" s="596">
        <v>365868</v>
      </c>
      <c r="M53" s="593">
        <v>322127</v>
      </c>
      <c r="N53" s="596">
        <v>374713</v>
      </c>
      <c r="O53" s="596">
        <v>327098</v>
      </c>
      <c r="P53" s="596">
        <v>288575</v>
      </c>
    </row>
    <row r="54" spans="1:18">
      <c r="A54" s="547" t="s">
        <v>3542</v>
      </c>
      <c r="B54" s="635">
        <f>B51/B49/1000000</f>
        <v>1.3500166666666666E-2</v>
      </c>
      <c r="C54" s="635">
        <f t="shared" ref="C54:M54" si="13">C51/C49/1000000</f>
        <v>1.4893181818181818E-2</v>
      </c>
      <c r="D54" s="635">
        <f t="shared" si="13"/>
        <v>1.4590222222222223E-2</v>
      </c>
      <c r="E54" s="635">
        <f t="shared" si="13"/>
        <v>1.411859375E-2</v>
      </c>
      <c r="F54" s="635">
        <f t="shared" si="13"/>
        <v>1.2126425E-2</v>
      </c>
      <c r="G54" s="635">
        <f t="shared" si="13"/>
        <v>1.2606558620689655E-2</v>
      </c>
      <c r="H54" s="635">
        <f t="shared" si="13"/>
        <v>1.0988892473118279E-2</v>
      </c>
      <c r="I54" s="635">
        <f t="shared" si="13"/>
        <v>1.2349734463276836E-2</v>
      </c>
      <c r="J54" s="635">
        <f t="shared" si="13"/>
        <v>1.3051905405405404E-2</v>
      </c>
      <c r="K54" s="635">
        <f t="shared" si="13"/>
        <v>1.339591304347826E-2</v>
      </c>
      <c r="L54" s="635">
        <f t="shared" si="13"/>
        <v>1.3311192307692309E-2</v>
      </c>
      <c r="M54" s="635">
        <f t="shared" si="13"/>
        <v>1.54378E-2</v>
      </c>
      <c r="N54" s="635">
        <f t="shared" ref="N54:P55" si="14">N51/N49/1000000</f>
        <v>1.6781047619047619E-2</v>
      </c>
      <c r="O54" s="635">
        <f t="shared" si="14"/>
        <v>2.2145499999999999E-2</v>
      </c>
      <c r="P54" s="635">
        <f t="shared" si="14"/>
        <v>2.4955000000000001E-2</v>
      </c>
      <c r="Q54" s="636">
        <v>1.6799999999999999E-2</v>
      </c>
      <c r="R54" s="637">
        <v>1.4E-2</v>
      </c>
    </row>
    <row r="55" spans="1:18">
      <c r="A55" s="547" t="s">
        <v>3543</v>
      </c>
      <c r="B55" s="635">
        <f>B52/B50/1000000</f>
        <v>5.549444444444445E-4</v>
      </c>
      <c r="C55" s="635">
        <f t="shared" ref="C55:M55" si="15">C52/C50/1000000</f>
        <v>4.7288235294117644E-4</v>
      </c>
      <c r="D55" s="635">
        <f t="shared" si="15"/>
        <v>4.9185185185185182E-4</v>
      </c>
      <c r="E55" s="635">
        <f t="shared" si="15"/>
        <v>4.3192982456140348E-4</v>
      </c>
      <c r="F55" s="635">
        <f t="shared" si="15"/>
        <v>3.9725116279069764E-4</v>
      </c>
      <c r="G55" s="635">
        <f t="shared" si="15"/>
        <v>3.2312618296529967E-4</v>
      </c>
      <c r="H55" s="635">
        <f t="shared" si="15"/>
        <v>2.8926923076923075E-4</v>
      </c>
      <c r="I55" s="635">
        <f t="shared" si="15"/>
        <v>2.4459568733153637E-4</v>
      </c>
      <c r="J55" s="635">
        <f t="shared" si="15"/>
        <v>2.0082978723404255E-4</v>
      </c>
      <c r="K55" s="635">
        <f t="shared" si="15"/>
        <v>2.2807602339181286E-4</v>
      </c>
      <c r="L55" s="635">
        <f t="shared" si="15"/>
        <v>1.4869924812030075E-4</v>
      </c>
      <c r="M55" s="635">
        <f t="shared" si="15"/>
        <v>1.0696800000000001E-4</v>
      </c>
      <c r="N55" s="635">
        <f t="shared" si="14"/>
        <v>1.7992741935483872E-4</v>
      </c>
      <c r="O55" s="635">
        <f t="shared" si="14"/>
        <v>2.1873076923076924E-4</v>
      </c>
      <c r="P55" s="635">
        <f t="shared" si="14"/>
        <v>2.1646153846153845E-4</v>
      </c>
    </row>
    <row r="56" spans="1:18">
      <c r="A56" s="547" t="s">
        <v>3544</v>
      </c>
      <c r="B56" s="635">
        <f>B53/B46/1000000</f>
        <v>5.7662855801790319E-3</v>
      </c>
      <c r="C56" s="635">
        <f t="shared" ref="C56:M56" si="16">C53/C46/1000000</f>
        <v>6.1380000000000002E-3</v>
      </c>
      <c r="D56" s="635">
        <f t="shared" si="16"/>
        <v>6.1311999999999998E-3</v>
      </c>
      <c r="E56" s="635">
        <f t="shared" si="16"/>
        <v>5.2833442382974943E-3</v>
      </c>
      <c r="F56" s="635">
        <f t="shared" si="16"/>
        <v>4.5987462686567157E-3</v>
      </c>
      <c r="G56" s="635">
        <f t="shared" si="16"/>
        <v>4.178316017316018E-3</v>
      </c>
      <c r="H56" s="635">
        <f t="shared" si="16"/>
        <v>3.3322813455657491E-3</v>
      </c>
      <c r="I56" s="635">
        <f t="shared" si="16"/>
        <v>4.1620621572212068E-3</v>
      </c>
      <c r="J56" s="635">
        <f t="shared" si="16"/>
        <v>3.2784336569579285E-3</v>
      </c>
      <c r="K56" s="635">
        <f t="shared" si="16"/>
        <v>3.0194147465437788E-3</v>
      </c>
      <c r="L56" s="635">
        <f t="shared" si="16"/>
        <v>2.3010566037735846E-3</v>
      </c>
      <c r="M56" s="635">
        <f t="shared" si="16"/>
        <v>2.2215655172413795E-3</v>
      </c>
      <c r="N56" s="635">
        <f>N53/N46/1000000</f>
        <v>2.5842275862068965E-3</v>
      </c>
      <c r="O56" s="635">
        <f>O53/O46/1000000</f>
        <v>3.5554130434782608E-3</v>
      </c>
      <c r="P56" s="635">
        <f>P53/P46/1000000</f>
        <v>3.7970394736842102E-3</v>
      </c>
    </row>
    <row r="57" spans="1:18">
      <c r="A57" s="547"/>
      <c r="B57" s="594"/>
      <c r="C57" s="594"/>
      <c r="D57" s="594"/>
    </row>
    <row r="58" spans="1:18">
      <c r="A58" s="547"/>
      <c r="B58" s="589"/>
      <c r="C58" s="589"/>
      <c r="D58" s="589"/>
    </row>
    <row r="59" spans="1:18">
      <c r="A59" s="547"/>
      <c r="B59" s="638"/>
      <c r="C59" s="638"/>
      <c r="D59" s="638"/>
      <c r="E59" s="638"/>
      <c r="F59" s="638"/>
      <c r="G59" s="638"/>
      <c r="H59" s="638"/>
      <c r="I59" s="638"/>
      <c r="J59" s="638"/>
      <c r="K59" s="638"/>
      <c r="L59" s="638"/>
      <c r="M59" s="638"/>
      <c r="N59" s="638"/>
      <c r="O59" s="638"/>
      <c r="P59" s="638"/>
    </row>
    <row r="60" spans="1:18">
      <c r="A60" s="547"/>
      <c r="B60" s="594"/>
      <c r="C60" s="594"/>
      <c r="D60" s="594"/>
    </row>
    <row r="61" spans="1:18">
      <c r="A61" s="547"/>
      <c r="C61" s="594"/>
      <c r="D61" s="594"/>
    </row>
    <row r="62" spans="1:18">
      <c r="A62" s="547"/>
      <c r="B62" s="639">
        <v>2020</v>
      </c>
      <c r="C62" s="639">
        <v>2021</v>
      </c>
      <c r="D62" s="639">
        <v>2022</v>
      </c>
      <c r="E62" s="582">
        <v>2023</v>
      </c>
      <c r="F62" s="582">
        <v>2024</v>
      </c>
    </row>
    <row r="63" spans="1:18">
      <c r="A63" s="582" t="s">
        <v>3550</v>
      </c>
      <c r="B63" s="594">
        <f>SUM(B49:E49)</f>
        <v>73</v>
      </c>
      <c r="C63" s="594">
        <f>SUM(F49:I49)</f>
        <v>535</v>
      </c>
      <c r="D63" s="594">
        <f>SUM(J49:M49)</f>
        <v>166</v>
      </c>
      <c r="E63" s="582">
        <v>75</v>
      </c>
      <c r="F63" s="582">
        <v>221</v>
      </c>
    </row>
    <row r="64" spans="1:18">
      <c r="A64" s="582" t="s">
        <v>3551</v>
      </c>
      <c r="B64" s="594">
        <f>SUM(B50:E50)</f>
        <v>119</v>
      </c>
      <c r="C64" s="594">
        <f>SUM(F50:I50)</f>
        <v>1137</v>
      </c>
      <c r="D64" s="594">
        <f>SUM(J50:M50)</f>
        <v>664</v>
      </c>
      <c r="E64" s="582">
        <v>393</v>
      </c>
      <c r="F64" s="582">
        <v>941</v>
      </c>
    </row>
    <row r="65" spans="1:6">
      <c r="A65" s="582" t="s">
        <v>3540</v>
      </c>
      <c r="B65" s="594">
        <f>SUM(B51:E51)*1000</f>
        <v>1040246000</v>
      </c>
      <c r="C65" s="594">
        <f>SUM(F51:I51)*1000</f>
        <v>6490992000</v>
      </c>
      <c r="D65" s="594">
        <f>SUM(J51:M51)*1000</f>
        <v>2236900000</v>
      </c>
      <c r="E65" s="608">
        <v>1429500000</v>
      </c>
      <c r="F65" s="582">
        <v>3430300000</v>
      </c>
    </row>
    <row r="66" spans="1:6">
      <c r="A66" s="547" t="s">
        <v>3541</v>
      </c>
      <c r="B66" s="594">
        <f>SUM(H52:K52)*1000</f>
        <v>244630000</v>
      </c>
      <c r="C66" s="594">
        <f>SUM(I52:L52)*1000</f>
        <v>196718000</v>
      </c>
      <c r="D66" s="594">
        <f>SUM(J52:M52)*1000</f>
        <v>119344000</v>
      </c>
      <c r="E66" s="608">
        <v>90200000</v>
      </c>
      <c r="F66" s="582">
        <v>345600000</v>
      </c>
    </row>
    <row r="67" spans="1:6">
      <c r="A67" s="547" t="s">
        <v>3549</v>
      </c>
      <c r="B67" s="594">
        <f>SUM(B53:E53)</f>
        <v>1096174</v>
      </c>
      <c r="C67" s="594">
        <f>SUM(F53:I53)</f>
        <v>6837266</v>
      </c>
      <c r="D67" s="594">
        <f>SUM(J53:M53)</f>
        <v>2356244</v>
      </c>
      <c r="E67" s="582">
        <f>Metrics!G35</f>
        <v>3986113</v>
      </c>
      <c r="F67" s="582">
        <f>SUM(F65:F66)</f>
        <v>3775900000</v>
      </c>
    </row>
    <row r="68" spans="1:6">
      <c r="A68" s="547" t="s">
        <v>3691</v>
      </c>
      <c r="B68" s="594"/>
      <c r="C68" s="594"/>
      <c r="D68" s="594"/>
      <c r="E68" s="634">
        <v>95500000</v>
      </c>
      <c r="F68" s="582">
        <v>210200000</v>
      </c>
    </row>
    <row r="69" spans="1:6">
      <c r="A69" s="547"/>
      <c r="B69" s="591"/>
      <c r="C69" s="591"/>
      <c r="D69" s="591"/>
    </row>
    <row r="70" spans="1:6">
      <c r="A70" s="547"/>
      <c r="B70" s="591"/>
      <c r="C70" s="591"/>
      <c r="D70" s="591"/>
    </row>
  </sheetData>
  <pageMargins left="0.7" right="0.7" top="0.75" bottom="0.75" header="0.3" footer="0.3"/>
  <pageSetup orientation="portrait" verticalDpi="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D7104-5679-422B-9346-335170B782A5}">
  <sheetPr codeName="Sheet1"/>
  <dimension ref="B1:AA365"/>
  <sheetViews>
    <sheetView showOutlineSymbols="0" topLeftCell="A2" workbookViewId="0"/>
  </sheetViews>
  <sheetFormatPr baseColWidth="10" defaultColWidth="9.1640625" defaultRowHeight="13" outlineLevelCol="1"/>
  <cols>
    <col min="1" max="1" width="3.1640625" style="10" customWidth="1"/>
    <col min="2" max="2" width="31" style="98" bestFit="1" customWidth="1"/>
    <col min="3" max="11" width="10.5" style="98" hidden="1" customWidth="1" outlineLevel="1"/>
    <col min="12" max="12" width="10.5" style="98" customWidth="1" collapsed="1"/>
    <col min="13" max="26" width="10.5" style="98" customWidth="1"/>
    <col min="27" max="27" width="3.5" style="10" customWidth="1"/>
    <col min="28" max="16384" width="9.1640625" style="10"/>
  </cols>
  <sheetData>
    <row r="1" spans="2:27" hidden="1">
      <c r="B1" s="10"/>
      <c r="C1" s="10"/>
      <c r="D1" s="10"/>
      <c r="E1" s="10"/>
      <c r="F1" s="10"/>
      <c r="G1" s="10"/>
      <c r="H1" s="10"/>
      <c r="I1" s="10"/>
      <c r="J1" s="10"/>
      <c r="K1" s="10"/>
      <c r="L1" s="10"/>
      <c r="M1" s="10"/>
      <c r="N1" s="10"/>
      <c r="O1" s="10"/>
      <c r="P1" s="10"/>
      <c r="Q1" s="10"/>
      <c r="R1" s="10"/>
      <c r="S1" s="10"/>
      <c r="T1" s="10"/>
      <c r="U1" s="10"/>
      <c r="V1" s="10"/>
      <c r="W1" s="10"/>
      <c r="X1" s="10"/>
      <c r="Y1" s="10"/>
      <c r="Z1" s="10"/>
    </row>
    <row r="2" spans="2:27" ht="19.25" customHeight="1">
      <c r="B2" s="10"/>
      <c r="C2" s="640"/>
      <c r="D2" s="640"/>
      <c r="E2" s="10"/>
      <c r="F2" s="10"/>
      <c r="G2" s="10"/>
      <c r="H2" s="10"/>
      <c r="I2" s="10"/>
      <c r="J2" s="10"/>
      <c r="K2" s="10"/>
      <c r="L2" s="10"/>
      <c r="M2" s="10"/>
      <c r="N2" s="10"/>
      <c r="O2" s="10"/>
      <c r="P2" s="10"/>
      <c r="Q2" s="10"/>
      <c r="R2" s="10"/>
      <c r="S2" s="10"/>
      <c r="T2" s="10"/>
      <c r="U2" s="10"/>
      <c r="V2" s="10"/>
      <c r="W2" s="10"/>
      <c r="X2" s="10"/>
      <c r="Y2" s="10"/>
      <c r="Z2" s="10"/>
    </row>
    <row r="3" spans="2:27" ht="45" customHeight="1">
      <c r="B3" s="641"/>
      <c r="C3" s="642"/>
      <c r="D3" s="642"/>
      <c r="E3" s="15"/>
      <c r="F3" s="15"/>
      <c r="G3" s="15"/>
      <c r="H3" s="15"/>
      <c r="I3" s="15"/>
      <c r="J3" s="15"/>
      <c r="K3" s="15"/>
      <c r="L3" s="15"/>
      <c r="M3" s="15"/>
      <c r="N3" s="15"/>
      <c r="O3" s="15"/>
      <c r="P3" s="15"/>
      <c r="Q3" s="15"/>
      <c r="R3" s="15"/>
      <c r="S3" s="15"/>
      <c r="T3" s="15"/>
      <c r="U3" s="15"/>
      <c r="V3" s="15"/>
      <c r="W3" s="15"/>
      <c r="X3" s="15"/>
      <c r="Y3" s="15"/>
      <c r="Z3" s="15"/>
      <c r="AA3" s="643">
        <f>Valuation!$V$108</f>
        <v>10</v>
      </c>
    </row>
    <row r="4" spans="2:27">
      <c r="B4" s="641"/>
      <c r="C4" s="644">
        <f>+Valuation!E$9</f>
        <v>2012</v>
      </c>
      <c r="D4" s="644">
        <f>+Valuation!F$9</f>
        <v>2013</v>
      </c>
      <c r="E4" s="644">
        <f>+Valuation!G$9</f>
        <v>2014</v>
      </c>
      <c r="F4" s="644">
        <f>+Valuation!H$9</f>
        <v>2015</v>
      </c>
      <c r="G4" s="644">
        <f>+Valuation!I$9</f>
        <v>2016</v>
      </c>
      <c r="H4" s="644">
        <f>+Valuation!J$9</f>
        <v>2017</v>
      </c>
      <c r="I4" s="644">
        <f>+Valuation!K$9</f>
        <v>2018</v>
      </c>
      <c r="J4" s="644">
        <f>+Valuation!L$9</f>
        <v>2019</v>
      </c>
      <c r="K4" s="644">
        <f>+Valuation!M$9</f>
        <v>2020</v>
      </c>
      <c r="L4" s="644">
        <f>+Valuation!N$9</f>
        <v>2021</v>
      </c>
      <c r="M4" s="644">
        <f>+Valuation!O$9</f>
        <v>2022</v>
      </c>
      <c r="N4" s="644">
        <f>+Valuation!P$9</f>
        <v>2023</v>
      </c>
      <c r="O4" s="644">
        <f>+Valuation!Q$9</f>
        <v>2024</v>
      </c>
      <c r="P4" s="644">
        <f>+Valuation!R$9</f>
        <v>2025</v>
      </c>
      <c r="Q4" s="645">
        <f>+Valuation!S$9</f>
        <v>2026</v>
      </c>
      <c r="R4" s="645">
        <f>+Valuation!T$9</f>
        <v>2027</v>
      </c>
      <c r="S4" s="645">
        <f>+Valuation!U$9</f>
        <v>2028</v>
      </c>
      <c r="T4" s="645">
        <f>+Valuation!V$9</f>
        <v>2029</v>
      </c>
      <c r="U4" s="645">
        <f>+Valuation!W$9</f>
        <v>2030</v>
      </c>
      <c r="V4" s="645">
        <f>+Valuation!X$9</f>
        <v>2031</v>
      </c>
      <c r="W4" s="645">
        <f>+Valuation!Y$9</f>
        <v>2032</v>
      </c>
      <c r="X4" s="645">
        <f>+Valuation!Z$9</f>
        <v>2033</v>
      </c>
      <c r="Y4" s="645">
        <f>+Valuation!AA$9</f>
        <v>2034</v>
      </c>
      <c r="Z4" s="645">
        <f>+Valuation!AB$9</f>
        <v>2035</v>
      </c>
      <c r="AA4" s="15"/>
    </row>
    <row r="5" spans="2:27">
      <c r="B5" s="641" t="s">
        <v>62</v>
      </c>
      <c r="C5" s="646" t="e">
        <f>Valuation!E11/Valuation!D11-1</f>
        <v>#DIV/0!</v>
      </c>
      <c r="D5" s="646" t="e">
        <f>Valuation!F11/Valuation!E11-1</f>
        <v>#DIV/0!</v>
      </c>
      <c r="E5" s="646" t="e">
        <f>Valuation!G11/Valuation!F11-1</f>
        <v>#DIV/0!</v>
      </c>
      <c r="F5" s="646" t="e">
        <f>Valuation!H11/Valuation!G11-1</f>
        <v>#DIV/0!</v>
      </c>
      <c r="G5" s="646" t="e">
        <f>Valuation!I11/Valuation!H11-1</f>
        <v>#DIV/0!</v>
      </c>
      <c r="H5" s="646" t="e">
        <f>Valuation!J11/Valuation!I11-1</f>
        <v>#DIV/0!</v>
      </c>
      <c r="I5" s="646" t="e">
        <f>Valuation!K11/Valuation!J11-1</f>
        <v>#DIV/0!</v>
      </c>
      <c r="J5" s="646" t="e">
        <f>Valuation!L11/Valuation!K11-1</f>
        <v>#DIV/0!</v>
      </c>
      <c r="K5" s="646" t="e">
        <f>Valuation!M11/Valuation!L11-1</f>
        <v>#DIV/0!</v>
      </c>
      <c r="L5" s="646">
        <f>Valuation!N11/Valuation!M11-1</f>
        <v>5.1366423453656065</v>
      </c>
      <c r="M5" s="646">
        <f>Valuation!O11/Valuation!N11-1</f>
        <v>-0.59254661427519606</v>
      </c>
      <c r="N5" s="646">
        <f>Valuation!P11/Valuation!O11-1</f>
        <v>-2.686894529097672E-2</v>
      </c>
      <c r="O5" s="646">
        <f>Valuation!Q11/Valuation!P11-1</f>
        <v>1.1117178931939855</v>
      </c>
      <c r="P5" s="646">
        <f>Valuation!R11/Valuation!Q11-1</f>
        <v>9.404240810672948E-2</v>
      </c>
      <c r="Q5" s="646">
        <f ca="1">Valuation!S11/Valuation!R11-1</f>
        <v>-5.2646894585334225E-2</v>
      </c>
      <c r="R5" s="646" t="e">
        <f ca="1">Valuation!T11/Valuation!S11-1</f>
        <v>#NAME?</v>
      </c>
      <c r="S5" s="646" t="e">
        <f ca="1">Valuation!U11/Valuation!T11-1</f>
        <v>#NAME?</v>
      </c>
      <c r="T5" s="646" t="e">
        <f ca="1">Valuation!V11/Valuation!U11-1</f>
        <v>#NAME?</v>
      </c>
      <c r="U5" s="646" t="e">
        <f ca="1">Valuation!W11/Valuation!V11-1</f>
        <v>#NAME?</v>
      </c>
      <c r="V5" s="646" t="e">
        <f ca="1">Valuation!X11/Valuation!W11-1</f>
        <v>#NAME?</v>
      </c>
      <c r="W5" s="646" t="e">
        <f ca="1">Valuation!Y11/Valuation!X11-1</f>
        <v>#NAME?</v>
      </c>
      <c r="X5" s="646" t="e">
        <f ca="1">Valuation!Z11/Valuation!Y11-1</f>
        <v>#NAME?</v>
      </c>
      <c r="Y5" s="646" t="e">
        <f ca="1">Valuation!AA11/Valuation!Z11-1</f>
        <v>#NAME?</v>
      </c>
      <c r="Z5" s="646" t="e">
        <f ca="1">Valuation!AB11/Valuation!AA11-1</f>
        <v>#NAME?</v>
      </c>
      <c r="AA5" s="15"/>
    </row>
    <row r="6" spans="2:27">
      <c r="B6" s="641" t="s">
        <v>1079</v>
      </c>
      <c r="C6" s="646" t="e">
        <f>+Valuation!E14/Valuation!D14-1</f>
        <v>#DIV/0!</v>
      </c>
      <c r="D6" s="646" t="e">
        <f>+Valuation!F14/Valuation!E14-1</f>
        <v>#DIV/0!</v>
      </c>
      <c r="E6" s="646" t="e">
        <f>+Valuation!G14/Valuation!F14-1</f>
        <v>#DIV/0!</v>
      </c>
      <c r="F6" s="646" t="e">
        <f>+Valuation!H14/Valuation!G14-1</f>
        <v>#DIV/0!</v>
      </c>
      <c r="G6" s="646" t="e">
        <f>+Valuation!I14/Valuation!H14-1</f>
        <v>#DIV/0!</v>
      </c>
      <c r="H6" s="646" t="e">
        <f>+Valuation!J14/Valuation!I14-1</f>
        <v>#DIV/0!</v>
      </c>
      <c r="I6" s="646" t="e">
        <f>+Valuation!K14/Valuation!J14-1</f>
        <v>#DIV/0!</v>
      </c>
      <c r="J6" s="646" t="e">
        <f>+Valuation!L14/Valuation!K14-1</f>
        <v>#DIV/0!</v>
      </c>
      <c r="K6" s="646" t="e">
        <f>+Valuation!M14/Valuation!L14-1</f>
        <v>#DIV/0!</v>
      </c>
      <c r="L6" s="646">
        <f>+Valuation!N14/Valuation!M14-1</f>
        <v>5.1366423453656065</v>
      </c>
      <c r="M6" s="646">
        <f>+Valuation!O14/Valuation!N14-1</f>
        <v>-0.59254661427519606</v>
      </c>
      <c r="N6" s="646">
        <f>+Valuation!P14/Valuation!O14-1</f>
        <v>-2.686894529097672E-2</v>
      </c>
      <c r="O6" s="646">
        <f>+Valuation!Q14/Valuation!P14-1</f>
        <v>1.1117178931939855</v>
      </c>
      <c r="P6" s="646">
        <f>+Valuation!R14/Valuation!Q14-1</f>
        <v>9.404240810672948E-2</v>
      </c>
      <c r="Q6" s="646">
        <f ca="1">+Valuation!S14/Valuation!R14-1</f>
        <v>-5.2646894585334225E-2</v>
      </c>
      <c r="R6" s="646" t="e">
        <f ca="1">+Valuation!T14/Valuation!S14-1</f>
        <v>#NAME?</v>
      </c>
      <c r="S6" s="646" t="e">
        <f ca="1">+Valuation!U14/Valuation!T14-1</f>
        <v>#NAME?</v>
      </c>
      <c r="T6" s="646" t="e">
        <f ca="1">+Valuation!V14/Valuation!U14-1</f>
        <v>#NAME?</v>
      </c>
      <c r="U6" s="646" t="e">
        <f ca="1">+Valuation!W14/Valuation!V14-1</f>
        <v>#NAME?</v>
      </c>
      <c r="V6" s="646" t="e">
        <f ca="1">+Valuation!X14/Valuation!W14-1</f>
        <v>#NAME?</v>
      </c>
      <c r="W6" s="646" t="e">
        <f ca="1">+Valuation!Y14/Valuation!X14-1</f>
        <v>#NAME?</v>
      </c>
      <c r="X6" s="646" t="e">
        <f ca="1">+Valuation!Z14/Valuation!Y14-1</f>
        <v>#NAME?</v>
      </c>
      <c r="Y6" s="646" t="e">
        <f ca="1">+Valuation!AA14/Valuation!Z14-1</f>
        <v>#NAME?</v>
      </c>
      <c r="Z6" s="646" t="e">
        <f ca="1">+Valuation!AB14/Valuation!AA14-1</f>
        <v>#NAME?</v>
      </c>
      <c r="AA6" s="15"/>
    </row>
    <row r="7" spans="2:27">
      <c r="B7" s="641" t="s">
        <v>64</v>
      </c>
      <c r="C7" s="646" t="e">
        <f>+Valuation!E52/Valuation!D52-1</f>
        <v>#DIV/0!</v>
      </c>
      <c r="D7" s="646" t="e">
        <f>+Valuation!F52/Valuation!E52-1</f>
        <v>#DIV/0!</v>
      </c>
      <c r="E7" s="646" t="e">
        <f>+Valuation!G52/Valuation!F52-1</f>
        <v>#DIV/0!</v>
      </c>
      <c r="F7" s="646" t="e">
        <f>+Valuation!H52/Valuation!G52-1</f>
        <v>#DIV/0!</v>
      </c>
      <c r="G7" s="646" t="e">
        <f>+Valuation!I52/Valuation!H52-1</f>
        <v>#DIV/0!</v>
      </c>
      <c r="H7" s="646" t="e">
        <f>+Valuation!J52/Valuation!I52-1</f>
        <v>#DIV/0!</v>
      </c>
      <c r="I7" s="646" t="e">
        <f>+Valuation!K52/Valuation!J52-1</f>
        <v>#DIV/0!</v>
      </c>
      <c r="J7" s="646" t="e">
        <f>+Valuation!L52/Valuation!K52-1</f>
        <v>#DIV/0!</v>
      </c>
      <c r="K7" s="646" t="e">
        <f>+Valuation!M52/Valuation!L52-1</f>
        <v>#DIV/0!</v>
      </c>
      <c r="L7" s="646">
        <f>+Valuation!N52/Valuation!M52-1</f>
        <v>6.6417012872196599</v>
      </c>
      <c r="M7" s="646">
        <f>+Valuation!O52/Valuation!N52-1</f>
        <v>-1.9093004384706957</v>
      </c>
      <c r="N7" s="646">
        <f>+Valuation!P52/Valuation!O52-1</f>
        <v>-1.0515885954553639</v>
      </c>
      <c r="O7" s="646">
        <f>+Valuation!Q52/Valuation!P52-1</f>
        <v>20.645658580820676</v>
      </c>
      <c r="P7" s="646">
        <f>+Valuation!R52/Valuation!Q52-1</f>
        <v>-0.43001713529264085</v>
      </c>
      <c r="Q7" s="646">
        <f ca="1">+Valuation!S52/Valuation!R52-1</f>
        <v>-0.37595597048130147</v>
      </c>
      <c r="R7" s="646" t="e">
        <f ca="1">+Valuation!T52/Valuation!S52-1</f>
        <v>#NAME?</v>
      </c>
      <c r="S7" s="646" t="e">
        <f ca="1">+Valuation!U52/Valuation!T52-1</f>
        <v>#NAME?</v>
      </c>
      <c r="T7" s="646" t="e">
        <f ca="1">+Valuation!V52/Valuation!U52-1</f>
        <v>#NAME?</v>
      </c>
      <c r="U7" s="646" t="e">
        <f ca="1">+Valuation!W52/Valuation!V52-1</f>
        <v>#NAME?</v>
      </c>
      <c r="V7" s="646" t="e">
        <f ca="1">+Valuation!X52/Valuation!W52-1</f>
        <v>#NAME?</v>
      </c>
      <c r="W7" s="646" t="e">
        <f ca="1">+Valuation!Y52/Valuation!X52-1</f>
        <v>#NAME?</v>
      </c>
      <c r="X7" s="646" t="e">
        <f ca="1">+Valuation!Z52/Valuation!Y52-1</f>
        <v>#NAME?</v>
      </c>
      <c r="Y7" s="646" t="e">
        <f ca="1">+Valuation!AA52/Valuation!Z52-1</f>
        <v>#NAME?</v>
      </c>
      <c r="Z7" s="646" t="e">
        <f ca="1">+Valuation!AB52/Valuation!AA52-1</f>
        <v>#NAME?</v>
      </c>
      <c r="AA7" s="15"/>
    </row>
    <row r="8" spans="2:27">
      <c r="B8" s="641" t="s">
        <v>1088</v>
      </c>
      <c r="C8" s="646" t="e">
        <f>+Valuation!E55/Valuation!D55-1</f>
        <v>#DIV/0!</v>
      </c>
      <c r="D8" s="646" t="e">
        <f>+Valuation!F55/Valuation!E55-1</f>
        <v>#DIV/0!</v>
      </c>
      <c r="E8" s="646" t="e">
        <f>+Valuation!G55/Valuation!F55-1</f>
        <v>#DIV/0!</v>
      </c>
      <c r="F8" s="646" t="e">
        <f>+Valuation!H55/Valuation!G55-1</f>
        <v>#DIV/0!</v>
      </c>
      <c r="G8" s="646" t="e">
        <f>+Valuation!I55/Valuation!H55-1</f>
        <v>#DIV/0!</v>
      </c>
      <c r="H8" s="646" t="e">
        <f>+Valuation!J55/Valuation!I55-1</f>
        <v>#DIV/0!</v>
      </c>
      <c r="I8" s="646" t="e">
        <f>+Valuation!K55/Valuation!J55-1</f>
        <v>#DIV/0!</v>
      </c>
      <c r="J8" s="646" t="e">
        <f>+Valuation!L55/Valuation!K55-1</f>
        <v>#DIV/0!</v>
      </c>
      <c r="K8" s="646" t="e">
        <f>+Valuation!M55/Valuation!L55-1</f>
        <v>#DIV/0!</v>
      </c>
      <c r="L8" s="646">
        <f>+Valuation!N55/Valuation!M55-1</f>
        <v>6.6417012872196599</v>
      </c>
      <c r="M8" s="646">
        <f>+Valuation!O55/Valuation!N55-1</f>
        <v>-1.9093004384706957</v>
      </c>
      <c r="N8" s="646">
        <f>+Valuation!P55/Valuation!O55-1</f>
        <v>-1.0515885954553639</v>
      </c>
      <c r="O8" s="646">
        <f>+Valuation!Q55/Valuation!P55-1</f>
        <v>20.645658580820676</v>
      </c>
      <c r="P8" s="646">
        <f>+Valuation!R55/Valuation!Q55-1</f>
        <v>-0.43001713529264085</v>
      </c>
      <c r="Q8" s="646">
        <f ca="1">+Valuation!S55/Valuation!R55-1</f>
        <v>-0.37595597048130147</v>
      </c>
      <c r="R8" s="646" t="e">
        <f ca="1">+Valuation!T55/Valuation!S55-1</f>
        <v>#NAME?</v>
      </c>
      <c r="S8" s="646" t="e">
        <f ca="1">+Valuation!U55/Valuation!T55-1</f>
        <v>#NAME?</v>
      </c>
      <c r="T8" s="646" t="e">
        <f ca="1">+Valuation!V55/Valuation!U55-1</f>
        <v>#NAME?</v>
      </c>
      <c r="U8" s="646" t="e">
        <f ca="1">+Valuation!W55/Valuation!V55-1</f>
        <v>#NAME?</v>
      </c>
      <c r="V8" s="646" t="e">
        <f ca="1">+Valuation!X55/Valuation!W55-1</f>
        <v>#NAME?</v>
      </c>
      <c r="W8" s="646" t="e">
        <f ca="1">+Valuation!Y55/Valuation!X55-1</f>
        <v>#NAME?</v>
      </c>
      <c r="X8" s="646" t="e">
        <f ca="1">+Valuation!Z55/Valuation!Y55-1</f>
        <v>#NAME?</v>
      </c>
      <c r="Y8" s="646" t="e">
        <f ca="1">+Valuation!AA55/Valuation!Z55-1</f>
        <v>#NAME?</v>
      </c>
      <c r="Z8" s="646" t="e">
        <f ca="1">+Valuation!AB55/Valuation!AA55-1</f>
        <v>#NAME?</v>
      </c>
      <c r="AA8" s="15"/>
    </row>
    <row r="9" spans="2:27">
      <c r="B9" s="641" t="s">
        <v>1080</v>
      </c>
      <c r="C9" s="646" t="e">
        <f>+Valuation!E24/Valuation!D24-1</f>
        <v>#DIV/0!</v>
      </c>
      <c r="D9" s="646" t="e">
        <f>+Valuation!F24/Valuation!E24-1</f>
        <v>#DIV/0!</v>
      </c>
      <c r="E9" s="646" t="e">
        <f>+Valuation!G24/Valuation!F24-1</f>
        <v>#DIV/0!</v>
      </c>
      <c r="F9" s="646" t="e">
        <f>+Valuation!H24/Valuation!G24-1</f>
        <v>#DIV/0!</v>
      </c>
      <c r="G9" s="646" t="e">
        <f>+Valuation!I24/Valuation!H24-1</f>
        <v>#DIV/0!</v>
      </c>
      <c r="H9" s="646" t="e">
        <f>+Valuation!J24/Valuation!I24-1</f>
        <v>#DIV/0!</v>
      </c>
      <c r="I9" s="646" t="e">
        <f>+Valuation!K24/Valuation!J24-1</f>
        <v>#DIV/0!</v>
      </c>
      <c r="J9" s="646" t="e">
        <f>+Valuation!L24/Valuation!K24-1</f>
        <v>#DIV/0!</v>
      </c>
      <c r="K9" s="646" t="e">
        <f>+Valuation!M24/Valuation!L24-1</f>
        <v>#DIV/0!</v>
      </c>
      <c r="L9" s="646">
        <f>+Valuation!N24/Valuation!M24-1</f>
        <v>6.5230773368936621</v>
      </c>
      <c r="M9" s="646">
        <f>+Valuation!O24/Valuation!N24-1</f>
        <v>-1.880918685419152</v>
      </c>
      <c r="N9" s="646">
        <f>+Valuation!P24/Valuation!O24-1</f>
        <v>-0.94035070370982599</v>
      </c>
      <c r="O9" s="646">
        <f>+Valuation!Q24/Valuation!P24-1</f>
        <v>-15.271504744466851</v>
      </c>
      <c r="P9" s="646">
        <f>+Valuation!R24/Valuation!Q24-1</f>
        <v>-0.37783205326028535</v>
      </c>
      <c r="Q9" s="646">
        <f ca="1">+Valuation!S24/Valuation!R24-1</f>
        <v>-0.39560205505917834</v>
      </c>
      <c r="R9" s="646" t="e">
        <f ca="1">+Valuation!T24/Valuation!S24-1</f>
        <v>#NAME?</v>
      </c>
      <c r="S9" s="646" t="e">
        <f ca="1">+Valuation!U24/Valuation!T24-1</f>
        <v>#NAME?</v>
      </c>
      <c r="T9" s="646" t="e">
        <f ca="1">+Valuation!V24/Valuation!U24-1</f>
        <v>#NAME?</v>
      </c>
      <c r="U9" s="646" t="e">
        <f ca="1">+Valuation!W24/Valuation!V24-1</f>
        <v>#NAME?</v>
      </c>
      <c r="V9" s="646" t="e">
        <f ca="1">+Valuation!X24/Valuation!W24-1</f>
        <v>#NAME?</v>
      </c>
      <c r="W9" s="646" t="e">
        <f ca="1">+Valuation!Y24/Valuation!X24-1</f>
        <v>#NAME?</v>
      </c>
      <c r="X9" s="646" t="e">
        <f ca="1">+Valuation!Z24/Valuation!Y24-1</f>
        <v>#NAME?</v>
      </c>
      <c r="Y9" s="646" t="e">
        <f ca="1">+Valuation!AA24/Valuation!Z24-1</f>
        <v>#NAME?</v>
      </c>
      <c r="Z9" s="646" t="e">
        <f ca="1">+Valuation!AB24/Valuation!AA24-1</f>
        <v>#NAME?</v>
      </c>
      <c r="AA9" s="15"/>
    </row>
    <row r="10" spans="2:27">
      <c r="B10" s="641" t="s">
        <v>1081</v>
      </c>
      <c r="C10" s="646" t="e">
        <f>+Valuation!E28/Valuation!D28-1</f>
        <v>#DIV/0!</v>
      </c>
      <c r="D10" s="646" t="e">
        <f>+Valuation!F28/Valuation!E28-1</f>
        <v>#DIV/0!</v>
      </c>
      <c r="E10" s="646" t="e">
        <f>+Valuation!G28/Valuation!F28-1</f>
        <v>#DIV/0!</v>
      </c>
      <c r="F10" s="646" t="e">
        <f>+Valuation!H28/Valuation!G28-1</f>
        <v>#DIV/0!</v>
      </c>
      <c r="G10" s="646" t="e">
        <f>+Valuation!I28/Valuation!H28-1</f>
        <v>#DIV/0!</v>
      </c>
      <c r="H10" s="646" t="e">
        <f>+Valuation!J28/Valuation!I28-1</f>
        <v>#DIV/0!</v>
      </c>
      <c r="I10" s="646" t="e">
        <f>+Valuation!K28/Valuation!J28-1</f>
        <v>#DIV/0!</v>
      </c>
      <c r="J10" s="646" t="e">
        <f>+Valuation!L28/Valuation!K28-1</f>
        <v>#DIV/0!</v>
      </c>
      <c r="K10" s="646" t="e">
        <f>+Valuation!M28/Valuation!L28-1</f>
        <v>#DIV/0!</v>
      </c>
      <c r="L10" s="646">
        <f>+Valuation!N28/Valuation!M28-1</f>
        <v>6.5260780803262497</v>
      </c>
      <c r="M10" s="646">
        <f>+Valuation!O28/Valuation!N28-1</f>
        <v>-1.9736835130445367</v>
      </c>
      <c r="N10" s="646">
        <f>+Valuation!P28/Valuation!O28-1</f>
        <v>-1.0019897966213449</v>
      </c>
      <c r="O10" s="646">
        <f>+Valuation!Q28/Valuation!P28-1</f>
        <v>509.60445870629962</v>
      </c>
      <c r="P10" s="646">
        <f>+Valuation!R28/Valuation!Q28-1</f>
        <v>-0.46830157487425117</v>
      </c>
      <c r="Q10" s="646">
        <f ca="1">+Valuation!S28/Valuation!R28-1</f>
        <v>-0.46028649195584759</v>
      </c>
      <c r="R10" s="646" t="e">
        <f ca="1">+Valuation!T28/Valuation!S28-1</f>
        <v>#NAME?</v>
      </c>
      <c r="S10" s="646" t="e">
        <f ca="1">+Valuation!U28/Valuation!T28-1</f>
        <v>#NAME?</v>
      </c>
      <c r="T10" s="646" t="e">
        <f ca="1">+Valuation!V28/Valuation!U28-1</f>
        <v>#NAME?</v>
      </c>
      <c r="U10" s="646" t="e">
        <f ca="1">+Valuation!W28/Valuation!V28-1</f>
        <v>#NAME?</v>
      </c>
      <c r="V10" s="646" t="e">
        <f ca="1">+Valuation!X28/Valuation!W28-1</f>
        <v>#NAME?</v>
      </c>
      <c r="W10" s="646" t="e">
        <f ca="1">+Valuation!Y28/Valuation!X28-1</f>
        <v>#NAME?</v>
      </c>
      <c r="X10" s="646" t="e">
        <f ca="1">+Valuation!Z28/Valuation!Y28-1</f>
        <v>#NAME?</v>
      </c>
      <c r="Y10" s="646" t="e">
        <f ca="1">+Valuation!AA28/Valuation!Z28-1</f>
        <v>#NAME?</v>
      </c>
      <c r="Z10" s="646" t="e">
        <f ca="1">+Valuation!AB28/Valuation!AA28-1</f>
        <v>#NAME?</v>
      </c>
      <c r="AA10" s="15"/>
    </row>
    <row r="11" spans="2:27">
      <c r="B11" s="641" t="s">
        <v>1108</v>
      </c>
      <c r="C11" s="646" t="e">
        <f>+Valuation!E98/Valuation!D98-1</f>
        <v>#DIV/0!</v>
      </c>
      <c r="D11" s="646" t="e">
        <f>+Valuation!F98/Valuation!E98-1</f>
        <v>#DIV/0!</v>
      </c>
      <c r="E11" s="646" t="e">
        <f>+Valuation!G98/Valuation!F98-1</f>
        <v>#DIV/0!</v>
      </c>
      <c r="F11" s="646" t="e">
        <f>+Valuation!H98/Valuation!G98-1</f>
        <v>#DIV/0!</v>
      </c>
      <c r="G11" s="646" t="e">
        <f>+Valuation!I98/Valuation!H98-1</f>
        <v>#DIV/0!</v>
      </c>
      <c r="H11" s="646" t="e">
        <f>+Valuation!J98/Valuation!I98-1</f>
        <v>#DIV/0!</v>
      </c>
      <c r="I11" s="646" t="e">
        <f>+Valuation!K98/Valuation!J98-1</f>
        <v>#DIV/0!</v>
      </c>
      <c r="J11" s="646" t="e">
        <f>+Valuation!L98/Valuation!K98-1</f>
        <v>#DIV/0!</v>
      </c>
      <c r="K11" s="646" t="e">
        <f>+Valuation!M98/Valuation!L98-1</f>
        <v>#DIV/0!</v>
      </c>
      <c r="L11" s="646">
        <f>+Valuation!N98/Valuation!M98-1</f>
        <v>10.484011302224557</v>
      </c>
      <c r="M11" s="646">
        <f>+Valuation!O98/Valuation!N98-1</f>
        <v>-1.6841975723006299</v>
      </c>
      <c r="N11" s="646">
        <f>+Valuation!P98/Valuation!O98-1</f>
        <v>-1.0394607629488271</v>
      </c>
      <c r="O11" s="646">
        <f>+Valuation!Q98/Valuation!P98-1</f>
        <v>26.526519430118906</v>
      </c>
      <c r="P11" s="646">
        <f>+Valuation!R98/Valuation!Q98-1</f>
        <v>-0.48584045537381615</v>
      </c>
      <c r="Q11" s="646">
        <f ca="1">+Valuation!S98/Valuation!R98-1</f>
        <v>-0.43128332721945184</v>
      </c>
      <c r="R11" s="646" t="e">
        <f ca="1">+Valuation!T98/Valuation!S98-1</f>
        <v>#NAME?</v>
      </c>
      <c r="S11" s="646" t="e">
        <f ca="1">+Valuation!U98/Valuation!T98-1</f>
        <v>#NAME?</v>
      </c>
      <c r="T11" s="646" t="e">
        <f ca="1">+Valuation!V98/Valuation!U98-1</f>
        <v>#NAME?</v>
      </c>
      <c r="U11" s="646" t="e">
        <f ca="1">+Valuation!W98/Valuation!V98-1</f>
        <v>#NAME?</v>
      </c>
      <c r="V11" s="646" t="e">
        <f ca="1">+Valuation!X98/Valuation!W98-1</f>
        <v>#NAME?</v>
      </c>
      <c r="W11" s="646" t="e">
        <f ca="1">+Valuation!Y98/Valuation!X98-1</f>
        <v>#NAME?</v>
      </c>
      <c r="X11" s="646" t="e">
        <f ca="1">+Valuation!Z98/Valuation!Y98-1</f>
        <v>#NAME?</v>
      </c>
      <c r="Y11" s="646" t="e">
        <f ca="1">+Valuation!AA98/Valuation!Z98-1</f>
        <v>#NAME?</v>
      </c>
      <c r="Z11" s="646" t="e">
        <f ca="1">+Valuation!AB98/Valuation!AA98-1</f>
        <v>#NAME?</v>
      </c>
      <c r="AA11" s="15"/>
    </row>
    <row r="12" spans="2:27">
      <c r="B12" s="641" t="s">
        <v>1082</v>
      </c>
      <c r="C12" s="646" t="e">
        <f>+Valuation!E34/Valuation!D34-1</f>
        <v>#DIV/0!</v>
      </c>
      <c r="D12" s="646" t="e">
        <f>+Valuation!F34/Valuation!E34-1</f>
        <v>#DIV/0!</v>
      </c>
      <c r="E12" s="646" t="e">
        <f>+Valuation!G34/Valuation!F34-1</f>
        <v>#DIV/0!</v>
      </c>
      <c r="F12" s="646" t="e">
        <f>+Valuation!H34/Valuation!G34-1</f>
        <v>#DIV/0!</v>
      </c>
      <c r="G12" s="646" t="e">
        <f>+Valuation!I34/Valuation!H34-1</f>
        <v>#DIV/0!</v>
      </c>
      <c r="H12" s="646" t="e">
        <f>+Valuation!J34/Valuation!I34-1</f>
        <v>#DIV/0!</v>
      </c>
      <c r="I12" s="646" t="e">
        <f>+Valuation!K34/Valuation!J34-1</f>
        <v>#DIV/0!</v>
      </c>
      <c r="J12" s="646" t="e">
        <f>+Valuation!L34/Valuation!K34-1</f>
        <v>#DIV/0!</v>
      </c>
      <c r="K12" s="646" t="e">
        <f>+Valuation!M34/Valuation!L34-1</f>
        <v>#DIV/0!</v>
      </c>
      <c r="L12" s="646">
        <f>+Valuation!N34/Valuation!M34-1</f>
        <v>10.448698954045611</v>
      </c>
      <c r="M12" s="646">
        <f>+Valuation!O34/Valuation!N34-1</f>
        <v>-1.7242996920631768</v>
      </c>
      <c r="N12" s="646">
        <f>+Valuation!P34/Valuation!O34-1</f>
        <v>-1.0361420355214521</v>
      </c>
      <c r="O12" s="646">
        <f>+Valuation!Q34/Valuation!P34-1</f>
        <v>26.184977495757398</v>
      </c>
      <c r="P12" s="646">
        <f>+Valuation!R34/Valuation!Q34-1</f>
        <v>-0.51132425459449271</v>
      </c>
      <c r="Q12" s="646">
        <f ca="1">+Valuation!S34/Valuation!R34-1</f>
        <v>-0.54915841739310478</v>
      </c>
      <c r="R12" s="646" t="e">
        <f ca="1">+Valuation!T34/Valuation!S34-1</f>
        <v>#NAME?</v>
      </c>
      <c r="S12" s="646" t="e">
        <f ca="1">+Valuation!U34/Valuation!T34-1</f>
        <v>#NAME?</v>
      </c>
      <c r="T12" s="646" t="e">
        <f ca="1">+Valuation!V34/Valuation!U34-1</f>
        <v>#NAME?</v>
      </c>
      <c r="U12" s="646" t="e">
        <f ca="1">+Valuation!W34/Valuation!V34-1</f>
        <v>#NAME?</v>
      </c>
      <c r="V12" s="646" t="e">
        <f ca="1">+Valuation!X34/Valuation!W34-1</f>
        <v>#NAME?</v>
      </c>
      <c r="W12" s="646" t="e">
        <f ca="1">+Valuation!Y34/Valuation!X34-1</f>
        <v>#NAME?</v>
      </c>
      <c r="X12" s="646" t="e">
        <f ca="1">+Valuation!Z34/Valuation!Y34-1</f>
        <v>#NAME?</v>
      </c>
      <c r="Y12" s="646" t="e">
        <f ca="1">+Valuation!AA34/Valuation!Z34-1</f>
        <v>#NAME?</v>
      </c>
      <c r="Z12" s="646" t="e">
        <f ca="1">+Valuation!AB34/Valuation!AA34-1</f>
        <v>#NAME?</v>
      </c>
      <c r="AA12" s="15"/>
    </row>
    <row r="13" spans="2:27">
      <c r="B13" s="641" t="s">
        <v>1083</v>
      </c>
      <c r="C13" s="646" t="e">
        <f>+Valuation!E36/Valuation!D36-1</f>
        <v>#DIV/0!</v>
      </c>
      <c r="D13" s="646" t="e">
        <f>+Valuation!F36/Valuation!E36-1</f>
        <v>#DIV/0!</v>
      </c>
      <c r="E13" s="646" t="e">
        <f>+Valuation!G36/Valuation!F36-1</f>
        <v>#DIV/0!</v>
      </c>
      <c r="F13" s="646" t="e">
        <f>+Valuation!H36/Valuation!G36-1</f>
        <v>#DIV/0!</v>
      </c>
      <c r="G13" s="646" t="e">
        <f>+Valuation!I36/Valuation!H36-1</f>
        <v>#DIV/0!</v>
      </c>
      <c r="H13" s="646" t="e">
        <f>+Valuation!J36/Valuation!I36-1</f>
        <v>#DIV/0!</v>
      </c>
      <c r="I13" s="646" t="e">
        <f>+Valuation!K36/Valuation!J36-1</f>
        <v>#DIV/0!</v>
      </c>
      <c r="J13" s="646" t="e">
        <f>+Valuation!L36/Valuation!K36-1</f>
        <v>#DIV/0!</v>
      </c>
      <c r="K13" s="646" t="e">
        <f>+Valuation!M36/Valuation!L36-1</f>
        <v>#DIV/0!</v>
      </c>
      <c r="L13" s="646">
        <f>+Valuation!N36/Valuation!M36-1</f>
        <v>10.448698954045611</v>
      </c>
      <c r="M13" s="646">
        <f>+Valuation!O36/Valuation!N36-1</f>
        <v>-1.7242996920631768</v>
      </c>
      <c r="N13" s="646">
        <f>+Valuation!P36/Valuation!O36-1</f>
        <v>-1.0361420355214521</v>
      </c>
      <c r="O13" s="646">
        <f>+Valuation!Q36/Valuation!P36-1</f>
        <v>26.184977495757398</v>
      </c>
      <c r="P13" s="646">
        <f>+Valuation!R36/Valuation!Q36-1</f>
        <v>-0.51132425459449271</v>
      </c>
      <c r="Q13" s="646">
        <f ca="1">+Valuation!S36/Valuation!R36-1</f>
        <v>-0.54915841739310478</v>
      </c>
      <c r="R13" s="646" t="e">
        <f ca="1">+Valuation!T36/Valuation!S36-1</f>
        <v>#NAME?</v>
      </c>
      <c r="S13" s="646" t="e">
        <f ca="1">+Valuation!U36/Valuation!T36-1</f>
        <v>#NAME?</v>
      </c>
      <c r="T13" s="646" t="e">
        <f ca="1">+Valuation!V36/Valuation!U36-1</f>
        <v>#NAME?</v>
      </c>
      <c r="U13" s="646" t="e">
        <f ca="1">+Valuation!W36/Valuation!V36-1</f>
        <v>#NAME?</v>
      </c>
      <c r="V13" s="646" t="e">
        <f ca="1">+Valuation!X36/Valuation!W36-1</f>
        <v>#NAME?</v>
      </c>
      <c r="W13" s="646" t="e">
        <f ca="1">+Valuation!Y36/Valuation!X36-1</f>
        <v>#NAME?</v>
      </c>
      <c r="X13" s="646" t="e">
        <f ca="1">+Valuation!Z36/Valuation!Y36-1</f>
        <v>#NAME?</v>
      </c>
      <c r="Y13" s="646" t="e">
        <f ca="1">+Valuation!AA36/Valuation!Z36-1</f>
        <v>#NAME?</v>
      </c>
      <c r="Z13" s="646" t="e">
        <f ca="1">+Valuation!AB36/Valuation!AA36-1</f>
        <v>#NAME?</v>
      </c>
      <c r="AA13" s="15"/>
    </row>
    <row r="14" spans="2:27">
      <c r="B14" s="641" t="s">
        <v>1084</v>
      </c>
      <c r="C14" s="646" t="e">
        <f>+Valuation!E41/Valuation!D41-1</f>
        <v>#DIV/0!</v>
      </c>
      <c r="D14" s="646" t="e">
        <f>+Valuation!F41/Valuation!E41-1</f>
        <v>#DIV/0!</v>
      </c>
      <c r="E14" s="646" t="e">
        <f>+Valuation!G41/Valuation!F41-1</f>
        <v>#DIV/0!</v>
      </c>
      <c r="F14" s="646" t="e">
        <f>+Valuation!H41/Valuation!G41-1</f>
        <v>#DIV/0!</v>
      </c>
      <c r="G14" s="646" t="e">
        <f>+Valuation!I41/Valuation!H41-1</f>
        <v>#DIV/0!</v>
      </c>
      <c r="H14" s="646" t="e">
        <f>+Valuation!J41/Valuation!I41-1</f>
        <v>#DIV/0!</v>
      </c>
      <c r="I14" s="646" t="e">
        <f>+Valuation!K41/Valuation!J41-1</f>
        <v>#DIV/0!</v>
      </c>
      <c r="J14" s="646" t="e">
        <f>+Valuation!L41/Valuation!K41-1</f>
        <v>#DIV/0!</v>
      </c>
      <c r="K14" s="646" t="e">
        <f>+Valuation!M41/Valuation!L41-1</f>
        <v>#DIV/0!</v>
      </c>
      <c r="L14" s="646">
        <f>+Valuation!N41/Valuation!M41-1</f>
        <v>3.7472297088152482</v>
      </c>
      <c r="M14" s="646">
        <f>+Valuation!O41/Valuation!N41-1</f>
        <v>-1.7165692853433812</v>
      </c>
      <c r="N14" s="646">
        <f>+Valuation!P41/Valuation!O41-1</f>
        <v>-1.0315881768371074</v>
      </c>
      <c r="O14" s="646">
        <f>+Valuation!Q41/Valuation!P41-1</f>
        <v>24.296984055437072</v>
      </c>
      <c r="P14" s="646">
        <f>+Valuation!R41/Valuation!Q41-1</f>
        <v>-0.53485890326653629</v>
      </c>
      <c r="Q14" s="646" t="e">
        <f>+Valuation!S41/Valuation!R41-1</f>
        <v>#NAME?</v>
      </c>
      <c r="R14" s="646" t="e">
        <f ca="1">+Valuation!T41/Valuation!S41-1</f>
        <v>#NAME?</v>
      </c>
      <c r="S14" s="646" t="e">
        <f ca="1">+Valuation!U41/Valuation!T41-1</f>
        <v>#NAME?</v>
      </c>
      <c r="T14" s="646" t="e">
        <f ca="1">+Valuation!V41/Valuation!U41-1</f>
        <v>#NAME?</v>
      </c>
      <c r="U14" s="646" t="e">
        <f ca="1">+Valuation!W41/Valuation!V41-1</f>
        <v>#NAME?</v>
      </c>
      <c r="V14" s="646" t="e">
        <f ca="1">+Valuation!X41/Valuation!W41-1</f>
        <v>#NAME?</v>
      </c>
      <c r="W14" s="646" t="e">
        <f ca="1">+Valuation!Y41/Valuation!X41-1</f>
        <v>#NAME?</v>
      </c>
      <c r="X14" s="646" t="e">
        <f ca="1">+Valuation!Z41/Valuation!Y41-1</f>
        <v>#NAME?</v>
      </c>
      <c r="Y14" s="646" t="e">
        <f ca="1">+Valuation!AA41/Valuation!Z41-1</f>
        <v>#NAME?</v>
      </c>
      <c r="Z14" s="646" t="e">
        <f ca="1">+Valuation!AB41/Valuation!AA41-1</f>
        <v>#NAME?</v>
      </c>
      <c r="AA14" s="15"/>
    </row>
    <row r="15" spans="2:27">
      <c r="B15" s="641" t="s">
        <v>1085</v>
      </c>
      <c r="C15" s="646" t="e">
        <f>+Valuation!E42/Valuation!D42-1</f>
        <v>#DIV/0!</v>
      </c>
      <c r="D15" s="646" t="e">
        <f>+Valuation!F42/Valuation!E42-1</f>
        <v>#DIV/0!</v>
      </c>
      <c r="E15" s="646" t="e">
        <f>+Valuation!G42/Valuation!F42-1</f>
        <v>#DIV/0!</v>
      </c>
      <c r="F15" s="646" t="e">
        <f>+Valuation!H42/Valuation!G42-1</f>
        <v>#DIV/0!</v>
      </c>
      <c r="G15" s="646" t="e">
        <f>+Valuation!I42/Valuation!H42-1</f>
        <v>#DIV/0!</v>
      </c>
      <c r="H15" s="646" t="e">
        <f>+Valuation!J42/Valuation!I42-1</f>
        <v>#DIV/0!</v>
      </c>
      <c r="I15" s="646" t="e">
        <f>+Valuation!K42/Valuation!J42-1</f>
        <v>#DIV/0!</v>
      </c>
      <c r="J15" s="646" t="e">
        <f>+Valuation!L42/Valuation!K42-1</f>
        <v>#DIV/0!</v>
      </c>
      <c r="K15" s="646" t="e">
        <f>+Valuation!M42/Valuation!L42-1</f>
        <v>#DIV/0!</v>
      </c>
      <c r="L15" s="646">
        <f>+Valuation!N42/Valuation!M42-1</f>
        <v>3.7472297088152482</v>
      </c>
      <c r="M15" s="646">
        <f>+Valuation!O42/Valuation!N42-1</f>
        <v>-1.7165692853433812</v>
      </c>
      <c r="N15" s="646">
        <f>+Valuation!P42/Valuation!O42-1</f>
        <v>-1.0315881768371074</v>
      </c>
      <c r="O15" s="646">
        <f>+Valuation!Q42/Valuation!P42-1</f>
        <v>24.296984055437072</v>
      </c>
      <c r="P15" s="646">
        <f>+Valuation!R42/Valuation!Q42-1</f>
        <v>-0.53485890326653629</v>
      </c>
      <c r="Q15" s="646" t="e">
        <f>+Valuation!S42/Valuation!R42-1</f>
        <v>#NAME?</v>
      </c>
      <c r="R15" s="646" t="e">
        <f ca="1">+Valuation!T42/Valuation!S42-1</f>
        <v>#NAME?</v>
      </c>
      <c r="S15" s="646" t="e">
        <f ca="1">+Valuation!U42/Valuation!T42-1</f>
        <v>#NAME?</v>
      </c>
      <c r="T15" s="646" t="e">
        <f ca="1">+Valuation!V42/Valuation!U42-1</f>
        <v>#NAME?</v>
      </c>
      <c r="U15" s="646" t="e">
        <f ca="1">+Valuation!W42/Valuation!V42-1</f>
        <v>#NAME?</v>
      </c>
      <c r="V15" s="646" t="e">
        <f ca="1">+Valuation!X42/Valuation!W42-1</f>
        <v>#NAME?</v>
      </c>
      <c r="W15" s="646" t="e">
        <f ca="1">+Valuation!Y42/Valuation!X42-1</f>
        <v>#NAME?</v>
      </c>
      <c r="X15" s="646" t="e">
        <f ca="1">+Valuation!Z42/Valuation!Y42-1</f>
        <v>#NAME?</v>
      </c>
      <c r="Y15" s="646" t="e">
        <f ca="1">+Valuation!AA42/Valuation!Z42-1</f>
        <v>#NAME?</v>
      </c>
      <c r="Z15" s="646" t="e">
        <f ca="1">+Valuation!AB42/Valuation!AA42-1</f>
        <v>#NAME?</v>
      </c>
      <c r="AA15" s="15"/>
    </row>
    <row r="16" spans="2:27">
      <c r="B16" s="641" t="s">
        <v>1086</v>
      </c>
      <c r="C16" s="646" t="e">
        <f>+Valuation!E45/Valuation!D45-1</f>
        <v>#DIV/0!</v>
      </c>
      <c r="D16" s="646" t="e">
        <f>+Valuation!F45/Valuation!E45-1</f>
        <v>#DIV/0!</v>
      </c>
      <c r="E16" s="646" t="e">
        <f>+Valuation!G45/Valuation!F45-1</f>
        <v>#DIV/0!</v>
      </c>
      <c r="F16" s="646" t="e">
        <f>+Valuation!H45/Valuation!G45-1</f>
        <v>#DIV/0!</v>
      </c>
      <c r="G16" s="646" t="e">
        <f>+Valuation!I45/Valuation!H45-1</f>
        <v>#DIV/0!</v>
      </c>
      <c r="H16" s="646" t="e">
        <f>+Valuation!J45/Valuation!I45-1</f>
        <v>#DIV/0!</v>
      </c>
      <c r="I16" s="646" t="e">
        <f>+Valuation!K45/Valuation!J45-1</f>
        <v>#DIV/0!</v>
      </c>
      <c r="J16" s="646" t="e">
        <f>+Valuation!L45/Valuation!K45-1</f>
        <v>#DIV/0!</v>
      </c>
      <c r="K16" s="646" t="e">
        <f>+Valuation!M45/Valuation!L45-1</f>
        <v>#DIV/0!</v>
      </c>
      <c r="L16" s="646" t="e">
        <f>+Valuation!N45/Valuation!M45-1</f>
        <v>#DIV/0!</v>
      </c>
      <c r="M16" s="646">
        <f>+Valuation!O45/Valuation!N45-1</f>
        <v>-1.7165692853433812</v>
      </c>
      <c r="N16" s="646">
        <f>+Valuation!P45/Valuation!O45-1</f>
        <v>-1.0315881768371074</v>
      </c>
      <c r="O16" s="646">
        <f>+Valuation!Q45/Valuation!P45-1</f>
        <v>24.296984055437072</v>
      </c>
      <c r="P16" s="646">
        <f>+Valuation!R45/Valuation!Q45-1</f>
        <v>-0.53485890326653629</v>
      </c>
      <c r="Q16" s="646" t="e">
        <f>+Valuation!S45/Valuation!R45-1</f>
        <v>#NAME?</v>
      </c>
      <c r="R16" s="646" t="e">
        <f ca="1">+Valuation!T45/Valuation!S45-1</f>
        <v>#NAME?</v>
      </c>
      <c r="S16" s="646" t="e">
        <f ca="1">+Valuation!U45/Valuation!T45-1</f>
        <v>#NAME?</v>
      </c>
      <c r="T16" s="646" t="e">
        <f ca="1">+Valuation!V45/Valuation!U45-1</f>
        <v>#NAME?</v>
      </c>
      <c r="U16" s="646" t="e">
        <f ca="1">+Valuation!W45/Valuation!V45-1</f>
        <v>#NAME?</v>
      </c>
      <c r="V16" s="646" t="e">
        <f ca="1">+Valuation!X45/Valuation!W45-1</f>
        <v>#NAME?</v>
      </c>
      <c r="W16" s="646" t="e">
        <f ca="1">+Valuation!Y45/Valuation!X45-1</f>
        <v>#NAME?</v>
      </c>
      <c r="X16" s="646" t="e">
        <f ca="1">+Valuation!Z45/Valuation!Y45-1</f>
        <v>#NAME?</v>
      </c>
      <c r="Y16" s="646" t="e">
        <f ca="1">+Valuation!AA45/Valuation!Z45-1</f>
        <v>#NAME?</v>
      </c>
      <c r="Z16" s="646" t="e">
        <f ca="1">+Valuation!AB45/Valuation!AA45-1</f>
        <v>#NAME?</v>
      </c>
      <c r="AA16" s="15"/>
    </row>
    <row r="17" spans="2:27">
      <c r="B17" s="641" t="s">
        <v>1087</v>
      </c>
      <c r="C17" s="646" t="e">
        <f>+Valuation!E49/Valuation!D49-1</f>
        <v>#DIV/0!</v>
      </c>
      <c r="D17" s="646" t="e">
        <f>+Valuation!F49/Valuation!E49-1</f>
        <v>#DIV/0!</v>
      </c>
      <c r="E17" s="646" t="e">
        <f>+Valuation!G49/Valuation!F49-1</f>
        <v>#DIV/0!</v>
      </c>
      <c r="F17" s="646" t="e">
        <f>+Valuation!H49/Valuation!G49-1</f>
        <v>#DIV/0!</v>
      </c>
      <c r="G17" s="646" t="e">
        <f>+Valuation!I49/Valuation!H49-1</f>
        <v>#DIV/0!</v>
      </c>
      <c r="H17" s="646" t="e">
        <f>+Valuation!J49/Valuation!I49-1</f>
        <v>#DIV/0!</v>
      </c>
      <c r="I17" s="646" t="e">
        <f>+Valuation!K49/Valuation!J49-1</f>
        <v>#DIV/0!</v>
      </c>
      <c r="J17" s="646" t="e">
        <f>+Valuation!L49/Valuation!K49-1</f>
        <v>#DIV/0!</v>
      </c>
      <c r="K17" s="646" t="e">
        <f>+Valuation!M49/Valuation!L49-1</f>
        <v>#DIV/0!</v>
      </c>
      <c r="L17" s="646" t="e">
        <f>+Valuation!N49/Valuation!M49-1</f>
        <v>#DIV/0!</v>
      </c>
      <c r="M17" s="646" t="e">
        <f>+Valuation!O49/Valuation!N49-1</f>
        <v>#DIV/0!</v>
      </c>
      <c r="N17" s="646" t="e">
        <f>+Valuation!P49/Valuation!O49-1</f>
        <v>#DIV/0!</v>
      </c>
      <c r="O17" s="646" t="e">
        <f>+Valuation!Q49/Valuation!P49-1</f>
        <v>#DIV/0!</v>
      </c>
      <c r="P17" s="646" t="e">
        <f>+Valuation!R49/Valuation!Q49-1</f>
        <v>#DIV/0!</v>
      </c>
      <c r="Q17" s="646" t="e">
        <f>+Valuation!S49/Valuation!R49-1</f>
        <v>#DIV/0!</v>
      </c>
      <c r="R17" s="646" t="e">
        <f>+Valuation!T49/Valuation!S49-1</f>
        <v>#DIV/0!</v>
      </c>
      <c r="S17" s="646" t="e">
        <f>+Valuation!U49/Valuation!T49-1</f>
        <v>#DIV/0!</v>
      </c>
      <c r="T17" s="646" t="e">
        <f>+Valuation!V49/Valuation!U49-1</f>
        <v>#DIV/0!</v>
      </c>
      <c r="U17" s="646" t="e">
        <f>+Valuation!W49/Valuation!V49-1</f>
        <v>#DIV/0!</v>
      </c>
      <c r="V17" s="646" t="e">
        <f>+Valuation!X49/Valuation!W49-1</f>
        <v>#DIV/0!</v>
      </c>
      <c r="W17" s="646" t="e">
        <f>+Valuation!Y49/Valuation!X49-1</f>
        <v>#DIV/0!</v>
      </c>
      <c r="X17" s="646" t="e">
        <f>+Valuation!Z49/Valuation!Y49-1</f>
        <v>#DIV/0!</v>
      </c>
      <c r="Y17" s="646" t="e">
        <f>+Valuation!AA49/Valuation!Z49-1</f>
        <v>#DIV/0!</v>
      </c>
      <c r="Z17" s="646" t="e">
        <f>+Valuation!AB49/Valuation!AA49-1</f>
        <v>#DIV/0!</v>
      </c>
      <c r="AA17" s="15"/>
    </row>
    <row r="18" spans="2:27">
      <c r="B18" s="641" t="s">
        <v>1089</v>
      </c>
      <c r="C18" s="646" t="e">
        <f>+Valuation!E73/Valuation!D73-1</f>
        <v>#DIV/0!</v>
      </c>
      <c r="D18" s="646" t="e">
        <f>+Valuation!F73/Valuation!E73-1</f>
        <v>#DIV/0!</v>
      </c>
      <c r="E18" s="646" t="e">
        <f>+Valuation!G73/Valuation!F73-1</f>
        <v>#DIV/0!</v>
      </c>
      <c r="F18" s="646" t="e">
        <f>+Valuation!H73/Valuation!G73-1</f>
        <v>#DIV/0!</v>
      </c>
      <c r="G18" s="646" t="e">
        <f>+Valuation!I73/Valuation!H73-1</f>
        <v>#DIV/0!</v>
      </c>
      <c r="H18" s="646" t="e">
        <f>+Valuation!J73/Valuation!I73-1</f>
        <v>#DIV/0!</v>
      </c>
      <c r="I18" s="646" t="e">
        <f>+Valuation!K73/Valuation!J73-1</f>
        <v>#DIV/0!</v>
      </c>
      <c r="J18" s="646" t="e">
        <f>+Valuation!L73/Valuation!K73-1</f>
        <v>#DIV/0!</v>
      </c>
      <c r="K18" s="646" t="e">
        <f>+Valuation!M73/Valuation!L73-1</f>
        <v>#DIV/0!</v>
      </c>
      <c r="L18" s="646">
        <f>+Valuation!N73/Valuation!M73-1</f>
        <v>-5.22962943772629</v>
      </c>
      <c r="M18" s="646">
        <f>+Valuation!O73/Valuation!N73-1</f>
        <v>-3.6224882260783327</v>
      </c>
      <c r="N18" s="646">
        <f>+Valuation!P73/Valuation!O73-1</f>
        <v>-0.84913171754265404</v>
      </c>
      <c r="O18" s="646">
        <f>+Valuation!Q73/Valuation!P73-1</f>
        <v>0.6129283508378589</v>
      </c>
      <c r="P18" s="646">
        <f>+Valuation!R73/Valuation!Q73-1</f>
        <v>-0.53911617725943217</v>
      </c>
      <c r="Q18" s="646">
        <f ca="1">+Valuation!S73/Valuation!R73-1</f>
        <v>0.42761882764687686</v>
      </c>
      <c r="R18" s="646" t="e">
        <f ca="1">+Valuation!T73/Valuation!S73-1</f>
        <v>#NAME?</v>
      </c>
      <c r="S18" s="646" t="e">
        <f ca="1">+Valuation!U73/Valuation!T73-1</f>
        <v>#NAME?</v>
      </c>
      <c r="T18" s="646" t="e">
        <f ca="1">+Valuation!V73/Valuation!U73-1</f>
        <v>#NAME?</v>
      </c>
      <c r="U18" s="646" t="e">
        <f ca="1">+Valuation!W73/Valuation!V73-1</f>
        <v>#NAME?</v>
      </c>
      <c r="V18" s="646" t="e">
        <f ca="1">+Valuation!X73/Valuation!W73-1</f>
        <v>#NAME?</v>
      </c>
      <c r="W18" s="646" t="e">
        <f ca="1">+Valuation!Y73/Valuation!X73-1</f>
        <v>#NAME?</v>
      </c>
      <c r="X18" s="646" t="e">
        <f ca="1">+Valuation!Z73/Valuation!Y73-1</f>
        <v>#NAME?</v>
      </c>
      <c r="Y18" s="646" t="e">
        <f ca="1">+Valuation!AA73/Valuation!Z73-1</f>
        <v>#NAME?</v>
      </c>
      <c r="Z18" s="646" t="e">
        <f ca="1">+Valuation!AB73/Valuation!AA73-1</f>
        <v>#NAME?</v>
      </c>
      <c r="AA18" s="15"/>
    </row>
    <row r="19" spans="2:27">
      <c r="B19" s="641"/>
      <c r="C19" s="15"/>
      <c r="D19" s="15"/>
      <c r="E19" s="15"/>
      <c r="F19" s="15"/>
      <c r="G19" s="15"/>
      <c r="H19" s="15"/>
      <c r="I19" s="15"/>
      <c r="J19" s="15"/>
      <c r="K19" s="15"/>
      <c r="L19" s="15"/>
      <c r="M19" s="15"/>
      <c r="N19" s="15"/>
      <c r="O19" s="15"/>
      <c r="P19" s="15"/>
      <c r="Q19" s="15"/>
      <c r="R19" s="15"/>
      <c r="S19" s="15"/>
      <c r="T19" s="15"/>
      <c r="U19" s="15"/>
      <c r="V19" s="15"/>
      <c r="W19" s="15"/>
      <c r="X19" s="15"/>
      <c r="Y19" s="15"/>
      <c r="Z19" s="15"/>
      <c r="AA19" s="15"/>
    </row>
    <row r="20" spans="2:27" ht="45" customHeight="1">
      <c r="B20" s="641"/>
      <c r="C20" s="15"/>
      <c r="D20" s="15"/>
      <c r="E20" s="15"/>
      <c r="F20" s="15"/>
      <c r="G20" s="15"/>
      <c r="H20" s="15"/>
      <c r="I20" s="15"/>
      <c r="J20" s="15"/>
      <c r="K20" s="15"/>
      <c r="L20" s="15"/>
      <c r="M20" s="15"/>
      <c r="N20" s="15"/>
      <c r="O20" s="15"/>
      <c r="P20" s="15"/>
      <c r="Q20" s="15"/>
      <c r="R20" s="15"/>
      <c r="S20" s="15"/>
      <c r="T20" s="15"/>
      <c r="U20" s="15"/>
      <c r="V20" s="15"/>
      <c r="W20" s="15"/>
      <c r="X20" s="15"/>
      <c r="Y20" s="15"/>
      <c r="Z20" s="15"/>
      <c r="AA20" s="15"/>
    </row>
    <row r="21" spans="2:27" ht="19.25" customHeight="1">
      <c r="B21" s="641"/>
      <c r="C21" s="644">
        <f>+Valuation!E$9</f>
        <v>2012</v>
      </c>
      <c r="D21" s="644">
        <f>+Valuation!F$9</f>
        <v>2013</v>
      </c>
      <c r="E21" s="644">
        <f>+Valuation!G$9</f>
        <v>2014</v>
      </c>
      <c r="F21" s="644">
        <f>+Valuation!H$9</f>
        <v>2015</v>
      </c>
      <c r="G21" s="644">
        <f>+Valuation!I$9</f>
        <v>2016</v>
      </c>
      <c r="H21" s="644">
        <f>+Valuation!J$9</f>
        <v>2017</v>
      </c>
      <c r="I21" s="644">
        <f>+Valuation!K$9</f>
        <v>2018</v>
      </c>
      <c r="J21" s="644">
        <f>+Valuation!L$9</f>
        <v>2019</v>
      </c>
      <c r="K21" s="644">
        <f>+Valuation!M$9</f>
        <v>2020</v>
      </c>
      <c r="L21" s="644">
        <f>+Valuation!N$9</f>
        <v>2021</v>
      </c>
      <c r="M21" s="644">
        <f>+Valuation!O$9</f>
        <v>2022</v>
      </c>
      <c r="N21" s="644">
        <f>+Valuation!P$9</f>
        <v>2023</v>
      </c>
      <c r="O21" s="644">
        <f>+Valuation!Q$9</f>
        <v>2024</v>
      </c>
      <c r="P21" s="644">
        <f>+Valuation!R$9</f>
        <v>2025</v>
      </c>
      <c r="Q21" s="645">
        <f>+Valuation!S$9</f>
        <v>2026</v>
      </c>
      <c r="R21" s="645">
        <f>+Valuation!T$9</f>
        <v>2027</v>
      </c>
      <c r="S21" s="645">
        <f>+Valuation!U$9</f>
        <v>2028</v>
      </c>
      <c r="T21" s="645">
        <f>+Valuation!V$9</f>
        <v>2029</v>
      </c>
      <c r="U21" s="645">
        <f>+Valuation!W$9</f>
        <v>2030</v>
      </c>
      <c r="V21" s="645">
        <f>+Valuation!X$9</f>
        <v>2031</v>
      </c>
      <c r="W21" s="645">
        <f>+Valuation!Y$9</f>
        <v>2032</v>
      </c>
      <c r="X21" s="645">
        <f>+Valuation!Z$9</f>
        <v>2033</v>
      </c>
      <c r="Y21" s="645">
        <f>+Valuation!AA$9</f>
        <v>2034</v>
      </c>
      <c r="Z21" s="645">
        <f>+Valuation!AB$9</f>
        <v>2035</v>
      </c>
      <c r="AA21" s="15"/>
    </row>
    <row r="22" spans="2:27">
      <c r="B22" s="641" t="s">
        <v>1090</v>
      </c>
      <c r="C22" s="646" t="e">
        <f>+Valuation!E14/Valuation!E$11</f>
        <v>#DIV/0!</v>
      </c>
      <c r="D22" s="646" t="e">
        <f>+Valuation!F14/Valuation!F$11</f>
        <v>#DIV/0!</v>
      </c>
      <c r="E22" s="646" t="e">
        <f>+Valuation!G14/Valuation!G$11</f>
        <v>#DIV/0!</v>
      </c>
      <c r="F22" s="646" t="e">
        <f>+Valuation!H14/Valuation!H$11</f>
        <v>#DIV/0!</v>
      </c>
      <c r="G22" s="646" t="e">
        <f>+Valuation!I14/Valuation!I$11</f>
        <v>#DIV/0!</v>
      </c>
      <c r="H22" s="646" t="e">
        <f>+Valuation!J14/Valuation!J$11</f>
        <v>#DIV/0!</v>
      </c>
      <c r="I22" s="646" t="e">
        <f>+Valuation!K14/Valuation!K$11</f>
        <v>#DIV/0!</v>
      </c>
      <c r="J22" s="646" t="e">
        <f>+Valuation!L14/Valuation!L$11</f>
        <v>#DIV/0!</v>
      </c>
      <c r="K22" s="646">
        <f>+Valuation!M14/Valuation!M$11</f>
        <v>1</v>
      </c>
      <c r="L22" s="646">
        <f>+Valuation!N14/Valuation!N$11</f>
        <v>1</v>
      </c>
      <c r="M22" s="646">
        <f>+Valuation!O14/Valuation!O$11</f>
        <v>1</v>
      </c>
      <c r="N22" s="646">
        <f>+Valuation!P14/Valuation!P$11</f>
        <v>1</v>
      </c>
      <c r="O22" s="646">
        <f>+Valuation!Q14/Valuation!Q$11</f>
        <v>1</v>
      </c>
      <c r="P22" s="646">
        <f>+Valuation!R14/Valuation!R$11</f>
        <v>1</v>
      </c>
      <c r="Q22" s="646">
        <f ca="1">+Valuation!S14/Valuation!S$11</f>
        <v>1</v>
      </c>
      <c r="R22" s="646" t="e">
        <f ca="1">+Valuation!T14/Valuation!T$11</f>
        <v>#NAME?</v>
      </c>
      <c r="S22" s="646" t="e">
        <f ca="1">+Valuation!U14/Valuation!U$11</f>
        <v>#NAME?</v>
      </c>
      <c r="T22" s="646" t="e">
        <f ca="1">+Valuation!V14/Valuation!V$11</f>
        <v>#NAME?</v>
      </c>
      <c r="U22" s="646" t="e">
        <f ca="1">+Valuation!W14/Valuation!W$11</f>
        <v>#NAME?</v>
      </c>
      <c r="V22" s="646" t="e">
        <f ca="1">+Valuation!X14/Valuation!X$11</f>
        <v>#NAME?</v>
      </c>
      <c r="W22" s="646" t="e">
        <f ca="1">+Valuation!Y14/Valuation!Y$11</f>
        <v>#NAME?</v>
      </c>
      <c r="X22" s="646" t="e">
        <f ca="1">+Valuation!Z14/Valuation!Z$11</f>
        <v>#NAME?</v>
      </c>
      <c r="Y22" s="646" t="e">
        <f ca="1">+Valuation!AA14/Valuation!AA$11</f>
        <v>#NAME?</v>
      </c>
      <c r="Z22" s="646" t="e">
        <f ca="1">+Valuation!AB14/Valuation!AB$11</f>
        <v>#NAME?</v>
      </c>
      <c r="AA22" s="15"/>
    </row>
    <row r="23" spans="2:27">
      <c r="B23" s="641" t="s">
        <v>84</v>
      </c>
      <c r="C23" s="646" t="e">
        <f>+Valuation!E52/Valuation!E$11</f>
        <v>#DIV/0!</v>
      </c>
      <c r="D23" s="646" t="e">
        <f>+Valuation!F52/Valuation!F$11</f>
        <v>#DIV/0!</v>
      </c>
      <c r="E23" s="646" t="e">
        <f>+Valuation!G52/Valuation!G$11</f>
        <v>#DIV/0!</v>
      </c>
      <c r="F23" s="646" t="e">
        <f>+Valuation!H52/Valuation!H$11</f>
        <v>#DIV/0!</v>
      </c>
      <c r="G23" s="646" t="e">
        <f>+Valuation!I52/Valuation!I$11</f>
        <v>#DIV/0!</v>
      </c>
      <c r="H23" s="646" t="e">
        <f>+Valuation!J52/Valuation!J$11</f>
        <v>#DIV/0!</v>
      </c>
      <c r="I23" s="646" t="e">
        <f>+Valuation!K52/Valuation!K$11</f>
        <v>#DIV/0!</v>
      </c>
      <c r="J23" s="646" t="e">
        <f>+Valuation!L52/Valuation!L$11</f>
        <v>#DIV/0!</v>
      </c>
      <c r="K23" s="646">
        <f>+Valuation!M52/Valuation!M$11</f>
        <v>0.3178669584909678</v>
      </c>
      <c r="L23" s="646">
        <f>+Valuation!N52/Valuation!N$11</f>
        <v>0.39582628563964484</v>
      </c>
      <c r="M23" s="646">
        <f>+Valuation!O52/Valuation!O$11</f>
        <v>-0.88335261823901257</v>
      </c>
      <c r="N23" s="646">
        <f>+Valuation!P52/Valuation!P$11</f>
        <v>4.6829171308683644E-2</v>
      </c>
      <c r="O23" s="646">
        <f>+Valuation!Q52/Valuation!Q$11</f>
        <v>0.48001120653354923</v>
      </c>
      <c r="P23" s="646">
        <f>+Valuation!R52/Valuation!R$11</f>
        <v>0.25008003397701678</v>
      </c>
      <c r="Q23" s="646">
        <f ca="1">+Valuation!S52/Valuation!S$11</f>
        <v>0.16473366816788043</v>
      </c>
      <c r="R23" s="646" t="e">
        <f ca="1">+Valuation!T52/Valuation!T$11</f>
        <v>#NAME?</v>
      </c>
      <c r="S23" s="646" t="e">
        <f ca="1">+Valuation!U52/Valuation!U$11</f>
        <v>#NAME?</v>
      </c>
      <c r="T23" s="646" t="e">
        <f ca="1">+Valuation!V52/Valuation!V$11</f>
        <v>#NAME?</v>
      </c>
      <c r="U23" s="646" t="e">
        <f ca="1">+Valuation!W52/Valuation!W$11</f>
        <v>#NAME?</v>
      </c>
      <c r="V23" s="646" t="e">
        <f ca="1">+Valuation!X52/Valuation!X$11</f>
        <v>#NAME?</v>
      </c>
      <c r="W23" s="646" t="e">
        <f ca="1">+Valuation!Y52/Valuation!Y$11</f>
        <v>#NAME?</v>
      </c>
      <c r="X23" s="646" t="e">
        <f ca="1">+Valuation!Z52/Valuation!Z$11</f>
        <v>#NAME?</v>
      </c>
      <c r="Y23" s="646" t="e">
        <f ca="1">+Valuation!AA52/Valuation!AA$11</f>
        <v>#NAME?</v>
      </c>
      <c r="Z23" s="646" t="e">
        <f ca="1">+Valuation!AB52/Valuation!AB$11</f>
        <v>#NAME?</v>
      </c>
      <c r="AA23" s="15"/>
    </row>
    <row r="24" spans="2:27">
      <c r="B24" s="641" t="s">
        <v>1078</v>
      </c>
      <c r="C24" s="646" t="e">
        <f>+Valuation!E55/Valuation!E$11</f>
        <v>#DIV/0!</v>
      </c>
      <c r="D24" s="646" t="e">
        <f>+Valuation!F55/Valuation!F$11</f>
        <v>#DIV/0!</v>
      </c>
      <c r="E24" s="646" t="e">
        <f>+Valuation!G55/Valuation!G$11</f>
        <v>#DIV/0!</v>
      </c>
      <c r="F24" s="646" t="e">
        <f>+Valuation!H55/Valuation!H$11</f>
        <v>#DIV/0!</v>
      </c>
      <c r="G24" s="646" t="e">
        <f>+Valuation!I55/Valuation!I$11</f>
        <v>#DIV/0!</v>
      </c>
      <c r="H24" s="646" t="e">
        <f>+Valuation!J55/Valuation!J$11</f>
        <v>#DIV/0!</v>
      </c>
      <c r="I24" s="646" t="e">
        <f>+Valuation!K55/Valuation!K$11</f>
        <v>#DIV/0!</v>
      </c>
      <c r="J24" s="646" t="e">
        <f>+Valuation!L55/Valuation!L$11</f>
        <v>#DIV/0!</v>
      </c>
      <c r="K24" s="646">
        <f>+Valuation!M55/Valuation!M$11</f>
        <v>0.3178669584909678</v>
      </c>
      <c r="L24" s="646">
        <f>+Valuation!N55/Valuation!N$11</f>
        <v>0.39582628563964484</v>
      </c>
      <c r="M24" s="646">
        <f>+Valuation!O55/Valuation!O$11</f>
        <v>-0.88335261823901257</v>
      </c>
      <c r="N24" s="646">
        <f>+Valuation!P55/Valuation!P$11</f>
        <v>4.6829171308683644E-2</v>
      </c>
      <c r="O24" s="646">
        <f>+Valuation!Q55/Valuation!Q$11</f>
        <v>0.48001120653354923</v>
      </c>
      <c r="P24" s="646">
        <f>+Valuation!R55/Valuation!R$11</f>
        <v>0.25008003397701678</v>
      </c>
      <c r="Q24" s="646">
        <f ca="1">+Valuation!S55/Valuation!S$11</f>
        <v>0.16473366816788043</v>
      </c>
      <c r="R24" s="646" t="e">
        <f ca="1">+Valuation!T55/Valuation!T$11</f>
        <v>#NAME?</v>
      </c>
      <c r="S24" s="646" t="e">
        <f ca="1">+Valuation!U55/Valuation!U$11</f>
        <v>#NAME?</v>
      </c>
      <c r="T24" s="646" t="e">
        <f ca="1">+Valuation!V55/Valuation!V$11</f>
        <v>#NAME?</v>
      </c>
      <c r="U24" s="646" t="e">
        <f ca="1">+Valuation!W55/Valuation!W$11</f>
        <v>#NAME?</v>
      </c>
      <c r="V24" s="646" t="e">
        <f ca="1">+Valuation!X55/Valuation!X$11</f>
        <v>#NAME?</v>
      </c>
      <c r="W24" s="646" t="e">
        <f ca="1">+Valuation!Y55/Valuation!Y$11</f>
        <v>#NAME?</v>
      </c>
      <c r="X24" s="646" t="e">
        <f ca="1">+Valuation!Z55/Valuation!Z$11</f>
        <v>#NAME?</v>
      </c>
      <c r="Y24" s="646" t="e">
        <f ca="1">+Valuation!AA55/Valuation!AA$11</f>
        <v>#NAME?</v>
      </c>
      <c r="Z24" s="646" t="e">
        <f ca="1">+Valuation!AB55/Valuation!AB$11</f>
        <v>#NAME?</v>
      </c>
      <c r="AA24" s="15"/>
    </row>
    <row r="25" spans="2:27">
      <c r="B25" s="641" t="s">
        <v>65</v>
      </c>
      <c r="C25" s="646" t="e">
        <f>+Valuation!E28/Valuation!E$11</f>
        <v>#DIV/0!</v>
      </c>
      <c r="D25" s="646" t="e">
        <f>+Valuation!F28/Valuation!F$11</f>
        <v>#DIV/0!</v>
      </c>
      <c r="E25" s="646" t="e">
        <f>+Valuation!G28/Valuation!G$11</f>
        <v>#DIV/0!</v>
      </c>
      <c r="F25" s="646" t="e">
        <f>+Valuation!H28/Valuation!H$11</f>
        <v>#DIV/0!</v>
      </c>
      <c r="G25" s="646" t="e">
        <f>+Valuation!I28/Valuation!I$11</f>
        <v>#DIV/0!</v>
      </c>
      <c r="H25" s="646" t="e">
        <f>+Valuation!J28/Valuation!J$11</f>
        <v>#DIV/0!</v>
      </c>
      <c r="I25" s="646" t="e">
        <f>+Valuation!K28/Valuation!K$11</f>
        <v>#DIV/0!</v>
      </c>
      <c r="J25" s="646" t="e">
        <f>+Valuation!L28/Valuation!L$11</f>
        <v>#DIV/0!</v>
      </c>
      <c r="K25" s="646">
        <f>+Valuation!M28/Valuation!M$11</f>
        <v>0.3178669584909678</v>
      </c>
      <c r="L25" s="646">
        <f>+Valuation!N28/Valuation!N$11</f>
        <v>0.38983721294520379</v>
      </c>
      <c r="M25" s="646">
        <f>+Valuation!O28/Valuation!O$11</f>
        <v>-0.93158648403610533</v>
      </c>
      <c r="N25" s="646">
        <f>+Valuation!P28/Valuation!P$11</f>
        <v>1.9048489198403157E-3</v>
      </c>
      <c r="O25" s="646">
        <f>+Valuation!Q28/Valuation!Q$11</f>
        <v>0.4605844155448453</v>
      </c>
      <c r="P25" s="646">
        <f>+Valuation!R28/Valuation!R$11</f>
        <v>0.22384142202170212</v>
      </c>
      <c r="Q25" s="646">
        <f ca="1">+Valuation!S28/Valuation!S$11</f>
        <v>0.12752398069360274</v>
      </c>
      <c r="R25" s="646" t="e">
        <f ca="1">+Valuation!T28/Valuation!T$11</f>
        <v>#NAME?</v>
      </c>
      <c r="S25" s="646" t="e">
        <f ca="1">+Valuation!U28/Valuation!U$11</f>
        <v>#NAME?</v>
      </c>
      <c r="T25" s="646" t="e">
        <f ca="1">+Valuation!V28/Valuation!V$11</f>
        <v>#NAME?</v>
      </c>
      <c r="U25" s="646" t="e">
        <f ca="1">+Valuation!W28/Valuation!W$11</f>
        <v>#NAME?</v>
      </c>
      <c r="V25" s="646" t="e">
        <f ca="1">+Valuation!X28/Valuation!X$11</f>
        <v>#NAME?</v>
      </c>
      <c r="W25" s="646" t="e">
        <f ca="1">+Valuation!Y28/Valuation!Y$11</f>
        <v>#NAME?</v>
      </c>
      <c r="X25" s="646" t="e">
        <f ca="1">+Valuation!Z28/Valuation!Z$11</f>
        <v>#NAME?</v>
      </c>
      <c r="Y25" s="646" t="e">
        <f ca="1">+Valuation!AA28/Valuation!AA$11</f>
        <v>#NAME?</v>
      </c>
      <c r="Z25" s="646" t="e">
        <f ca="1">+Valuation!AB28/Valuation!AB$11</f>
        <v>#NAME?</v>
      </c>
      <c r="AA25" s="15"/>
    </row>
    <row r="26" spans="2:27">
      <c r="B26" s="641" t="s">
        <v>1091</v>
      </c>
      <c r="C26" s="646" t="e">
        <f>+Valuation!E24/Valuation!E$11</f>
        <v>#DIV/0!</v>
      </c>
      <c r="D26" s="646" t="e">
        <f>+Valuation!F24/Valuation!F$11</f>
        <v>#DIV/0!</v>
      </c>
      <c r="E26" s="646" t="e">
        <f>+Valuation!G24/Valuation!G$11</f>
        <v>#DIV/0!</v>
      </c>
      <c r="F26" s="646" t="e">
        <f>+Valuation!H24/Valuation!H$11</f>
        <v>#DIV/0!</v>
      </c>
      <c r="G26" s="646" t="e">
        <f>+Valuation!I24/Valuation!I$11</f>
        <v>#DIV/0!</v>
      </c>
      <c r="H26" s="646" t="e">
        <f>+Valuation!J24/Valuation!J$11</f>
        <v>#DIV/0!</v>
      </c>
      <c r="I26" s="646" t="e">
        <f>+Valuation!K24/Valuation!K$11</f>
        <v>#DIV/0!</v>
      </c>
      <c r="J26" s="646" t="e">
        <f>+Valuation!L24/Valuation!L$11</f>
        <v>#DIV/0!</v>
      </c>
      <c r="K26" s="646">
        <f>+Valuation!M24/Valuation!M$11</f>
        <v>0.32012296073287977</v>
      </c>
      <c r="L26" s="646">
        <f>+Valuation!N24/Valuation!N$11</f>
        <v>0.3924474745913103</v>
      </c>
      <c r="M26" s="646">
        <f>+Valuation!O24/Valuation!O$11</f>
        <v>-0.84847574109137536</v>
      </c>
      <c r="N26" s="646">
        <f>+Valuation!P24/Valuation!P$11</f>
        <v>-5.20083915013047E-2</v>
      </c>
      <c r="O26" s="646">
        <f>+Valuation!Q24/Valuation!Q$11</f>
        <v>0.35148539890445318</v>
      </c>
      <c r="P26" s="646">
        <f>+Valuation!R24/Valuation!R$11</f>
        <v>0.19988525794334611</v>
      </c>
      <c r="Q26" s="646">
        <f ca="1">+Valuation!S24/Valuation!S$11</f>
        <v>0.12752398069360274</v>
      </c>
      <c r="R26" s="646" t="e">
        <f ca="1">+Valuation!T24/Valuation!T$11</f>
        <v>#NAME?</v>
      </c>
      <c r="S26" s="646" t="e">
        <f ca="1">+Valuation!U24/Valuation!U$11</f>
        <v>#NAME?</v>
      </c>
      <c r="T26" s="646" t="e">
        <f ca="1">+Valuation!V24/Valuation!V$11</f>
        <v>#NAME?</v>
      </c>
      <c r="U26" s="646" t="e">
        <f ca="1">+Valuation!W24/Valuation!W$11</f>
        <v>#NAME?</v>
      </c>
      <c r="V26" s="646" t="e">
        <f ca="1">+Valuation!X24/Valuation!X$11</f>
        <v>#NAME?</v>
      </c>
      <c r="W26" s="646" t="e">
        <f ca="1">+Valuation!Y24/Valuation!Y$11</f>
        <v>#NAME?</v>
      </c>
      <c r="X26" s="646" t="e">
        <f ca="1">+Valuation!Z24/Valuation!Z$11</f>
        <v>#NAME?</v>
      </c>
      <c r="Y26" s="646" t="e">
        <f ca="1">+Valuation!AA24/Valuation!AA$11</f>
        <v>#NAME?</v>
      </c>
      <c r="Z26" s="646" t="e">
        <f ca="1">+Valuation!AB24/Valuation!AB$11</f>
        <v>#NAME?</v>
      </c>
      <c r="AA26" s="15"/>
    </row>
    <row r="27" spans="2:27">
      <c r="B27" s="641" t="s">
        <v>1092</v>
      </c>
      <c r="C27" s="646" t="e">
        <f>+Valuation!E34/Valuation!E$11</f>
        <v>#DIV/0!</v>
      </c>
      <c r="D27" s="646" t="e">
        <f>+Valuation!F34/Valuation!F$11</f>
        <v>#DIV/0!</v>
      </c>
      <c r="E27" s="646" t="e">
        <f>+Valuation!G34/Valuation!G$11</f>
        <v>#DIV/0!</v>
      </c>
      <c r="F27" s="646" t="e">
        <f>+Valuation!H34/Valuation!H$11</f>
        <v>#DIV/0!</v>
      </c>
      <c r="G27" s="646" t="e">
        <f>+Valuation!I34/Valuation!I$11</f>
        <v>#DIV/0!</v>
      </c>
      <c r="H27" s="646" t="e">
        <f>+Valuation!J34/Valuation!J$11</f>
        <v>#DIV/0!</v>
      </c>
      <c r="I27" s="646" t="e">
        <f>+Valuation!K34/Valuation!K$11</f>
        <v>#DIV/0!</v>
      </c>
      <c r="J27" s="646" t="e">
        <f>+Valuation!L34/Valuation!L$11</f>
        <v>#DIV/0!</v>
      </c>
      <c r="K27" s="646">
        <f>+Valuation!M34/Valuation!M$11</f>
        <v>0.24779468344343281</v>
      </c>
      <c r="L27" s="646">
        <f>+Valuation!N34/Valuation!N$11</f>
        <v>0.46229298914565881</v>
      </c>
      <c r="M27" s="646">
        <f>+Valuation!O34/Valuation!O$11</f>
        <v>-0.82178399152465964</v>
      </c>
      <c r="N27" s="646">
        <f>+Valuation!P34/Valuation!P$11</f>
        <v>3.0521013658870222E-2</v>
      </c>
      <c r="O27" s="646">
        <f>+Valuation!Q34/Valuation!Q$11</f>
        <v>0.39290904913873004</v>
      </c>
      <c r="P27" s="646">
        <f>+Valuation!R34/Valuation!R$11</f>
        <v>0.17550062140343181</v>
      </c>
      <c r="Q27" s="646">
        <f ca="1">+Valuation!S34/Valuation!S$11</f>
        <v>8.3520049124010468E-2</v>
      </c>
      <c r="R27" s="646" t="e">
        <f ca="1">+Valuation!T34/Valuation!T$11</f>
        <v>#NAME?</v>
      </c>
      <c r="S27" s="646" t="e">
        <f ca="1">+Valuation!U34/Valuation!U$11</f>
        <v>#NAME?</v>
      </c>
      <c r="T27" s="646" t="e">
        <f ca="1">+Valuation!V34/Valuation!V$11</f>
        <v>#NAME?</v>
      </c>
      <c r="U27" s="646" t="e">
        <f ca="1">+Valuation!W34/Valuation!W$11</f>
        <v>#NAME?</v>
      </c>
      <c r="V27" s="646" t="e">
        <f ca="1">+Valuation!X34/Valuation!X$11</f>
        <v>#NAME?</v>
      </c>
      <c r="W27" s="646" t="e">
        <f ca="1">+Valuation!Y34/Valuation!Y$11</f>
        <v>#NAME?</v>
      </c>
      <c r="X27" s="646" t="e">
        <f ca="1">+Valuation!Z34/Valuation!Z$11</f>
        <v>#NAME?</v>
      </c>
      <c r="Y27" s="646" t="e">
        <f ca="1">+Valuation!AA34/Valuation!AA$11</f>
        <v>#NAME?</v>
      </c>
      <c r="Z27" s="646" t="e">
        <f ca="1">+Valuation!AB34/Valuation!AB$11</f>
        <v>#NAME?</v>
      </c>
      <c r="AA27" s="15"/>
    </row>
    <row r="28" spans="2:27">
      <c r="B28" s="641" t="s">
        <v>1093</v>
      </c>
      <c r="C28" s="646" t="e">
        <f>+Valuation!E36/Valuation!E$11</f>
        <v>#DIV/0!</v>
      </c>
      <c r="D28" s="646" t="e">
        <f>+Valuation!F36/Valuation!F$11</f>
        <v>#DIV/0!</v>
      </c>
      <c r="E28" s="646" t="e">
        <f>+Valuation!G36/Valuation!G$11</f>
        <v>#DIV/0!</v>
      </c>
      <c r="F28" s="646" t="e">
        <f>+Valuation!H36/Valuation!H$11</f>
        <v>#DIV/0!</v>
      </c>
      <c r="G28" s="646" t="e">
        <f>+Valuation!I36/Valuation!I$11</f>
        <v>#DIV/0!</v>
      </c>
      <c r="H28" s="646" t="e">
        <f>+Valuation!J36/Valuation!J$11</f>
        <v>#DIV/0!</v>
      </c>
      <c r="I28" s="646" t="e">
        <f>+Valuation!K36/Valuation!K$11</f>
        <v>#DIV/0!</v>
      </c>
      <c r="J28" s="646" t="e">
        <f>+Valuation!L36/Valuation!L$11</f>
        <v>#DIV/0!</v>
      </c>
      <c r="K28" s="646">
        <f>+Valuation!M36/Valuation!M$11</f>
        <v>0.24779468344343281</v>
      </c>
      <c r="L28" s="646">
        <f>+Valuation!N36/Valuation!N$11</f>
        <v>0.46229298914565881</v>
      </c>
      <c r="M28" s="646">
        <f>+Valuation!O36/Valuation!O$11</f>
        <v>-0.82178399152465964</v>
      </c>
      <c r="N28" s="646">
        <f>+Valuation!P36/Valuation!P$11</f>
        <v>3.0521013658870222E-2</v>
      </c>
      <c r="O28" s="646">
        <f>+Valuation!Q36/Valuation!Q$11</f>
        <v>0.39290904913873004</v>
      </c>
      <c r="P28" s="646">
        <f>+Valuation!R36/Valuation!R$11</f>
        <v>0.17550062140343181</v>
      </c>
      <c r="Q28" s="646">
        <f ca="1">+Valuation!S36/Valuation!S$11</f>
        <v>8.3520049124010468E-2</v>
      </c>
      <c r="R28" s="646" t="e">
        <f ca="1">+Valuation!T36/Valuation!T$11</f>
        <v>#NAME?</v>
      </c>
      <c r="S28" s="646" t="e">
        <f ca="1">+Valuation!U36/Valuation!U$11</f>
        <v>#NAME?</v>
      </c>
      <c r="T28" s="646" t="e">
        <f ca="1">+Valuation!V36/Valuation!V$11</f>
        <v>#NAME?</v>
      </c>
      <c r="U28" s="646" t="e">
        <f ca="1">+Valuation!W36/Valuation!W$11</f>
        <v>#NAME?</v>
      </c>
      <c r="V28" s="646" t="e">
        <f ca="1">+Valuation!X36/Valuation!X$11</f>
        <v>#NAME?</v>
      </c>
      <c r="W28" s="646" t="e">
        <f ca="1">+Valuation!Y36/Valuation!Y$11</f>
        <v>#NAME?</v>
      </c>
      <c r="X28" s="646" t="e">
        <f ca="1">+Valuation!Z36/Valuation!Z$11</f>
        <v>#NAME?</v>
      </c>
      <c r="Y28" s="646" t="e">
        <f ca="1">+Valuation!AA36/Valuation!AA$11</f>
        <v>#NAME?</v>
      </c>
      <c r="Z28" s="646" t="e">
        <f ca="1">+Valuation!AB36/Valuation!AB$11</f>
        <v>#NAME?</v>
      </c>
      <c r="AA28" s="15"/>
    </row>
    <row r="29" spans="2:27">
      <c r="B29" s="641" t="s">
        <v>1094</v>
      </c>
      <c r="C29" s="646" t="e">
        <f>+Valuation!E73/Valuation!E$11</f>
        <v>#DIV/0!</v>
      </c>
      <c r="D29" s="646" t="e">
        <f>+Valuation!F73/Valuation!F$11</f>
        <v>#DIV/0!</v>
      </c>
      <c r="E29" s="646" t="e">
        <f>+Valuation!G73/Valuation!G$11</f>
        <v>#DIV/0!</v>
      </c>
      <c r="F29" s="646" t="e">
        <f>+Valuation!H73/Valuation!H$11</f>
        <v>#DIV/0!</v>
      </c>
      <c r="G29" s="646" t="e">
        <f>+Valuation!I73/Valuation!I$11</f>
        <v>#DIV/0!</v>
      </c>
      <c r="H29" s="646" t="e">
        <f>+Valuation!J73/Valuation!J$11</f>
        <v>#DIV/0!</v>
      </c>
      <c r="I29" s="646" t="e">
        <f>+Valuation!K73/Valuation!K$11</f>
        <v>#DIV/0!</v>
      </c>
      <c r="J29" s="646" t="e">
        <f>+Valuation!L73/Valuation!L$11</f>
        <v>#DIV/0!</v>
      </c>
      <c r="K29" s="646">
        <f>+Valuation!M73/Valuation!M$11</f>
        <v>0.40892369691711111</v>
      </c>
      <c r="L29" s="646">
        <f>+Valuation!N73/Valuation!N$11</f>
        <v>-0.28184723973210979</v>
      </c>
      <c r="M29" s="646">
        <f>+Valuation!O73/Valuation!O$11</f>
        <v>1.8140506218528631</v>
      </c>
      <c r="N29" s="646">
        <f>+Valuation!P73/Valuation!P$11</f>
        <v>0.28123930511235801</v>
      </c>
      <c r="O29" s="646">
        <f>+Valuation!Q73/Valuation!Q$11</f>
        <v>0.21481034471870666</v>
      </c>
      <c r="P29" s="646">
        <f>+Valuation!R73/Valuation!R$11</f>
        <v>9.0492481922618898E-2</v>
      </c>
      <c r="Q29" s="646">
        <f ca="1">+Valuation!S73/Valuation!S$11</f>
        <v>0.13636812949135604</v>
      </c>
      <c r="R29" s="646" t="e">
        <f ca="1">+Valuation!T73/Valuation!T$11</f>
        <v>#NAME?</v>
      </c>
      <c r="S29" s="646" t="e">
        <f ca="1">+Valuation!U73/Valuation!U$11</f>
        <v>#NAME?</v>
      </c>
      <c r="T29" s="646" t="e">
        <f ca="1">+Valuation!V73/Valuation!V$11</f>
        <v>#NAME?</v>
      </c>
      <c r="U29" s="646" t="e">
        <f ca="1">+Valuation!W73/Valuation!W$11</f>
        <v>#NAME?</v>
      </c>
      <c r="V29" s="646" t="e">
        <f ca="1">+Valuation!X73/Valuation!X$11</f>
        <v>#NAME?</v>
      </c>
      <c r="W29" s="646" t="e">
        <f ca="1">+Valuation!Y73/Valuation!Y$11</f>
        <v>#NAME?</v>
      </c>
      <c r="X29" s="646" t="e">
        <f ca="1">+Valuation!Z73/Valuation!Z$11</f>
        <v>#NAME?</v>
      </c>
      <c r="Y29" s="646" t="e">
        <f ca="1">+Valuation!AA73/Valuation!AA$11</f>
        <v>#NAME?</v>
      </c>
      <c r="Z29" s="646" t="e">
        <f ca="1">+Valuation!AB73/Valuation!AB$11</f>
        <v>#NAME?</v>
      </c>
      <c r="AA29" s="15"/>
    </row>
    <row r="30" spans="2:27">
      <c r="B30" s="641" t="s">
        <v>1103</v>
      </c>
      <c r="C30" s="646" t="e">
        <f>+Valuation!E$34/Valuation!E$86</f>
        <v>#DIV/0!</v>
      </c>
      <c r="D30" s="646" t="e">
        <f>+Valuation!F$34/Valuation!F$86</f>
        <v>#DIV/0!</v>
      </c>
      <c r="E30" s="646" t="e">
        <f>+Valuation!G$34/Valuation!G$86</f>
        <v>#DIV/0!</v>
      </c>
      <c r="F30" s="646" t="e">
        <f>+Valuation!H$34/Valuation!H$86</f>
        <v>#DIV/0!</v>
      </c>
      <c r="G30" s="646" t="e">
        <f>+Valuation!I$34/Valuation!I$86</f>
        <v>#DIV/0!</v>
      </c>
      <c r="H30" s="646" t="e">
        <f>+Valuation!J$34/Valuation!J$86</f>
        <v>#DIV/0!</v>
      </c>
      <c r="I30" s="646" t="e">
        <f>+Valuation!K$34/Valuation!K$86</f>
        <v>#DIV/0!</v>
      </c>
      <c r="J30" s="646" t="e">
        <f>+Valuation!L$34/Valuation!L$86</f>
        <v>#DIV/0!</v>
      </c>
      <c r="K30" s="646">
        <f>+Valuation!M$34/Valuation!M$86</f>
        <v>5.4629068601759333E-2</v>
      </c>
      <c r="L30" s="646">
        <f>+Valuation!N$34/Valuation!N$86</f>
        <v>0.17035102006282191</v>
      </c>
      <c r="M30" s="646">
        <f>+Valuation!O$34/Valuation!O$86</f>
        <v>-0.18341299434692701</v>
      </c>
      <c r="N30" s="646">
        <f>+Valuation!P$34/Valuation!P$86</f>
        <v>6.5883128437134912E-3</v>
      </c>
      <c r="O30" s="646">
        <f>+Valuation!Q$34/Valuation!Q$86</f>
        <v>0.11441183595865327</v>
      </c>
      <c r="P30" s="646">
        <f>+Valuation!R$34/Valuation!R$86</f>
        <v>4.338647244759835E-2</v>
      </c>
      <c r="Q30" s="646" t="e">
        <f ca="1">+Valuation!S$34/Valuation!S$86</f>
        <v>#NAME?</v>
      </c>
      <c r="R30" s="646" t="e">
        <f ca="1">+Valuation!T$34/Valuation!T$86</f>
        <v>#NAME?</v>
      </c>
      <c r="S30" s="646" t="e">
        <f ca="1">+Valuation!U$34/Valuation!U$86</f>
        <v>#NAME?</v>
      </c>
      <c r="T30" s="646" t="e">
        <f ca="1">+Valuation!V$34/Valuation!V$86</f>
        <v>#NAME?</v>
      </c>
      <c r="U30" s="646" t="e">
        <f ca="1">+Valuation!W$34/Valuation!W$86</f>
        <v>#NAME?</v>
      </c>
      <c r="V30" s="646" t="e">
        <f ca="1">+Valuation!X$34/Valuation!X$86</f>
        <v>#NAME?</v>
      </c>
      <c r="W30" s="646" t="e">
        <f ca="1">+Valuation!Y$34/Valuation!Y$86</f>
        <v>#NAME?</v>
      </c>
      <c r="X30" s="646" t="e">
        <f ca="1">+Valuation!Z$34/Valuation!Z$86</f>
        <v>#NAME?</v>
      </c>
      <c r="Y30" s="646" t="e">
        <f ca="1">+Valuation!AA$34/Valuation!AA$86</f>
        <v>#NAME?</v>
      </c>
      <c r="Z30" s="646" t="e">
        <f ca="1">+Valuation!AB$34/Valuation!AB$86</f>
        <v>#NAME?</v>
      </c>
      <c r="AA30" s="15"/>
    </row>
    <row r="31" spans="2:27">
      <c r="B31" s="641" t="s">
        <v>1105</v>
      </c>
      <c r="C31" s="646" t="e">
        <f>+Valuation!E$36/Valuation!E$86</f>
        <v>#DIV/0!</v>
      </c>
      <c r="D31" s="646" t="e">
        <f>+Valuation!F$36/Valuation!F$86</f>
        <v>#DIV/0!</v>
      </c>
      <c r="E31" s="646" t="e">
        <f>+Valuation!G$36/Valuation!G$86</f>
        <v>#DIV/0!</v>
      </c>
      <c r="F31" s="646" t="e">
        <f>+Valuation!H$36/Valuation!H$86</f>
        <v>#DIV/0!</v>
      </c>
      <c r="G31" s="646" t="e">
        <f>+Valuation!I$36/Valuation!I$86</f>
        <v>#DIV/0!</v>
      </c>
      <c r="H31" s="646" t="e">
        <f>+Valuation!J$36/Valuation!J$86</f>
        <v>#DIV/0!</v>
      </c>
      <c r="I31" s="646" t="e">
        <f>+Valuation!K$36/Valuation!K$86</f>
        <v>#DIV/0!</v>
      </c>
      <c r="J31" s="646" t="e">
        <f>+Valuation!L$36/Valuation!L$86</f>
        <v>#DIV/0!</v>
      </c>
      <c r="K31" s="646">
        <f>+Valuation!M$36/Valuation!M$86</f>
        <v>5.4629068601759333E-2</v>
      </c>
      <c r="L31" s="646">
        <f>+Valuation!N$36/Valuation!N$86</f>
        <v>0.17035102006282191</v>
      </c>
      <c r="M31" s="646">
        <f>+Valuation!O$36/Valuation!O$86</f>
        <v>-0.18341299434692701</v>
      </c>
      <c r="N31" s="646">
        <f>+Valuation!P$36/Valuation!P$86</f>
        <v>6.5883128437134912E-3</v>
      </c>
      <c r="O31" s="646">
        <f>+Valuation!Q$36/Valuation!Q$86</f>
        <v>0.11441183595865327</v>
      </c>
      <c r="P31" s="646">
        <f>+Valuation!R$36/Valuation!R$86</f>
        <v>4.338647244759835E-2</v>
      </c>
      <c r="Q31" s="646" t="e">
        <f ca="1">+Valuation!S$36/Valuation!S$86</f>
        <v>#NAME?</v>
      </c>
      <c r="R31" s="646" t="e">
        <f ca="1">+Valuation!T$36/Valuation!T$86</f>
        <v>#NAME?</v>
      </c>
      <c r="S31" s="646" t="e">
        <f ca="1">+Valuation!U$36/Valuation!U$86</f>
        <v>#NAME?</v>
      </c>
      <c r="T31" s="646" t="e">
        <f ca="1">+Valuation!V$36/Valuation!V$86</f>
        <v>#NAME?</v>
      </c>
      <c r="U31" s="646" t="e">
        <f ca="1">+Valuation!W$36/Valuation!W$86</f>
        <v>#NAME?</v>
      </c>
      <c r="V31" s="646" t="e">
        <f ca="1">+Valuation!X$36/Valuation!X$86</f>
        <v>#NAME?</v>
      </c>
      <c r="W31" s="646" t="e">
        <f ca="1">+Valuation!Y$36/Valuation!Y$86</f>
        <v>#NAME?</v>
      </c>
      <c r="X31" s="646" t="e">
        <f ca="1">+Valuation!Z$36/Valuation!Z$86</f>
        <v>#NAME?</v>
      </c>
      <c r="Y31" s="646" t="e">
        <f ca="1">+Valuation!AA$36/Valuation!AA$86</f>
        <v>#NAME?</v>
      </c>
      <c r="Z31" s="646" t="e">
        <f ca="1">+Valuation!AB$36/Valuation!AB$86</f>
        <v>#NAME?</v>
      </c>
      <c r="AA31" s="15"/>
    </row>
    <row r="32" spans="2:27">
      <c r="B32" s="641" t="s">
        <v>1104</v>
      </c>
      <c r="C32" s="646" t="e">
        <f>+Valuation!E$34/Valuation!E$95</f>
        <v>#DIV/0!</v>
      </c>
      <c r="D32" s="646" t="e">
        <f>+Valuation!F$34/Valuation!F$95</f>
        <v>#DIV/0!</v>
      </c>
      <c r="E32" s="646" t="e">
        <f>+Valuation!G$34/Valuation!G$95</f>
        <v>#DIV/0!</v>
      </c>
      <c r="F32" s="646" t="e">
        <f>+Valuation!H$34/Valuation!H$95</f>
        <v>#DIV/0!</v>
      </c>
      <c r="G32" s="646" t="e">
        <f>+Valuation!I$34/Valuation!I$95</f>
        <v>#DIV/0!</v>
      </c>
      <c r="H32" s="646" t="e">
        <f>+Valuation!J$34/Valuation!J$95</f>
        <v>#DIV/0!</v>
      </c>
      <c r="I32" s="646" t="e">
        <f>+Valuation!K$34/Valuation!K$95</f>
        <v>#DIV/0!</v>
      </c>
      <c r="J32" s="646" t="e">
        <f>+Valuation!L$34/Valuation!L$95</f>
        <v>#DIV/0!</v>
      </c>
      <c r="K32" s="646">
        <f>+Valuation!M$34/Valuation!M$95</f>
        <v>0.32851624767534537</v>
      </c>
      <c r="L32" s="646">
        <f>+Valuation!N$34/Valuation!N$95</f>
        <v>0.56789354667706304</v>
      </c>
      <c r="M32" s="646">
        <f>+Valuation!O$34/Valuation!O$95</f>
        <v>-0.48123963137611359</v>
      </c>
      <c r="N32" s="646">
        <f>+Valuation!P$34/Valuation!P$95</f>
        <v>1.5102881424925206E-2</v>
      </c>
      <c r="O32" s="646">
        <f>+Valuation!Q$34/Valuation!Q$95</f>
        <v>0.25095900082924305</v>
      </c>
      <c r="P32" s="646">
        <f>+Valuation!R$34/Valuation!R$95</f>
        <v>8.5197191817945953E-2</v>
      </c>
      <c r="Q32" s="646" t="e">
        <f ca="1">+Valuation!S$34/Valuation!S$95</f>
        <v>#NAME?</v>
      </c>
      <c r="R32" s="646" t="e">
        <f ca="1">+Valuation!T$34/Valuation!T$95</f>
        <v>#NAME?</v>
      </c>
      <c r="S32" s="646" t="e">
        <f ca="1">+Valuation!U$34/Valuation!U$95</f>
        <v>#NAME?</v>
      </c>
      <c r="T32" s="646" t="e">
        <f ca="1">+Valuation!V$34/Valuation!V$95</f>
        <v>#NAME?</v>
      </c>
      <c r="U32" s="646" t="e">
        <f ca="1">+Valuation!W$34/Valuation!W$95</f>
        <v>#NAME?</v>
      </c>
      <c r="V32" s="646" t="e">
        <f ca="1">+Valuation!X$34/Valuation!X$95</f>
        <v>#NAME?</v>
      </c>
      <c r="W32" s="646" t="e">
        <f ca="1">+Valuation!Y$34/Valuation!Y$95</f>
        <v>#NAME?</v>
      </c>
      <c r="X32" s="646" t="e">
        <f ca="1">+Valuation!Z$34/Valuation!Z$95</f>
        <v>#NAME?</v>
      </c>
      <c r="Y32" s="646" t="e">
        <f ca="1">+Valuation!AA$34/Valuation!AA$95</f>
        <v>#NAME?</v>
      </c>
      <c r="Z32" s="646" t="e">
        <f ca="1">+Valuation!AB$34/Valuation!AB$95</f>
        <v>#NAME?</v>
      </c>
      <c r="AA32" s="15"/>
    </row>
    <row r="33" spans="2:27">
      <c r="B33" s="641" t="s">
        <v>1106</v>
      </c>
      <c r="C33" s="646" t="e">
        <f>+Valuation!E$36/Valuation!E$95</f>
        <v>#DIV/0!</v>
      </c>
      <c r="D33" s="646" t="e">
        <f>+Valuation!F$36/Valuation!F$95</f>
        <v>#DIV/0!</v>
      </c>
      <c r="E33" s="646" t="e">
        <f>+Valuation!G$36/Valuation!G$95</f>
        <v>#DIV/0!</v>
      </c>
      <c r="F33" s="646" t="e">
        <f>+Valuation!H$36/Valuation!H$95</f>
        <v>#DIV/0!</v>
      </c>
      <c r="G33" s="646" t="e">
        <f>+Valuation!I$36/Valuation!I$95</f>
        <v>#DIV/0!</v>
      </c>
      <c r="H33" s="646" t="e">
        <f>+Valuation!J$36/Valuation!J$95</f>
        <v>#DIV/0!</v>
      </c>
      <c r="I33" s="646" t="e">
        <f>+Valuation!K$36/Valuation!K$95</f>
        <v>#DIV/0!</v>
      </c>
      <c r="J33" s="646" t="e">
        <f>+Valuation!L$36/Valuation!L$95</f>
        <v>#DIV/0!</v>
      </c>
      <c r="K33" s="646">
        <f>+Valuation!M$36/Valuation!M$95</f>
        <v>0.32851624767534537</v>
      </c>
      <c r="L33" s="646">
        <f>+Valuation!N$36/Valuation!N$95</f>
        <v>0.56789354667706304</v>
      </c>
      <c r="M33" s="646">
        <f>+Valuation!O$36/Valuation!O$95</f>
        <v>-0.48123963137611359</v>
      </c>
      <c r="N33" s="646">
        <f>+Valuation!P$36/Valuation!P$95</f>
        <v>1.5102881424925206E-2</v>
      </c>
      <c r="O33" s="646">
        <f>+Valuation!Q$36/Valuation!Q$95</f>
        <v>0.25095900082924305</v>
      </c>
      <c r="P33" s="646">
        <f>+Valuation!R$36/Valuation!R$95</f>
        <v>8.5197191817945953E-2</v>
      </c>
      <c r="Q33" s="646" t="e">
        <f ca="1">+Valuation!S$36/Valuation!S$95</f>
        <v>#NAME?</v>
      </c>
      <c r="R33" s="646" t="e">
        <f ca="1">+Valuation!T$36/Valuation!T$95</f>
        <v>#NAME?</v>
      </c>
      <c r="S33" s="646" t="e">
        <f ca="1">+Valuation!U$36/Valuation!U$95</f>
        <v>#NAME?</v>
      </c>
      <c r="T33" s="646" t="e">
        <f ca="1">+Valuation!V$36/Valuation!V$95</f>
        <v>#NAME?</v>
      </c>
      <c r="U33" s="646" t="e">
        <f ca="1">+Valuation!W$36/Valuation!W$95</f>
        <v>#NAME?</v>
      </c>
      <c r="V33" s="646" t="e">
        <f ca="1">+Valuation!X$36/Valuation!X$95</f>
        <v>#NAME?</v>
      </c>
      <c r="W33" s="646" t="e">
        <f ca="1">+Valuation!Y$36/Valuation!Y$95</f>
        <v>#NAME?</v>
      </c>
      <c r="X33" s="646" t="e">
        <f ca="1">+Valuation!Z$36/Valuation!Z$95</f>
        <v>#NAME?</v>
      </c>
      <c r="Y33" s="646" t="e">
        <f ca="1">+Valuation!AA$36/Valuation!AA$95</f>
        <v>#NAME?</v>
      </c>
      <c r="Z33" s="646" t="e">
        <f ca="1">+Valuation!AB$36/Valuation!AB$95</f>
        <v>#NAME?</v>
      </c>
      <c r="AA33" s="15"/>
    </row>
    <row r="34" spans="2:27">
      <c r="B34" s="641"/>
      <c r="C34" s="15"/>
      <c r="D34" s="15"/>
      <c r="E34" s="15"/>
      <c r="F34" s="15"/>
      <c r="G34" s="15"/>
      <c r="H34" s="15"/>
      <c r="I34" s="15"/>
      <c r="J34" s="15"/>
      <c r="K34" s="15"/>
      <c r="L34" s="15"/>
      <c r="M34" s="15"/>
      <c r="N34" s="15"/>
      <c r="O34" s="15"/>
      <c r="P34" s="15"/>
      <c r="Q34" s="15"/>
      <c r="R34" s="15"/>
      <c r="S34" s="15"/>
      <c r="T34" s="15"/>
      <c r="U34" s="15"/>
      <c r="V34" s="15"/>
      <c r="W34" s="15"/>
      <c r="X34" s="15"/>
      <c r="Y34" s="15"/>
      <c r="Z34" s="15"/>
      <c r="AA34" s="15"/>
    </row>
    <row r="35" spans="2:27" ht="45" customHeight="1">
      <c r="B35" s="641"/>
      <c r="C35" s="15"/>
      <c r="D35" s="15"/>
      <c r="E35" s="15"/>
      <c r="F35" s="15"/>
      <c r="G35" s="15"/>
      <c r="H35" s="15"/>
      <c r="I35" s="15"/>
      <c r="J35" s="15"/>
      <c r="K35" s="15"/>
      <c r="L35" s="15"/>
      <c r="M35" s="15"/>
      <c r="N35" s="15"/>
      <c r="O35" s="15"/>
      <c r="P35" s="15"/>
      <c r="Q35" s="15"/>
      <c r="R35" s="15"/>
      <c r="S35" s="15"/>
      <c r="T35" s="15"/>
      <c r="U35" s="15"/>
      <c r="V35" s="15"/>
      <c r="W35" s="15"/>
      <c r="X35" s="15"/>
      <c r="Y35" s="15"/>
      <c r="Z35" s="15"/>
      <c r="AA35" s="15"/>
    </row>
    <row r="36" spans="2:27" ht="19.25" customHeight="1">
      <c r="B36" s="641"/>
      <c r="C36" s="644">
        <f>+Valuation!E$9</f>
        <v>2012</v>
      </c>
      <c r="D36" s="644">
        <f>+Valuation!F$9</f>
        <v>2013</v>
      </c>
      <c r="E36" s="644">
        <f>+Valuation!G$9</f>
        <v>2014</v>
      </c>
      <c r="F36" s="644">
        <f>+Valuation!H$9</f>
        <v>2015</v>
      </c>
      <c r="G36" s="644">
        <f>+Valuation!I$9</f>
        <v>2016</v>
      </c>
      <c r="H36" s="644">
        <f>+Valuation!J$9</f>
        <v>2017</v>
      </c>
      <c r="I36" s="644">
        <f>+Valuation!K$9</f>
        <v>2018</v>
      </c>
      <c r="J36" s="644">
        <f>+Valuation!L$9</f>
        <v>2019</v>
      </c>
      <c r="K36" s="644">
        <f>+Valuation!M$9</f>
        <v>2020</v>
      </c>
      <c r="L36" s="644">
        <f>+Valuation!N$9</f>
        <v>2021</v>
      </c>
      <c r="M36" s="644">
        <f>+Valuation!O$9</f>
        <v>2022</v>
      </c>
      <c r="N36" s="644">
        <f>+Valuation!P$9</f>
        <v>2023</v>
      </c>
      <c r="O36" s="644">
        <f>+Valuation!Q$9</f>
        <v>2024</v>
      </c>
      <c r="P36" s="644">
        <f>+Valuation!R$9</f>
        <v>2025</v>
      </c>
      <c r="Q36" s="645">
        <f>+Valuation!S$9</f>
        <v>2026</v>
      </c>
      <c r="R36" s="645">
        <f>+Valuation!T$9</f>
        <v>2027</v>
      </c>
      <c r="S36" s="645">
        <f>+Valuation!U$9</f>
        <v>2028</v>
      </c>
      <c r="T36" s="645">
        <f>+Valuation!V$9</f>
        <v>2029</v>
      </c>
      <c r="U36" s="645">
        <f>+Valuation!W$9</f>
        <v>2030</v>
      </c>
      <c r="V36" s="645">
        <f>+Valuation!X$9</f>
        <v>2031</v>
      </c>
      <c r="W36" s="645">
        <f>+Valuation!Y$9</f>
        <v>2032</v>
      </c>
      <c r="X36" s="645">
        <f>+Valuation!Z$9</f>
        <v>2033</v>
      </c>
      <c r="Y36" s="645">
        <f>+Valuation!AA$9</f>
        <v>2034</v>
      </c>
      <c r="Z36" s="645">
        <f>+Valuation!AB$9</f>
        <v>2035</v>
      </c>
      <c r="AA36" s="15"/>
    </row>
    <row r="37" spans="2:27">
      <c r="B37" s="641" t="s">
        <v>1075</v>
      </c>
      <c r="C37" s="647" t="e">
        <v>#NAME?</v>
      </c>
      <c r="D37" s="647" t="e">
        <v>#NAME?</v>
      </c>
      <c r="E37" s="647" t="e">
        <v>#NAME?</v>
      </c>
      <c r="F37" s="647" t="e">
        <v>#NAME?</v>
      </c>
      <c r="G37" s="647" t="e">
        <v>#NAME?</v>
      </c>
      <c r="H37" s="647" t="e">
        <v>#NAME?</v>
      </c>
      <c r="I37" s="647" t="e">
        <v>#NAME?</v>
      </c>
      <c r="J37" s="647" t="e">
        <v>#NAME?</v>
      </c>
      <c r="K37" s="647" t="e">
        <v>#NAME?</v>
      </c>
      <c r="L37" s="647" t="e">
        <v>#NAME?</v>
      </c>
      <c r="M37" s="647" t="e">
        <v>#NAME?</v>
      </c>
      <c r="N37" s="647" t="e">
        <v>#NAME?</v>
      </c>
      <c r="O37" s="647" t="e">
        <v>#NAME?</v>
      </c>
      <c r="P37" s="647" t="e">
        <v>#NAME?</v>
      </c>
      <c r="Q37" s="647" t="e">
        <f ca="1">+Q38+Q39+Q40</f>
        <v>#NAME?</v>
      </c>
      <c r="R37" s="647" t="e">
        <f t="shared" ref="R37:Z37" ca="1" si="0">+R38+R39+R40</f>
        <v>#NAME?</v>
      </c>
      <c r="S37" s="647" t="e">
        <f t="shared" ca="1" si="0"/>
        <v>#NAME?</v>
      </c>
      <c r="T37" s="647" t="e">
        <f t="shared" ca="1" si="0"/>
        <v>#NAME?</v>
      </c>
      <c r="U37" s="647" t="e">
        <f t="shared" ca="1" si="0"/>
        <v>#NAME?</v>
      </c>
      <c r="V37" s="647" t="e">
        <f t="shared" ca="1" si="0"/>
        <v>#NAME?</v>
      </c>
      <c r="W37" s="647" t="e">
        <f t="shared" ca="1" si="0"/>
        <v>#NAME?</v>
      </c>
      <c r="X37" s="647" t="e">
        <f t="shared" ca="1" si="0"/>
        <v>#NAME?</v>
      </c>
      <c r="Y37" s="647" t="e">
        <f t="shared" ca="1" si="0"/>
        <v>#NAME?</v>
      </c>
      <c r="Z37" s="647" t="e">
        <f t="shared" ca="1" si="0"/>
        <v>#NAME?</v>
      </c>
      <c r="AA37" s="15"/>
    </row>
    <row r="38" spans="2:27">
      <c r="B38" s="641" t="s">
        <v>37</v>
      </c>
      <c r="C38" s="647" t="e">
        <v>#NAME?</v>
      </c>
      <c r="D38" s="647" t="e">
        <v>#NAME?</v>
      </c>
      <c r="E38" s="647" t="e">
        <v>#NAME?</v>
      </c>
      <c r="F38" s="647" t="e">
        <v>#NAME?</v>
      </c>
      <c r="G38" s="647" t="e">
        <v>#NAME?</v>
      </c>
      <c r="H38" s="647" t="e">
        <v>#NAME?</v>
      </c>
      <c r="I38" s="647" t="e">
        <v>#NAME?</v>
      </c>
      <c r="J38" s="647" t="e">
        <v>#NAME?</v>
      </c>
      <c r="K38" s="647" t="e">
        <v>#NAME?</v>
      </c>
      <c r="L38" s="647" t="e">
        <v>#NAME?</v>
      </c>
      <c r="M38" s="647" t="e">
        <v>#NAME?</v>
      </c>
      <c r="N38" s="647" t="e">
        <v>#NAME?</v>
      </c>
      <c r="O38" s="647" t="e">
        <v>#NAME?</v>
      </c>
      <c r="P38" s="647" t="e">
        <v>#NAME?</v>
      </c>
      <c r="Q38" s="647" t="e">
        <f ca="1">+Valuation!S102*Valuation!S39</f>
        <v>#NAME?</v>
      </c>
      <c r="R38" s="647" t="e">
        <f ca="1">+Valuation!T102*Valuation!T39</f>
        <v>#NAME?</v>
      </c>
      <c r="S38" s="647" t="e">
        <f ca="1">+Valuation!U102*Valuation!U39</f>
        <v>#NAME?</v>
      </c>
      <c r="T38" s="647" t="e">
        <f ca="1">+Valuation!V102*Valuation!V39</f>
        <v>#NAME?</v>
      </c>
      <c r="U38" s="647" t="e">
        <f ca="1">+Valuation!W102*Valuation!W39</f>
        <v>#NAME?</v>
      </c>
      <c r="V38" s="647" t="e">
        <f ca="1">+Valuation!X102*Valuation!X39</f>
        <v>#NAME?</v>
      </c>
      <c r="W38" s="647" t="e">
        <f ca="1">+Valuation!Y102*Valuation!Y39</f>
        <v>#NAME?</v>
      </c>
      <c r="X38" s="647" t="e">
        <f ca="1">+Valuation!Z102*Valuation!Z39</f>
        <v>#NAME?</v>
      </c>
      <c r="Y38" s="647" t="e">
        <f ca="1">+Valuation!AA102*Valuation!AA39</f>
        <v>#NAME?</v>
      </c>
      <c r="Z38" s="647" t="e">
        <f ca="1">+Valuation!AB102*Valuation!AB39</f>
        <v>#NAME?</v>
      </c>
      <c r="AA38" s="15"/>
    </row>
    <row r="39" spans="2:27">
      <c r="B39" s="641" t="s">
        <v>1095</v>
      </c>
      <c r="C39" s="647" t="e">
        <v>#NAME?</v>
      </c>
      <c r="D39" s="647" t="e">
        <v>#NAME?</v>
      </c>
      <c r="E39" s="647" t="e">
        <v>#NAME?</v>
      </c>
      <c r="F39" s="647" t="e">
        <v>#NAME?</v>
      </c>
      <c r="G39" s="647" t="e">
        <v>#NAME?</v>
      </c>
      <c r="H39" s="647" t="e">
        <v>#NAME?</v>
      </c>
      <c r="I39" s="647" t="e">
        <v>#NAME?</v>
      </c>
      <c r="J39" s="647" t="e">
        <v>#NAME?</v>
      </c>
      <c r="K39" s="647" t="e">
        <v>#NAME?</v>
      </c>
      <c r="L39" s="647" t="e">
        <v>#NAME?</v>
      </c>
      <c r="M39" s="647" t="e">
        <v>#NAME?</v>
      </c>
      <c r="N39" s="647" t="e">
        <v>#NAME?</v>
      </c>
      <c r="O39" s="647" t="e">
        <v>#NAME?</v>
      </c>
      <c r="P39" s="647" t="e">
        <v>#NAME?</v>
      </c>
      <c r="Q39" s="647" t="e">
        <f>+P39</f>
        <v>#NAME?</v>
      </c>
      <c r="R39" s="647" t="e">
        <f t="shared" ref="R39:Z39" si="1">+Q39</f>
        <v>#NAME?</v>
      </c>
      <c r="S39" s="647" t="e">
        <f t="shared" si="1"/>
        <v>#NAME?</v>
      </c>
      <c r="T39" s="647" t="e">
        <f t="shared" si="1"/>
        <v>#NAME?</v>
      </c>
      <c r="U39" s="647" t="e">
        <f t="shared" si="1"/>
        <v>#NAME?</v>
      </c>
      <c r="V39" s="647" t="e">
        <f t="shared" si="1"/>
        <v>#NAME?</v>
      </c>
      <c r="W39" s="647" t="e">
        <f t="shared" si="1"/>
        <v>#NAME?</v>
      </c>
      <c r="X39" s="647" t="e">
        <f t="shared" si="1"/>
        <v>#NAME?</v>
      </c>
      <c r="Y39" s="647" t="e">
        <f t="shared" si="1"/>
        <v>#NAME?</v>
      </c>
      <c r="Z39" s="647" t="e">
        <f t="shared" si="1"/>
        <v>#NAME?</v>
      </c>
      <c r="AA39" s="15"/>
    </row>
    <row r="40" spans="2:27">
      <c r="B40" s="641" t="s">
        <v>848</v>
      </c>
      <c r="C40" s="647" t="e">
        <v>#NAME?</v>
      </c>
      <c r="D40" s="647" t="e">
        <v>#NAME?</v>
      </c>
      <c r="E40" s="647" t="e">
        <v>#NAME?</v>
      </c>
      <c r="F40" s="647" t="e">
        <v>#NAME?</v>
      </c>
      <c r="G40" s="647" t="e">
        <v>#NAME?</v>
      </c>
      <c r="H40" s="647" t="e">
        <v>#NAME?</v>
      </c>
      <c r="I40" s="647" t="e">
        <v>#NAME?</v>
      </c>
      <c r="J40" s="647" t="e">
        <v>#NAME?</v>
      </c>
      <c r="K40" s="647" t="e">
        <v>#NAME?</v>
      </c>
      <c r="L40" s="647" t="e">
        <v>#NAME?</v>
      </c>
      <c r="M40" s="647" t="e">
        <v>#NAME?</v>
      </c>
      <c r="N40" s="647" t="e">
        <v>#NAME?</v>
      </c>
      <c r="O40" s="647" t="e">
        <v>#NAME?</v>
      </c>
      <c r="P40" s="647" t="e">
        <v>#NAME?</v>
      </c>
      <c r="Q40" s="647">
        <f>+Valuation!S89</f>
        <v>7811898.4800000004</v>
      </c>
      <c r="R40" s="647">
        <f>+Valuation!T89</f>
        <v>7968136.4496000009</v>
      </c>
      <c r="S40" s="647">
        <f>+Valuation!U89</f>
        <v>8127499.1785920011</v>
      </c>
      <c r="T40" s="647">
        <f>+Valuation!V89</f>
        <v>8290049.1621638415</v>
      </c>
      <c r="U40" s="647">
        <f>+Valuation!W89</f>
        <v>8455850.1454071179</v>
      </c>
      <c r="V40" s="647">
        <f>+Valuation!X89</f>
        <v>8624967.1483152602</v>
      </c>
      <c r="W40" s="647">
        <f>+Valuation!Y89</f>
        <v>8797466.4912815653</v>
      </c>
      <c r="X40" s="647">
        <f>+Valuation!Z89</f>
        <v>8973415.8211071976</v>
      </c>
      <c r="Y40" s="647">
        <f>+Valuation!AA89</f>
        <v>9152884.1375293415</v>
      </c>
      <c r="Z40" s="647">
        <f>+Valuation!AB89</f>
        <v>9335941.8202799279</v>
      </c>
      <c r="AA40" s="15"/>
    </row>
    <row r="41" spans="2:27">
      <c r="B41" s="641" t="s">
        <v>1055</v>
      </c>
      <c r="C41" s="648" t="e">
        <v>#NAME?</v>
      </c>
      <c r="D41" s="648" t="e">
        <v>#NAME?</v>
      </c>
      <c r="E41" s="648" t="e">
        <v>#NAME?</v>
      </c>
      <c r="F41" s="648" t="e">
        <v>#NAME?</v>
      </c>
      <c r="G41" s="648" t="e">
        <v>#NAME?</v>
      </c>
      <c r="H41" s="648" t="e">
        <v>#NAME?</v>
      </c>
      <c r="I41" s="648" t="e">
        <v>#NAME?</v>
      </c>
      <c r="J41" s="648" t="e">
        <v>#NAME?</v>
      </c>
      <c r="K41" s="648" t="e">
        <v>#NAME?</v>
      </c>
      <c r="L41" s="648" t="e">
        <v>#NAME?</v>
      </c>
      <c r="M41" s="648" t="e">
        <v>#NAME?</v>
      </c>
      <c r="N41" s="648" t="e">
        <v>#NAME?</v>
      </c>
      <c r="O41" s="648" t="e">
        <v>#NAME?</v>
      </c>
      <c r="P41" s="648" t="e">
        <v>#NAME?</v>
      </c>
      <c r="Q41" s="648" t="e">
        <f ca="1">+Valuation!S89-Valuation!S76</f>
        <v>#NAME?</v>
      </c>
      <c r="R41" s="648" t="e">
        <f ca="1">+Valuation!T89-Valuation!T76</f>
        <v>#NAME?</v>
      </c>
      <c r="S41" s="648" t="e">
        <f ca="1">+Valuation!U89-Valuation!U76</f>
        <v>#NAME?</v>
      </c>
      <c r="T41" s="648" t="e">
        <f ca="1">+Valuation!V89-Valuation!V76</f>
        <v>#NAME?</v>
      </c>
      <c r="U41" s="648" t="e">
        <f ca="1">+Valuation!W89-Valuation!W76</f>
        <v>#NAME?</v>
      </c>
      <c r="V41" s="648" t="e">
        <f ca="1">+Valuation!X89-Valuation!X76</f>
        <v>#NAME?</v>
      </c>
      <c r="W41" s="648" t="e">
        <f ca="1">+Valuation!Y89-Valuation!Y76</f>
        <v>#NAME?</v>
      </c>
      <c r="X41" s="648" t="e">
        <f ca="1">+Valuation!Z89-Valuation!Z76</f>
        <v>#NAME?</v>
      </c>
      <c r="Y41" s="648" t="e">
        <f ca="1">+Valuation!AA89-Valuation!AA76</f>
        <v>#NAME?</v>
      </c>
      <c r="Z41" s="648" t="e">
        <f ca="1">+Valuation!AB89-Valuation!AB76</f>
        <v>#NAME?</v>
      </c>
      <c r="AA41" s="15"/>
    </row>
    <row r="42" spans="2:27">
      <c r="B42" s="641"/>
      <c r="C42" s="15"/>
      <c r="D42" s="15"/>
      <c r="E42" s="15"/>
      <c r="F42" s="15"/>
      <c r="G42" s="15"/>
      <c r="H42" s="15"/>
      <c r="I42" s="15"/>
      <c r="J42" s="15"/>
      <c r="K42" s="15"/>
      <c r="L42" s="15"/>
      <c r="M42" s="15"/>
      <c r="N42" s="15"/>
      <c r="O42" s="15"/>
      <c r="P42" s="15"/>
      <c r="Q42" s="15"/>
      <c r="R42" s="15"/>
      <c r="S42" s="15"/>
      <c r="T42" s="15"/>
      <c r="U42" s="15"/>
      <c r="V42" s="15"/>
      <c r="W42" s="15"/>
      <c r="X42" s="15"/>
      <c r="Y42" s="15"/>
      <c r="Z42" s="15"/>
      <c r="AA42" s="15"/>
    </row>
    <row r="43" spans="2:27" ht="45" customHeight="1">
      <c r="B43" s="641"/>
      <c r="C43" s="15"/>
      <c r="D43" s="15"/>
      <c r="E43" s="15"/>
      <c r="F43" s="15"/>
      <c r="G43" s="15"/>
      <c r="H43" s="15"/>
      <c r="I43" s="15"/>
      <c r="J43" s="15"/>
      <c r="K43" s="15"/>
      <c r="L43" s="15"/>
      <c r="M43" s="15"/>
      <c r="N43" s="15"/>
      <c r="O43" s="15"/>
      <c r="P43" s="15"/>
      <c r="Q43" s="15"/>
      <c r="R43" s="15"/>
      <c r="S43" s="15"/>
      <c r="T43" s="15"/>
      <c r="U43" s="15"/>
      <c r="V43" s="15"/>
      <c r="W43" s="15"/>
      <c r="X43" s="15"/>
      <c r="Y43" s="15"/>
      <c r="Z43" s="15"/>
      <c r="AA43" s="15"/>
    </row>
    <row r="44" spans="2:27">
      <c r="B44" s="641"/>
      <c r="C44" s="644">
        <f>+Valuation!E$9</f>
        <v>2012</v>
      </c>
      <c r="D44" s="644">
        <f>+Valuation!F$9</f>
        <v>2013</v>
      </c>
      <c r="E44" s="644">
        <f>+Valuation!G$9</f>
        <v>2014</v>
      </c>
      <c r="F44" s="644">
        <f>+Valuation!H$9</f>
        <v>2015</v>
      </c>
      <c r="G44" s="644">
        <f>+Valuation!I$9</f>
        <v>2016</v>
      </c>
      <c r="H44" s="644">
        <f>+Valuation!J$9</f>
        <v>2017</v>
      </c>
      <c r="I44" s="644">
        <f>+Valuation!K$9</f>
        <v>2018</v>
      </c>
      <c r="J44" s="644">
        <f>+Valuation!L$9</f>
        <v>2019</v>
      </c>
      <c r="K44" s="644">
        <f>+Valuation!M$9</f>
        <v>2020</v>
      </c>
      <c r="L44" s="644">
        <f>+Valuation!N$9</f>
        <v>2021</v>
      </c>
      <c r="M44" s="644">
        <f>+Valuation!O$9</f>
        <v>2022</v>
      </c>
      <c r="N44" s="644">
        <f>+Valuation!P$9</f>
        <v>2023</v>
      </c>
      <c r="O44" s="644">
        <f>+Valuation!Q$9</f>
        <v>2024</v>
      </c>
      <c r="P44" s="644">
        <f>+Valuation!R$9</f>
        <v>2025</v>
      </c>
      <c r="Q44" s="645">
        <f>+Valuation!S$9</f>
        <v>2026</v>
      </c>
      <c r="R44" s="645">
        <f>+Valuation!T$9</f>
        <v>2027</v>
      </c>
      <c r="S44" s="645">
        <f>+Valuation!U$9</f>
        <v>2028</v>
      </c>
      <c r="T44" s="645">
        <f>+Valuation!V$9</f>
        <v>2029</v>
      </c>
      <c r="U44" s="645">
        <f>+Valuation!W$9</f>
        <v>2030</v>
      </c>
      <c r="V44" s="645">
        <f>+Valuation!X$9</f>
        <v>2031</v>
      </c>
      <c r="W44" s="645">
        <f>+Valuation!Y$9</f>
        <v>2032</v>
      </c>
      <c r="X44" s="645">
        <f>+Valuation!Z$9</f>
        <v>2033</v>
      </c>
      <c r="Y44" s="645">
        <f>+Valuation!AA$9</f>
        <v>2034</v>
      </c>
      <c r="Z44" s="645">
        <f>+Valuation!AB$9</f>
        <v>2035</v>
      </c>
      <c r="AA44" s="15"/>
    </row>
    <row r="45" spans="2:27">
      <c r="B45" s="641" t="s">
        <v>1096</v>
      </c>
      <c r="C45" s="646" t="e">
        <f>+C40/(C38+C40)</f>
        <v>#NAME?</v>
      </c>
      <c r="D45" s="646" t="e">
        <f t="shared" ref="D45:Z45" si="2">+D40/(D38+D40)</f>
        <v>#NAME?</v>
      </c>
      <c r="E45" s="646" t="e">
        <f t="shared" si="2"/>
        <v>#NAME?</v>
      </c>
      <c r="F45" s="646" t="e">
        <f t="shared" si="2"/>
        <v>#NAME?</v>
      </c>
      <c r="G45" s="646" t="e">
        <f t="shared" si="2"/>
        <v>#NAME?</v>
      </c>
      <c r="H45" s="646" t="e">
        <f t="shared" si="2"/>
        <v>#NAME?</v>
      </c>
      <c r="I45" s="646" t="e">
        <f t="shared" si="2"/>
        <v>#NAME?</v>
      </c>
      <c r="J45" s="646" t="e">
        <f t="shared" si="2"/>
        <v>#NAME?</v>
      </c>
      <c r="K45" s="646" t="e">
        <f t="shared" si="2"/>
        <v>#NAME?</v>
      </c>
      <c r="L45" s="646" t="e">
        <f t="shared" si="2"/>
        <v>#NAME?</v>
      </c>
      <c r="M45" s="646" t="e">
        <f t="shared" si="2"/>
        <v>#NAME?</v>
      </c>
      <c r="N45" s="646" t="e">
        <f t="shared" si="2"/>
        <v>#NAME?</v>
      </c>
      <c r="O45" s="646" t="e">
        <f t="shared" si="2"/>
        <v>#NAME?</v>
      </c>
      <c r="P45" s="646" t="e">
        <f t="shared" si="2"/>
        <v>#NAME?</v>
      </c>
      <c r="Q45" s="646" t="e">
        <f t="shared" ca="1" si="2"/>
        <v>#NAME?</v>
      </c>
      <c r="R45" s="646" t="e">
        <f t="shared" ca="1" si="2"/>
        <v>#NAME?</v>
      </c>
      <c r="S45" s="646" t="e">
        <f t="shared" ca="1" si="2"/>
        <v>#NAME?</v>
      </c>
      <c r="T45" s="646" t="e">
        <f t="shared" ca="1" si="2"/>
        <v>#NAME?</v>
      </c>
      <c r="U45" s="646" t="e">
        <f t="shared" ca="1" si="2"/>
        <v>#NAME?</v>
      </c>
      <c r="V45" s="646" t="e">
        <f t="shared" ca="1" si="2"/>
        <v>#NAME?</v>
      </c>
      <c r="W45" s="646" t="e">
        <f t="shared" ca="1" si="2"/>
        <v>#NAME?</v>
      </c>
      <c r="X45" s="646" t="e">
        <f t="shared" ca="1" si="2"/>
        <v>#NAME?</v>
      </c>
      <c r="Y45" s="646" t="e">
        <f t="shared" ca="1" si="2"/>
        <v>#NAME?</v>
      </c>
      <c r="Z45" s="646" t="e">
        <f t="shared" ca="1" si="2"/>
        <v>#NAME?</v>
      </c>
      <c r="AA45" s="15"/>
    </row>
    <row r="46" spans="2:27">
      <c r="B46" s="641" t="s">
        <v>1107</v>
      </c>
      <c r="C46" s="646" t="e">
        <f>+C40/C38</f>
        <v>#NAME?</v>
      </c>
      <c r="D46" s="646" t="e">
        <f t="shared" ref="D46:Z46" si="3">+D40/D38</f>
        <v>#NAME?</v>
      </c>
      <c r="E46" s="646" t="e">
        <f t="shared" si="3"/>
        <v>#NAME?</v>
      </c>
      <c r="F46" s="646" t="e">
        <f t="shared" si="3"/>
        <v>#NAME?</v>
      </c>
      <c r="G46" s="646" t="e">
        <f t="shared" si="3"/>
        <v>#NAME?</v>
      </c>
      <c r="H46" s="646" t="e">
        <f t="shared" si="3"/>
        <v>#NAME?</v>
      </c>
      <c r="I46" s="646" t="e">
        <f t="shared" si="3"/>
        <v>#NAME?</v>
      </c>
      <c r="J46" s="646" t="e">
        <f t="shared" si="3"/>
        <v>#NAME?</v>
      </c>
      <c r="K46" s="646" t="e">
        <f t="shared" si="3"/>
        <v>#NAME?</v>
      </c>
      <c r="L46" s="646" t="e">
        <f t="shared" si="3"/>
        <v>#NAME?</v>
      </c>
      <c r="M46" s="646" t="e">
        <f t="shared" si="3"/>
        <v>#NAME?</v>
      </c>
      <c r="N46" s="646" t="e">
        <f t="shared" si="3"/>
        <v>#NAME?</v>
      </c>
      <c r="O46" s="646" t="e">
        <f t="shared" si="3"/>
        <v>#NAME?</v>
      </c>
      <c r="P46" s="646" t="e">
        <f t="shared" si="3"/>
        <v>#NAME?</v>
      </c>
      <c r="Q46" s="646" t="e">
        <f t="shared" ca="1" si="3"/>
        <v>#NAME?</v>
      </c>
      <c r="R46" s="646" t="e">
        <f t="shared" ca="1" si="3"/>
        <v>#NAME?</v>
      </c>
      <c r="S46" s="646" t="e">
        <f t="shared" ca="1" si="3"/>
        <v>#NAME?</v>
      </c>
      <c r="T46" s="646" t="e">
        <f t="shared" ca="1" si="3"/>
        <v>#NAME?</v>
      </c>
      <c r="U46" s="646" t="e">
        <f t="shared" ca="1" si="3"/>
        <v>#NAME?</v>
      </c>
      <c r="V46" s="646" t="e">
        <f t="shared" ca="1" si="3"/>
        <v>#NAME?</v>
      </c>
      <c r="W46" s="646" t="e">
        <f t="shared" ca="1" si="3"/>
        <v>#NAME?</v>
      </c>
      <c r="X46" s="646" t="e">
        <f t="shared" ca="1" si="3"/>
        <v>#NAME?</v>
      </c>
      <c r="Y46" s="646" t="e">
        <f t="shared" ca="1" si="3"/>
        <v>#NAME?</v>
      </c>
      <c r="Z46" s="646" t="e">
        <f t="shared" ca="1" si="3"/>
        <v>#NAME?</v>
      </c>
      <c r="AA46" s="15"/>
    </row>
    <row r="47" spans="2:27">
      <c r="B47" s="641" t="s">
        <v>1098</v>
      </c>
      <c r="C47" s="649" t="e">
        <f>+C40/Valuation!E52</f>
        <v>#NAME?</v>
      </c>
      <c r="D47" s="649" t="e">
        <f>+D40/Valuation!F52</f>
        <v>#NAME?</v>
      </c>
      <c r="E47" s="649" t="e">
        <f>+E40/Valuation!G52</f>
        <v>#NAME?</v>
      </c>
      <c r="F47" s="649" t="e">
        <f>+F40/Valuation!H52</f>
        <v>#NAME?</v>
      </c>
      <c r="G47" s="649" t="e">
        <f>+G40/Valuation!I52</f>
        <v>#NAME?</v>
      </c>
      <c r="H47" s="649" t="e">
        <f>+H40/Valuation!J52</f>
        <v>#NAME?</v>
      </c>
      <c r="I47" s="649" t="e">
        <f>+I40/Valuation!K52</f>
        <v>#NAME?</v>
      </c>
      <c r="J47" s="649" t="e">
        <f>+J40/Valuation!L52</f>
        <v>#NAME?</v>
      </c>
      <c r="K47" s="649" t="e">
        <f>+K40/Valuation!M52</f>
        <v>#NAME?</v>
      </c>
      <c r="L47" s="649" t="e">
        <f>+L40/Valuation!N52</f>
        <v>#NAME?</v>
      </c>
      <c r="M47" s="649" t="e">
        <f>+M40/Valuation!O52</f>
        <v>#NAME?</v>
      </c>
      <c r="N47" s="649" t="e">
        <f>+N40/Valuation!P52</f>
        <v>#NAME?</v>
      </c>
      <c r="O47" s="649" t="e">
        <f>+O40/Valuation!Q52</f>
        <v>#NAME?</v>
      </c>
      <c r="P47" s="649" t="e">
        <f>+P40/Valuation!R52</f>
        <v>#NAME?</v>
      </c>
      <c r="Q47" s="649">
        <f ca="1">+Q40/Valuation!S52</f>
        <v>6.9704008963861979</v>
      </c>
      <c r="R47" s="649" t="e">
        <f ca="1">+R40/Valuation!T52</f>
        <v>#NAME?</v>
      </c>
      <c r="S47" s="649" t="e">
        <f ca="1">+S40/Valuation!U52</f>
        <v>#NAME?</v>
      </c>
      <c r="T47" s="649" t="e">
        <f ca="1">+T40/Valuation!V52</f>
        <v>#NAME?</v>
      </c>
      <c r="U47" s="649" t="e">
        <f ca="1">+U40/Valuation!W52</f>
        <v>#NAME?</v>
      </c>
      <c r="V47" s="649" t="e">
        <f ca="1">+V40/Valuation!X52</f>
        <v>#NAME?</v>
      </c>
      <c r="W47" s="649" t="e">
        <f ca="1">+W40/Valuation!Y52</f>
        <v>#NAME?</v>
      </c>
      <c r="X47" s="649" t="e">
        <f ca="1">+X40/Valuation!Z52</f>
        <v>#NAME?</v>
      </c>
      <c r="Y47" s="649" t="e">
        <f ca="1">+Y40/Valuation!AA52</f>
        <v>#NAME?</v>
      </c>
      <c r="Z47" s="649" t="e">
        <f ca="1">+Z40/Valuation!AB52</f>
        <v>#NAME?</v>
      </c>
      <c r="AA47" s="15"/>
    </row>
    <row r="48" spans="2:27">
      <c r="B48" s="641" t="s">
        <v>1097</v>
      </c>
      <c r="C48" s="649" t="e">
        <f>+C41/Valuation!E52</f>
        <v>#NAME?</v>
      </c>
      <c r="D48" s="649" t="e">
        <f>+D41/Valuation!F52</f>
        <v>#NAME?</v>
      </c>
      <c r="E48" s="649" t="e">
        <f>+E41/Valuation!G52</f>
        <v>#NAME?</v>
      </c>
      <c r="F48" s="649" t="e">
        <f>+F41/Valuation!H52</f>
        <v>#NAME?</v>
      </c>
      <c r="G48" s="649" t="e">
        <f>+G41/Valuation!I52</f>
        <v>#NAME?</v>
      </c>
      <c r="H48" s="649" t="e">
        <f>+H41/Valuation!J52</f>
        <v>#NAME?</v>
      </c>
      <c r="I48" s="649" t="e">
        <f>+I41/Valuation!K52</f>
        <v>#NAME?</v>
      </c>
      <c r="J48" s="649" t="e">
        <f>+J41/Valuation!L52</f>
        <v>#NAME?</v>
      </c>
      <c r="K48" s="649" t="e">
        <f>+K41/Valuation!M52</f>
        <v>#NAME?</v>
      </c>
      <c r="L48" s="649" t="e">
        <f>+L41/Valuation!N52</f>
        <v>#NAME?</v>
      </c>
      <c r="M48" s="649" t="e">
        <f>+M41/Valuation!O52</f>
        <v>#NAME?</v>
      </c>
      <c r="N48" s="649" t="e">
        <f>+N41/Valuation!P52</f>
        <v>#NAME?</v>
      </c>
      <c r="O48" s="649" t="e">
        <f>+O41/Valuation!Q52</f>
        <v>#NAME?</v>
      </c>
      <c r="P48" s="649" t="e">
        <f>+P41/Valuation!R52</f>
        <v>#NAME?</v>
      </c>
      <c r="Q48" s="649" t="e">
        <f ca="1">+Q41/Valuation!S52</f>
        <v>#NAME?</v>
      </c>
      <c r="R48" s="649" t="e">
        <f ca="1">+R41/Valuation!T52</f>
        <v>#NAME?</v>
      </c>
      <c r="S48" s="649" t="e">
        <f ca="1">+S41/Valuation!U52</f>
        <v>#NAME?</v>
      </c>
      <c r="T48" s="649" t="e">
        <f ca="1">+T41/Valuation!V52</f>
        <v>#NAME?</v>
      </c>
      <c r="U48" s="649" t="e">
        <f ca="1">+U41/Valuation!W52</f>
        <v>#NAME?</v>
      </c>
      <c r="V48" s="649" t="e">
        <f ca="1">+V41/Valuation!X52</f>
        <v>#NAME?</v>
      </c>
      <c r="W48" s="649" t="e">
        <f ca="1">+W41/Valuation!Y52</f>
        <v>#NAME?</v>
      </c>
      <c r="X48" s="649" t="e">
        <f ca="1">+X41/Valuation!Z52</f>
        <v>#NAME?</v>
      </c>
      <c r="Y48" s="649" t="e">
        <f ca="1">+Y41/Valuation!AA52</f>
        <v>#NAME?</v>
      </c>
      <c r="Z48" s="649" t="e">
        <f ca="1">+Z41/Valuation!AB52</f>
        <v>#NAME?</v>
      </c>
      <c r="AA48" s="15"/>
    </row>
    <row r="49" spans="2:27">
      <c r="B49" s="641" t="s">
        <v>1099</v>
      </c>
      <c r="C49" s="649" t="e">
        <f>+C40/Valuation!E55</f>
        <v>#NAME?</v>
      </c>
      <c r="D49" s="649" t="e">
        <f>+D40/Valuation!F55</f>
        <v>#NAME?</v>
      </c>
      <c r="E49" s="649" t="e">
        <f>+E40/Valuation!G55</f>
        <v>#NAME?</v>
      </c>
      <c r="F49" s="649" t="e">
        <f>+F40/Valuation!H55</f>
        <v>#NAME?</v>
      </c>
      <c r="G49" s="649" t="e">
        <f>+G40/Valuation!I55</f>
        <v>#NAME?</v>
      </c>
      <c r="H49" s="649" t="e">
        <f>+H40/Valuation!J55</f>
        <v>#NAME?</v>
      </c>
      <c r="I49" s="649" t="e">
        <f>+I40/Valuation!K55</f>
        <v>#NAME?</v>
      </c>
      <c r="J49" s="649" t="e">
        <f>+J40/Valuation!L55</f>
        <v>#NAME?</v>
      </c>
      <c r="K49" s="649" t="e">
        <f>+K40/Valuation!M55</f>
        <v>#NAME?</v>
      </c>
      <c r="L49" s="649" t="e">
        <f>+L40/Valuation!N55</f>
        <v>#NAME?</v>
      </c>
      <c r="M49" s="649" t="e">
        <f>+M40/Valuation!O55</f>
        <v>#NAME?</v>
      </c>
      <c r="N49" s="649" t="e">
        <f>+N40/Valuation!P55</f>
        <v>#NAME?</v>
      </c>
      <c r="O49" s="649" t="e">
        <f>+O40/Valuation!Q55</f>
        <v>#NAME?</v>
      </c>
      <c r="P49" s="649" t="e">
        <f>+P40/Valuation!R55</f>
        <v>#NAME?</v>
      </c>
      <c r="Q49" s="649">
        <f ca="1">+Q40/Valuation!S55</f>
        <v>6.9704008963861979</v>
      </c>
      <c r="R49" s="649" t="e">
        <f ca="1">+R40/Valuation!T55</f>
        <v>#NAME?</v>
      </c>
      <c r="S49" s="649" t="e">
        <f ca="1">+S40/Valuation!U55</f>
        <v>#NAME?</v>
      </c>
      <c r="T49" s="649" t="e">
        <f ca="1">+T40/Valuation!V55</f>
        <v>#NAME?</v>
      </c>
      <c r="U49" s="649" t="e">
        <f ca="1">+U40/Valuation!W55</f>
        <v>#NAME?</v>
      </c>
      <c r="V49" s="649" t="e">
        <f ca="1">+V40/Valuation!X55</f>
        <v>#NAME?</v>
      </c>
      <c r="W49" s="649" t="e">
        <f ca="1">+W40/Valuation!Y55</f>
        <v>#NAME?</v>
      </c>
      <c r="X49" s="649" t="e">
        <f ca="1">+X40/Valuation!Z55</f>
        <v>#NAME?</v>
      </c>
      <c r="Y49" s="649" t="e">
        <f ca="1">+Y40/Valuation!AA55</f>
        <v>#NAME?</v>
      </c>
      <c r="Z49" s="649" t="e">
        <f ca="1">+Z40/Valuation!AB55</f>
        <v>#NAME?</v>
      </c>
      <c r="AA49" s="15"/>
    </row>
    <row r="50" spans="2:27">
      <c r="B50" s="641" t="s">
        <v>1100</v>
      </c>
      <c r="C50" s="649" t="e">
        <f>+C41/Valuation!E55</f>
        <v>#NAME?</v>
      </c>
      <c r="D50" s="649" t="e">
        <f>+D41/Valuation!F55</f>
        <v>#NAME?</v>
      </c>
      <c r="E50" s="649" t="e">
        <f>+E41/Valuation!G55</f>
        <v>#NAME?</v>
      </c>
      <c r="F50" s="649" t="e">
        <f>+F41/Valuation!H55</f>
        <v>#NAME?</v>
      </c>
      <c r="G50" s="649" t="e">
        <f>+G41/Valuation!I55</f>
        <v>#NAME?</v>
      </c>
      <c r="H50" s="649" t="e">
        <f>+H41/Valuation!J55</f>
        <v>#NAME?</v>
      </c>
      <c r="I50" s="649" t="e">
        <f>+I41/Valuation!K55</f>
        <v>#NAME?</v>
      </c>
      <c r="J50" s="649" t="e">
        <f>+J41/Valuation!L55</f>
        <v>#NAME?</v>
      </c>
      <c r="K50" s="649" t="e">
        <f>+K41/Valuation!M55</f>
        <v>#NAME?</v>
      </c>
      <c r="L50" s="649" t="e">
        <f>+L41/Valuation!N55</f>
        <v>#NAME?</v>
      </c>
      <c r="M50" s="649" t="e">
        <f>+M41/Valuation!O55</f>
        <v>#NAME?</v>
      </c>
      <c r="N50" s="649" t="e">
        <f>+N41/Valuation!P55</f>
        <v>#NAME?</v>
      </c>
      <c r="O50" s="649" t="e">
        <f>+O41/Valuation!Q55</f>
        <v>#NAME?</v>
      </c>
      <c r="P50" s="649" t="e">
        <f>+P41/Valuation!R55</f>
        <v>#NAME?</v>
      </c>
      <c r="Q50" s="649" t="e">
        <f ca="1">+Q41/Valuation!S55</f>
        <v>#NAME?</v>
      </c>
      <c r="R50" s="649" t="e">
        <f ca="1">+R41/Valuation!T55</f>
        <v>#NAME?</v>
      </c>
      <c r="S50" s="649" t="e">
        <f ca="1">+S41/Valuation!U55</f>
        <v>#NAME?</v>
      </c>
      <c r="T50" s="649" t="e">
        <f ca="1">+T41/Valuation!V55</f>
        <v>#NAME?</v>
      </c>
      <c r="U50" s="649" t="e">
        <f ca="1">+U41/Valuation!W55</f>
        <v>#NAME?</v>
      </c>
      <c r="V50" s="649" t="e">
        <f ca="1">+V41/Valuation!X55</f>
        <v>#NAME?</v>
      </c>
      <c r="W50" s="649" t="e">
        <f ca="1">+W41/Valuation!Y55</f>
        <v>#NAME?</v>
      </c>
      <c r="X50" s="649" t="e">
        <f ca="1">+X41/Valuation!Z55</f>
        <v>#NAME?</v>
      </c>
      <c r="Y50" s="649" t="e">
        <f ca="1">+Y41/Valuation!AA55</f>
        <v>#NAME?</v>
      </c>
      <c r="Z50" s="649" t="e">
        <f ca="1">+Z41/Valuation!AB55</f>
        <v>#NAME?</v>
      </c>
      <c r="AA50" s="15"/>
    </row>
    <row r="51" spans="2:27">
      <c r="B51" s="641" t="s">
        <v>1109</v>
      </c>
      <c r="C51" s="649" t="e">
        <f>+Valuation!E28/Valuation!E29</f>
        <v>#DIV/0!</v>
      </c>
      <c r="D51" s="649" t="e">
        <f>+Valuation!F28/Valuation!F29</f>
        <v>#DIV/0!</v>
      </c>
      <c r="E51" s="649" t="e">
        <f>+Valuation!G28/Valuation!G29</f>
        <v>#DIV/0!</v>
      </c>
      <c r="F51" s="649" t="e">
        <f>+Valuation!H28/Valuation!H29</f>
        <v>#DIV/0!</v>
      </c>
      <c r="G51" s="649" t="e">
        <f>+Valuation!I28/Valuation!I29</f>
        <v>#DIV/0!</v>
      </c>
      <c r="H51" s="649" t="e">
        <f>+Valuation!J28/Valuation!J29</f>
        <v>#DIV/0!</v>
      </c>
      <c r="I51" s="649" t="e">
        <f>+Valuation!K28/Valuation!K29</f>
        <v>#DIV/0!</v>
      </c>
      <c r="J51" s="649" t="e">
        <f>+Valuation!L28/Valuation!L29</f>
        <v>#DIV/0!</v>
      </c>
      <c r="K51" s="649">
        <f>+Valuation!M28/Valuation!M29</f>
        <v>154.16438876233866</v>
      </c>
      <c r="L51" s="649">
        <f>+Valuation!N28/Valuation!N29</f>
        <v>104.80476680384088</v>
      </c>
      <c r="M51" s="649">
        <f>+Valuation!O28/Valuation!O29</f>
        <v>-33.471850710340718</v>
      </c>
      <c r="N51" s="649">
        <f>+Valuation!P28/Valuation!P29</f>
        <v>7.1539037769132258E-2</v>
      </c>
      <c r="O51" s="649">
        <f>+Valuation!Q28/Valuation!Q29</f>
        <v>37.488858577717153</v>
      </c>
      <c r="P51" s="649">
        <f>+Valuation!R28/Valuation!R29</f>
        <v>18.820062519756945</v>
      </c>
      <c r="Q51" s="649">
        <f ca="1">+Valuation!S28/Valuation!S29</f>
        <v>7.4038988320612678</v>
      </c>
      <c r="R51" s="649" t="e">
        <f ca="1">+Valuation!T28/Valuation!T29</f>
        <v>#NAME?</v>
      </c>
      <c r="S51" s="649" t="e">
        <f ca="1">+Valuation!U28/Valuation!U29</f>
        <v>#NAME?</v>
      </c>
      <c r="T51" s="649" t="e">
        <f ca="1">+Valuation!V28/Valuation!V29</f>
        <v>#NAME?</v>
      </c>
      <c r="U51" s="649" t="e">
        <f ca="1">+Valuation!W28/Valuation!W29</f>
        <v>#NAME?</v>
      </c>
      <c r="V51" s="649" t="e">
        <f ca="1">+Valuation!X28/Valuation!X29</f>
        <v>#NAME?</v>
      </c>
      <c r="W51" s="649" t="e">
        <f ca="1">+Valuation!Y28/Valuation!Y29</f>
        <v>#NAME?</v>
      </c>
      <c r="X51" s="649" t="e">
        <f ca="1">+Valuation!Z28/Valuation!Z29</f>
        <v>#NAME?</v>
      </c>
      <c r="Y51" s="649" t="e">
        <f ca="1">+Valuation!AA28/Valuation!AA29</f>
        <v>#NAME?</v>
      </c>
      <c r="Z51" s="649" t="e">
        <f ca="1">+Valuation!AB28/Valuation!AB29</f>
        <v>#NAME?</v>
      </c>
      <c r="AA51" s="15"/>
    </row>
    <row r="52" spans="2:27">
      <c r="B52" s="641" t="s">
        <v>1101</v>
      </c>
      <c r="C52" s="649" t="e">
        <f>+Valuation!E52/Valuation!E29</f>
        <v>#DIV/0!</v>
      </c>
      <c r="D52" s="649" t="e">
        <f>+Valuation!F52/Valuation!F29</f>
        <v>#DIV/0!</v>
      </c>
      <c r="E52" s="649" t="e">
        <f>+Valuation!G52/Valuation!G29</f>
        <v>#DIV/0!</v>
      </c>
      <c r="F52" s="649" t="e">
        <f>+Valuation!H52/Valuation!H29</f>
        <v>#DIV/0!</v>
      </c>
      <c r="G52" s="649" t="e">
        <f>+Valuation!I52/Valuation!I29</f>
        <v>#DIV/0!</v>
      </c>
      <c r="H52" s="649" t="e">
        <f>+Valuation!J52/Valuation!J29</f>
        <v>#DIV/0!</v>
      </c>
      <c r="I52" s="649" t="e">
        <f>+Valuation!K52/Valuation!K29</f>
        <v>#DIV/0!</v>
      </c>
      <c r="J52" s="649" t="e">
        <f>+Valuation!L52/Valuation!L29</f>
        <v>#DIV/0!</v>
      </c>
      <c r="K52" s="649">
        <f>+Valuation!M52/Valuation!M29</f>
        <v>154.16438876233866</v>
      </c>
      <c r="L52" s="649">
        <f>+Valuation!N52/Valuation!N29</f>
        <v>106.41488340192043</v>
      </c>
      <c r="M52" s="649">
        <f>+Valuation!O52/Valuation!O29</f>
        <v>-31.738810587057515</v>
      </c>
      <c r="N52" s="649">
        <f>+Valuation!P52/Valuation!P29</f>
        <v>1.758729429959162</v>
      </c>
      <c r="O52" s="649">
        <f>+Valuation!Q52/Valuation!Q29</f>
        <v>39.070084940169878</v>
      </c>
      <c r="P52" s="649">
        <f>+Valuation!R52/Valuation!R29</f>
        <v>21.026143561284581</v>
      </c>
      <c r="Q52" s="649">
        <f ca="1">+Valuation!S52/Valuation!S29</f>
        <v>9.5642514193451884</v>
      </c>
      <c r="R52" s="649" t="e">
        <f ca="1">+Valuation!T52/Valuation!T29</f>
        <v>#NAME?</v>
      </c>
      <c r="S52" s="649" t="e">
        <f ca="1">+Valuation!U52/Valuation!U29</f>
        <v>#NAME?</v>
      </c>
      <c r="T52" s="649" t="e">
        <f ca="1">+Valuation!V52/Valuation!V29</f>
        <v>#NAME?</v>
      </c>
      <c r="U52" s="649" t="e">
        <f ca="1">+Valuation!W52/Valuation!W29</f>
        <v>#NAME?</v>
      </c>
      <c r="V52" s="649" t="e">
        <f ca="1">+Valuation!X52/Valuation!X29</f>
        <v>#NAME?</v>
      </c>
      <c r="W52" s="649" t="e">
        <f ca="1">+Valuation!Y52/Valuation!Y29</f>
        <v>#NAME?</v>
      </c>
      <c r="X52" s="649" t="e">
        <f ca="1">+Valuation!Z52/Valuation!Z29</f>
        <v>#NAME?</v>
      </c>
      <c r="Y52" s="649" t="e">
        <f ca="1">+Valuation!AA52/Valuation!AA29</f>
        <v>#NAME?</v>
      </c>
      <c r="Z52" s="649" t="e">
        <f ca="1">+Valuation!AB52/Valuation!AB29</f>
        <v>#NAME?</v>
      </c>
      <c r="AA52" s="15"/>
    </row>
    <row r="53" spans="2:27">
      <c r="B53" s="641" t="s">
        <v>1102</v>
      </c>
      <c r="C53" s="649" t="e">
        <f>+Valuation!E55/Valuation!E29</f>
        <v>#DIV/0!</v>
      </c>
      <c r="D53" s="649" t="e">
        <f>+Valuation!F55/Valuation!F29</f>
        <v>#DIV/0!</v>
      </c>
      <c r="E53" s="649" t="e">
        <f>+Valuation!G55/Valuation!G29</f>
        <v>#DIV/0!</v>
      </c>
      <c r="F53" s="649" t="e">
        <f>+Valuation!H55/Valuation!H29</f>
        <v>#DIV/0!</v>
      </c>
      <c r="G53" s="649" t="e">
        <f>+Valuation!I55/Valuation!I29</f>
        <v>#DIV/0!</v>
      </c>
      <c r="H53" s="649" t="e">
        <f>+Valuation!J55/Valuation!J29</f>
        <v>#DIV/0!</v>
      </c>
      <c r="I53" s="649" t="e">
        <f>+Valuation!K55/Valuation!K29</f>
        <v>#DIV/0!</v>
      </c>
      <c r="J53" s="649" t="e">
        <f>+Valuation!L55/Valuation!L29</f>
        <v>#DIV/0!</v>
      </c>
      <c r="K53" s="649">
        <f>+Valuation!M55/Valuation!M29</f>
        <v>154.16438876233866</v>
      </c>
      <c r="L53" s="649">
        <f>+Valuation!N55/Valuation!N29</f>
        <v>106.41488340192043</v>
      </c>
      <c r="M53" s="649">
        <f>+Valuation!O55/Valuation!O29</f>
        <v>-31.738810587057515</v>
      </c>
      <c r="N53" s="649">
        <f>+Valuation!P55/Valuation!P29</f>
        <v>1.758729429959162</v>
      </c>
      <c r="O53" s="649">
        <f>+Valuation!Q55/Valuation!Q29</f>
        <v>39.070084940169878</v>
      </c>
      <c r="P53" s="649">
        <f>+Valuation!R55/Valuation!R29</f>
        <v>21.026143561284581</v>
      </c>
      <c r="Q53" s="649">
        <f ca="1">+Valuation!S55/Valuation!S29</f>
        <v>9.5642514193451884</v>
      </c>
      <c r="R53" s="649" t="e">
        <f ca="1">+Valuation!T55/Valuation!T29</f>
        <v>#NAME?</v>
      </c>
      <c r="S53" s="649" t="e">
        <f ca="1">+Valuation!U55/Valuation!U29</f>
        <v>#NAME?</v>
      </c>
      <c r="T53" s="649" t="e">
        <f ca="1">+Valuation!V55/Valuation!V29</f>
        <v>#NAME?</v>
      </c>
      <c r="U53" s="649" t="e">
        <f ca="1">+Valuation!W55/Valuation!W29</f>
        <v>#NAME?</v>
      </c>
      <c r="V53" s="649" t="e">
        <f ca="1">+Valuation!X55/Valuation!X29</f>
        <v>#NAME?</v>
      </c>
      <c r="W53" s="649" t="e">
        <f ca="1">+Valuation!Y55/Valuation!Y29</f>
        <v>#NAME?</v>
      </c>
      <c r="X53" s="649" t="e">
        <f ca="1">+Valuation!Z55/Valuation!Z29</f>
        <v>#NAME?</v>
      </c>
      <c r="Y53" s="649" t="e">
        <f ca="1">+Valuation!AA55/Valuation!AA29</f>
        <v>#NAME?</v>
      </c>
      <c r="Z53" s="649" t="e">
        <f ca="1">+Valuation!AB55/Valuation!AB29</f>
        <v>#NAME?</v>
      </c>
      <c r="AA53" s="15"/>
    </row>
    <row r="54" spans="2:27">
      <c r="B54" s="641"/>
      <c r="C54" s="15"/>
      <c r="D54" s="15"/>
      <c r="E54" s="15"/>
      <c r="F54" s="15"/>
      <c r="G54" s="15"/>
      <c r="H54" s="15"/>
      <c r="I54" s="15"/>
      <c r="J54" s="15"/>
      <c r="K54" s="15"/>
      <c r="L54" s="15"/>
      <c r="M54" s="15"/>
      <c r="N54" s="15"/>
      <c r="O54" s="15"/>
      <c r="P54" s="15"/>
      <c r="Q54" s="15"/>
      <c r="R54" s="15"/>
      <c r="S54" s="15"/>
      <c r="T54" s="15"/>
      <c r="U54" s="15"/>
      <c r="V54" s="15"/>
      <c r="W54" s="15"/>
      <c r="X54" s="15"/>
      <c r="Y54" s="15"/>
      <c r="Z54" s="15"/>
      <c r="AA54" s="15"/>
    </row>
    <row r="55" spans="2:27" ht="45" customHeight="1">
      <c r="B55" s="641"/>
      <c r="C55" s="15"/>
      <c r="D55" s="15"/>
      <c r="E55" s="15"/>
      <c r="F55" s="15"/>
      <c r="G55" s="15"/>
      <c r="H55" s="15"/>
      <c r="I55" s="15"/>
      <c r="J55" s="15"/>
      <c r="K55" s="15"/>
      <c r="L55" s="15"/>
      <c r="M55" s="15"/>
      <c r="N55" s="15"/>
      <c r="O55" s="15"/>
      <c r="P55" s="15"/>
      <c r="Q55" s="15"/>
      <c r="R55" s="15"/>
      <c r="S55" s="15"/>
      <c r="T55" s="15"/>
      <c r="U55" s="15"/>
      <c r="V55" s="15"/>
      <c r="W55" s="15"/>
      <c r="X55" s="15"/>
      <c r="Y55" s="15"/>
      <c r="Z55" s="15"/>
      <c r="AA55" s="15"/>
    </row>
    <row r="56" spans="2:27">
      <c r="B56" s="641"/>
      <c r="C56" s="644">
        <f>+Valuation!E$9</f>
        <v>2012</v>
      </c>
      <c r="D56" s="644">
        <f>+Valuation!F$9</f>
        <v>2013</v>
      </c>
      <c r="E56" s="644">
        <f>+Valuation!G$9</f>
        <v>2014</v>
      </c>
      <c r="F56" s="644">
        <f>+Valuation!H$9</f>
        <v>2015</v>
      </c>
      <c r="G56" s="644">
        <f>+Valuation!I$9</f>
        <v>2016</v>
      </c>
      <c r="H56" s="644">
        <f>+Valuation!J$9</f>
        <v>2017</v>
      </c>
      <c r="I56" s="644">
        <f>+Valuation!K$9</f>
        <v>2018</v>
      </c>
      <c r="J56" s="644">
        <f>+Valuation!L$9</f>
        <v>2019</v>
      </c>
      <c r="K56" s="644">
        <f>+Valuation!M$9</f>
        <v>2020</v>
      </c>
      <c r="L56" s="644">
        <f>+Valuation!N$9</f>
        <v>2021</v>
      </c>
      <c r="M56" s="644">
        <f>+Valuation!O$9</f>
        <v>2022</v>
      </c>
      <c r="N56" s="644">
        <f>+Valuation!P$9</f>
        <v>2023</v>
      </c>
      <c r="O56" s="644">
        <f>+Valuation!Q$9</f>
        <v>2024</v>
      </c>
      <c r="P56" s="644">
        <f>+Valuation!R$9</f>
        <v>2025</v>
      </c>
      <c r="Q56" s="645">
        <f>+Valuation!S$9</f>
        <v>2026</v>
      </c>
      <c r="R56" s="645">
        <f>+Valuation!T$9</f>
        <v>2027</v>
      </c>
      <c r="S56" s="645">
        <f>+Valuation!U$9</f>
        <v>2028</v>
      </c>
      <c r="T56" s="645">
        <f>+Valuation!V$9</f>
        <v>2029</v>
      </c>
      <c r="U56" s="645">
        <f>+Valuation!W$9</f>
        <v>2030</v>
      </c>
      <c r="V56" s="645">
        <f>+Valuation!X$9</f>
        <v>2031</v>
      </c>
      <c r="W56" s="645">
        <f>+Valuation!Y$9</f>
        <v>2032</v>
      </c>
      <c r="X56" s="645">
        <f>+Valuation!Z$9</f>
        <v>2033</v>
      </c>
      <c r="Y56" s="645">
        <f>+Valuation!AA$9</f>
        <v>2034</v>
      </c>
      <c r="Z56" s="645">
        <f>+Valuation!AB$9</f>
        <v>2035</v>
      </c>
      <c r="AA56" s="15"/>
    </row>
    <row r="57" spans="2:27">
      <c r="B57" s="641" t="s">
        <v>988</v>
      </c>
      <c r="C57" s="646" t="e">
        <f>+(Valuation!E39*Valuation!E49)/Ratios!C38</f>
        <v>#NAME?</v>
      </c>
      <c r="D57" s="646" t="e">
        <f>+(Valuation!F39*Valuation!F49)/Ratios!D38</f>
        <v>#NAME?</v>
      </c>
      <c r="E57" s="646" t="e">
        <f>+(Valuation!G39*Valuation!G49)/Ratios!E38</f>
        <v>#NAME?</v>
      </c>
      <c r="F57" s="646" t="e">
        <f>+(Valuation!H39*Valuation!H49)/Ratios!F38</f>
        <v>#NAME?</v>
      </c>
      <c r="G57" s="646" t="e">
        <f>+(Valuation!I39*Valuation!I49)/Ratios!G38</f>
        <v>#NAME?</v>
      </c>
      <c r="H57" s="646" t="e">
        <f>+(Valuation!J39*Valuation!J49)/Ratios!H38</f>
        <v>#NAME?</v>
      </c>
      <c r="I57" s="646" t="e">
        <f>+(Valuation!K39*Valuation!K49)/Ratios!I38</f>
        <v>#NAME?</v>
      </c>
      <c r="J57" s="646" t="e">
        <f>+(Valuation!L39*Valuation!L49)/Ratios!J38</f>
        <v>#NAME?</v>
      </c>
      <c r="K57" s="646" t="e">
        <f>+(Valuation!M39*Valuation!M49)/Ratios!K38</f>
        <v>#NAME?</v>
      </c>
      <c r="L57" s="646" t="e">
        <f>+(Valuation!N39*Valuation!N49)/Ratios!L38</f>
        <v>#NAME?</v>
      </c>
      <c r="M57" s="646" t="e">
        <f>+(Valuation!O39*Valuation!O49)/Ratios!M38</f>
        <v>#NAME?</v>
      </c>
      <c r="N57" s="646" t="e">
        <f>+(Valuation!P39*Valuation!P49)/Ratios!N38</f>
        <v>#NAME?</v>
      </c>
      <c r="O57" s="646" t="e">
        <f>+(Valuation!Q39*Valuation!Q49)/Ratios!O38</f>
        <v>#NAME?</v>
      </c>
      <c r="P57" s="646" t="e">
        <f>+(Valuation!R39*Valuation!R49)/Ratios!P38</f>
        <v>#NAME?</v>
      </c>
      <c r="Q57" s="646" t="e">
        <f ca="1">+(Valuation!S39*Valuation!S49)/Ratios!Q38</f>
        <v>#NAME?</v>
      </c>
      <c r="R57" s="646" t="e">
        <f ca="1">+(Valuation!T39*Valuation!T49)/Ratios!R38</f>
        <v>#NAME?</v>
      </c>
      <c r="S57" s="646" t="e">
        <f ca="1">+(Valuation!U39*Valuation!U49)/Ratios!S38</f>
        <v>#NAME?</v>
      </c>
      <c r="T57" s="646" t="e">
        <f ca="1">+(Valuation!V39*Valuation!V49)/Ratios!T38</f>
        <v>#NAME?</v>
      </c>
      <c r="U57" s="646" t="e">
        <f ca="1">+(Valuation!W39*Valuation!W49)/Ratios!U38</f>
        <v>#NAME?</v>
      </c>
      <c r="V57" s="646" t="e">
        <f ca="1">+(Valuation!X39*Valuation!X49)/Ratios!V38</f>
        <v>#NAME?</v>
      </c>
      <c r="W57" s="646" t="e">
        <f ca="1">+(Valuation!Y39*Valuation!Y49)/Ratios!W38</f>
        <v>#NAME?</v>
      </c>
      <c r="X57" s="646" t="e">
        <f ca="1">+(Valuation!Z39*Valuation!Z49)/Ratios!X38</f>
        <v>#NAME?</v>
      </c>
      <c r="Y57" s="646" t="e">
        <f ca="1">+(Valuation!AA39*Valuation!AA49)/Ratios!Y38</f>
        <v>#NAME?</v>
      </c>
      <c r="Z57" s="646" t="e">
        <f ca="1">+(Valuation!AB39*Valuation!AB49)/Ratios!Z38</f>
        <v>#NAME?</v>
      </c>
      <c r="AA57" s="15"/>
    </row>
    <row r="58" spans="2:27">
      <c r="B58" s="641" t="s">
        <v>1119</v>
      </c>
      <c r="C58" s="646" t="e">
        <f>+Valuation!E34/Ratios!C38</f>
        <v>#NAME?</v>
      </c>
      <c r="D58" s="646" t="e">
        <f>+Valuation!F34/Ratios!D38</f>
        <v>#NAME?</v>
      </c>
      <c r="E58" s="646" t="e">
        <f>+Valuation!G34/Ratios!E38</f>
        <v>#NAME?</v>
      </c>
      <c r="F58" s="646" t="e">
        <f>+Valuation!H34/Ratios!F38</f>
        <v>#NAME?</v>
      </c>
      <c r="G58" s="646" t="e">
        <f>+Valuation!I34/Ratios!G38</f>
        <v>#NAME?</v>
      </c>
      <c r="H58" s="646" t="e">
        <f>+Valuation!J34/Ratios!H38</f>
        <v>#NAME?</v>
      </c>
      <c r="I58" s="646" t="e">
        <f>+Valuation!K34/Ratios!I38</f>
        <v>#NAME?</v>
      </c>
      <c r="J58" s="646" t="e">
        <f>+Valuation!L34/Ratios!J38</f>
        <v>#NAME?</v>
      </c>
      <c r="K58" s="646" t="e">
        <f>+Valuation!M34/Ratios!K38</f>
        <v>#NAME?</v>
      </c>
      <c r="L58" s="646" t="e">
        <f>+Valuation!N34/Ratios!L38</f>
        <v>#NAME?</v>
      </c>
      <c r="M58" s="646" t="e">
        <f>+Valuation!O34/Ratios!M38</f>
        <v>#NAME?</v>
      </c>
      <c r="N58" s="646" t="e">
        <f>+Valuation!P34/Ratios!N38</f>
        <v>#NAME?</v>
      </c>
      <c r="O58" s="646" t="e">
        <f>+Valuation!Q34/Ratios!O38</f>
        <v>#NAME?</v>
      </c>
      <c r="P58" s="646" t="e">
        <f>+Valuation!R34/Ratios!P38</f>
        <v>#NAME?</v>
      </c>
      <c r="Q58" s="646" t="e">
        <f ca="1">+Valuation!S34/Ratios!Q38</f>
        <v>#NAME?</v>
      </c>
      <c r="R58" s="646" t="e">
        <f ca="1">+Valuation!T34/Ratios!R38</f>
        <v>#NAME?</v>
      </c>
      <c r="S58" s="646" t="e">
        <f ca="1">+Valuation!U34/Ratios!S38</f>
        <v>#NAME?</v>
      </c>
      <c r="T58" s="646" t="e">
        <f ca="1">+Valuation!V34/Ratios!T38</f>
        <v>#NAME?</v>
      </c>
      <c r="U58" s="646" t="e">
        <f ca="1">+Valuation!W34/Ratios!U38</f>
        <v>#NAME?</v>
      </c>
      <c r="V58" s="646" t="e">
        <f ca="1">+Valuation!X34/Ratios!V38</f>
        <v>#NAME?</v>
      </c>
      <c r="W58" s="646" t="e">
        <f ca="1">+Valuation!Y34/Ratios!W38</f>
        <v>#NAME?</v>
      </c>
      <c r="X58" s="646" t="e">
        <f ca="1">+Valuation!Z34/Ratios!X38</f>
        <v>#NAME?</v>
      </c>
      <c r="Y58" s="646" t="e">
        <f ca="1">+Valuation!AA34/Ratios!Y38</f>
        <v>#NAME?</v>
      </c>
      <c r="Z58" s="646" t="e">
        <f ca="1">+Valuation!AB34/Ratios!Z38</f>
        <v>#NAME?</v>
      </c>
      <c r="AA58" s="15"/>
    </row>
    <row r="59" spans="2:27">
      <c r="B59" s="641" t="s">
        <v>1120</v>
      </c>
      <c r="C59" s="646" t="e">
        <f>+Valuation!E36/Ratios!C38</f>
        <v>#NAME?</v>
      </c>
      <c r="D59" s="646" t="e">
        <f>+Valuation!F36/Ratios!D38</f>
        <v>#NAME?</v>
      </c>
      <c r="E59" s="646" t="e">
        <f>+Valuation!G36/Ratios!E38</f>
        <v>#NAME?</v>
      </c>
      <c r="F59" s="646" t="e">
        <f>+Valuation!H36/Ratios!F38</f>
        <v>#NAME?</v>
      </c>
      <c r="G59" s="646" t="e">
        <f>+Valuation!I36/Ratios!G38</f>
        <v>#NAME?</v>
      </c>
      <c r="H59" s="646" t="e">
        <f>+Valuation!J36/Ratios!H38</f>
        <v>#NAME?</v>
      </c>
      <c r="I59" s="646" t="e">
        <f>+Valuation!K36/Ratios!I38</f>
        <v>#NAME?</v>
      </c>
      <c r="J59" s="646" t="e">
        <f>+Valuation!L36/Ratios!J38</f>
        <v>#NAME?</v>
      </c>
      <c r="K59" s="646" t="e">
        <f>+Valuation!M36/Ratios!K38</f>
        <v>#NAME?</v>
      </c>
      <c r="L59" s="646" t="e">
        <f>+Valuation!N36/Ratios!L38</f>
        <v>#NAME?</v>
      </c>
      <c r="M59" s="646" t="e">
        <f>+Valuation!O36/Ratios!M38</f>
        <v>#NAME?</v>
      </c>
      <c r="N59" s="646" t="e">
        <f>+Valuation!P36/Ratios!N38</f>
        <v>#NAME?</v>
      </c>
      <c r="O59" s="646" t="e">
        <f>+Valuation!Q36/Ratios!O38</f>
        <v>#NAME?</v>
      </c>
      <c r="P59" s="646" t="e">
        <f>+Valuation!R36/Ratios!P38</f>
        <v>#NAME?</v>
      </c>
      <c r="Q59" s="646" t="e">
        <f ca="1">+Valuation!S36/Ratios!Q38</f>
        <v>#NAME?</v>
      </c>
      <c r="R59" s="646" t="e">
        <f ca="1">+Valuation!T36/Ratios!R38</f>
        <v>#NAME?</v>
      </c>
      <c r="S59" s="646" t="e">
        <f ca="1">+Valuation!U36/Ratios!S38</f>
        <v>#NAME?</v>
      </c>
      <c r="T59" s="646" t="e">
        <f ca="1">+Valuation!V36/Ratios!T38</f>
        <v>#NAME?</v>
      </c>
      <c r="U59" s="646" t="e">
        <f ca="1">+Valuation!W36/Ratios!U38</f>
        <v>#NAME?</v>
      </c>
      <c r="V59" s="646" t="e">
        <f ca="1">+Valuation!X36/Ratios!V38</f>
        <v>#NAME?</v>
      </c>
      <c r="W59" s="646" t="e">
        <f ca="1">+Valuation!Y36/Ratios!W38</f>
        <v>#NAME?</v>
      </c>
      <c r="X59" s="646" t="e">
        <f ca="1">+Valuation!Z36/Ratios!X38</f>
        <v>#NAME?</v>
      </c>
      <c r="Y59" s="646" t="e">
        <f ca="1">+Valuation!AA36/Ratios!Y38</f>
        <v>#NAME?</v>
      </c>
      <c r="Z59" s="646" t="e">
        <f ca="1">+Valuation!AB36/Ratios!Z38</f>
        <v>#NAME?</v>
      </c>
      <c r="AA59" s="15"/>
    </row>
    <row r="60" spans="2:27">
      <c r="B60" s="641" t="s">
        <v>1121</v>
      </c>
      <c r="C60" s="646" t="e">
        <f>+Valuation!E73/Ratios!C38</f>
        <v>#NAME?</v>
      </c>
      <c r="D60" s="646" t="e">
        <f>+Valuation!F73/Ratios!D38</f>
        <v>#NAME?</v>
      </c>
      <c r="E60" s="646" t="e">
        <f>+Valuation!G73/Ratios!E38</f>
        <v>#NAME?</v>
      </c>
      <c r="F60" s="646" t="e">
        <f>+Valuation!H73/Ratios!F38</f>
        <v>#NAME?</v>
      </c>
      <c r="G60" s="646" t="e">
        <f>+Valuation!I73/Ratios!G38</f>
        <v>#NAME?</v>
      </c>
      <c r="H60" s="646" t="e">
        <f>+Valuation!J73/Ratios!H38</f>
        <v>#NAME?</v>
      </c>
      <c r="I60" s="646" t="e">
        <f>+Valuation!K73/Ratios!I38</f>
        <v>#NAME?</v>
      </c>
      <c r="J60" s="646" t="e">
        <f>+Valuation!L73/Ratios!J38</f>
        <v>#NAME?</v>
      </c>
      <c r="K60" s="646" t="e">
        <f>+Valuation!M73/Ratios!K38</f>
        <v>#NAME?</v>
      </c>
      <c r="L60" s="646" t="e">
        <f>+Valuation!N73/Ratios!L38</f>
        <v>#NAME?</v>
      </c>
      <c r="M60" s="646" t="e">
        <f>+Valuation!O73/Ratios!M38</f>
        <v>#NAME?</v>
      </c>
      <c r="N60" s="646" t="e">
        <f>+Valuation!P73/Ratios!N38</f>
        <v>#NAME?</v>
      </c>
      <c r="O60" s="646" t="e">
        <f>+Valuation!Q73/Ratios!O38</f>
        <v>#NAME?</v>
      </c>
      <c r="P60" s="646" t="e">
        <f>+Valuation!R73/Ratios!P38</f>
        <v>#NAME?</v>
      </c>
      <c r="Q60" s="646" t="e">
        <f ca="1">+Valuation!S73/Ratios!Q38</f>
        <v>#NAME?</v>
      </c>
      <c r="R60" s="646" t="e">
        <f ca="1">+Valuation!T73/Ratios!R38</f>
        <v>#NAME?</v>
      </c>
      <c r="S60" s="646" t="e">
        <f ca="1">+Valuation!U73/Ratios!S38</f>
        <v>#NAME?</v>
      </c>
      <c r="T60" s="646" t="e">
        <f ca="1">+Valuation!V73/Ratios!T38</f>
        <v>#NAME?</v>
      </c>
      <c r="U60" s="646" t="e">
        <f ca="1">+Valuation!W73/Ratios!U38</f>
        <v>#NAME?</v>
      </c>
      <c r="V60" s="646" t="e">
        <f ca="1">+Valuation!X73/Ratios!V38</f>
        <v>#NAME?</v>
      </c>
      <c r="W60" s="646" t="e">
        <f ca="1">+Valuation!Y73/Ratios!W38</f>
        <v>#NAME?</v>
      </c>
      <c r="X60" s="646" t="e">
        <f ca="1">+Valuation!Z73/Ratios!X38</f>
        <v>#NAME?</v>
      </c>
      <c r="Y60" s="646" t="e">
        <f ca="1">+Valuation!AA73/Ratios!Y38</f>
        <v>#NAME?</v>
      </c>
      <c r="Z60" s="646" t="e">
        <f ca="1">+Valuation!AB73/Ratios!Z38</f>
        <v>#NAME?</v>
      </c>
      <c r="AA60" s="15"/>
    </row>
    <row r="61" spans="2:27">
      <c r="B61" s="641"/>
      <c r="C61" s="15"/>
      <c r="D61" s="15"/>
      <c r="E61" s="15"/>
      <c r="F61" s="15"/>
      <c r="G61" s="15"/>
      <c r="H61" s="15"/>
      <c r="I61" s="15"/>
      <c r="J61" s="15"/>
      <c r="K61" s="15"/>
      <c r="L61" s="15"/>
      <c r="M61" s="15"/>
      <c r="N61" s="15"/>
      <c r="O61" s="15"/>
      <c r="P61" s="15"/>
      <c r="Q61" s="15"/>
      <c r="R61" s="15"/>
      <c r="S61" s="15"/>
      <c r="T61" s="15"/>
      <c r="U61" s="15"/>
      <c r="V61" s="15"/>
      <c r="W61" s="15"/>
      <c r="X61" s="15"/>
      <c r="Y61" s="15"/>
      <c r="Z61" s="15"/>
      <c r="AA61" s="15"/>
    </row>
    <row r="62" spans="2:27" ht="45" customHeight="1">
      <c r="B62" s="641"/>
      <c r="C62" s="15"/>
      <c r="D62" s="15"/>
      <c r="E62" s="15"/>
      <c r="F62" s="15"/>
      <c r="G62" s="15"/>
      <c r="H62" s="15"/>
      <c r="I62" s="15"/>
      <c r="J62" s="15"/>
      <c r="K62" s="15"/>
      <c r="L62" s="15"/>
      <c r="M62" s="15"/>
      <c r="N62" s="15"/>
      <c r="O62" s="15"/>
      <c r="P62" s="15"/>
      <c r="Q62" s="15"/>
      <c r="R62" s="15"/>
      <c r="S62" s="15"/>
      <c r="T62" s="15"/>
      <c r="U62" s="15"/>
      <c r="V62" s="15"/>
      <c r="W62" s="15"/>
      <c r="X62" s="15"/>
      <c r="Y62" s="15"/>
      <c r="Z62" s="15"/>
      <c r="AA62" s="15"/>
    </row>
    <row r="63" spans="2:27">
      <c r="B63" s="641"/>
      <c r="C63" s="15"/>
      <c r="D63" s="15"/>
      <c r="E63" s="15"/>
      <c r="F63" s="15"/>
      <c r="G63" s="15"/>
      <c r="H63" s="15"/>
      <c r="I63" s="15"/>
      <c r="J63" s="15"/>
      <c r="K63" s="15"/>
      <c r="L63" s="650" t="s">
        <v>1110</v>
      </c>
      <c r="M63" s="650" t="s">
        <v>1111</v>
      </c>
      <c r="N63" s="15"/>
      <c r="O63" s="15"/>
      <c r="P63" s="15"/>
      <c r="Q63" s="651" t="s">
        <v>1110</v>
      </c>
      <c r="R63" s="651" t="s">
        <v>1111</v>
      </c>
      <c r="S63" s="15"/>
      <c r="T63" s="15"/>
      <c r="U63" s="15"/>
      <c r="V63" s="15"/>
      <c r="W63" s="15"/>
      <c r="X63" s="15"/>
      <c r="Y63" s="15"/>
      <c r="Z63" s="15"/>
      <c r="AA63" s="15"/>
    </row>
    <row r="64" spans="2:27">
      <c r="B64" s="641" t="s">
        <v>1103</v>
      </c>
      <c r="C64" s="15"/>
      <c r="D64" s="15"/>
      <c r="E64" s="15"/>
      <c r="F64" s="15"/>
      <c r="G64" s="15"/>
      <c r="H64" s="15"/>
      <c r="I64" s="15"/>
      <c r="J64" s="15"/>
      <c r="K64" s="15"/>
      <c r="L64" s="652">
        <f>+AVERAGE(N30:P30)</f>
        <v>5.4795540416655041E-2</v>
      </c>
      <c r="M64" s="652" t="e">
        <f ca="1">+AVERAGE(Q30:U30)</f>
        <v>#NAME?</v>
      </c>
      <c r="N64" s="15"/>
      <c r="O64" s="15" t="s">
        <v>5</v>
      </c>
      <c r="P64" s="15"/>
      <c r="Q64" s="653">
        <f>+(Valuation!R11/Valuation!O11)^(1/3)-1</f>
        <v>0.31002765221245387</v>
      </c>
      <c r="R64" s="653" t="e">
        <f ca="1">+(Valuation!W11/Valuation!R11)^(1/5)-1</f>
        <v>#NAME?</v>
      </c>
      <c r="S64" s="15"/>
      <c r="T64" s="15"/>
      <c r="U64" s="15"/>
      <c r="V64" s="654"/>
      <c r="W64" s="654"/>
      <c r="X64" s="15"/>
      <c r="Y64" s="15"/>
      <c r="Z64" s="15"/>
      <c r="AA64" s="15"/>
    </row>
    <row r="65" spans="2:27">
      <c r="B65" s="641" t="s">
        <v>1104</v>
      </c>
      <c r="C65" s="15"/>
      <c r="D65" s="15"/>
      <c r="E65" s="15"/>
      <c r="F65" s="15"/>
      <c r="G65" s="15"/>
      <c r="H65" s="15"/>
      <c r="I65" s="15"/>
      <c r="J65" s="15"/>
      <c r="K65" s="15"/>
      <c r="L65" s="652">
        <f>+AVERAGE(N32:P32)</f>
        <v>0.11708635802403806</v>
      </c>
      <c r="M65" s="652" t="e">
        <f ca="1">+AVERAGE(Q32:U32)</f>
        <v>#NAME?</v>
      </c>
      <c r="N65" s="15"/>
      <c r="O65" s="15" t="s">
        <v>1065</v>
      </c>
      <c r="P65" s="15"/>
      <c r="Q65" s="653">
        <f>+(Valuation!R55/Valuation!O55)^(1/3)-1</f>
        <v>-1.8601920727317944</v>
      </c>
      <c r="R65" s="653" t="e">
        <f ca="1">+(Valuation!W55/Valuation!R55)^(1/5)-1</f>
        <v>#NAME?</v>
      </c>
      <c r="S65" s="15"/>
      <c r="T65" s="15"/>
      <c r="U65" s="15"/>
      <c r="V65" s="15"/>
      <c r="W65" s="654"/>
      <c r="X65" s="15"/>
      <c r="Y65" s="15"/>
      <c r="Z65" s="15"/>
      <c r="AA65" s="15"/>
    </row>
    <row r="66" spans="2:27">
      <c r="B66" s="641" t="s">
        <v>1115</v>
      </c>
      <c r="C66" s="15"/>
      <c r="D66" s="15"/>
      <c r="E66" s="15"/>
      <c r="F66" s="15"/>
      <c r="G66" s="15"/>
      <c r="H66" s="15"/>
      <c r="I66" s="15"/>
      <c r="J66" s="15"/>
      <c r="K66" s="15"/>
      <c r="L66" s="652">
        <f>+AVERAGE(ROIC!Q315:S315)</f>
        <v>0.41687249598529452</v>
      </c>
      <c r="M66" s="652" t="e">
        <f ca="1">+AVERAGE(ROIC!T315:X315)</f>
        <v>#NAME?</v>
      </c>
      <c r="N66" s="15"/>
      <c r="O66" s="15" t="s">
        <v>787</v>
      </c>
      <c r="P66" s="15"/>
      <c r="Q66" s="653" t="str">
        <f>+IF(((Valuation!R28/Valuation!O28)^(1/3)-1)&lt;-0.5,"NM",((Valuation!R28/Valuation!O28)^(1/3)-1))</f>
        <v>NM</v>
      </c>
      <c r="R66" s="653" t="e">
        <f ca="1">+IF(((Valuation!W28/Valuation!R28)^(1/5)-1)&lt;-0.5,"NM",((Valuation!W28/Valuation!R28)^(1/5)-1))</f>
        <v>#NAME?</v>
      </c>
      <c r="S66" s="15"/>
      <c r="T66" s="15"/>
      <c r="U66" s="15"/>
      <c r="V66" s="15"/>
      <c r="W66" s="15"/>
      <c r="X66" s="15"/>
      <c r="Y66" s="15"/>
      <c r="Z66" s="15"/>
      <c r="AA66" s="15"/>
    </row>
    <row r="67" spans="2:27">
      <c r="B67" s="641" t="s">
        <v>1114</v>
      </c>
      <c r="C67" s="15"/>
      <c r="D67" s="15"/>
      <c r="E67" s="15"/>
      <c r="F67" s="15"/>
      <c r="G67" s="15"/>
      <c r="H67" s="15"/>
      <c r="I67" s="15"/>
      <c r="J67" s="15"/>
      <c r="K67" s="15"/>
      <c r="L67" s="652">
        <f>+AVERAGE(ROIC!Q314:S314)</f>
        <v>0.41677745342618272</v>
      </c>
      <c r="M67" s="652" t="e">
        <f ca="1">+AVERAGE(ROIC!T314:X314)</f>
        <v>#NAME?</v>
      </c>
      <c r="N67" s="15"/>
      <c r="O67" s="15" t="s">
        <v>1116</v>
      </c>
      <c r="P67" s="15"/>
      <c r="Q67" s="653" t="str">
        <f>+IF(((Valuation!R24/Valuation!O24)^(1/3)-1)&lt;-0.5,"NM",((Valuation!R24/Valuation!O24)^(1/3)-1))</f>
        <v>NM</v>
      </c>
      <c r="R67" s="653" t="e">
        <f ca="1">+IF(((Valuation!W24/Valuation!R24)^(1/5)-1)&lt;-0.5,"NM",((Valuation!W24/Valuation!R24)^(1/5)-1))</f>
        <v>#NAME?</v>
      </c>
      <c r="S67" s="15"/>
      <c r="T67" s="15"/>
      <c r="U67" s="15"/>
      <c r="V67" s="15"/>
      <c r="W67" s="15"/>
      <c r="X67" s="15"/>
      <c r="Y67" s="15"/>
      <c r="Z67" s="15"/>
      <c r="AA67" s="15"/>
    </row>
    <row r="68" spans="2:27">
      <c r="B68" s="641" t="s">
        <v>1078</v>
      </c>
      <c r="C68" s="15"/>
      <c r="D68" s="15"/>
      <c r="E68" s="15"/>
      <c r="F68" s="15"/>
      <c r="G68" s="15"/>
      <c r="H68" s="15"/>
      <c r="I68" s="15"/>
      <c r="J68" s="15"/>
      <c r="K68" s="15"/>
      <c r="L68" s="652">
        <f>+AVERAGE(N24:P24)</f>
        <v>0.25897347060641657</v>
      </c>
      <c r="M68" s="652" t="e">
        <f ca="1">+AVERAGE(Q24:U24)</f>
        <v>#NAME?</v>
      </c>
      <c r="N68" s="15"/>
      <c r="O68" s="15" t="s">
        <v>1117</v>
      </c>
      <c r="P68" s="15"/>
      <c r="Q68" s="653" t="str">
        <f>+IF(((Valuation!R98/Valuation!O98)^(1/3)-1)&lt;-0.5,"NM",((Valuation!R98/Valuation!O98)^(1/3)-1))</f>
        <v>NM</v>
      </c>
      <c r="R68" s="653" t="e">
        <f ca="1">+IF(((Valuation!W98/Valuation!R98)^(1/5)-1)&lt;-0.5,"NM",((Valuation!W98/Valuation!R98)^(1/5)-1))</f>
        <v>#NAME?</v>
      </c>
      <c r="S68" s="15"/>
      <c r="T68" s="15"/>
      <c r="U68" s="15"/>
      <c r="V68" s="15"/>
      <c r="W68" s="15"/>
      <c r="X68" s="15"/>
      <c r="Y68" s="15"/>
      <c r="Z68" s="15"/>
      <c r="AA68" s="15"/>
    </row>
    <row r="69" spans="2:27">
      <c r="B69" s="641" t="s">
        <v>65</v>
      </c>
      <c r="C69" s="15"/>
      <c r="D69" s="15"/>
      <c r="E69" s="15"/>
      <c r="F69" s="15"/>
      <c r="G69" s="15"/>
      <c r="H69" s="15"/>
      <c r="I69" s="15"/>
      <c r="J69" s="15"/>
      <c r="K69" s="15"/>
      <c r="L69" s="652">
        <f>+AVERAGE(N25:P25)</f>
        <v>0.22877689549546257</v>
      </c>
      <c r="M69" s="652" t="e">
        <f ca="1">+AVERAGE(Q25:U25)</f>
        <v>#NAME?</v>
      </c>
      <c r="N69" s="15"/>
      <c r="O69" s="15" t="s">
        <v>1118</v>
      </c>
      <c r="P69" s="15"/>
      <c r="Q69" s="653" t="str">
        <f>+IF(((Valuation!R73/Valuation!O73)^(1/3)-1)&lt;-0.5,"NM",((Valuation!R73/Valuation!O73)^(1/3)-1))</f>
        <v>NM</v>
      </c>
      <c r="R69" s="653" t="e">
        <f ca="1">+IF(((Valuation!W73/Valuation!R73)^(1/5)-1)&lt;-0.5,"NM",((Valuation!W73/Valuation!R73)^(1/5)-1))</f>
        <v>#NAME?</v>
      </c>
      <c r="S69" s="15"/>
      <c r="T69" s="15"/>
      <c r="U69" s="15"/>
      <c r="V69" s="15"/>
      <c r="W69" s="15"/>
      <c r="X69" s="15"/>
      <c r="Y69" s="15"/>
      <c r="Z69" s="15"/>
      <c r="AA69" s="15"/>
    </row>
    <row r="70" spans="2:27">
      <c r="B70" s="641" t="s">
        <v>1094</v>
      </c>
      <c r="C70" s="15"/>
      <c r="D70" s="15"/>
      <c r="E70" s="15"/>
      <c r="F70" s="15"/>
      <c r="G70" s="15"/>
      <c r="H70" s="15"/>
      <c r="I70" s="15"/>
      <c r="J70" s="15"/>
      <c r="K70" s="15"/>
      <c r="L70" s="652">
        <f>+AVERAGE(N29:P29)</f>
        <v>0.19551404391789454</v>
      </c>
      <c r="M70" s="652" t="e">
        <f ca="1">+AVERAGE(Q29:U29)</f>
        <v>#NAME?</v>
      </c>
      <c r="N70" s="15"/>
      <c r="O70" s="15" t="s">
        <v>1024</v>
      </c>
      <c r="P70" s="15"/>
      <c r="Q70" s="653" t="str">
        <f>+IF(((Valuation!R34/Valuation!O34)^(1/3)-1)&lt;-0.5,"NM",((Valuation!R34/Valuation!O34)^(1/3)-1))</f>
        <v>NM</v>
      </c>
      <c r="R70" s="653" t="e">
        <f ca="1">+IF(((Valuation!W34/Valuation!R34)^(1/5)-1)&lt;-0.5,"NM",((Valuation!W34/Valuation!R34)^(1/5)-1))</f>
        <v>#NAME?</v>
      </c>
      <c r="S70" s="15"/>
      <c r="T70" s="15"/>
      <c r="U70" s="15"/>
      <c r="V70" s="15"/>
      <c r="W70" s="15"/>
      <c r="X70" s="15"/>
      <c r="Y70" s="15"/>
      <c r="Z70" s="15"/>
      <c r="AA70" s="15"/>
    </row>
    <row r="71" spans="2:27">
      <c r="B71" s="641" t="s">
        <v>1092</v>
      </c>
      <c r="C71" s="15"/>
      <c r="D71" s="15"/>
      <c r="E71" s="15"/>
      <c r="F71" s="15"/>
      <c r="G71" s="15"/>
      <c r="H71" s="15"/>
      <c r="I71" s="15"/>
      <c r="J71" s="15"/>
      <c r="K71" s="15"/>
      <c r="L71" s="652">
        <f>+AVERAGE(N27:P27)</f>
        <v>0.19964356140034401</v>
      </c>
      <c r="M71" s="652" t="e">
        <f ca="1">+AVERAGE(Q27:U27)</f>
        <v>#NAME?</v>
      </c>
      <c r="N71" s="15"/>
      <c r="O71" s="15" t="s">
        <v>131</v>
      </c>
      <c r="P71" s="15"/>
      <c r="Q71" s="653" t="str">
        <f>+IF(((Valuation!R41/Valuation!O41)^(1/3)-1)&lt;-0.5,"NM",((Valuation!R41/Valuation!O41)^(1/3)-1))</f>
        <v>NM</v>
      </c>
      <c r="R71" s="653" t="e">
        <f ca="1">+IF(((Valuation!W41/Valuation!R41)^(1/5)-1)&lt;-0.5,"NM",((Valuation!W41/Valuation!R41)^(1/5)-1))</f>
        <v>#NAME?</v>
      </c>
      <c r="S71" s="15"/>
      <c r="T71" s="15"/>
      <c r="U71" s="15"/>
      <c r="V71" s="15"/>
      <c r="W71" s="15"/>
      <c r="X71" s="15"/>
      <c r="Y71" s="15"/>
      <c r="Z71" s="15"/>
      <c r="AA71" s="15"/>
    </row>
    <row r="72" spans="2:27">
      <c r="B72" s="641" t="s">
        <v>1093</v>
      </c>
      <c r="C72" s="15"/>
      <c r="D72" s="15"/>
      <c r="E72" s="15"/>
      <c r="F72" s="15"/>
      <c r="G72" s="15"/>
      <c r="H72" s="15"/>
      <c r="I72" s="15"/>
      <c r="J72" s="15"/>
      <c r="K72" s="15"/>
      <c r="L72" s="652">
        <f>+AVERAGE(N28:P28)</f>
        <v>0.19964356140034401</v>
      </c>
      <c r="M72" s="652" t="e">
        <f ca="1">+AVERAGE(Q28:U28)</f>
        <v>#NAME?</v>
      </c>
      <c r="N72" s="15"/>
      <c r="O72" s="15" t="s">
        <v>792</v>
      </c>
      <c r="P72" s="15"/>
      <c r="Q72" s="653" t="str">
        <f>+IF(((Valuation!R42/Valuation!O42)^(1/3)-1)&lt;-0.5,"NM",((Valuation!R42/Valuation!O42)^(1/3)-1))</f>
        <v>NM</v>
      </c>
      <c r="R72" s="653" t="e">
        <f ca="1">+IF(((Valuation!W42/Valuation!R42)^(1/5)-1)&lt;-0.5,"NM",((Valuation!W42/Valuation!R42)^(1/5)-1))</f>
        <v>#NAME?</v>
      </c>
      <c r="S72" s="15"/>
      <c r="T72" s="15"/>
      <c r="U72" s="15"/>
      <c r="V72" s="15"/>
      <c r="W72" s="15"/>
      <c r="X72" s="15"/>
      <c r="Y72" s="15"/>
      <c r="Z72" s="15"/>
      <c r="AA72" s="15"/>
    </row>
    <row r="73" spans="2:27">
      <c r="B73" s="641" t="s">
        <v>1112</v>
      </c>
      <c r="C73" s="15"/>
      <c r="D73" s="15"/>
      <c r="E73" s="15"/>
      <c r="F73" s="15"/>
      <c r="G73" s="15"/>
      <c r="H73" s="15"/>
      <c r="I73" s="15"/>
      <c r="J73" s="15"/>
      <c r="K73" s="15"/>
      <c r="L73" s="652" t="e">
        <f>+AVERAGE(N45:P45)</f>
        <v>#NAME?</v>
      </c>
      <c r="M73" s="652" t="e">
        <f ca="1">+AVERAGE(Q45:U45)</f>
        <v>#NAME?</v>
      </c>
      <c r="N73" s="15"/>
      <c r="O73" s="15" t="s">
        <v>814</v>
      </c>
      <c r="P73" s="15"/>
      <c r="Q73" s="653" t="e">
        <f>+IF(((Valuation!R49/Valuation!O49)^(1/3)-1)&lt;-0.5,"NM",((Valuation!R49/Valuation!O49)^(1/3)-1))</f>
        <v>#DIV/0!</v>
      </c>
      <c r="R73" s="653" t="e">
        <f>+IF(((Valuation!W49/Valuation!R49)^(1/5)-1)&lt;-0.5,"NM",((Valuation!W49/Valuation!R49)^(1/5)-1))</f>
        <v>#DIV/0!</v>
      </c>
      <c r="S73" s="15"/>
      <c r="T73" s="15"/>
      <c r="U73" s="15"/>
      <c r="V73" s="15"/>
      <c r="W73" s="15"/>
      <c r="X73" s="15"/>
      <c r="Y73" s="15"/>
      <c r="Z73" s="15"/>
      <c r="AA73" s="15"/>
    </row>
    <row r="74" spans="2:27">
      <c r="B74" s="641" t="s">
        <v>1099</v>
      </c>
      <c r="C74" s="15"/>
      <c r="D74" s="15"/>
      <c r="E74" s="15"/>
      <c r="F74" s="15"/>
      <c r="G74" s="15"/>
      <c r="H74" s="15"/>
      <c r="I74" s="15"/>
      <c r="J74" s="15"/>
      <c r="K74" s="15"/>
      <c r="L74" s="655" t="e">
        <f>+AVERAGE(N49:P49)</f>
        <v>#NAME?</v>
      </c>
      <c r="M74" s="655" t="e">
        <f ca="1">+AVERAGE(Q49:U49)</f>
        <v>#NAME?</v>
      </c>
      <c r="N74" s="15"/>
      <c r="O74" s="15" t="s">
        <v>1124</v>
      </c>
      <c r="P74" s="15"/>
      <c r="Q74" s="653" t="str">
        <f>+IF(((P81/M81)^(1/3)-1)&lt;-0.5,"NM",((P81/M81)^(1/3)-1))</f>
        <v>NM</v>
      </c>
      <c r="R74" s="653" t="e">
        <f ca="1">+IF(((U81/P81)^(1/5)-1)&lt;-0.5,"NM",((U81/P81)^(1/5)-1))</f>
        <v>#NAME?</v>
      </c>
      <c r="S74" s="15"/>
      <c r="T74" s="15"/>
      <c r="U74" s="15"/>
      <c r="V74" s="15"/>
      <c r="W74" s="15"/>
      <c r="X74" s="15"/>
      <c r="Y74" s="15"/>
      <c r="Z74" s="15"/>
      <c r="AA74" s="15"/>
    </row>
    <row r="75" spans="2:27">
      <c r="B75" s="641" t="s">
        <v>1113</v>
      </c>
      <c r="C75" s="15"/>
      <c r="D75" s="15"/>
      <c r="E75" s="15"/>
      <c r="F75" s="15"/>
      <c r="G75" s="15"/>
      <c r="H75" s="15"/>
      <c r="I75" s="15"/>
      <c r="J75" s="15"/>
      <c r="K75" s="15"/>
      <c r="L75" s="655">
        <f>+AVERAGE(N53:P53)</f>
        <v>20.618319310471207</v>
      </c>
      <c r="M75" s="655" t="e">
        <f ca="1">+AVERAGE(Q53:U53)</f>
        <v>#NAME?</v>
      </c>
      <c r="N75" s="15"/>
      <c r="O75" s="15" t="s">
        <v>1125</v>
      </c>
      <c r="P75" s="15"/>
      <c r="Q75" s="653" t="e">
        <f>+IF(((P82/M82)^(1/3)-1)&lt;-0.5,"NM",((P82/M82)^(1/3)-1))</f>
        <v>#DIV/0!</v>
      </c>
      <c r="R75" s="653" t="e">
        <f>+IF(((U82/P82)^(1/5)-1)&lt;-0.5,"NM",((U82/P82)^(1/5)-1))</f>
        <v>#DIV/0!</v>
      </c>
      <c r="S75" s="15"/>
      <c r="T75" s="15"/>
      <c r="U75" s="15"/>
      <c r="V75" s="15"/>
      <c r="W75" s="15"/>
      <c r="X75" s="15"/>
      <c r="Y75" s="15"/>
      <c r="Z75" s="15"/>
      <c r="AA75" s="15"/>
    </row>
    <row r="76" spans="2:27">
      <c r="B76" s="641" t="s">
        <v>988</v>
      </c>
      <c r="C76" s="15"/>
      <c r="D76" s="15"/>
      <c r="E76" s="15"/>
      <c r="F76" s="15"/>
      <c r="G76" s="15"/>
      <c r="H76" s="15"/>
      <c r="I76" s="15"/>
      <c r="J76" s="15"/>
      <c r="K76" s="15"/>
      <c r="L76" s="652" t="e">
        <f>+AVERAGE(N57:P57)</f>
        <v>#NAME?</v>
      </c>
      <c r="M76" s="652" t="e">
        <f ca="1">+AVERAGE(Q57:U57)</f>
        <v>#NAME?</v>
      </c>
      <c r="N76" s="15"/>
      <c r="O76" s="15"/>
      <c r="P76" s="15"/>
      <c r="Q76" s="652"/>
      <c r="R76" s="392"/>
      <c r="S76" s="15"/>
      <c r="T76" s="15"/>
      <c r="U76" s="15"/>
      <c r="V76" s="15"/>
      <c r="W76" s="15"/>
      <c r="X76" s="15"/>
      <c r="Y76" s="15"/>
      <c r="Z76" s="15"/>
      <c r="AA76" s="15"/>
    </row>
    <row r="77" spans="2:27">
      <c r="B77" s="641" t="s">
        <v>1121</v>
      </c>
      <c r="C77" s="15"/>
      <c r="D77" s="15"/>
      <c r="E77" s="15"/>
      <c r="F77" s="15"/>
      <c r="G77" s="15"/>
      <c r="H77" s="15"/>
      <c r="I77" s="15"/>
      <c r="J77" s="15"/>
      <c r="K77" s="15"/>
      <c r="L77" s="652" t="e">
        <f>+AVERAGE(N60:P60)</f>
        <v>#NAME?</v>
      </c>
      <c r="M77" s="652" t="e">
        <f ca="1">+AVERAGE(Q60:U60)</f>
        <v>#NAME?</v>
      </c>
      <c r="N77" s="15"/>
      <c r="O77" s="15"/>
      <c r="P77" s="15"/>
      <c r="Q77" s="654"/>
      <c r="R77" s="654"/>
      <c r="S77" s="15"/>
      <c r="T77" s="15"/>
      <c r="U77" s="15"/>
      <c r="V77" s="15"/>
      <c r="W77" s="15"/>
      <c r="X77" s="15"/>
      <c r="Y77" s="15"/>
      <c r="Z77" s="15"/>
      <c r="AA77" s="15"/>
    </row>
    <row r="78" spans="2:27">
      <c r="B78" s="641"/>
      <c r="C78" s="15"/>
      <c r="D78" s="15"/>
      <c r="E78" s="15"/>
      <c r="F78" s="15"/>
      <c r="G78" s="15"/>
      <c r="H78" s="15"/>
      <c r="I78" s="15"/>
      <c r="J78" s="15"/>
      <c r="K78" s="15"/>
      <c r="L78" s="15"/>
      <c r="M78" s="15"/>
      <c r="N78" s="15"/>
      <c r="O78" s="15"/>
      <c r="P78" s="15"/>
      <c r="Q78" s="15"/>
      <c r="R78" s="15"/>
      <c r="S78" s="15"/>
      <c r="T78" s="15"/>
      <c r="U78" s="15"/>
      <c r="V78" s="15"/>
      <c r="W78" s="15"/>
      <c r="X78" s="15"/>
      <c r="Y78" s="15"/>
      <c r="Z78" s="15"/>
      <c r="AA78" s="15"/>
    </row>
    <row r="79" spans="2:27" ht="45" customHeight="1">
      <c r="B79" s="641"/>
      <c r="C79" s="15"/>
      <c r="D79" s="15"/>
      <c r="E79" s="15"/>
      <c r="F79" s="15"/>
      <c r="G79" s="15"/>
      <c r="H79" s="15"/>
      <c r="I79" s="15"/>
      <c r="J79" s="15"/>
      <c r="K79" s="15"/>
      <c r="L79" s="15"/>
      <c r="M79" s="15"/>
      <c r="N79" s="15"/>
      <c r="O79" s="15"/>
      <c r="P79" s="15"/>
      <c r="Q79" s="15"/>
      <c r="R79" s="15"/>
      <c r="S79" s="15"/>
      <c r="T79" s="15"/>
      <c r="U79" s="15"/>
      <c r="V79" s="15"/>
      <c r="W79" s="15"/>
      <c r="X79" s="15"/>
      <c r="Y79" s="15"/>
      <c r="Z79" s="15"/>
      <c r="AA79" s="15"/>
    </row>
    <row r="80" spans="2:27" ht="19.25" customHeight="1">
      <c r="B80" s="641"/>
      <c r="C80" s="644">
        <f>+Valuation!E$9</f>
        <v>2012</v>
      </c>
      <c r="D80" s="644">
        <f>+Valuation!F$9</f>
        <v>2013</v>
      </c>
      <c r="E80" s="644">
        <f>+Valuation!G$9</f>
        <v>2014</v>
      </c>
      <c r="F80" s="644">
        <f>+Valuation!H$9</f>
        <v>2015</v>
      </c>
      <c r="G80" s="644">
        <f>+Valuation!I$9</f>
        <v>2016</v>
      </c>
      <c r="H80" s="644">
        <f>+Valuation!J$9</f>
        <v>2017</v>
      </c>
      <c r="I80" s="644">
        <f>+Valuation!K$9</f>
        <v>2018</v>
      </c>
      <c r="J80" s="644">
        <f>+Valuation!L$9</f>
        <v>2019</v>
      </c>
      <c r="K80" s="644">
        <f>+Valuation!M$9</f>
        <v>2020</v>
      </c>
      <c r="L80" s="644">
        <f>+Valuation!N$9</f>
        <v>2021</v>
      </c>
      <c r="M80" s="644">
        <f>+Valuation!O$9</f>
        <v>2022</v>
      </c>
      <c r="N80" s="644">
        <f>+Valuation!P$9</f>
        <v>2023</v>
      </c>
      <c r="O80" s="644">
        <f>+Valuation!Q$9</f>
        <v>2024</v>
      </c>
      <c r="P80" s="644">
        <f>+Valuation!R$9</f>
        <v>2025</v>
      </c>
      <c r="Q80" s="645">
        <f>+Valuation!S$9</f>
        <v>2026</v>
      </c>
      <c r="R80" s="645">
        <f>+Valuation!T$9</f>
        <v>2027</v>
      </c>
      <c r="S80" s="645">
        <f>+Valuation!U$9</f>
        <v>2028</v>
      </c>
      <c r="T80" s="645">
        <f>+Valuation!V$9</f>
        <v>2029</v>
      </c>
      <c r="U80" s="645">
        <f>+Valuation!W$9</f>
        <v>2030</v>
      </c>
      <c r="V80" s="645">
        <f>+Valuation!X$9</f>
        <v>2031</v>
      </c>
      <c r="W80" s="645">
        <f>+Valuation!Y$9</f>
        <v>2032</v>
      </c>
      <c r="X80" s="645">
        <f>+Valuation!Z$9</f>
        <v>2033</v>
      </c>
      <c r="Y80" s="645">
        <f>+Valuation!AA$9</f>
        <v>2034</v>
      </c>
      <c r="Z80" s="645">
        <f>+Valuation!AB$9</f>
        <v>2035</v>
      </c>
      <c r="AA80" s="15"/>
    </row>
    <row r="81" spans="2:27">
      <c r="B81" s="641" t="s">
        <v>1122</v>
      </c>
      <c r="C81" s="656">
        <f>+Valuation!E42*FX/ADR</f>
        <v>0</v>
      </c>
      <c r="D81" s="656">
        <f>+Valuation!F42*FX/ADR</f>
        <v>0</v>
      </c>
      <c r="E81" s="656">
        <f>+Valuation!G42*FX/ADR</f>
        <v>0</v>
      </c>
      <c r="F81" s="656">
        <f>+Valuation!H42*FX/ADR</f>
        <v>0</v>
      </c>
      <c r="G81" s="656">
        <f>+Valuation!I42*FX/ADR</f>
        <v>0</v>
      </c>
      <c r="H81" s="656">
        <f>+Valuation!J42*FX/ADR</f>
        <v>0</v>
      </c>
      <c r="I81" s="656">
        <f>+Valuation!K42*FX/ADR</f>
        <v>0</v>
      </c>
      <c r="J81" s="656">
        <f>+Valuation!L42*FX/ADR</f>
        <v>0</v>
      </c>
      <c r="K81" s="656">
        <f>+Valuation!M42*FX/ADR</f>
        <v>3.4706333804778038</v>
      </c>
      <c r="L81" s="656">
        <f>+Valuation!N42*FX/ADR</f>
        <v>16.475893892210124</v>
      </c>
      <c r="M81" s="656">
        <f>+Valuation!O42*FX/ADR</f>
        <v>-11.806119511734387</v>
      </c>
      <c r="N81" s="656">
        <f>+Valuation!P42*FX/ADR</f>
        <v>0.37293379089669054</v>
      </c>
      <c r="O81" s="656">
        <f>+Valuation!Q42*FX/ADR</f>
        <v>9.4341001620472831</v>
      </c>
      <c r="P81" s="656">
        <f>+Valuation!R42*FX/ADR</f>
        <v>4.3881876960680204</v>
      </c>
      <c r="Q81" s="656" t="e">
        <f>+Valuation!S42*FX/ADR</f>
        <v>#NAME?</v>
      </c>
      <c r="R81" s="656" t="e">
        <f ca="1">+Valuation!T42*FX/ADR</f>
        <v>#NAME?</v>
      </c>
      <c r="S81" s="656" t="e">
        <f ca="1">+Valuation!U42*FX/ADR</f>
        <v>#NAME?</v>
      </c>
      <c r="T81" s="656" t="e">
        <f ca="1">+Valuation!V42*FX/ADR</f>
        <v>#NAME?</v>
      </c>
      <c r="U81" s="656" t="e">
        <f ca="1">+Valuation!W42*FX/ADR</f>
        <v>#NAME?</v>
      </c>
      <c r="V81" s="656" t="e">
        <f ca="1">+Valuation!X42*FX/ADR</f>
        <v>#NAME?</v>
      </c>
      <c r="W81" s="656" t="e">
        <f ca="1">+Valuation!Y42*FX/ADR</f>
        <v>#NAME?</v>
      </c>
      <c r="X81" s="656" t="e">
        <f ca="1">+Valuation!Z42*FX/ADR</f>
        <v>#NAME?</v>
      </c>
      <c r="Y81" s="656" t="e">
        <f ca="1">+Valuation!AA42*FX/ADR</f>
        <v>#NAME?</v>
      </c>
      <c r="Z81" s="656" t="e">
        <f ca="1">+Valuation!AB42*FX/ADR</f>
        <v>#NAME?</v>
      </c>
      <c r="AA81" s="15"/>
    </row>
    <row r="82" spans="2:27">
      <c r="B82" s="641" t="s">
        <v>1123</v>
      </c>
      <c r="C82" s="656">
        <f>+Valuation!E49*FX/ADR</f>
        <v>0</v>
      </c>
      <c r="D82" s="656">
        <f>+Valuation!F49*FX/ADR</f>
        <v>0</v>
      </c>
      <c r="E82" s="656">
        <f>+Valuation!G49*FX/ADR</f>
        <v>0</v>
      </c>
      <c r="F82" s="656">
        <f>+Valuation!H49*FX/ADR</f>
        <v>0</v>
      </c>
      <c r="G82" s="656">
        <f>+Valuation!I49*FX/ADR</f>
        <v>0</v>
      </c>
      <c r="H82" s="656">
        <f>+Valuation!J49*FX/ADR</f>
        <v>0</v>
      </c>
      <c r="I82" s="656">
        <f>+Valuation!K49*FX/ADR</f>
        <v>0</v>
      </c>
      <c r="J82" s="656">
        <f>+Valuation!L49*FX/ADR</f>
        <v>0</v>
      </c>
      <c r="K82" s="656">
        <f>+Valuation!M49*FX/ADR</f>
        <v>0</v>
      </c>
      <c r="L82" s="656">
        <f>+Valuation!N49*FX/ADR</f>
        <v>0</v>
      </c>
      <c r="M82" s="656">
        <f>+Valuation!O49*FX/ADR</f>
        <v>0</v>
      </c>
      <c r="N82" s="656">
        <f>+Valuation!P49*FX/ADR</f>
        <v>0</v>
      </c>
      <c r="O82" s="656">
        <f>+Valuation!Q49*FX/ADR</f>
        <v>0</v>
      </c>
      <c r="P82" s="656">
        <f>+Valuation!R49*FX/ADR</f>
        <v>0</v>
      </c>
      <c r="Q82" s="656">
        <f>+Valuation!S49*FX/ADR</f>
        <v>0</v>
      </c>
      <c r="R82" s="656">
        <f>+Valuation!T49*FX/ADR</f>
        <v>0</v>
      </c>
      <c r="S82" s="656">
        <f>+Valuation!U49*FX/ADR</f>
        <v>0</v>
      </c>
      <c r="T82" s="656">
        <f>+Valuation!V49*FX/ADR</f>
        <v>0</v>
      </c>
      <c r="U82" s="656">
        <f>+Valuation!W49*FX/ADR</f>
        <v>0</v>
      </c>
      <c r="V82" s="656">
        <f>+Valuation!X49*FX/ADR</f>
        <v>0</v>
      </c>
      <c r="W82" s="656">
        <f>+Valuation!Y49*FX/ADR</f>
        <v>0</v>
      </c>
      <c r="X82" s="656">
        <f>+Valuation!Z49*FX/ADR</f>
        <v>0</v>
      </c>
      <c r="Y82" s="656">
        <f>+Valuation!AA49*FX/ADR</f>
        <v>0</v>
      </c>
      <c r="Z82" s="656">
        <f>+Valuation!AB49*FX/ADR</f>
        <v>0</v>
      </c>
      <c r="AA82" s="15"/>
    </row>
    <row r="83" spans="2:27">
      <c r="B83" s="641" t="s">
        <v>1126</v>
      </c>
      <c r="C83" s="392"/>
      <c r="D83" s="657" t="str">
        <f t="shared" ref="D83:L83" si="4">+IF(OR(C81&lt;=0,D81&lt;=0),"NM",D81/C81-1)</f>
        <v>NM</v>
      </c>
      <c r="E83" s="657" t="str">
        <f t="shared" si="4"/>
        <v>NM</v>
      </c>
      <c r="F83" s="657" t="str">
        <f t="shared" si="4"/>
        <v>NM</v>
      </c>
      <c r="G83" s="657" t="str">
        <f t="shared" si="4"/>
        <v>NM</v>
      </c>
      <c r="H83" s="657" t="str">
        <f t="shared" si="4"/>
        <v>NM</v>
      </c>
      <c r="I83" s="657" t="str">
        <f t="shared" si="4"/>
        <v>NM</v>
      </c>
      <c r="J83" s="657" t="str">
        <f t="shared" si="4"/>
        <v>NM</v>
      </c>
      <c r="K83" s="657" t="str">
        <f t="shared" si="4"/>
        <v>NM</v>
      </c>
      <c r="L83" s="657">
        <f t="shared" si="4"/>
        <v>3.7472297088152482</v>
      </c>
      <c r="M83" s="657" t="str">
        <f>+IF(OR(L81&lt;=0,M81&lt;=0),"NM",M81/L81-1)</f>
        <v>NM</v>
      </c>
      <c r="N83" s="657" t="str">
        <f t="shared" ref="N83:Z83" si="5">+IF(OR(M81&lt;=0,N81&lt;=0),"NM",N81/M81-1)</f>
        <v>NM</v>
      </c>
      <c r="O83" s="657">
        <f t="shared" si="5"/>
        <v>24.296984055437072</v>
      </c>
      <c r="P83" s="657">
        <f t="shared" si="5"/>
        <v>-0.53485890326653629</v>
      </c>
      <c r="Q83" s="657" t="e">
        <f t="shared" si="5"/>
        <v>#NAME?</v>
      </c>
      <c r="R83" s="657" t="e">
        <f t="shared" ca="1" si="5"/>
        <v>#NAME?</v>
      </c>
      <c r="S83" s="657" t="e">
        <f t="shared" ca="1" si="5"/>
        <v>#NAME?</v>
      </c>
      <c r="T83" s="657" t="e">
        <f t="shared" ca="1" si="5"/>
        <v>#NAME?</v>
      </c>
      <c r="U83" s="657" t="e">
        <f t="shared" ca="1" si="5"/>
        <v>#NAME?</v>
      </c>
      <c r="V83" s="657" t="e">
        <f t="shared" ca="1" si="5"/>
        <v>#NAME?</v>
      </c>
      <c r="W83" s="657" t="e">
        <f t="shared" ca="1" si="5"/>
        <v>#NAME?</v>
      </c>
      <c r="X83" s="657" t="e">
        <f t="shared" ca="1" si="5"/>
        <v>#NAME?</v>
      </c>
      <c r="Y83" s="657" t="e">
        <f t="shared" ca="1" si="5"/>
        <v>#NAME?</v>
      </c>
      <c r="Z83" s="657" t="e">
        <f t="shared" ca="1" si="5"/>
        <v>#NAME?</v>
      </c>
      <c r="AA83" s="15"/>
    </row>
    <row r="84" spans="2:27">
      <c r="B84" s="641" t="s">
        <v>1127</v>
      </c>
      <c r="C84" s="392"/>
      <c r="D84" s="646" t="e" cm="1">
        <f t="array" ref="D84">+IF(OR(C82&lt;=0,D82&lt;=0),NM,D82/C82-1)</f>
        <v>#NAME?</v>
      </c>
      <c r="E84" s="646" t="e" cm="1">
        <f t="array" ref="E84">+IF(OR(D82&lt;=0,E82&lt;=0),NM,E82/D82-1)</f>
        <v>#NAME?</v>
      </c>
      <c r="F84" s="646" t="e" cm="1">
        <f t="array" ref="F84">+IF(OR(E82&lt;=0,F82&lt;=0),NM,F82/E82-1)</f>
        <v>#NAME?</v>
      </c>
      <c r="G84" s="646" t="e" cm="1">
        <f t="array" ref="G84">+IF(OR(F82&lt;=0,G82&lt;=0),NM,G82/F82-1)</f>
        <v>#NAME?</v>
      </c>
      <c r="H84" s="646" t="e" cm="1">
        <f t="array" ref="H84">+IF(OR(G82&lt;=0,H82&lt;=0),NM,H82/G82-1)</f>
        <v>#NAME?</v>
      </c>
      <c r="I84" s="646" t="e" cm="1">
        <f t="array" ref="I84">+IF(OR(H82&lt;=0,I82&lt;=0),NM,I82/H82-1)</f>
        <v>#NAME?</v>
      </c>
      <c r="J84" s="646" t="e" cm="1">
        <f t="array" ref="J84">+IF(OR(I82&lt;=0,J82&lt;=0),NM,J82/I82-1)</f>
        <v>#NAME?</v>
      </c>
      <c r="K84" s="646" t="e" cm="1">
        <f t="array" ref="K84">+IF(OR(J82&lt;=0,K82&lt;=0),NM,K82/J82-1)</f>
        <v>#NAME?</v>
      </c>
      <c r="L84" s="646" t="e" cm="1">
        <f t="array" ref="L84">+IF(OR(K82&lt;=0,L82&lt;=0),NM,L82/K82-1)</f>
        <v>#NAME?</v>
      </c>
      <c r="M84" s="646" t="e" cm="1">
        <f t="array" ref="M84">+IF(OR(L82&lt;=0,M82&lt;=0),NM,M82/L82-1)</f>
        <v>#NAME?</v>
      </c>
      <c r="N84" s="646" t="e" cm="1">
        <f t="array" ref="N84">+IF(OR(M82&lt;=0,N82&lt;=0),NM,N82/M82-1)</f>
        <v>#NAME?</v>
      </c>
      <c r="O84" s="646" t="e" cm="1">
        <f t="array" ref="O84">+IF(OR(N82&lt;=0,O82&lt;=0),NM,O82/N82-1)</f>
        <v>#NAME?</v>
      </c>
      <c r="P84" s="646" t="e" cm="1">
        <f t="array" ref="P84">+IF(OR(O82&lt;=0,P82&lt;=0),NM,P82/O82-1)</f>
        <v>#NAME?</v>
      </c>
      <c r="Q84" s="646" t="e" cm="1">
        <f t="array" ref="Q84">+IF(OR(P82&lt;=0,Q82&lt;=0),NM,Q82/P82-1)</f>
        <v>#NAME?</v>
      </c>
      <c r="R84" s="646" t="e" cm="1">
        <f t="array" ref="R84">+IF(OR(Q82&lt;=0,R82&lt;=0),NM,R82/Q82-1)</f>
        <v>#NAME?</v>
      </c>
      <c r="S84" s="646" t="e" cm="1">
        <f t="array" ref="S84">+IF(OR(R82&lt;=0,S82&lt;=0),NM,S82/R82-1)</f>
        <v>#NAME?</v>
      </c>
      <c r="T84" s="646" t="e" cm="1">
        <f t="array" ref="T84">+IF(OR(S82&lt;=0,T82&lt;=0),NM,T82/S82-1)</f>
        <v>#NAME?</v>
      </c>
      <c r="U84" s="646" t="e" cm="1">
        <f t="array" ref="U84">+IF(OR(T82&lt;=0,U82&lt;=0),NM,U82/T82-1)</f>
        <v>#NAME?</v>
      </c>
      <c r="V84" s="646" t="e" cm="1">
        <f t="array" ref="V84">+IF(OR(U82&lt;=0,V82&lt;=0),NM,V82/U82-1)</f>
        <v>#NAME?</v>
      </c>
      <c r="W84" s="646" t="e" cm="1">
        <f t="array" ref="W84">+IF(OR(V82&lt;=0,W82&lt;=0),NM,W82/V82-1)</f>
        <v>#NAME?</v>
      </c>
      <c r="X84" s="646" t="e" cm="1">
        <f t="array" ref="X84">+IF(OR(W82&lt;=0,X82&lt;=0),NM,X82/W82-1)</f>
        <v>#NAME?</v>
      </c>
      <c r="Y84" s="646" t="e" cm="1">
        <f t="array" ref="Y84">+IF(OR(X82&lt;=0,Y82&lt;=0),NM,Y82/X82-1)</f>
        <v>#NAME?</v>
      </c>
      <c r="Z84" s="646" t="e" cm="1">
        <f t="array" ref="Z84">+IF(OR(Y82&lt;=0,Z82&lt;=0),NM,Z82/Y82-1)</f>
        <v>#NAME?</v>
      </c>
      <c r="AA84" s="15"/>
    </row>
    <row r="85" spans="2:27">
      <c r="B85" s="641"/>
      <c r="C85" s="15"/>
      <c r="D85" s="15"/>
      <c r="E85" s="15"/>
      <c r="F85" s="15"/>
      <c r="G85" s="15"/>
      <c r="H85" s="15"/>
      <c r="I85" s="15"/>
      <c r="J85" s="15"/>
      <c r="K85" s="15"/>
      <c r="L85" s="15"/>
      <c r="M85" s="15"/>
      <c r="N85" s="15"/>
      <c r="O85" s="15"/>
      <c r="P85" s="15"/>
      <c r="Q85" s="15"/>
      <c r="R85" s="15"/>
      <c r="S85" s="15"/>
      <c r="T85" s="15"/>
      <c r="U85" s="15"/>
      <c r="V85" s="15"/>
      <c r="W85" s="15"/>
      <c r="X85" s="15"/>
      <c r="Y85" s="15"/>
      <c r="Z85" s="15"/>
      <c r="AA85" s="15"/>
    </row>
    <row r="86" spans="2:27" ht="45" customHeight="1">
      <c r="B86" s="658" t="s">
        <v>1130</v>
      </c>
      <c r="C86" s="659">
        <f>+Valuation!E$9</f>
        <v>2012</v>
      </c>
      <c r="D86" s="659">
        <f>+Valuation!F$9</f>
        <v>2013</v>
      </c>
      <c r="E86" s="659">
        <f>+Valuation!G$9</f>
        <v>2014</v>
      </c>
      <c r="F86" s="659">
        <f>+Valuation!H$9</f>
        <v>2015</v>
      </c>
      <c r="G86" s="659">
        <f>+Valuation!I$9</f>
        <v>2016</v>
      </c>
      <c r="H86" s="659">
        <f>+Valuation!J$9</f>
        <v>2017</v>
      </c>
      <c r="I86" s="659">
        <f>+Valuation!K$9</f>
        <v>2018</v>
      </c>
      <c r="J86" s="659">
        <f>+Valuation!L$9</f>
        <v>2019</v>
      </c>
      <c r="K86" s="659">
        <f>+Valuation!M$9</f>
        <v>2020</v>
      </c>
      <c r="L86" s="659">
        <f>+Valuation!N$9</f>
        <v>2021</v>
      </c>
      <c r="M86" s="659">
        <f>+Valuation!O$9</f>
        <v>2022</v>
      </c>
      <c r="N86" s="659">
        <f>+Valuation!P$9</f>
        <v>2023</v>
      </c>
      <c r="O86" s="659">
        <f>+Valuation!Q$9</f>
        <v>2024</v>
      </c>
      <c r="P86" s="659">
        <f>+Valuation!R$9</f>
        <v>2025</v>
      </c>
      <c r="Q86" s="660">
        <f>+Valuation!S$9</f>
        <v>2026</v>
      </c>
      <c r="R86" s="660">
        <f>+Valuation!T$9</f>
        <v>2027</v>
      </c>
      <c r="S86" s="660">
        <f>+Valuation!U$9</f>
        <v>2028</v>
      </c>
      <c r="T86" s="660">
        <f>+Valuation!V$9</f>
        <v>2029</v>
      </c>
      <c r="U86" s="660">
        <f>+Valuation!W$9</f>
        <v>2030</v>
      </c>
      <c r="V86" s="660">
        <f>+Valuation!X$9</f>
        <v>2031</v>
      </c>
      <c r="W86" s="660">
        <f>+Valuation!Y$9</f>
        <v>2032</v>
      </c>
      <c r="X86" s="660">
        <f>+Valuation!Z$9</f>
        <v>2033</v>
      </c>
      <c r="Y86" s="660">
        <f>+Valuation!AA$9</f>
        <v>2034</v>
      </c>
      <c r="Z86" s="660">
        <f>+Valuation!AB$9</f>
        <v>2035</v>
      </c>
      <c r="AA86" s="15"/>
    </row>
    <row r="87" spans="2:27">
      <c r="B87" s="641" t="s">
        <v>1131</v>
      </c>
      <c r="C87" s="392" t="e">
        <f>C37/Valuation!E55</f>
        <v>#NAME?</v>
      </c>
      <c r="D87" s="392" t="e">
        <f>D37/Valuation!F55</f>
        <v>#NAME?</v>
      </c>
      <c r="E87" s="392" t="e">
        <f>E37/Valuation!G55</f>
        <v>#NAME?</v>
      </c>
      <c r="F87" s="392" t="e">
        <f>F37/Valuation!H55</f>
        <v>#NAME?</v>
      </c>
      <c r="G87" s="392" t="e">
        <f>G37/Valuation!I55</f>
        <v>#NAME?</v>
      </c>
      <c r="H87" s="392" t="e">
        <f>H37/Valuation!J55</f>
        <v>#NAME?</v>
      </c>
      <c r="I87" s="392" t="e">
        <f>I37/Valuation!K55</f>
        <v>#NAME?</v>
      </c>
      <c r="J87" s="392" t="e">
        <f>J37/Valuation!L55</f>
        <v>#NAME?</v>
      </c>
      <c r="K87" s="392" t="e">
        <f>K37/Valuation!M55</f>
        <v>#NAME?</v>
      </c>
      <c r="L87" s="244" t="e">
        <f>L37/Valuation!N55</f>
        <v>#NAME?</v>
      </c>
      <c r="M87" s="244" t="e">
        <f>M37/Valuation!O55</f>
        <v>#NAME?</v>
      </c>
      <c r="N87" s="244" t="e">
        <f>N37/Valuation!P55</f>
        <v>#NAME?</v>
      </c>
      <c r="O87" s="244" t="e">
        <f>O37/Valuation!Q55</f>
        <v>#NAME?</v>
      </c>
      <c r="P87" s="244" t="e">
        <f>P37/Valuation!R55</f>
        <v>#NAME?</v>
      </c>
      <c r="Q87" s="244" t="e">
        <f ca="1">Q37/Valuation!S55</f>
        <v>#NAME?</v>
      </c>
      <c r="R87" s="244" t="e">
        <f ca="1">R37/Valuation!T55</f>
        <v>#NAME?</v>
      </c>
      <c r="S87" s="244" t="e">
        <f ca="1">S37/Valuation!U55</f>
        <v>#NAME?</v>
      </c>
      <c r="T87" s="244" t="e">
        <f ca="1">T37/Valuation!V55</f>
        <v>#NAME?</v>
      </c>
      <c r="U87" s="244" t="e">
        <f ca="1">U37/Valuation!W55</f>
        <v>#NAME?</v>
      </c>
      <c r="V87" s="244" t="e">
        <f ca="1">V37/Valuation!X55</f>
        <v>#NAME?</v>
      </c>
      <c r="W87" s="244" t="e">
        <f ca="1">W37/Valuation!Y55</f>
        <v>#NAME?</v>
      </c>
      <c r="X87" s="244" t="e">
        <f ca="1">X37/Valuation!Z55</f>
        <v>#NAME?</v>
      </c>
      <c r="Y87" s="244" t="e">
        <f ca="1">Y37/Valuation!AA55</f>
        <v>#NAME?</v>
      </c>
      <c r="Z87" s="244" t="e">
        <f ca="1">Z37/Valuation!AB55</f>
        <v>#NAME?</v>
      </c>
      <c r="AA87" s="15"/>
    </row>
    <row r="88" spans="2:27">
      <c r="B88" s="641" t="s">
        <v>1133</v>
      </c>
      <c r="C88" s="392" t="e">
        <f>C37/Valuation!E52</f>
        <v>#NAME?</v>
      </c>
      <c r="D88" s="392" t="e">
        <f>D37/Valuation!F52</f>
        <v>#NAME?</v>
      </c>
      <c r="E88" s="392" t="e">
        <f>E37/Valuation!G52</f>
        <v>#NAME?</v>
      </c>
      <c r="F88" s="392" t="e">
        <f>F37/Valuation!H52</f>
        <v>#NAME?</v>
      </c>
      <c r="G88" s="392" t="e">
        <f>G37/Valuation!I52</f>
        <v>#NAME?</v>
      </c>
      <c r="H88" s="392" t="e">
        <f>H37/Valuation!J52</f>
        <v>#NAME?</v>
      </c>
      <c r="I88" s="392" t="e">
        <f>I37/Valuation!K52</f>
        <v>#NAME?</v>
      </c>
      <c r="J88" s="392" t="e">
        <f>J37/Valuation!L52</f>
        <v>#NAME?</v>
      </c>
      <c r="K88" s="392" t="e">
        <f>K37/Valuation!M52</f>
        <v>#NAME?</v>
      </c>
      <c r="L88" s="244" t="e">
        <f>L37/Valuation!N52</f>
        <v>#NAME?</v>
      </c>
      <c r="M88" s="244" t="e">
        <f>M37/Valuation!O52</f>
        <v>#NAME?</v>
      </c>
      <c r="N88" s="244" t="e">
        <f>N37/Valuation!P52</f>
        <v>#NAME?</v>
      </c>
      <c r="O88" s="244" t="e">
        <f>O37/Valuation!Q52</f>
        <v>#NAME?</v>
      </c>
      <c r="P88" s="244" t="e">
        <f>P37/Valuation!R52</f>
        <v>#NAME?</v>
      </c>
      <c r="Q88" s="244" t="e">
        <f ca="1">Q37/Valuation!S52</f>
        <v>#NAME?</v>
      </c>
      <c r="R88" s="244" t="e">
        <f ca="1">R37/Valuation!T52</f>
        <v>#NAME?</v>
      </c>
      <c r="S88" s="244" t="e">
        <f ca="1">S37/Valuation!U52</f>
        <v>#NAME?</v>
      </c>
      <c r="T88" s="244" t="e">
        <f ca="1">T37/Valuation!V52</f>
        <v>#NAME?</v>
      </c>
      <c r="U88" s="244" t="e">
        <f ca="1">U37/Valuation!W52</f>
        <v>#NAME?</v>
      </c>
      <c r="V88" s="244" t="e">
        <f ca="1">V37/Valuation!X52</f>
        <v>#NAME?</v>
      </c>
      <c r="W88" s="244" t="e">
        <f ca="1">W37/Valuation!Y52</f>
        <v>#NAME?</v>
      </c>
      <c r="X88" s="244" t="e">
        <f ca="1">X37/Valuation!Z52</f>
        <v>#NAME?</v>
      </c>
      <c r="Y88" s="244" t="e">
        <f ca="1">Y37/Valuation!AA52</f>
        <v>#NAME?</v>
      </c>
      <c r="Z88" s="244" t="e">
        <f ca="1">Z37/Valuation!AB52</f>
        <v>#NAME?</v>
      </c>
      <c r="AA88" s="15"/>
    </row>
    <row r="89" spans="2:27">
      <c r="B89" s="641" t="s">
        <v>1132</v>
      </c>
      <c r="C89" s="392" t="e">
        <f>C37/Valuation!E28</f>
        <v>#NAME?</v>
      </c>
      <c r="D89" s="392" t="e">
        <f>D37/Valuation!F28</f>
        <v>#NAME?</v>
      </c>
      <c r="E89" s="392" t="e">
        <f>E37/Valuation!G28</f>
        <v>#NAME?</v>
      </c>
      <c r="F89" s="392" t="e">
        <f>F37/Valuation!H28</f>
        <v>#NAME?</v>
      </c>
      <c r="G89" s="392" t="e">
        <f>G37/Valuation!I28</f>
        <v>#NAME?</v>
      </c>
      <c r="H89" s="392" t="e">
        <f>H37/Valuation!J28</f>
        <v>#NAME?</v>
      </c>
      <c r="I89" s="392" t="e">
        <f>I37/Valuation!K28</f>
        <v>#NAME?</v>
      </c>
      <c r="J89" s="392" t="e">
        <f>J37/Valuation!L28</f>
        <v>#NAME?</v>
      </c>
      <c r="K89" s="392" t="e">
        <f>K37/Valuation!M28</f>
        <v>#NAME?</v>
      </c>
      <c r="L89" s="244" t="e">
        <f>L37/Valuation!N28</f>
        <v>#NAME?</v>
      </c>
      <c r="M89" s="244" t="e">
        <f>M37/Valuation!O28</f>
        <v>#NAME?</v>
      </c>
      <c r="N89" s="244" t="e">
        <f>N37/Valuation!P28</f>
        <v>#NAME?</v>
      </c>
      <c r="O89" s="244" t="e">
        <f>O37/Valuation!Q28</f>
        <v>#NAME?</v>
      </c>
      <c r="P89" s="244" t="e">
        <f>P37/Valuation!R28</f>
        <v>#NAME?</v>
      </c>
      <c r="Q89" s="244" t="e">
        <f ca="1">Q37/Valuation!S28</f>
        <v>#NAME?</v>
      </c>
      <c r="R89" s="244" t="e">
        <f ca="1">R37/Valuation!T28</f>
        <v>#NAME?</v>
      </c>
      <c r="S89" s="244" t="e">
        <f ca="1">S37/Valuation!U28</f>
        <v>#NAME?</v>
      </c>
      <c r="T89" s="244" t="e">
        <f ca="1">T37/Valuation!V28</f>
        <v>#NAME?</v>
      </c>
      <c r="U89" s="244" t="e">
        <f ca="1">U37/Valuation!W28</f>
        <v>#NAME?</v>
      </c>
      <c r="V89" s="244" t="e">
        <f ca="1">V37/Valuation!X28</f>
        <v>#NAME?</v>
      </c>
      <c r="W89" s="244" t="e">
        <f ca="1">W37/Valuation!Y28</f>
        <v>#NAME?</v>
      </c>
      <c r="X89" s="244" t="e">
        <f ca="1">X37/Valuation!Z28</f>
        <v>#NAME?</v>
      </c>
      <c r="Y89" s="244" t="e">
        <f ca="1">Y37/Valuation!AA28</f>
        <v>#NAME?</v>
      </c>
      <c r="Z89" s="244" t="e">
        <f ca="1">Z37/Valuation!AB28</f>
        <v>#NAME?</v>
      </c>
      <c r="AA89" s="15"/>
    </row>
    <row r="90" spans="2:27">
      <c r="B90" s="641" t="s">
        <v>1134</v>
      </c>
      <c r="C90" s="392" t="e">
        <f>C37/Valuation!E73</f>
        <v>#NAME?</v>
      </c>
      <c r="D90" s="392" t="e">
        <f>D37/Valuation!F73</f>
        <v>#NAME?</v>
      </c>
      <c r="E90" s="392" t="e">
        <f>E37/Valuation!G73</f>
        <v>#NAME?</v>
      </c>
      <c r="F90" s="392" t="e">
        <f>F37/Valuation!H73</f>
        <v>#NAME?</v>
      </c>
      <c r="G90" s="392" t="e">
        <f>G37/Valuation!I73</f>
        <v>#NAME?</v>
      </c>
      <c r="H90" s="392" t="e">
        <f>H37/Valuation!J73</f>
        <v>#NAME?</v>
      </c>
      <c r="I90" s="392" t="e">
        <f>I37/Valuation!K73</f>
        <v>#NAME?</v>
      </c>
      <c r="J90" s="392" t="e">
        <f>J37/Valuation!L73</f>
        <v>#NAME?</v>
      </c>
      <c r="K90" s="392" t="e">
        <f>K37/Valuation!M73</f>
        <v>#NAME?</v>
      </c>
      <c r="L90" s="244" t="e">
        <f>L37/Valuation!N73</f>
        <v>#NAME?</v>
      </c>
      <c r="M90" s="244" t="e">
        <f>M37/Valuation!O73</f>
        <v>#NAME?</v>
      </c>
      <c r="N90" s="244" t="e">
        <f>N37/Valuation!P73</f>
        <v>#NAME?</v>
      </c>
      <c r="O90" s="244" t="e">
        <f>O37/Valuation!Q73</f>
        <v>#NAME?</v>
      </c>
      <c r="P90" s="244" t="e">
        <f>P37/Valuation!R73</f>
        <v>#NAME?</v>
      </c>
      <c r="Q90" s="244" t="e">
        <f ca="1">Q37/Valuation!S73</f>
        <v>#NAME?</v>
      </c>
      <c r="R90" s="244" t="e">
        <f ca="1">R37/Valuation!T73</f>
        <v>#NAME?</v>
      </c>
      <c r="S90" s="244" t="e">
        <f ca="1">S37/Valuation!U73</f>
        <v>#NAME?</v>
      </c>
      <c r="T90" s="244" t="e">
        <f ca="1">T37/Valuation!V73</f>
        <v>#NAME?</v>
      </c>
      <c r="U90" s="244" t="e">
        <f ca="1">U37/Valuation!W73</f>
        <v>#NAME?</v>
      </c>
      <c r="V90" s="244" t="e">
        <f ca="1">V37/Valuation!X73</f>
        <v>#NAME?</v>
      </c>
      <c r="W90" s="244" t="e">
        <f ca="1">W37/Valuation!Y73</f>
        <v>#NAME?</v>
      </c>
      <c r="X90" s="244" t="e">
        <f ca="1">X37/Valuation!Z73</f>
        <v>#NAME?</v>
      </c>
      <c r="Y90" s="244" t="e">
        <f ca="1">Y37/Valuation!AA73</f>
        <v>#NAME?</v>
      </c>
      <c r="Z90" s="244" t="e">
        <f ca="1">Z37/Valuation!AB73</f>
        <v>#NAME?</v>
      </c>
      <c r="AA90" s="15"/>
    </row>
    <row r="91" spans="2:27">
      <c r="B91" s="641" t="s">
        <v>1135</v>
      </c>
      <c r="C91" s="392" t="e">
        <f>C37/Valuation!E11</f>
        <v>#NAME?</v>
      </c>
      <c r="D91" s="392" t="e">
        <f>D37/Valuation!F11</f>
        <v>#NAME?</v>
      </c>
      <c r="E91" s="392" t="e">
        <f>E37/Valuation!G11</f>
        <v>#NAME?</v>
      </c>
      <c r="F91" s="392" t="e">
        <f>F37/Valuation!H11</f>
        <v>#NAME?</v>
      </c>
      <c r="G91" s="392" t="e">
        <f>G37/Valuation!I11</f>
        <v>#NAME?</v>
      </c>
      <c r="H91" s="392" t="e">
        <f>H37/Valuation!J11</f>
        <v>#NAME?</v>
      </c>
      <c r="I91" s="392" t="e">
        <f>I37/Valuation!K11</f>
        <v>#NAME?</v>
      </c>
      <c r="J91" s="392" t="e">
        <f>J37/Valuation!L11</f>
        <v>#NAME?</v>
      </c>
      <c r="K91" s="392" t="e">
        <f>K37/Valuation!M11</f>
        <v>#NAME?</v>
      </c>
      <c r="L91" s="244" t="e">
        <f>L37/Valuation!N11</f>
        <v>#NAME?</v>
      </c>
      <c r="M91" s="244" t="e">
        <f>M37/Valuation!O11</f>
        <v>#NAME?</v>
      </c>
      <c r="N91" s="244" t="e">
        <f>N37/Valuation!P11</f>
        <v>#NAME?</v>
      </c>
      <c r="O91" s="244" t="e">
        <f>O37/Valuation!Q11</f>
        <v>#NAME?</v>
      </c>
      <c r="P91" s="244" t="e">
        <f>P37/Valuation!R11</f>
        <v>#NAME?</v>
      </c>
      <c r="Q91" s="244" t="e">
        <f ca="1">Q37/Valuation!S11</f>
        <v>#NAME?</v>
      </c>
      <c r="R91" s="244" t="e">
        <f ca="1">R37/Valuation!T11</f>
        <v>#NAME?</v>
      </c>
      <c r="S91" s="244" t="e">
        <f ca="1">S37/Valuation!U11</f>
        <v>#NAME?</v>
      </c>
      <c r="T91" s="244" t="e">
        <f ca="1">T37/Valuation!V11</f>
        <v>#NAME?</v>
      </c>
      <c r="U91" s="244" t="e">
        <f ca="1">U37/Valuation!W11</f>
        <v>#NAME?</v>
      </c>
      <c r="V91" s="244" t="e">
        <f ca="1">V37/Valuation!X11</f>
        <v>#NAME?</v>
      </c>
      <c r="W91" s="244" t="e">
        <f ca="1">W37/Valuation!Y11</f>
        <v>#NAME?</v>
      </c>
      <c r="X91" s="244" t="e">
        <f ca="1">X37/Valuation!Z11</f>
        <v>#NAME?</v>
      </c>
      <c r="Y91" s="244" t="e">
        <f ca="1">Y37/Valuation!AA11</f>
        <v>#NAME?</v>
      </c>
      <c r="Z91" s="244" t="e">
        <f ca="1">Z37/Valuation!AB11</f>
        <v>#NAME?</v>
      </c>
      <c r="AA91" s="15"/>
    </row>
    <row r="92" spans="2:27">
      <c r="B92" s="641" t="s">
        <v>1136</v>
      </c>
      <c r="C92" s="392" t="e">
        <f>Valuation!$Y$124/Valuation!E93</f>
        <v>#NAME?</v>
      </c>
      <c r="D92" s="392" t="e">
        <f>Valuation!$Y$124/Valuation!F93</f>
        <v>#NAME?</v>
      </c>
      <c r="E92" s="392" t="e">
        <f>Valuation!$Y$124/Valuation!G93</f>
        <v>#NAME?</v>
      </c>
      <c r="F92" s="392" t="e">
        <f>Valuation!$Y$124/Valuation!H93</f>
        <v>#NAME?</v>
      </c>
      <c r="G92" s="392" t="e">
        <f>Valuation!$Y$124/Valuation!I93</f>
        <v>#NAME?</v>
      </c>
      <c r="H92" s="392" t="e">
        <f>Valuation!$Y$124/Valuation!J93</f>
        <v>#NAME?</v>
      </c>
      <c r="I92" s="392" t="e">
        <f>Valuation!$Y$124/Valuation!K93</f>
        <v>#NAME?</v>
      </c>
      <c r="J92" s="392" t="e">
        <f>Valuation!$Y$124/Valuation!L93</f>
        <v>#NAME?</v>
      </c>
      <c r="K92" s="392" t="e">
        <f>Valuation!$Y$124/Valuation!M93</f>
        <v>#NAME?</v>
      </c>
      <c r="L92" s="244" t="e">
        <f>Valuation!$Y$124/Valuation!N93</f>
        <v>#NAME?</v>
      </c>
      <c r="M92" s="244" t="e">
        <f>Valuation!$Y$124/Valuation!O93</f>
        <v>#NAME?</v>
      </c>
      <c r="N92" s="244" t="e">
        <f>Valuation!$Y$124/Valuation!P93</f>
        <v>#NAME?</v>
      </c>
      <c r="O92" s="244" t="e">
        <f>Valuation!$Y$124/Valuation!Q93</f>
        <v>#NAME?</v>
      </c>
      <c r="P92" s="244" t="e">
        <f>Valuation!$Y$124/Valuation!R93</f>
        <v>#NAME?</v>
      </c>
      <c r="Q92" s="244" t="e">
        <f ca="1">Valuation!$Y$124/Valuation!S93</f>
        <v>#NAME?</v>
      </c>
      <c r="R92" s="244" t="e">
        <f ca="1">Valuation!$Y$124/Valuation!T93</f>
        <v>#NAME?</v>
      </c>
      <c r="S92" s="244" t="e">
        <f ca="1">Valuation!$Y$124/Valuation!U93</f>
        <v>#NAME?</v>
      </c>
      <c r="T92" s="244" t="e">
        <f ca="1">Valuation!$Y$124/Valuation!V93</f>
        <v>#NAME?</v>
      </c>
      <c r="U92" s="244" t="e">
        <f ca="1">Valuation!$Y$124/Valuation!W93</f>
        <v>#NAME?</v>
      </c>
      <c r="V92" s="244" t="e">
        <f ca="1">Valuation!$Y$124/Valuation!X93</f>
        <v>#NAME?</v>
      </c>
      <c r="W92" s="244" t="e">
        <f ca="1">Valuation!$Y$124/Valuation!Y93</f>
        <v>#NAME?</v>
      </c>
      <c r="X92" s="244" t="e">
        <f ca="1">Valuation!$Y$124/Valuation!Z93</f>
        <v>#NAME?</v>
      </c>
      <c r="Y92" s="244" t="e">
        <f ca="1">Valuation!$Y$124/Valuation!AA93</f>
        <v>#NAME?</v>
      </c>
      <c r="Z92" s="244" t="e">
        <f ca="1">Valuation!$Y$124/Valuation!AB93</f>
        <v>#NAME?</v>
      </c>
      <c r="AA92" s="15"/>
    </row>
    <row r="93" spans="2:27">
      <c r="B93" s="641" t="s">
        <v>1137</v>
      </c>
      <c r="C93" s="392" t="e">
        <f>Valuation!$Y$124/Valuation!E44</f>
        <v>#NAME?</v>
      </c>
      <c r="D93" s="392" t="e">
        <f>Valuation!$Y$124/Valuation!F44</f>
        <v>#NAME?</v>
      </c>
      <c r="E93" s="392" t="e">
        <f>Valuation!$Y$124/Valuation!G44</f>
        <v>#NAME?</v>
      </c>
      <c r="F93" s="392" t="e">
        <f>Valuation!$Y$124/Valuation!H44</f>
        <v>#NAME?</v>
      </c>
      <c r="G93" s="392" t="e">
        <f>Valuation!$Y$124/Valuation!I44</f>
        <v>#NAME?</v>
      </c>
      <c r="H93" s="392" t="e">
        <f>Valuation!$Y$124/Valuation!J44</f>
        <v>#NAME?</v>
      </c>
      <c r="I93" s="392" t="e">
        <f>Valuation!$Y$124/Valuation!K44</f>
        <v>#NAME?</v>
      </c>
      <c r="J93" s="392" t="e">
        <f>Valuation!$Y$124/Valuation!L44</f>
        <v>#NAME?</v>
      </c>
      <c r="K93" s="392" t="e">
        <f>Valuation!$Y$124/Valuation!M44</f>
        <v>#NAME?</v>
      </c>
      <c r="L93" s="244" t="e">
        <f>Valuation!$Y$124/Valuation!N44</f>
        <v>#NAME?</v>
      </c>
      <c r="M93" s="244" t="e">
        <f>Valuation!$Y$124/Valuation!O44</f>
        <v>#NAME?</v>
      </c>
      <c r="N93" s="244" t="e">
        <f>Valuation!$Y$124/Valuation!P44</f>
        <v>#NAME?</v>
      </c>
      <c r="O93" s="244" t="e">
        <f>Valuation!$Y$124/Valuation!Q44</f>
        <v>#NAME?</v>
      </c>
      <c r="P93" s="244" t="e">
        <f>Valuation!$Y$124/Valuation!R44</f>
        <v>#NAME?</v>
      </c>
      <c r="Q93" s="244" t="e">
        <f>Valuation!$Y$124/Valuation!S44</f>
        <v>#NAME?</v>
      </c>
      <c r="R93" s="244" t="e">
        <f ca="1">Valuation!$Y$124/Valuation!T44</f>
        <v>#NAME?</v>
      </c>
      <c r="S93" s="244" t="e">
        <f ca="1">Valuation!$Y$124/Valuation!U44</f>
        <v>#NAME?</v>
      </c>
      <c r="T93" s="244" t="e">
        <f ca="1">Valuation!$Y$124/Valuation!V44</f>
        <v>#NAME?</v>
      </c>
      <c r="U93" s="244" t="e">
        <f ca="1">Valuation!$Y$124/Valuation!W44</f>
        <v>#NAME?</v>
      </c>
      <c r="V93" s="244" t="e">
        <f ca="1">Valuation!$Y$124/Valuation!X44</f>
        <v>#NAME?</v>
      </c>
      <c r="W93" s="244" t="e">
        <f ca="1">Valuation!$Y$124/Valuation!Y44</f>
        <v>#NAME?</v>
      </c>
      <c r="X93" s="244" t="e">
        <f ca="1">Valuation!$Y$124/Valuation!Z44</f>
        <v>#NAME?</v>
      </c>
      <c r="Y93" s="244" t="e">
        <f ca="1">Valuation!$Y$124/Valuation!AA44</f>
        <v>#NAME?</v>
      </c>
      <c r="Z93" s="244" t="e">
        <f ca="1">Valuation!$Y$124/Valuation!AB44</f>
        <v>#NAME?</v>
      </c>
      <c r="AA93" s="15"/>
    </row>
    <row r="94" spans="2:27">
      <c r="B94" s="641"/>
      <c r="C94" s="15"/>
      <c r="D94" s="15"/>
      <c r="E94" s="15"/>
      <c r="F94" s="15"/>
      <c r="G94" s="15"/>
      <c r="H94" s="15"/>
      <c r="I94" s="15"/>
      <c r="J94" s="15"/>
      <c r="K94" s="15"/>
      <c r="L94" s="15"/>
      <c r="M94" s="15"/>
      <c r="N94" s="15"/>
      <c r="O94" s="15"/>
      <c r="P94" s="15"/>
      <c r="Q94" s="15"/>
      <c r="R94" s="15"/>
      <c r="S94" s="15"/>
      <c r="T94" s="15"/>
      <c r="U94" s="15"/>
      <c r="V94" s="15"/>
      <c r="W94" s="15"/>
      <c r="X94" s="15"/>
      <c r="Y94" s="15"/>
      <c r="Z94" s="15"/>
      <c r="AA94" s="15"/>
    </row>
    <row r="95" spans="2:27">
      <c r="B95" s="641"/>
      <c r="C95" s="15"/>
      <c r="D95" s="15"/>
      <c r="E95" s="15"/>
      <c r="F95" s="15"/>
      <c r="G95" s="15"/>
      <c r="H95" s="15"/>
      <c r="I95" s="15"/>
      <c r="J95" s="15"/>
      <c r="K95" s="15"/>
      <c r="L95" s="15"/>
      <c r="M95" s="15"/>
      <c r="N95" s="15"/>
      <c r="O95" s="15"/>
      <c r="P95" s="15"/>
      <c r="Q95" s="15"/>
      <c r="R95" s="15"/>
      <c r="S95" s="15"/>
      <c r="T95" s="15"/>
      <c r="U95" s="15"/>
      <c r="V95" s="15"/>
      <c r="W95" s="15"/>
      <c r="X95" s="15"/>
      <c r="Y95" s="15"/>
      <c r="Z95" s="15"/>
      <c r="AA95" s="15"/>
    </row>
    <row r="96" spans="2:27">
      <c r="B96" s="641"/>
      <c r="C96" s="15"/>
      <c r="D96" s="15"/>
      <c r="E96" s="15"/>
      <c r="F96" s="15"/>
      <c r="G96" s="15"/>
      <c r="H96" s="15"/>
      <c r="I96" s="15"/>
      <c r="J96" s="15"/>
      <c r="K96" s="15"/>
      <c r="L96" s="15"/>
      <c r="M96" s="15"/>
      <c r="N96" s="15"/>
      <c r="O96" s="15"/>
      <c r="P96" s="15"/>
      <c r="Q96" s="15"/>
      <c r="R96" s="15"/>
      <c r="S96" s="15"/>
      <c r="T96" s="15"/>
      <c r="U96" s="15"/>
      <c r="V96" s="15"/>
      <c r="W96" s="15"/>
      <c r="X96" s="15"/>
      <c r="Y96" s="15"/>
      <c r="Z96" s="15"/>
      <c r="AA96" s="15"/>
    </row>
    <row r="97" spans="2:27">
      <c r="B97" s="641"/>
      <c r="C97" s="15"/>
      <c r="D97" s="15"/>
      <c r="E97" s="15"/>
      <c r="F97" s="15"/>
      <c r="G97" s="15"/>
      <c r="H97" s="15"/>
      <c r="I97" s="15"/>
      <c r="J97" s="15"/>
      <c r="K97" s="15"/>
      <c r="L97" s="15"/>
      <c r="M97" s="15"/>
      <c r="N97" s="15"/>
      <c r="O97" s="15"/>
      <c r="P97" s="15"/>
      <c r="Q97" s="15"/>
      <c r="R97" s="15"/>
      <c r="S97" s="15"/>
      <c r="T97" s="15"/>
      <c r="U97" s="15"/>
      <c r="V97" s="15"/>
      <c r="W97" s="15"/>
      <c r="X97" s="15"/>
      <c r="Y97" s="15"/>
      <c r="Z97" s="15"/>
      <c r="AA97" s="15"/>
    </row>
    <row r="98" spans="2:27">
      <c r="B98" s="641"/>
      <c r="C98" s="15"/>
      <c r="D98" s="15"/>
      <c r="E98" s="15"/>
      <c r="F98" s="15"/>
      <c r="G98" s="15"/>
      <c r="H98" s="15"/>
      <c r="I98" s="15"/>
      <c r="J98" s="15"/>
      <c r="K98" s="15"/>
      <c r="L98" s="15"/>
      <c r="M98" s="15"/>
      <c r="N98" s="15"/>
      <c r="O98" s="15"/>
      <c r="P98" s="15"/>
      <c r="Q98" s="15"/>
      <c r="R98" s="15"/>
      <c r="S98" s="15"/>
      <c r="T98" s="15"/>
      <c r="U98" s="15"/>
      <c r="V98" s="15"/>
      <c r="W98" s="15"/>
      <c r="X98" s="15"/>
      <c r="Y98" s="15"/>
      <c r="Z98" s="15"/>
      <c r="AA98" s="15"/>
    </row>
    <row r="99" spans="2:27">
      <c r="B99" s="641"/>
      <c r="C99" s="15"/>
      <c r="D99" s="15"/>
      <c r="E99" s="15"/>
      <c r="F99" s="15"/>
      <c r="G99" s="15"/>
      <c r="H99" s="15"/>
      <c r="I99" s="15"/>
      <c r="J99" s="15"/>
      <c r="K99" s="15"/>
      <c r="L99" s="15"/>
      <c r="M99" s="15"/>
      <c r="N99" s="15"/>
      <c r="O99" s="15"/>
      <c r="P99" s="15"/>
      <c r="Q99" s="15"/>
      <c r="R99" s="15"/>
      <c r="S99" s="15"/>
      <c r="T99" s="15"/>
      <c r="U99" s="15"/>
      <c r="V99" s="15"/>
      <c r="W99" s="15"/>
      <c r="X99" s="15"/>
      <c r="Y99" s="15"/>
      <c r="Z99" s="15"/>
      <c r="AA99" s="15"/>
    </row>
    <row r="100" spans="2:27">
      <c r="B100" s="641"/>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row>
    <row r="101" spans="2:27">
      <c r="B101" s="641"/>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row>
    <row r="102" spans="2:27">
      <c r="B102" s="641"/>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row>
    <row r="103" spans="2:27">
      <c r="B103" s="641"/>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row>
    <row r="104" spans="2:27">
      <c r="B104" s="641"/>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row>
    <row r="105" spans="2:27">
      <c r="B105" s="641"/>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row>
    <row r="106" spans="2:27">
      <c r="B106" s="641"/>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row>
    <row r="107" spans="2:27">
      <c r="B107" s="641"/>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row>
    <row r="108" spans="2:27">
      <c r="B108" s="641"/>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row>
    <row r="109" spans="2:27" ht="16">
      <c r="B109" s="658" t="s">
        <v>3249</v>
      </c>
      <c r="C109" s="659">
        <f>+Valuation!E$9</f>
        <v>2012</v>
      </c>
      <c r="D109" s="659">
        <f>+Valuation!F$9</f>
        <v>2013</v>
      </c>
      <c r="E109" s="659">
        <f>+Valuation!G$9</f>
        <v>2014</v>
      </c>
      <c r="F109" s="659">
        <f>+Valuation!H$9</f>
        <v>2015</v>
      </c>
      <c r="G109" s="659">
        <f>+Valuation!I$9</f>
        <v>2016</v>
      </c>
      <c r="H109" s="659">
        <f>+Valuation!J$9</f>
        <v>2017</v>
      </c>
      <c r="I109" s="659">
        <f>+Valuation!K$9</f>
        <v>2018</v>
      </c>
      <c r="J109" s="659">
        <f>+Valuation!L$9</f>
        <v>2019</v>
      </c>
      <c r="K109" s="659">
        <f>+Valuation!M$9</f>
        <v>2020</v>
      </c>
      <c r="L109" s="659">
        <f>+Valuation!N$9</f>
        <v>2021</v>
      </c>
      <c r="M109" s="659">
        <f>+Valuation!O$9</f>
        <v>2022</v>
      </c>
      <c r="N109" s="659">
        <f>+Valuation!P$9</f>
        <v>2023</v>
      </c>
      <c r="O109" s="659">
        <f>+Valuation!Q$9</f>
        <v>2024</v>
      </c>
      <c r="P109" s="659">
        <f>+Valuation!R$9</f>
        <v>2025</v>
      </c>
      <c r="Q109" s="660">
        <f>+Valuation!S$9</f>
        <v>2026</v>
      </c>
      <c r="R109" s="660">
        <f>+Valuation!T$9</f>
        <v>2027</v>
      </c>
      <c r="S109" s="660">
        <f>+Valuation!U$9</f>
        <v>2028</v>
      </c>
      <c r="T109" s="660">
        <f>+Valuation!V$9</f>
        <v>2029</v>
      </c>
      <c r="U109" s="660">
        <f>+Valuation!W$9</f>
        <v>2030</v>
      </c>
      <c r="V109" s="660">
        <f>+Valuation!X$9</f>
        <v>2031</v>
      </c>
      <c r="W109" s="660">
        <f>+Valuation!Y$9</f>
        <v>2032</v>
      </c>
      <c r="X109" s="660">
        <f>+Valuation!Z$9</f>
        <v>2033</v>
      </c>
      <c r="Y109" s="660">
        <f>+Valuation!AA$9</f>
        <v>2034</v>
      </c>
      <c r="Z109" s="660">
        <f>+Valuation!AB$9</f>
        <v>2035</v>
      </c>
      <c r="AA109" s="15"/>
    </row>
    <row r="110" spans="2:27">
      <c r="B110" s="641" t="s">
        <v>3250</v>
      </c>
      <c r="C110" s="392" t="e">
        <f>+IFERROR(Valuation!E86/Valuation!E95,NA())</f>
        <v>#N/A</v>
      </c>
      <c r="D110" s="392" t="e">
        <f>+IFERROR(Valuation!F86/Valuation!F95,NA())</f>
        <v>#N/A</v>
      </c>
      <c r="E110" s="392" t="e">
        <f>+IFERROR(Valuation!G86/Valuation!G95,NA())</f>
        <v>#N/A</v>
      </c>
      <c r="F110" s="392" t="e">
        <f>+IFERROR(Valuation!H86/Valuation!H95,NA())</f>
        <v>#N/A</v>
      </c>
      <c r="G110" s="392" t="e">
        <f>+IFERROR(Valuation!I86/Valuation!I95,NA())</f>
        <v>#N/A</v>
      </c>
      <c r="H110" s="392" t="e">
        <f>+IFERROR(Valuation!J86/Valuation!J95,NA())</f>
        <v>#N/A</v>
      </c>
      <c r="I110" s="392" t="e">
        <f>+IFERROR(Valuation!K86/Valuation!K95,NA())</f>
        <v>#N/A</v>
      </c>
      <c r="J110" s="392" t="e">
        <f>+IFERROR(Valuation!L86/Valuation!L95,NA())</f>
        <v>#N/A</v>
      </c>
      <c r="K110" s="392">
        <f>+IFERROR(Valuation!M86/Valuation!M95,NA())</f>
        <v>6.0135795114904358</v>
      </c>
      <c r="L110" s="244">
        <f>+IFERROR(Valuation!N86/Valuation!N95,NA())</f>
        <v>3.3336668396093887</v>
      </c>
      <c r="M110" s="244">
        <f>+IFERROR(Valuation!O86/Valuation!O95,NA())</f>
        <v>2.6238033629495483</v>
      </c>
      <c r="N110" s="244">
        <f>+IFERROR(Valuation!P86/Valuation!P95,NA())</f>
        <v>2.2923746614941396</v>
      </c>
      <c r="O110" s="244">
        <f>+IFERROR(Valuation!Q86/Valuation!Q95,NA())</f>
        <v>2.1934706206439682</v>
      </c>
      <c r="P110" s="244">
        <f>+IFERROR(Valuation!R86/Valuation!R95,NA())</f>
        <v>1.9636810049686819</v>
      </c>
      <c r="Q110" s="244" t="e">
        <f ca="1">+IFERROR(Valuation!S86/Valuation!S95,NA())</f>
        <v>#N/A</v>
      </c>
      <c r="R110" s="244" t="e">
        <f ca="1">+IFERROR(Valuation!T86/Valuation!T95,NA())</f>
        <v>#N/A</v>
      </c>
      <c r="S110" s="244" t="e">
        <f ca="1">+IFERROR(Valuation!U86/Valuation!U95,NA())</f>
        <v>#N/A</v>
      </c>
      <c r="T110" s="244" t="e">
        <f ca="1">+IFERROR(Valuation!V86/Valuation!V95,NA())</f>
        <v>#N/A</v>
      </c>
      <c r="U110" s="244" t="e">
        <f ca="1">+IFERROR(Valuation!W86/Valuation!W95,NA())</f>
        <v>#N/A</v>
      </c>
      <c r="V110" s="244" t="e">
        <f ca="1">+IFERROR(Valuation!X86/Valuation!X95,NA())</f>
        <v>#N/A</v>
      </c>
      <c r="W110" s="244" t="e">
        <f ca="1">+IFERROR(Valuation!Y86/Valuation!Y95,NA())</f>
        <v>#N/A</v>
      </c>
      <c r="X110" s="244" t="e">
        <f ca="1">+IFERROR(Valuation!Z86/Valuation!Z95,NA())</f>
        <v>#N/A</v>
      </c>
      <c r="Y110" s="244" t="e">
        <f ca="1">+IFERROR(Valuation!AA86/Valuation!AA95,NA())</f>
        <v>#N/A</v>
      </c>
      <c r="Z110" s="244" t="e">
        <f ca="1">+IFERROR(Valuation!AB86/Valuation!AB95,NA())</f>
        <v>#N/A</v>
      </c>
      <c r="AA110" s="15"/>
    </row>
    <row r="111" spans="2:27">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row>
    <row r="112" spans="2:27">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row>
    <row r="113" spans="2:27">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row>
    <row r="114" spans="2:27">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row>
    <row r="115" spans="2:27">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row>
    <row r="116" spans="2:27">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row>
    <row r="117" spans="2:27">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row>
    <row r="118" spans="2:27">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row>
    <row r="119" spans="2:27">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row>
    <row r="120" spans="2:27">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row>
    <row r="121" spans="2:27">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row>
    <row r="122" spans="2:27">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row>
    <row r="123" spans="2:27">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row>
    <row r="124" spans="2:27">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row>
    <row r="125" spans="2:27">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row>
    <row r="126" spans="2:27">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row>
    <row r="127" spans="2:27">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row>
    <row r="128" spans="2:27">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row>
    <row r="129" spans="2:27">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row>
    <row r="130" spans="2:27">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row>
    <row r="131" spans="2:27">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row>
    <row r="132" spans="2:27">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row>
    <row r="133" spans="2:27">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row>
    <row r="134" spans="2:27">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row>
    <row r="135" spans="2:27">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row>
    <row r="136" spans="2:27">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row>
    <row r="137" spans="2:27">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row>
    <row r="138" spans="2:27">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row>
    <row r="139" spans="2:27">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row>
    <row r="140" spans="2:27">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row>
    <row r="141" spans="2:27">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row>
    <row r="142" spans="2:27">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row>
    <row r="143" spans="2:27">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row>
    <row r="144" spans="2:27">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row>
    <row r="145" spans="2:27">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row>
    <row r="146" spans="2:27">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row>
    <row r="147" spans="2:27">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row>
    <row r="148" spans="2:27">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row>
    <row r="149" spans="2:27">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row>
    <row r="150" spans="2:27">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row>
    <row r="151" spans="2:27">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row>
    <row r="152" spans="2:27">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row>
    <row r="153" spans="2:27">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row>
    <row r="154" spans="2:27">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row>
    <row r="155" spans="2:27">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row>
    <row r="156" spans="2:27">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row>
    <row r="157" spans="2:27">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row>
    <row r="158" spans="2:27">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row>
    <row r="159" spans="2:27">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row>
    <row r="160" spans="2:27">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row>
    <row r="161" spans="2:27">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row>
    <row r="162" spans="2:27">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row>
    <row r="163" spans="2:27">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row>
    <row r="164" spans="2:27">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row>
    <row r="165" spans="2:27">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row>
    <row r="166" spans="2:27">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row>
    <row r="167" spans="2:27">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row>
    <row r="168" spans="2:27">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row>
    <row r="169" spans="2:27">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row>
    <row r="170" spans="2:27">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row>
    <row r="171" spans="2:27">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row>
    <row r="172" spans="2:27">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row>
    <row r="173" spans="2:27">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row>
    <row r="174" spans="2:27">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row>
    <row r="175" spans="2:27">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row>
    <row r="176" spans="2:27">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row>
    <row r="177" spans="2:27">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row>
    <row r="178" spans="2:27">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row>
    <row r="179" spans="2:27">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row>
    <row r="180" spans="2:27">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row>
    <row r="181" spans="2:27">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row>
    <row r="182" spans="2:27">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row>
    <row r="183" spans="2:27">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row>
    <row r="184" spans="2:27">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row>
    <row r="185" spans="2:27">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row>
    <row r="186" spans="2:27">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row>
    <row r="187" spans="2:27">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row>
    <row r="188" spans="2:27">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row>
    <row r="189" spans="2:27">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row>
    <row r="190" spans="2:27">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row>
    <row r="191" spans="2:27">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row>
    <row r="192" spans="2:27">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row>
    <row r="193" spans="2:27">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row>
    <row r="194" spans="2:27">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row>
    <row r="195" spans="2:27">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row>
    <row r="196" spans="2:27">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row>
    <row r="197" spans="2:27">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row>
    <row r="198" spans="2:27">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row>
    <row r="199" spans="2:27">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row>
    <row r="200" spans="2:27">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row>
    <row r="201" spans="2:27">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row>
    <row r="202" spans="2:27">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row>
    <row r="203" spans="2:27">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row>
    <row r="204" spans="2:27">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row>
    <row r="205" spans="2:27">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row>
    <row r="206" spans="2:27">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row>
    <row r="207" spans="2:27">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row>
    <row r="208" spans="2:27">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row>
    <row r="209" spans="2:27">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row>
    <row r="210" spans="2:27">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row>
    <row r="211" spans="2:27">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row>
    <row r="212" spans="2:27">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row>
    <row r="213" spans="2:27">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row>
    <row r="214" spans="2:27">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row>
    <row r="215" spans="2:27">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row>
    <row r="216" spans="2:27">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row>
    <row r="217" spans="2:27">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row>
    <row r="218" spans="2:27">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row>
    <row r="219" spans="2:27">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row>
    <row r="220" spans="2:27">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row>
    <row r="221" spans="2:27">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row>
    <row r="222" spans="2:27">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row>
    <row r="223" spans="2:27">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row>
    <row r="224" spans="2:27">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row>
    <row r="225" spans="2:27">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row>
    <row r="226" spans="2:27">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row>
    <row r="227" spans="2:27">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row>
    <row r="228" spans="2:27">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row>
    <row r="229" spans="2:27">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row>
    <row r="230" spans="2:27">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row>
    <row r="231" spans="2:27">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row>
    <row r="232" spans="2:27">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row>
    <row r="233" spans="2:27">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row>
    <row r="234" spans="2:27">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row>
    <row r="235" spans="2:27">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row>
    <row r="236" spans="2:27">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row>
    <row r="237" spans="2:27">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row>
    <row r="238" spans="2:27">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row>
    <row r="239" spans="2:27">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row>
    <row r="240" spans="2:27">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row>
    <row r="241" spans="2:27">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row>
    <row r="242" spans="2:27">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row>
    <row r="243" spans="2:27">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row>
    <row r="244" spans="2:27">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row>
    <row r="245" spans="2:27">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row>
    <row r="246" spans="2:27">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row>
    <row r="247" spans="2:27">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row>
    <row r="248" spans="2:27">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row>
    <row r="249" spans="2:27">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row>
    <row r="250" spans="2:27">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row>
    <row r="251" spans="2:27">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row>
    <row r="252" spans="2:27">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row>
    <row r="253" spans="2:27">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row>
    <row r="254" spans="2:27">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row>
    <row r="255" spans="2:27">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row>
    <row r="256" spans="2:27">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row>
    <row r="257" spans="2:27">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row>
    <row r="258" spans="2:27">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row>
    <row r="259" spans="2:27">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row>
    <row r="260" spans="2:27">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row>
    <row r="261" spans="2:27">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row>
    <row r="262" spans="2:27">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row>
    <row r="263" spans="2:27">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row>
    <row r="264" spans="2:27">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row>
    <row r="265" spans="2:27">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row>
    <row r="266" spans="2:27">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row>
    <row r="267" spans="2:27">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row>
    <row r="268" spans="2:27">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row>
    <row r="269" spans="2:27">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row>
    <row r="270" spans="2:27">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row>
    <row r="271" spans="2:27">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row>
    <row r="272" spans="2:27">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row>
    <row r="273" spans="2:27">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row>
    <row r="274" spans="2:27">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row>
    <row r="275" spans="2:27">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row>
    <row r="276" spans="2:27">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row>
    <row r="277" spans="2:27">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row>
    <row r="278" spans="2:27">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row>
    <row r="279" spans="2:27">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row>
    <row r="280" spans="2:27">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row>
    <row r="281" spans="2:27">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row>
    <row r="282" spans="2:27">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row>
    <row r="283" spans="2:27">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row>
    <row r="284" spans="2:27">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row>
    <row r="285" spans="2:27">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row>
    <row r="286" spans="2:27">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row>
    <row r="287" spans="2:27">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row>
    <row r="288" spans="2:27">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row>
    <row r="289" spans="2:27">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row>
    <row r="290" spans="2:27">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row>
    <row r="291" spans="2:27">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row>
    <row r="292" spans="2:27">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row>
    <row r="293" spans="2:27">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row>
    <row r="294" spans="2:27">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row>
    <row r="295" spans="2:27">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row>
    <row r="296" spans="2:27">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row>
    <row r="297" spans="2:27">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row>
    <row r="298" spans="2:27">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row>
    <row r="299" spans="2:27">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row>
    <row r="300" spans="2:27">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row>
    <row r="301" spans="2:27">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row>
    <row r="302" spans="2:27">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row>
    <row r="303" spans="2:27">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row>
    <row r="304" spans="2:27">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row>
    <row r="305" spans="2:27">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row>
    <row r="306" spans="2:27">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row>
    <row r="307" spans="2:27">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row>
    <row r="308" spans="2:27">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row>
    <row r="309" spans="2:27">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row>
    <row r="310" spans="2:27">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row>
    <row r="311" spans="2:27">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row>
    <row r="312" spans="2:27">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row>
    <row r="313" spans="2:27">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row>
    <row r="314" spans="2:27">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row>
    <row r="315" spans="2:27">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row>
    <row r="316" spans="2:27">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row>
    <row r="317" spans="2:27">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row>
    <row r="318" spans="2:27">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row>
    <row r="319" spans="2:27">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row>
    <row r="320" spans="2:27">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row>
    <row r="321" spans="2:27">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row>
    <row r="322" spans="2:27">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row>
    <row r="323" spans="2:27">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row>
    <row r="324" spans="2:27">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row>
    <row r="325" spans="2:27">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row>
    <row r="326" spans="2:27">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row>
    <row r="327" spans="2:27">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row>
    <row r="328" spans="2:27">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row>
    <row r="329" spans="2:27">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row>
    <row r="330" spans="2:27">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row>
    <row r="331" spans="2:27">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row>
    <row r="332" spans="2:27">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row>
    <row r="333" spans="2:27">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row>
    <row r="334" spans="2:27">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row>
    <row r="335" spans="2:27">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row>
    <row r="336" spans="2:27">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row>
    <row r="337" spans="2:27">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row>
    <row r="338" spans="2:27">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row>
    <row r="339" spans="2:27">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row>
    <row r="340" spans="2:27">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row>
    <row r="341" spans="2:27">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row>
    <row r="342" spans="2:27">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row>
    <row r="343" spans="2:27">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row>
    <row r="344" spans="2:27">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row>
    <row r="345" spans="2:27">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row>
    <row r="346" spans="2:27">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row>
    <row r="347" spans="2:27">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row>
    <row r="348" spans="2:27">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row>
    <row r="349" spans="2:27">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row>
    <row r="350" spans="2:27">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row>
    <row r="351" spans="2:27">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row>
    <row r="352" spans="2:27">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row>
    <row r="353" spans="2:27">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row>
    <row r="354" spans="2:27">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row>
    <row r="355" spans="2:27">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row>
    <row r="356" spans="2:27">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row>
    <row r="357" spans="2:27">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row>
    <row r="358" spans="2:27">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row>
    <row r="359" spans="2:27">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row>
    <row r="360" spans="2:27">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row>
    <row r="361" spans="2:27">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row>
    <row r="362" spans="2:27">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row>
    <row r="363" spans="2:27">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row>
    <row r="364" spans="2:27">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row>
    <row r="365" spans="2:27">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row>
  </sheetData>
  <sheetProtection algorithmName="SHA-512" hashValue="SssfJ+WeR+WiofLNibtktag+V3CMYFCeMzoWrZn0PbcMaON3xI5vK5JQx38nNBnIHDvBI4tm2Mii3hPjNFkK3Q==" saltValue="rpVuct51+4kQErB6ewmfog==" spinCount="100000" sheet="1" objects="1" scenarios="1"/>
  <conditionalFormatting sqref="R76">
    <cfRule type="expression" dxfId="1" priority="1" stopIfTrue="1">
      <formula>$AA$3=5</formula>
    </cfRule>
  </conditionalFormatting>
  <conditionalFormatting sqref="V4:Z110">
    <cfRule type="expression" dxfId="0" priority="2" stopIfTrue="1">
      <formula>$AA$3=5</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7416A-3805-48C3-9756-AAF85EE4FA6F}">
  <sheetPr codeName="Sheet3"/>
  <dimension ref="A1:X301"/>
  <sheetViews>
    <sheetView showOutlineSymbols="0" workbookViewId="0"/>
  </sheetViews>
  <sheetFormatPr baseColWidth="10" defaultColWidth="8.6640625" defaultRowHeight="14"/>
  <cols>
    <col min="1" max="1" width="8.83203125" style="58" bestFit="1" customWidth="1"/>
    <col min="2" max="2" width="13.83203125" style="58" bestFit="1" customWidth="1"/>
    <col min="3" max="3" width="16.1640625" style="58" bestFit="1" customWidth="1"/>
    <col min="4" max="4" width="15.83203125" style="58" bestFit="1" customWidth="1"/>
    <col min="5" max="12" width="12.5" style="58" bestFit="1" customWidth="1"/>
    <col min="13" max="14" width="8.83203125" style="58" bestFit="1" customWidth="1"/>
    <col min="15" max="16" width="8.6640625" style="58"/>
    <col min="17" max="17" width="11.5" style="58" bestFit="1" customWidth="1"/>
    <col min="18" max="18" width="3.33203125" style="58" customWidth="1"/>
    <col min="19" max="19" width="13.5" style="58" bestFit="1" customWidth="1"/>
    <col min="20" max="20" width="10.5" style="58" bestFit="1" customWidth="1"/>
    <col min="21" max="21" width="9" style="58" bestFit="1" customWidth="1"/>
    <col min="22" max="22" width="8.6640625" style="58"/>
    <col min="23" max="23" width="18.33203125" style="58" customWidth="1"/>
    <col min="24" max="16384" width="8.6640625" style="58"/>
  </cols>
  <sheetData>
    <row r="1" spans="1:23">
      <c r="Q1" s="2"/>
      <c r="R1" s="2"/>
    </row>
    <row r="2" spans="1:23" ht="27" customHeight="1">
      <c r="A2" s="58" t="s">
        <v>90</v>
      </c>
      <c r="D2" s="58" t="s">
        <v>91</v>
      </c>
      <c r="E2" s="661" t="e">
        <f ca="1">+Valuation!V106</f>
        <v>#NAME?</v>
      </c>
      <c r="H2" s="58" t="s">
        <v>777</v>
      </c>
      <c r="I2" s="58">
        <v>1000</v>
      </c>
      <c r="K2" s="58" t="s">
        <v>786</v>
      </c>
      <c r="M2" s="58" t="s">
        <v>788</v>
      </c>
      <c r="N2" s="58" t="s">
        <v>770</v>
      </c>
      <c r="P2" s="58" t="s">
        <v>801</v>
      </c>
      <c r="Q2" s="2" t="s">
        <v>802</v>
      </c>
      <c r="R2" s="2"/>
      <c r="S2" s="58" t="s">
        <v>799</v>
      </c>
      <c r="T2" s="58" t="s">
        <v>804</v>
      </c>
      <c r="V2" s="58" t="s">
        <v>806</v>
      </c>
      <c r="W2" s="58" t="s">
        <v>808</v>
      </c>
    </row>
    <row r="3" spans="1:23" ht="27" customHeight="1">
      <c r="D3" s="58" t="s">
        <v>39</v>
      </c>
      <c r="E3" s="661" t="e">
        <f ca="1">+Valuation!V105</f>
        <v>#NAME?</v>
      </c>
      <c r="H3" s="58" t="s">
        <v>778</v>
      </c>
      <c r="I3" s="58">
        <v>1000000</v>
      </c>
      <c r="K3" s="58" t="s">
        <v>780</v>
      </c>
      <c r="N3" s="58" t="s">
        <v>771</v>
      </c>
      <c r="Q3" s="2" t="s">
        <v>803</v>
      </c>
      <c r="R3" s="2"/>
      <c r="T3" s="58" t="s">
        <v>800</v>
      </c>
      <c r="W3" s="58" t="s">
        <v>775</v>
      </c>
    </row>
    <row r="4" spans="1:23" ht="27" customHeight="1">
      <c r="D4" s="58" t="s">
        <v>38</v>
      </c>
      <c r="E4" s="661" t="e">
        <f ca="1">+Valuation!V104</f>
        <v>#NAME?</v>
      </c>
      <c r="H4" s="58" t="s">
        <v>779</v>
      </c>
      <c r="I4" s="58">
        <v>1000000000</v>
      </c>
      <c r="K4" s="58" t="s">
        <v>781</v>
      </c>
      <c r="Q4" s="2" t="s">
        <v>798</v>
      </c>
      <c r="R4" s="2"/>
      <c r="T4" s="58" t="s">
        <v>805</v>
      </c>
      <c r="W4" s="58" t="s">
        <v>809</v>
      </c>
    </row>
    <row r="5" spans="1:23">
      <c r="D5" s="58" t="s">
        <v>92</v>
      </c>
      <c r="E5" s="58">
        <f>+LENGTH</f>
        <v>1</v>
      </c>
      <c r="K5" s="58" t="s">
        <v>783</v>
      </c>
      <c r="Q5" s="2"/>
      <c r="R5" s="2"/>
    </row>
    <row r="6" spans="1:23">
      <c r="K6" s="58" t="s">
        <v>782</v>
      </c>
      <c r="P6" s="58" t="s">
        <v>807</v>
      </c>
      <c r="Q6" s="58" t="s">
        <v>744</v>
      </c>
      <c r="V6" s="58" t="s">
        <v>824</v>
      </c>
      <c r="W6" s="58" t="s">
        <v>790</v>
      </c>
    </row>
    <row r="7" spans="1:23">
      <c r="A7" s="58">
        <f>Comparables!D7</f>
        <v>0</v>
      </c>
      <c r="B7" s="58" t="str">
        <f>+Comparables!E7</f>
        <v>NYS:SQ</v>
      </c>
      <c r="C7" s="58">
        <f>+Comparables!F7</f>
        <v>0</v>
      </c>
      <c r="K7" s="58" t="s">
        <v>784</v>
      </c>
      <c r="Q7" s="58" t="s">
        <v>745</v>
      </c>
      <c r="S7" s="58" t="s">
        <v>1</v>
      </c>
      <c r="T7" s="662">
        <v>0.13500000000000001</v>
      </c>
      <c r="W7" s="58" t="s">
        <v>789</v>
      </c>
    </row>
    <row r="8" spans="1:23">
      <c r="A8" s="58">
        <f>Comparables!D8</f>
        <v>0</v>
      </c>
      <c r="B8" s="58" t="str">
        <f>+Comparables!E8</f>
        <v>NAS:PYPL</v>
      </c>
      <c r="C8" s="58">
        <f>+Comparables!F8</f>
        <v>0</v>
      </c>
      <c r="K8" s="58" t="s">
        <v>785</v>
      </c>
      <c r="Q8" s="58" t="s">
        <v>743</v>
      </c>
      <c r="T8" s="662">
        <v>0.11</v>
      </c>
      <c r="W8" s="58" t="s">
        <v>791</v>
      </c>
    </row>
    <row r="9" spans="1:23">
      <c r="A9" s="58">
        <f>Comparables!D9</f>
        <v>0</v>
      </c>
      <c r="B9" s="58" t="str">
        <f>+Comparables!E9</f>
        <v>STO:SFL</v>
      </c>
      <c r="C9" s="58">
        <f>+Comparables!F9</f>
        <v>0</v>
      </c>
      <c r="Q9" s="58" t="s">
        <v>68</v>
      </c>
      <c r="T9" s="662">
        <v>0.09</v>
      </c>
      <c r="W9" s="58" t="s">
        <v>825</v>
      </c>
    </row>
    <row r="10" spans="1:23">
      <c r="A10" s="58">
        <f>Comparables!D10</f>
        <v>0</v>
      </c>
      <c r="B10" s="58" t="str">
        <f>+Comparables!E10</f>
        <v>PINX:VYGVQ</v>
      </c>
      <c r="C10" s="58">
        <f>+Comparables!F10</f>
        <v>0</v>
      </c>
      <c r="H10" s="663" t="s">
        <v>3246</v>
      </c>
      <c r="I10" s="664"/>
      <c r="J10" s="665" t="b">
        <v>0</v>
      </c>
      <c r="Q10" s="58" t="s">
        <v>742</v>
      </c>
      <c r="T10" s="662">
        <v>7.4999999999999997E-2</v>
      </c>
      <c r="W10" s="58" t="s">
        <v>826</v>
      </c>
    </row>
    <row r="11" spans="1:23">
      <c r="A11" s="58">
        <f>Comparables!D11</f>
        <v>0</v>
      </c>
      <c r="B11" s="58" t="str">
        <f>+Comparables!E11</f>
        <v>PINX:CRCW</v>
      </c>
      <c r="C11" s="58">
        <f>+Comparables!F11</f>
        <v>0</v>
      </c>
      <c r="H11" s="663" t="s">
        <v>3215</v>
      </c>
      <c r="I11" s="664"/>
      <c r="J11" s="665" t="b">
        <v>1</v>
      </c>
      <c r="W11" s="58" t="s">
        <v>827</v>
      </c>
    </row>
    <row r="12" spans="1:23">
      <c r="A12" s="58">
        <f>Comparables!D12</f>
        <v>0</v>
      </c>
      <c r="B12" s="58" t="str">
        <f>+Comparables!E12</f>
        <v>STU:WD0</v>
      </c>
      <c r="C12" s="58">
        <f>+Comparables!F12</f>
        <v>0</v>
      </c>
      <c r="H12" s="663" t="s">
        <v>3309</v>
      </c>
      <c r="I12" s="664"/>
      <c r="J12" s="665" t="b">
        <v>0</v>
      </c>
      <c r="M12" s="58" t="s">
        <v>3316</v>
      </c>
      <c r="N12" s="637">
        <v>4.4999999999999998E-2</v>
      </c>
      <c r="P12" s="58" t="s">
        <v>3315</v>
      </c>
      <c r="Q12" s="637">
        <f>0.0075+N12</f>
        <v>5.2499999999999998E-2</v>
      </c>
      <c r="S12" s="58" t="s">
        <v>823</v>
      </c>
      <c r="T12" s="662">
        <v>-0.03</v>
      </c>
    </row>
    <row r="13" spans="1:23" ht="15">
      <c r="A13" s="58">
        <f>Comparables!D13</f>
        <v>0</v>
      </c>
      <c r="B13" s="58" t="str">
        <f>+Comparables!E13</f>
        <v>NAS:HOOD</v>
      </c>
      <c r="C13" s="58">
        <f>+Comparables!F13</f>
        <v>0</v>
      </c>
      <c r="H13" s="666" t="s">
        <v>3308</v>
      </c>
      <c r="I13" s="666" t="s">
        <v>3731</v>
      </c>
      <c r="Q13" s="637">
        <f>0.01+N12</f>
        <v>5.5E-2</v>
      </c>
      <c r="T13" s="662">
        <f t="shared" ref="T13:T37" si="0">+T12+0.005</f>
        <v>-2.4999999999999998E-2</v>
      </c>
    </row>
    <row r="14" spans="1:23">
      <c r="A14" s="58">
        <f>Comparables!D14</f>
        <v>0</v>
      </c>
      <c r="B14" s="58" t="str">
        <f>+Comparables!E14</f>
        <v>BOM:532960</v>
      </c>
      <c r="C14" s="58">
        <f>+Comparables!F14</f>
        <v>0</v>
      </c>
      <c r="Q14" s="637">
        <f>0.013+N12</f>
        <v>5.7999999999999996E-2</v>
      </c>
      <c r="T14" s="662">
        <f t="shared" si="0"/>
        <v>-1.9999999999999997E-2</v>
      </c>
      <c r="V14" s="58" t="s">
        <v>3256</v>
      </c>
      <c r="W14" s="58">
        <f ca="1">IF(Valuation!U5="Low",'Hidden Formulas'!W16*0.8,IF(Valuation!U5="Medium",'Hidden Formulas'!W16*0.7,IF(Valuation!U5="High",'Hidden Formulas'!W16*0.6,IF(Valuation!U5="Very High",'Hidden Formulas'!W16*0.5,""))))</f>
        <v>0</v>
      </c>
    </row>
    <row r="15" spans="1:23">
      <c r="A15" s="58">
        <f>Comparables!D15</f>
        <v>0</v>
      </c>
      <c r="B15" s="58" t="str">
        <f>+Comparables!E15</f>
        <v>NYS:MA</v>
      </c>
      <c r="C15" s="58">
        <f>+Comparables!F15</f>
        <v>0</v>
      </c>
      <c r="Q15" s="637">
        <f>0.02+N12</f>
        <v>6.5000000000000002E-2</v>
      </c>
      <c r="T15" s="662">
        <f t="shared" si="0"/>
        <v>-1.4999999999999996E-2</v>
      </c>
      <c r="V15" s="58" t="s">
        <v>3257</v>
      </c>
      <c r="W15" s="58">
        <f ca="1">IF(Valuation!U5="Low",'Hidden Formulas'!W16*0.95,IF(Valuation!U5="Medium",'Hidden Formulas'!W16*0.9,IF(Valuation!U5="High",'Hidden Formulas'!W16*0.85,IF(Valuation!U5="Very High",'Hidden Formulas'!W16*0.8,""))))</f>
        <v>0</v>
      </c>
    </row>
    <row r="16" spans="1:23">
      <c r="A16" s="58">
        <f>Comparables!D16</f>
        <v>0</v>
      </c>
      <c r="B16" s="58" t="str">
        <f>+Comparables!E16</f>
        <v>NAS:MSTR</v>
      </c>
      <c r="C16" s="58">
        <f>+Comparables!F16</f>
        <v>0</v>
      </c>
      <c r="Q16" s="637">
        <f>0.035+N12</f>
        <v>0.08</v>
      </c>
      <c r="T16" s="662">
        <f t="shared" si="0"/>
        <v>-9.999999999999995E-3</v>
      </c>
      <c r="V16" s="58" t="s">
        <v>795</v>
      </c>
      <c r="W16" s="667">
        <f ca="1">Valuation!C7</f>
        <v>0</v>
      </c>
    </row>
    <row r="17" spans="1:23">
      <c r="Q17" s="637">
        <f>0.055+N12</f>
        <v>0.1</v>
      </c>
      <c r="T17" s="662">
        <f t="shared" si="0"/>
        <v>-4.9999999999999949E-3</v>
      </c>
      <c r="V17" s="58" t="s">
        <v>3258</v>
      </c>
      <c r="W17" s="58">
        <f ca="1">IF(Valuation!U5="Low",'Hidden Formulas'!W16*1.05,IF(Valuation!U5="Medium",'Hidden Formulas'!W16*1.1,IF(Valuation!U5="High",'Hidden Formulas'!W16*1.15,IF(Valuation!U5="Very High",'Hidden Formulas'!W16*1.25,""))))</f>
        <v>0</v>
      </c>
    </row>
    <row r="18" spans="1:23">
      <c r="Q18" s="637">
        <f>0.1+N12</f>
        <v>0.14500000000000002</v>
      </c>
      <c r="T18" s="662">
        <f t="shared" si="0"/>
        <v>0</v>
      </c>
      <c r="V18" s="58" t="s">
        <v>3259</v>
      </c>
      <c r="W18" s="58">
        <f ca="1">IF(Valuation!U5="Low",'Hidden Formulas'!W16*1.25,IF(Valuation!U5="Medium",'Hidden Formulas'!W16*1.35,IF(Valuation!U5="High",'Hidden Formulas'!W16*1.55,IF(Valuation!U5="Very High",'Hidden Formulas'!W16*1.75,""))))</f>
        <v>0</v>
      </c>
    </row>
    <row r="19" spans="1:23" ht="15">
      <c r="A19" s="567" t="str">
        <f>Comparables!B32</f>
        <v>Normalized EV / EBITDA</v>
      </c>
      <c r="T19" s="662">
        <f t="shared" si="0"/>
        <v>5.0000000000000001E-3</v>
      </c>
    </row>
    <row r="20" spans="1:23" ht="15">
      <c r="B20" s="668">
        <f>+Valuation!I9</f>
        <v>2016</v>
      </c>
      <c r="C20" s="668">
        <f>+Valuation!J9</f>
        <v>2017</v>
      </c>
      <c r="D20" s="668">
        <f>+Valuation!K9</f>
        <v>2018</v>
      </c>
      <c r="E20" s="668">
        <f>+Valuation!L9</f>
        <v>2019</v>
      </c>
      <c r="F20" s="668">
        <f>+Valuation!M9</f>
        <v>2020</v>
      </c>
      <c r="G20" s="668">
        <f>+Valuation!N9</f>
        <v>2021</v>
      </c>
      <c r="H20" s="668">
        <f>+Valuation!O9</f>
        <v>2022</v>
      </c>
      <c r="I20" s="668">
        <f>+Valuation!P9</f>
        <v>2023</v>
      </c>
      <c r="J20" s="668">
        <f>+Valuation!Q9</f>
        <v>2024</v>
      </c>
      <c r="K20" s="668">
        <f>+Valuation!R9</f>
        <v>2025</v>
      </c>
      <c r="L20" s="668">
        <f>+Valuation!S9</f>
        <v>2026</v>
      </c>
      <c r="M20" s="58" t="s">
        <v>63</v>
      </c>
      <c r="T20" s="662">
        <f t="shared" si="0"/>
        <v>0.01</v>
      </c>
      <c r="V20" s="58" t="s">
        <v>810</v>
      </c>
      <c r="W20" s="2"/>
    </row>
    <row r="21" spans="1:23">
      <c r="A21" s="58" t="str">
        <f>+Valuation!V116</f>
        <v>NAS:COIN</v>
      </c>
      <c r="B21" s="667" t="e">
        <v>#N/A</v>
      </c>
      <c r="C21" s="667" t="e">
        <v>#N/A</v>
      </c>
      <c r="D21" s="667" t="e">
        <v>#N/A</v>
      </c>
      <c r="E21" s="667" t="e">
        <v>#N/A</v>
      </c>
      <c r="F21" s="667" t="e">
        <v>#N/A</v>
      </c>
      <c r="G21" s="667" t="e">
        <v>#N/A</v>
      </c>
      <c r="H21" s="667" t="e">
        <v>#N/A</v>
      </c>
      <c r="I21" s="667" t="e">
        <v>#N/A</v>
      </c>
      <c r="J21" s="667">
        <v>16.187637317706887</v>
      </c>
      <c r="K21" s="667">
        <v>6.4043565524421995</v>
      </c>
      <c r="L21" s="667" t="e">
        <v>#N/A</v>
      </c>
      <c r="M21" s="669">
        <v>64.426906266664915</v>
      </c>
      <c r="Q21" s="637"/>
      <c r="T21" s="662">
        <f t="shared" si="0"/>
        <v>1.4999999999999999E-2</v>
      </c>
      <c r="V21" s="58" t="s">
        <v>3260</v>
      </c>
      <c r="W21" s="2"/>
    </row>
    <row r="22" spans="1:23">
      <c r="T22" s="662">
        <f t="shared" si="0"/>
        <v>0.02</v>
      </c>
      <c r="V22" s="58" t="s">
        <v>3261</v>
      </c>
      <c r="W22" s="2"/>
    </row>
    <row r="23" spans="1:23">
      <c r="A23" s="58" t="str">
        <f>B7</f>
        <v>NYS:SQ</v>
      </c>
      <c r="B23" s="667" t="e">
        <v>#N/A</v>
      </c>
      <c r="C23" s="667" t="e">
        <v>#N/A</v>
      </c>
      <c r="D23" s="667" t="e">
        <v>#N/A</v>
      </c>
      <c r="E23" s="667">
        <v>474.8285018282549</v>
      </c>
      <c r="F23" s="667">
        <v>100.86377429516212</v>
      </c>
      <c r="G23" s="667">
        <v>105.25658677800524</v>
      </c>
      <c r="H23" s="667">
        <v>68.781181877808621</v>
      </c>
      <c r="I23" s="667">
        <v>235.99905468533152</v>
      </c>
      <c r="J23" s="667">
        <v>71.328473012137181</v>
      </c>
      <c r="K23" s="667">
        <v>38.339914451856032</v>
      </c>
      <c r="L23" s="667" t="e">
        <v>#N/A</v>
      </c>
      <c r="M23" s="669">
        <v>24.705434031385199</v>
      </c>
      <c r="T23" s="662">
        <f t="shared" si="0"/>
        <v>2.5000000000000001E-2</v>
      </c>
      <c r="V23" s="58" t="s">
        <v>3262</v>
      </c>
      <c r="W23" s="2"/>
    </row>
    <row r="24" spans="1:23">
      <c r="A24" s="58" t="str">
        <f t="shared" ref="A24:A32" si="1">B8</f>
        <v>NAS:PYPL</v>
      </c>
      <c r="B24" s="667" t="e">
        <v>#N/A</v>
      </c>
      <c r="C24" s="667" t="e">
        <v>#N/A</v>
      </c>
      <c r="D24" s="667">
        <v>17.459512472467424</v>
      </c>
      <c r="E24" s="667">
        <v>15.997861716810831</v>
      </c>
      <c r="F24" s="667">
        <v>25.887124323729864</v>
      </c>
      <c r="G24" s="667">
        <v>20.044077921139102</v>
      </c>
      <c r="H24" s="667">
        <v>25.914778675197269</v>
      </c>
      <c r="I24" s="667">
        <v>58.592648894015234</v>
      </c>
      <c r="J24" s="667">
        <v>31.214859511476831</v>
      </c>
      <c r="K24" s="667">
        <v>12.71759144137498</v>
      </c>
      <c r="L24" s="667" t="e">
        <v>#N/A</v>
      </c>
      <c r="M24" s="669">
        <v>8.6973452533678053</v>
      </c>
      <c r="T24" s="662">
        <f t="shared" si="0"/>
        <v>3.0000000000000002E-2</v>
      </c>
      <c r="V24" s="58" t="s">
        <v>3263</v>
      </c>
      <c r="W24" s="2"/>
    </row>
    <row r="25" spans="1:23">
      <c r="A25" s="58" t="str">
        <f t="shared" si="1"/>
        <v>STO:SFL</v>
      </c>
      <c r="B25" s="667" t="e">
        <v>#N/A</v>
      </c>
      <c r="C25" s="667" t="e">
        <v>#N/A</v>
      </c>
      <c r="D25" s="667" t="e">
        <v>#N/A</v>
      </c>
      <c r="E25" s="667" t="e">
        <v>#N/A</v>
      </c>
      <c r="F25" s="667" t="e">
        <v>#N/A</v>
      </c>
      <c r="G25" s="667" t="e">
        <v>#N/A</v>
      </c>
      <c r="H25" s="667" t="e">
        <v>#N/A</v>
      </c>
      <c r="I25" s="667" t="e">
        <v>#N/A</v>
      </c>
      <c r="J25" s="667" t="e">
        <v>#N/A</v>
      </c>
      <c r="K25" s="667" t="e">
        <v>#N/A</v>
      </c>
      <c r="L25" s="667" t="e">
        <v>#N/A</v>
      </c>
      <c r="M25" s="669" t="e">
        <v>#N/A</v>
      </c>
      <c r="T25" s="662">
        <f t="shared" si="0"/>
        <v>3.5000000000000003E-2</v>
      </c>
    </row>
    <row r="26" spans="1:23">
      <c r="A26" s="58" t="str">
        <f t="shared" si="1"/>
        <v>PINX:VYGVQ</v>
      </c>
      <c r="B26" s="667" t="e">
        <v>#N/A</v>
      </c>
      <c r="C26" s="667" t="e">
        <v>#N/A</v>
      </c>
      <c r="D26" s="667" t="e">
        <v>#N/A</v>
      </c>
      <c r="E26" s="667" t="e">
        <v>#N/A</v>
      </c>
      <c r="F26" s="667" t="e">
        <v>#N/A</v>
      </c>
      <c r="G26" s="667" t="e">
        <v>#N/A</v>
      </c>
      <c r="H26" s="667" t="e">
        <v>#N/A</v>
      </c>
      <c r="I26" s="667" t="e">
        <v>#N/A</v>
      </c>
      <c r="J26" s="667">
        <v>111.17503950204916</v>
      </c>
      <c r="K26" s="667" t="e">
        <v>#N/A</v>
      </c>
      <c r="L26" s="667" t="e">
        <v>#N/A</v>
      </c>
      <c r="M26" s="669" t="e">
        <v>#N/A</v>
      </c>
      <c r="T26" s="662">
        <f t="shared" si="0"/>
        <v>0.04</v>
      </c>
    </row>
    <row r="27" spans="1:23">
      <c r="A27" s="58" t="str">
        <f t="shared" si="1"/>
        <v>PINX:CRCW</v>
      </c>
      <c r="B27" s="667" t="e">
        <v>#N/A</v>
      </c>
      <c r="C27" s="667" t="e">
        <v>#N/A</v>
      </c>
      <c r="D27" s="667" t="e">
        <v>#N/A</v>
      </c>
      <c r="E27" s="667" t="e">
        <v>#N/A</v>
      </c>
      <c r="F27" s="667" t="e">
        <v>#N/A</v>
      </c>
      <c r="G27" s="667" t="e">
        <v>#N/A</v>
      </c>
      <c r="H27" s="667" t="e">
        <v>#N/A</v>
      </c>
      <c r="I27" s="667" t="e">
        <v>#N/A</v>
      </c>
      <c r="J27" s="667">
        <v>1068.8416275181146</v>
      </c>
      <c r="K27" s="667" t="e">
        <v>#N/A</v>
      </c>
      <c r="L27" s="667" t="e">
        <v>#N/A</v>
      </c>
      <c r="M27" s="669">
        <v>4.0643705988814274</v>
      </c>
      <c r="T27" s="662">
        <f t="shared" si="0"/>
        <v>4.4999999999999998E-2</v>
      </c>
    </row>
    <row r="28" spans="1:23">
      <c r="A28" s="58" t="str">
        <f t="shared" si="1"/>
        <v>STU:WD0</v>
      </c>
      <c r="B28" s="667" t="e">
        <v>#N/A</v>
      </c>
      <c r="C28" s="667" t="e">
        <v>#N/A</v>
      </c>
      <c r="D28" s="667" t="e">
        <v>#N/A</v>
      </c>
      <c r="E28" s="667" t="e">
        <v>#N/A</v>
      </c>
      <c r="F28" s="667" t="e">
        <v>#N/A</v>
      </c>
      <c r="G28" s="667" t="e">
        <v>#N/A</v>
      </c>
      <c r="H28" s="667" t="e">
        <v>#N/A</v>
      </c>
      <c r="I28" s="667" t="e">
        <v>#N/A</v>
      </c>
      <c r="J28" s="667" t="e">
        <v>#N/A</v>
      </c>
      <c r="K28" s="667" t="e">
        <v>#N/A</v>
      </c>
      <c r="L28" s="667" t="e">
        <v>#N/A</v>
      </c>
      <c r="M28" s="669" t="e">
        <v>#N/A</v>
      </c>
      <c r="T28" s="662">
        <f t="shared" si="0"/>
        <v>4.9999999999999996E-2</v>
      </c>
    </row>
    <row r="29" spans="1:23">
      <c r="A29" s="58" t="str">
        <f t="shared" si="1"/>
        <v>NAS:HOOD</v>
      </c>
      <c r="B29" s="667" t="e">
        <v>#N/A</v>
      </c>
      <c r="C29" s="667" t="e">
        <v>#N/A</v>
      </c>
      <c r="D29" s="667" t="e">
        <v>#N/A</v>
      </c>
      <c r="E29" s="667" t="e">
        <v>#N/A</v>
      </c>
      <c r="F29" s="667" t="e">
        <v>#N/A</v>
      </c>
      <c r="G29" s="667" t="e">
        <v>#N/A</v>
      </c>
      <c r="H29" s="667" t="e">
        <v>#N/A</v>
      </c>
      <c r="I29" s="667" t="e">
        <v>#N/A</v>
      </c>
      <c r="J29" s="667">
        <v>53.351897009518574</v>
      </c>
      <c r="K29" s="667" t="e">
        <v>#N/A</v>
      </c>
      <c r="L29" s="667" t="e">
        <v>#N/A</v>
      </c>
      <c r="M29" s="669">
        <v>11.683005336082472</v>
      </c>
      <c r="T29" s="662">
        <f t="shared" si="0"/>
        <v>5.4999999999999993E-2</v>
      </c>
    </row>
    <row r="30" spans="1:23">
      <c r="A30" s="58" t="str">
        <f t="shared" si="1"/>
        <v>BOM:532960</v>
      </c>
      <c r="B30" s="667">
        <v>1.0126822918935965</v>
      </c>
      <c r="C30" s="667">
        <v>5.2485821693629742</v>
      </c>
      <c r="D30" s="667">
        <v>5.1645176332986775</v>
      </c>
      <c r="E30" s="667">
        <v>10.165220276126179</v>
      </c>
      <c r="F30" s="667">
        <v>39.393603151013302</v>
      </c>
      <c r="G30" s="667">
        <v>40.741000430971184</v>
      </c>
      <c r="H30" s="667">
        <v>32.136162464235426</v>
      </c>
      <c r="I30" s="667">
        <v>18.469146514977105</v>
      </c>
      <c r="J30" s="667">
        <v>49.110149378402078</v>
      </c>
      <c r="K30" s="667" t="e">
        <v>#N/A</v>
      </c>
      <c r="L30" s="667" t="e">
        <v>#N/A</v>
      </c>
      <c r="M30" s="669" t="e">
        <v>#N/A</v>
      </c>
      <c r="T30" s="662">
        <f t="shared" si="0"/>
        <v>5.9999999999999991E-2</v>
      </c>
    </row>
    <row r="31" spans="1:23">
      <c r="A31" s="58" t="str">
        <f t="shared" si="1"/>
        <v>NYS:MA</v>
      </c>
      <c r="B31" s="667">
        <v>19.86862580567227</v>
      </c>
      <c r="C31" s="667">
        <v>17.558402039925721</v>
      </c>
      <c r="D31" s="667">
        <v>19.485765975119794</v>
      </c>
      <c r="E31" s="667">
        <v>18.286814028216327</v>
      </c>
      <c r="F31" s="667">
        <v>22.290246141509435</v>
      </c>
      <c r="G31" s="667">
        <v>22.21637012860106</v>
      </c>
      <c r="H31" s="667">
        <v>29.803382159720854</v>
      </c>
      <c r="I31" s="667">
        <v>38.374065377975555</v>
      </c>
      <c r="J31" s="667">
        <v>34.475492883772141</v>
      </c>
      <c r="K31" s="667">
        <v>25.55276272850611</v>
      </c>
      <c r="L31" s="667" t="e">
        <v>#N/A</v>
      </c>
      <c r="M31" s="669">
        <v>25.921102499031509</v>
      </c>
      <c r="T31" s="662">
        <f t="shared" si="0"/>
        <v>6.4999999999999988E-2</v>
      </c>
    </row>
    <row r="32" spans="1:23">
      <c r="A32" s="58" t="str">
        <f t="shared" si="1"/>
        <v>NAS:MSTR</v>
      </c>
      <c r="B32" s="667">
        <v>28.556996821291957</v>
      </c>
      <c r="C32" s="667">
        <v>35.672313987665028</v>
      </c>
      <c r="D32" s="667">
        <v>9.3498063514408738</v>
      </c>
      <c r="E32" s="667">
        <v>11.170462971594466</v>
      </c>
      <c r="F32" s="667">
        <v>7.2498905349724607</v>
      </c>
      <c r="G32" s="667">
        <v>15.122725700067145</v>
      </c>
      <c r="H32" s="667">
        <v>22.627367462454924</v>
      </c>
      <c r="I32" s="667">
        <v>63.273883407137284</v>
      </c>
      <c r="J32" s="667">
        <v>75.42694738759414</v>
      </c>
      <c r="K32" s="667">
        <v>40.99990962509564</v>
      </c>
      <c r="L32" s="667" t="e">
        <v>#N/A</v>
      </c>
      <c r="M32" s="669">
        <v>152.77516457259321</v>
      </c>
      <c r="T32" s="662">
        <f t="shared" si="0"/>
        <v>6.9999999999999993E-2</v>
      </c>
    </row>
    <row r="33" spans="1:20">
      <c r="T33" s="662">
        <f t="shared" si="0"/>
        <v>7.4999999999999997E-2</v>
      </c>
    </row>
    <row r="34" spans="1:20" ht="15">
      <c r="A34" s="567" t="str">
        <f>Comparables!B46</f>
        <v>EV / Forward EBITDA</v>
      </c>
      <c r="T34" s="662">
        <f t="shared" si="0"/>
        <v>0.08</v>
      </c>
    </row>
    <row r="35" spans="1:20">
      <c r="M35" s="58" t="s">
        <v>63</v>
      </c>
      <c r="T35" s="662">
        <f t="shared" si="0"/>
        <v>8.5000000000000006E-2</v>
      </c>
    </row>
    <row r="36" spans="1:20">
      <c r="A36" s="58" t="str">
        <f>+A21</f>
        <v>NAS:COIN</v>
      </c>
      <c r="B36" s="667" t="e">
        <v>#N/A</v>
      </c>
      <c r="C36" s="667" t="e">
        <v>#N/A</v>
      </c>
      <c r="D36" s="667" t="e">
        <v>#N/A</v>
      </c>
      <c r="E36" s="667" t="e">
        <v>#N/A</v>
      </c>
      <c r="F36" s="667" t="e">
        <v>#N/A</v>
      </c>
      <c r="G36" s="667" t="e">
        <v>#N/A</v>
      </c>
      <c r="H36" s="667" t="e">
        <v>#N/A</v>
      </c>
      <c r="I36" s="667" t="e">
        <v>#N/A</v>
      </c>
      <c r="J36" s="667">
        <v>15.597312085332524</v>
      </c>
      <c r="K36" s="667">
        <v>365.44599582861571</v>
      </c>
      <c r="L36" s="667" t="e">
        <v>#N/A</v>
      </c>
      <c r="M36" s="669">
        <v>34.945308232684006</v>
      </c>
      <c r="T36" s="662">
        <f t="shared" si="0"/>
        <v>9.0000000000000011E-2</v>
      </c>
    </row>
    <row r="37" spans="1:20">
      <c r="T37" s="662">
        <f t="shared" si="0"/>
        <v>9.5000000000000015E-2</v>
      </c>
    </row>
    <row r="38" spans="1:20">
      <c r="A38" s="58" t="str">
        <f>B7</f>
        <v>NYS:SQ</v>
      </c>
      <c r="B38" s="667" t="e">
        <v>#N/A</v>
      </c>
      <c r="C38" s="667" t="e">
        <v>#N/A</v>
      </c>
      <c r="D38" s="667" t="e">
        <v>#N/A</v>
      </c>
      <c r="E38" s="667" t="e">
        <v>#N/A</v>
      </c>
      <c r="F38" s="667">
        <v>53.004048375540457</v>
      </c>
      <c r="G38" s="667">
        <v>54.279915660411085</v>
      </c>
      <c r="H38" s="667">
        <v>49.313834185080268</v>
      </c>
      <c r="I38" s="667">
        <v>142.40155971796142</v>
      </c>
      <c r="J38" s="667">
        <v>64.135069529536366</v>
      </c>
      <c r="K38" s="667">
        <v>27.16741426228209</v>
      </c>
      <c r="L38" s="667" t="e">
        <v>#N/A</v>
      </c>
      <c r="M38" s="669">
        <v>15.554181089164722</v>
      </c>
    </row>
    <row r="39" spans="1:20">
      <c r="A39" s="58" t="str">
        <f t="shared" ref="A39:A47" si="2">B8</f>
        <v>NAS:PYPL</v>
      </c>
      <c r="B39" s="667" t="e">
        <v>#N/A</v>
      </c>
      <c r="C39" s="667" t="e">
        <v>#N/A</v>
      </c>
      <c r="D39" s="667" t="e">
        <v>#N/A</v>
      </c>
      <c r="E39" s="667" t="e">
        <v>#N/A</v>
      </c>
      <c r="F39" s="667">
        <v>20.655692629432338</v>
      </c>
      <c r="G39" s="667">
        <v>19.050846493858007</v>
      </c>
      <c r="H39" s="667">
        <v>21.726157197925978</v>
      </c>
      <c r="I39" s="667">
        <v>36.590543852677357</v>
      </c>
      <c r="J39" s="667">
        <v>25.489252839325712</v>
      </c>
      <c r="K39" s="667">
        <v>10.618814362408774</v>
      </c>
      <c r="L39" s="667" t="e">
        <v>#N/A</v>
      </c>
      <c r="M39" s="669">
        <v>7.934060360849057</v>
      </c>
    </row>
    <row r="40" spans="1:20">
      <c r="A40" s="58" t="str">
        <f t="shared" si="2"/>
        <v>STO:SFL</v>
      </c>
      <c r="B40" s="667" t="e">
        <v>#N/A</v>
      </c>
      <c r="C40" s="667" t="e">
        <v>#N/A</v>
      </c>
      <c r="D40" s="667" t="e">
        <v>#N/A</v>
      </c>
      <c r="E40" s="667" t="e">
        <v>#N/A</v>
      </c>
      <c r="F40" s="667" t="e">
        <v>#N/A</v>
      </c>
      <c r="G40" s="667" t="e">
        <v>#N/A</v>
      </c>
      <c r="H40" s="667" t="e">
        <v>#N/A</v>
      </c>
      <c r="I40" s="667" t="e">
        <v>#N/A</v>
      </c>
      <c r="J40" s="667" t="e">
        <v>#N/A</v>
      </c>
      <c r="K40" s="667" t="e">
        <v>#N/A</v>
      </c>
      <c r="L40" s="667" t="e">
        <v>#N/A</v>
      </c>
      <c r="M40" s="669" t="e">
        <v>#N/A</v>
      </c>
      <c r="R40" s="58" t="s">
        <v>829</v>
      </c>
    </row>
    <row r="41" spans="1:20">
      <c r="A41" s="58" t="str">
        <f t="shared" si="2"/>
        <v>PINX:VYGVQ</v>
      </c>
      <c r="B41" s="667" t="e">
        <v>#N/A</v>
      </c>
      <c r="C41" s="667" t="e">
        <v>#N/A</v>
      </c>
      <c r="D41" s="667" t="e">
        <v>#N/A</v>
      </c>
      <c r="E41" s="667" t="e">
        <v>#N/A</v>
      </c>
      <c r="F41" s="667" t="e">
        <v>#N/A</v>
      </c>
      <c r="G41" s="667" t="e">
        <v>#N/A</v>
      </c>
      <c r="H41" s="667" t="e">
        <v>#N/A</v>
      </c>
      <c r="I41" s="667" t="e">
        <v>#N/A</v>
      </c>
      <c r="J41" s="667">
        <v>9.4303803692066008</v>
      </c>
      <c r="K41" s="667" t="e">
        <v>#N/A</v>
      </c>
      <c r="L41" s="667" t="e">
        <v>#N/A</v>
      </c>
      <c r="M41" s="669" t="e">
        <v>#N/A</v>
      </c>
      <c r="Q41" s="58" t="s">
        <v>828</v>
      </c>
    </row>
    <row r="42" spans="1:20">
      <c r="A42" s="58" t="str">
        <f t="shared" si="2"/>
        <v>PINX:CRCW</v>
      </c>
      <c r="B42" s="667" t="e">
        <v>#N/A</v>
      </c>
      <c r="C42" s="667" t="e">
        <v>#N/A</v>
      </c>
      <c r="D42" s="667" t="e">
        <v>#N/A</v>
      </c>
      <c r="E42" s="667" t="e">
        <v>#N/A</v>
      </c>
      <c r="F42" s="667" t="e">
        <v>#N/A</v>
      </c>
      <c r="G42" s="667" t="e">
        <v>#N/A</v>
      </c>
      <c r="H42" s="667" t="e">
        <v>#N/A</v>
      </c>
      <c r="I42" s="667" t="e">
        <v>#N/A</v>
      </c>
      <c r="J42" s="667" t="e">
        <v>#N/A</v>
      </c>
      <c r="K42" s="667" t="e">
        <v>#N/A</v>
      </c>
      <c r="L42" s="667" t="e">
        <v>#N/A</v>
      </c>
      <c r="M42" s="669" t="e">
        <v>#N/A</v>
      </c>
      <c r="Q42" s="58" t="s">
        <v>790</v>
      </c>
      <c r="R42" s="667" t="e">
        <f ca="1">+Valuation!Q114/Valuation!R40</f>
        <v>#NAME?</v>
      </c>
    </row>
    <row r="43" spans="1:20">
      <c r="A43" s="58" t="str">
        <f t="shared" si="2"/>
        <v>STU:WD0</v>
      </c>
      <c r="B43" s="667" t="e">
        <v>#N/A</v>
      </c>
      <c r="C43" s="667" t="e">
        <v>#N/A</v>
      </c>
      <c r="D43" s="667" t="e">
        <v>#N/A</v>
      </c>
      <c r="E43" s="667" t="e">
        <v>#N/A</v>
      </c>
      <c r="F43" s="667" t="e">
        <v>#N/A</v>
      </c>
      <c r="G43" s="667" t="e">
        <v>#N/A</v>
      </c>
      <c r="H43" s="667" t="e">
        <v>#N/A</v>
      </c>
      <c r="I43" s="667" t="e">
        <v>#N/A</v>
      </c>
      <c r="J43" s="667" t="e">
        <v>#N/A</v>
      </c>
      <c r="K43" s="667" t="e">
        <v>#N/A</v>
      </c>
      <c r="L43" s="667" t="e">
        <v>#N/A</v>
      </c>
      <c r="M43" s="669" t="e">
        <v>#N/A</v>
      </c>
      <c r="Q43" s="58" t="s">
        <v>789</v>
      </c>
    </row>
    <row r="44" spans="1:20">
      <c r="A44" s="58" t="str">
        <f t="shared" si="2"/>
        <v>NAS:HOOD</v>
      </c>
      <c r="B44" s="667" t="e">
        <v>#N/A</v>
      </c>
      <c r="C44" s="667" t="e">
        <v>#N/A</v>
      </c>
      <c r="D44" s="667" t="e">
        <v>#N/A</v>
      </c>
      <c r="E44" s="667" t="e">
        <v>#N/A</v>
      </c>
      <c r="F44" s="667" t="e">
        <v>#N/A</v>
      </c>
      <c r="G44" s="667" t="e">
        <v>#N/A</v>
      </c>
      <c r="H44" s="667" t="e">
        <v>#N/A</v>
      </c>
      <c r="I44" s="667" t="e">
        <v>#N/A</v>
      </c>
      <c r="J44" s="667">
        <v>28.784423528777463</v>
      </c>
      <c r="K44" s="667">
        <v>4.0998129526018268</v>
      </c>
      <c r="L44" s="667" t="e">
        <v>#N/A</v>
      </c>
      <c r="M44" s="669">
        <v>9.4856576345526076</v>
      </c>
      <c r="Q44" s="58" t="s">
        <v>791</v>
      </c>
    </row>
    <row r="45" spans="1:20">
      <c r="A45" s="58" t="str">
        <f t="shared" si="2"/>
        <v>BOM:532960</v>
      </c>
      <c r="B45" s="667" t="e">
        <v>#N/A</v>
      </c>
      <c r="C45" s="667" t="e">
        <v>#N/A</v>
      </c>
      <c r="D45" s="667" t="e">
        <v>#N/A</v>
      </c>
      <c r="E45" s="667" t="e">
        <v>#N/A</v>
      </c>
      <c r="F45" s="667" t="e">
        <v>#N/A</v>
      </c>
      <c r="G45" s="667" t="e">
        <v>#N/A</v>
      </c>
      <c r="H45" s="667" t="e">
        <v>#N/A</v>
      </c>
      <c r="I45" s="667" t="e">
        <v>#N/A</v>
      </c>
      <c r="J45" s="667" t="e">
        <v>#N/A</v>
      </c>
      <c r="K45" s="667" t="e">
        <v>#N/A</v>
      </c>
      <c r="L45" s="667" t="e">
        <v>#N/A</v>
      </c>
      <c r="M45" s="669" t="e">
        <v>#N/A</v>
      </c>
      <c r="Q45" s="58" t="s">
        <v>825</v>
      </c>
    </row>
    <row r="46" spans="1:20">
      <c r="A46" s="58" t="str">
        <f t="shared" si="2"/>
        <v>NYS:MA</v>
      </c>
      <c r="B46" s="667" t="e">
        <v>#N/A</v>
      </c>
      <c r="C46" s="667" t="e">
        <v>#N/A</v>
      </c>
      <c r="D46" s="667" t="e">
        <v>#N/A</v>
      </c>
      <c r="E46" s="667" t="e">
        <v>#N/A</v>
      </c>
      <c r="F46" s="667">
        <v>19.192130412016802</v>
      </c>
      <c r="G46" s="667">
        <v>18.919888123258097</v>
      </c>
      <c r="H46" s="667">
        <v>25.661021389261489</v>
      </c>
      <c r="I46" s="667">
        <v>32.959599012275945</v>
      </c>
      <c r="J46" s="667">
        <v>26.354825531785647</v>
      </c>
      <c r="K46" s="667">
        <v>22.614930086153834</v>
      </c>
      <c r="L46" s="667" t="e">
        <v>#N/A</v>
      </c>
      <c r="M46" s="669">
        <v>23.079392670594999</v>
      </c>
      <c r="Q46" s="58" t="s">
        <v>826</v>
      </c>
    </row>
    <row r="47" spans="1:20">
      <c r="A47" s="58" t="str">
        <f t="shared" si="2"/>
        <v>NAS:MSTR</v>
      </c>
      <c r="B47" s="667" t="e">
        <v>#N/A</v>
      </c>
      <c r="C47" s="667" t="e">
        <v>#N/A</v>
      </c>
      <c r="D47" s="667" t="e">
        <v>#N/A</v>
      </c>
      <c r="E47" s="667" t="e">
        <v>#N/A</v>
      </c>
      <c r="F47" s="667">
        <v>13.196265623556226</v>
      </c>
      <c r="G47" s="667">
        <v>18.141459898109179</v>
      </c>
      <c r="H47" s="667">
        <v>16.741737642906596</v>
      </c>
      <c r="I47" s="667" t="e">
        <v>#N/A</v>
      </c>
      <c r="J47" s="667">
        <v>73.723563325618656</v>
      </c>
      <c r="K47" s="667">
        <v>41.904036502971536</v>
      </c>
      <c r="L47" s="667" t="e">
        <v>#N/A</v>
      </c>
      <c r="M47" s="669">
        <v>132.8431219911389</v>
      </c>
      <c r="Q47" s="58" t="s">
        <v>827</v>
      </c>
    </row>
    <row r="49" spans="1:24" ht="16" thickBot="1">
      <c r="Q49" s="567" t="s">
        <v>1012</v>
      </c>
    </row>
    <row r="50" spans="1:24" ht="15">
      <c r="A50" s="567" t="str">
        <f>Comparables!B60</f>
        <v>Price / Earnings</v>
      </c>
      <c r="Q50" s="670" t="s">
        <v>1013</v>
      </c>
      <c r="R50" s="671" t="s">
        <v>1014</v>
      </c>
      <c r="S50" s="672">
        <f>Comparables!Q3</f>
        <v>2026</v>
      </c>
      <c r="T50" s="672">
        <f>Comparables!Q4</f>
        <v>2027</v>
      </c>
      <c r="U50" s="672">
        <f>Comparables!Q5</f>
        <v>2028</v>
      </c>
      <c r="V50" s="672"/>
      <c r="W50" s="672"/>
      <c r="X50" s="673"/>
    </row>
    <row r="51" spans="1:24">
      <c r="M51" s="58" t="s">
        <v>63</v>
      </c>
      <c r="Q51" s="58" t="s">
        <v>97</v>
      </c>
      <c r="R51" s="58" t="s">
        <v>1001</v>
      </c>
      <c r="S51" s="674">
        <f ca="1">+Valuation!S11</f>
        <v>6803250.5397419743</v>
      </c>
      <c r="T51" s="674" t="e">
        <f ca="1">+Valuation!T11</f>
        <v>#NAME?</v>
      </c>
      <c r="U51" s="674" t="e">
        <f ca="1">+Valuation!U11</f>
        <v>#NAME?</v>
      </c>
      <c r="X51" s="675"/>
    </row>
    <row r="52" spans="1:24">
      <c r="A52" s="58" t="str">
        <f>+A21</f>
        <v>NAS:COIN</v>
      </c>
      <c r="B52" s="667" t="e">
        <v>#N/A</v>
      </c>
      <c r="C52" s="667" t="e">
        <v>#N/A</v>
      </c>
      <c r="D52" s="667" t="e">
        <v>#N/A</v>
      </c>
      <c r="E52" s="667" t="e">
        <v>#N/A</v>
      </c>
      <c r="F52" s="667" t="e">
        <v>#N/A</v>
      </c>
      <c r="G52" s="667" t="e">
        <v>#N/A</v>
      </c>
      <c r="H52" s="667" t="e">
        <v>#N/A</v>
      </c>
      <c r="I52" s="667" t="e">
        <v>#N/A</v>
      </c>
      <c r="J52" s="667">
        <v>20.131905180856492</v>
      </c>
      <c r="K52" s="667" t="e">
        <v>#N/A</v>
      </c>
      <c r="L52" s="667" t="e">
        <v>#N/A</v>
      </c>
      <c r="M52" s="669" t="e">
        <v>#N/A</v>
      </c>
      <c r="Q52" s="58" t="s">
        <v>3321</v>
      </c>
      <c r="R52" s="58" t="s">
        <v>1002</v>
      </c>
      <c r="S52" s="674">
        <f ca="1">+Valuation!S14</f>
        <v>6803250.5397419743</v>
      </c>
      <c r="T52" s="674" t="e">
        <f ca="1">+Valuation!T14</f>
        <v>#NAME?</v>
      </c>
      <c r="U52" s="674" t="e">
        <f ca="1">+Valuation!U14</f>
        <v>#NAME?</v>
      </c>
      <c r="X52" s="675"/>
    </row>
    <row r="53" spans="1:24">
      <c r="Q53" s="58" t="s">
        <v>1003</v>
      </c>
      <c r="R53" s="58" t="s">
        <v>1004</v>
      </c>
      <c r="S53" s="674">
        <f ca="1">+Valuation!S73</f>
        <v>927746.55056567141</v>
      </c>
      <c r="T53" s="674" t="e">
        <f ca="1">+Valuation!T73</f>
        <v>#NAME?</v>
      </c>
      <c r="U53" s="674" t="e">
        <f ca="1">+Valuation!U73</f>
        <v>#NAME?</v>
      </c>
      <c r="X53" s="675"/>
    </row>
    <row r="54" spans="1:24">
      <c r="A54" s="58" t="str">
        <f>B7</f>
        <v>NYS:SQ</v>
      </c>
      <c r="B54" s="667" t="e">
        <v>#N/A</v>
      </c>
      <c r="C54" s="667" t="e">
        <v>#N/A</v>
      </c>
      <c r="D54" s="667" t="e">
        <v>#N/A</v>
      </c>
      <c r="E54" s="667" t="e">
        <v>#N/A</v>
      </c>
      <c r="F54" s="667" t="e">
        <v>#N/A</v>
      </c>
      <c r="G54" s="667" t="e">
        <v>#N/A</v>
      </c>
      <c r="H54" s="667" t="e">
        <v>#N/A</v>
      </c>
      <c r="I54" s="667">
        <v>324.83582089552237</v>
      </c>
      <c r="J54" s="667">
        <v>146.82727272727271</v>
      </c>
      <c r="K54" s="667" t="e">
        <v>#N/A</v>
      </c>
      <c r="L54" s="667" t="e">
        <v>#N/A</v>
      </c>
      <c r="M54" s="669" t="e">
        <v>#N/A</v>
      </c>
      <c r="Q54" s="58" t="s">
        <v>3322</v>
      </c>
      <c r="R54" s="58" t="s">
        <v>1006</v>
      </c>
      <c r="S54" s="674">
        <f ca="1">+Valuation!S55</f>
        <v>1120724.4168768078</v>
      </c>
      <c r="T54" s="674" t="e">
        <f ca="1">+Valuation!T55</f>
        <v>#NAME?</v>
      </c>
      <c r="U54" s="674" t="e">
        <f ca="1">+Valuation!U55</f>
        <v>#NAME?</v>
      </c>
      <c r="X54" s="675"/>
    </row>
    <row r="55" spans="1:24">
      <c r="A55" s="58" t="str">
        <f t="shared" ref="A55:A63" si="3">B8</f>
        <v>NAS:PYPL</v>
      </c>
      <c r="B55" s="667" t="e">
        <v>#N/A</v>
      </c>
      <c r="C55" s="667" t="e">
        <v>#N/A</v>
      </c>
      <c r="D55" s="667">
        <v>40.382856250418335</v>
      </c>
      <c r="E55" s="667">
        <v>35.241071428571423</v>
      </c>
      <c r="F55" s="667">
        <v>57.515625</v>
      </c>
      <c r="G55" s="667">
        <v>48.606936416184972</v>
      </c>
      <c r="H55" s="667">
        <v>50.784037558685448</v>
      </c>
      <c r="I55" s="667">
        <v>88.377358490566039</v>
      </c>
      <c r="J55" s="667">
        <v>45.331730769230774</v>
      </c>
      <c r="K55" s="667">
        <v>36.152284263959388</v>
      </c>
      <c r="L55" s="667" t="e">
        <v>#N/A</v>
      </c>
      <c r="M55" s="669">
        <v>17.946268656716416</v>
      </c>
      <c r="Q55" s="58" t="s">
        <v>787</v>
      </c>
      <c r="R55" s="58" t="s">
        <v>1008</v>
      </c>
      <c r="S55" s="674">
        <f ca="1">+Valuation!S24</f>
        <v>867577.59048379795</v>
      </c>
      <c r="T55" s="674" t="e">
        <f ca="1">+Valuation!T24</f>
        <v>#NAME?</v>
      </c>
      <c r="U55" s="674" t="e">
        <f ca="1">+Valuation!U24</f>
        <v>#NAME?</v>
      </c>
      <c r="X55" s="675"/>
    </row>
    <row r="56" spans="1:24">
      <c r="A56" s="58" t="str">
        <f t="shared" si="3"/>
        <v>STO:SFL</v>
      </c>
      <c r="B56" s="667" t="e">
        <v>#N/A</v>
      </c>
      <c r="C56" s="667" t="e">
        <v>#N/A</v>
      </c>
      <c r="D56" s="667" t="e">
        <v>#N/A</v>
      </c>
      <c r="E56" s="667" t="e">
        <v>#N/A</v>
      </c>
      <c r="F56" s="667" t="e">
        <v>#N/A</v>
      </c>
      <c r="G56" s="667" t="e">
        <v>#N/A</v>
      </c>
      <c r="H56" s="667" t="e">
        <v>#N/A</v>
      </c>
      <c r="I56" s="667" t="e">
        <v>#N/A</v>
      </c>
      <c r="J56" s="667" t="e">
        <v>#N/A</v>
      </c>
      <c r="K56" s="667" t="e">
        <v>#N/A</v>
      </c>
      <c r="L56" s="667" t="e">
        <v>#N/A</v>
      </c>
      <c r="M56" s="669" t="e">
        <v>#N/A</v>
      </c>
      <c r="Q56" s="58" t="s">
        <v>3323</v>
      </c>
      <c r="R56" s="58" t="s">
        <v>1010</v>
      </c>
      <c r="S56" s="676">
        <f>+Valuation!S49</f>
        <v>0</v>
      </c>
      <c r="T56" s="676">
        <f>+Valuation!T49</f>
        <v>0</v>
      </c>
      <c r="U56" s="676">
        <f>+Valuation!U49</f>
        <v>0</v>
      </c>
      <c r="X56" s="675"/>
    </row>
    <row r="57" spans="1:24">
      <c r="A57" s="58" t="str">
        <f t="shared" si="3"/>
        <v>PINX:VYGVQ</v>
      </c>
      <c r="B57" s="667" t="e">
        <v>#N/A</v>
      </c>
      <c r="C57" s="667" t="e">
        <v>#N/A</v>
      </c>
      <c r="D57" s="667" t="e">
        <v>#N/A</v>
      </c>
      <c r="E57" s="667" t="e">
        <v>#N/A</v>
      </c>
      <c r="F57" s="667" t="e">
        <v>#N/A</v>
      </c>
      <c r="G57" s="667" t="e">
        <v>#N/A</v>
      </c>
      <c r="H57" s="667" t="e">
        <v>#N/A</v>
      </c>
      <c r="I57" s="667" t="e">
        <v>#N/A</v>
      </c>
      <c r="J57" s="667" t="e">
        <v>#N/A</v>
      </c>
      <c r="K57" s="667" t="e">
        <v>#N/A</v>
      </c>
      <c r="L57" s="667" t="e">
        <v>#N/A</v>
      </c>
      <c r="M57" s="669" t="e">
        <v>#N/A</v>
      </c>
      <c r="Q57" s="58" t="s">
        <v>3324</v>
      </c>
      <c r="R57" s="58" t="s">
        <v>1015</v>
      </c>
      <c r="S57" s="676" t="e">
        <f>+Valuation!S42</f>
        <v>#NAME?</v>
      </c>
      <c r="T57" s="676" t="e">
        <f ca="1">+Valuation!T42</f>
        <v>#NAME?</v>
      </c>
      <c r="U57" s="676" t="e">
        <f ca="1">+Valuation!U42</f>
        <v>#NAME?</v>
      </c>
      <c r="X57" s="675"/>
    </row>
    <row r="58" spans="1:24">
      <c r="A58" s="58" t="str">
        <f t="shared" si="3"/>
        <v>PINX:CRCW</v>
      </c>
      <c r="B58" s="667" t="e">
        <v>#N/A</v>
      </c>
      <c r="C58" s="667" t="e">
        <v>#N/A</v>
      </c>
      <c r="D58" s="667" t="e">
        <v>#N/A</v>
      </c>
      <c r="E58" s="667" t="e">
        <v>#N/A</v>
      </c>
      <c r="F58" s="667" t="e">
        <v>#N/A</v>
      </c>
      <c r="G58" s="667" t="e">
        <v>#N/A</v>
      </c>
      <c r="H58" s="667">
        <v>10</v>
      </c>
      <c r="I58" s="667" t="e">
        <v>#N/A</v>
      </c>
      <c r="J58" s="667" t="e">
        <v>#N/A</v>
      </c>
      <c r="K58" s="667" t="e">
        <v>#N/A</v>
      </c>
      <c r="L58" s="667" t="e">
        <v>#N/A</v>
      </c>
      <c r="M58" s="669" t="e">
        <v>#N/A</v>
      </c>
      <c r="Q58" s="58" t="s">
        <v>3325</v>
      </c>
      <c r="R58" s="58" t="s">
        <v>1011</v>
      </c>
      <c r="S58" s="674">
        <f ca="1">-Valuation!S61</f>
        <v>142868.26133458148</v>
      </c>
      <c r="T58" s="674" t="e">
        <f ca="1">-Valuation!T61</f>
        <v>#NAME?</v>
      </c>
      <c r="U58" s="674" t="e">
        <f ca="1">-Valuation!U61</f>
        <v>#NAME?</v>
      </c>
      <c r="X58" s="675"/>
    </row>
    <row r="59" spans="1:24" ht="15" thickBot="1">
      <c r="A59" s="58" t="str">
        <f t="shared" si="3"/>
        <v>STU:WD0</v>
      </c>
      <c r="B59" s="667" t="e">
        <v>#N/A</v>
      </c>
      <c r="C59" s="667" t="e">
        <v>#N/A</v>
      </c>
      <c r="D59" s="667" t="e">
        <v>#N/A</v>
      </c>
      <c r="E59" s="667" t="e">
        <v>#N/A</v>
      </c>
      <c r="F59" s="667" t="e">
        <v>#N/A</v>
      </c>
      <c r="G59" s="667" t="e">
        <v>#N/A</v>
      </c>
      <c r="H59" s="667" t="e">
        <v>#N/A</v>
      </c>
      <c r="I59" s="667" t="e">
        <v>#N/A</v>
      </c>
      <c r="J59" s="667" t="e">
        <v>#N/A</v>
      </c>
      <c r="K59" s="667" t="e">
        <v>#N/A</v>
      </c>
      <c r="L59" s="667" t="e">
        <v>#N/A</v>
      </c>
      <c r="M59" s="669" t="e">
        <v>#N/A</v>
      </c>
      <c r="Q59" s="677"/>
      <c r="R59" s="678"/>
      <c r="S59" s="678"/>
      <c r="T59" s="678"/>
      <c r="U59" s="678"/>
      <c r="V59" s="678"/>
      <c r="W59" s="678"/>
      <c r="X59" s="679"/>
    </row>
    <row r="60" spans="1:24">
      <c r="A60" s="58" t="str">
        <f t="shared" si="3"/>
        <v>NAS:HOOD</v>
      </c>
      <c r="B60" s="667" t="e">
        <v>#N/A</v>
      </c>
      <c r="C60" s="667" t="e">
        <v>#N/A</v>
      </c>
      <c r="D60" s="667" t="e">
        <v>#N/A</v>
      </c>
      <c r="E60" s="667" t="e">
        <v>#N/A</v>
      </c>
      <c r="F60" s="667" t="e">
        <v>#N/A</v>
      </c>
      <c r="G60" s="667" t="e">
        <v>#N/A</v>
      </c>
      <c r="H60" s="667" t="e">
        <v>#N/A</v>
      </c>
      <c r="I60" s="667" t="e">
        <v>#N/A</v>
      </c>
      <c r="J60" s="667" t="e">
        <v>#N/A</v>
      </c>
      <c r="K60" s="667">
        <v>22.000000000000004</v>
      </c>
      <c r="L60" s="667" t="e">
        <v>#N/A</v>
      </c>
      <c r="M60" s="669" t="e">
        <v>#N/A</v>
      </c>
    </row>
    <row r="61" spans="1:24" ht="16" thickBot="1">
      <c r="A61" s="58" t="str">
        <f t="shared" si="3"/>
        <v>BOM:532960</v>
      </c>
      <c r="B61" s="667">
        <v>4.1894390362350933</v>
      </c>
      <c r="C61" s="667">
        <v>4.2262784350562459</v>
      </c>
      <c r="D61" s="667">
        <v>7.2160689814089451</v>
      </c>
      <c r="E61" s="667">
        <v>3.3301300147786455</v>
      </c>
      <c r="F61" s="667">
        <v>36.104873115596341</v>
      </c>
      <c r="G61" s="667">
        <v>45.076511367551127</v>
      </c>
      <c r="H61" s="667">
        <v>43.004481767401245</v>
      </c>
      <c r="I61" s="667">
        <v>13.806593747681941</v>
      </c>
      <c r="J61" s="667" t="e">
        <v>#N/A</v>
      </c>
      <c r="K61" s="667" t="e">
        <v>#N/A</v>
      </c>
      <c r="L61" s="667" t="e">
        <v>#N/A</v>
      </c>
      <c r="M61" s="669" t="e">
        <v>#N/A</v>
      </c>
      <c r="Q61" s="567" t="s">
        <v>1020</v>
      </c>
    </row>
    <row r="62" spans="1:24" ht="15">
      <c r="A62" s="58" t="str">
        <f t="shared" si="3"/>
        <v>NYS:MA</v>
      </c>
      <c r="B62" s="667">
        <v>32.983024082116074</v>
      </c>
      <c r="C62" s="667">
        <v>29.567604667124225</v>
      </c>
      <c r="D62" s="667">
        <v>29.865030674846629</v>
      </c>
      <c r="E62" s="667">
        <v>28.52209944751381</v>
      </c>
      <c r="F62" s="667">
        <v>35.282051282051285</v>
      </c>
      <c r="G62" s="667">
        <v>38.111111111111114</v>
      </c>
      <c r="H62" s="667">
        <v>44.301186943620174</v>
      </c>
      <c r="I62" s="667">
        <v>53.594594594594597</v>
      </c>
      <c r="J62" s="667">
        <v>44.196801968019678</v>
      </c>
      <c r="K62" s="667">
        <v>34.738261738261741</v>
      </c>
      <c r="L62" s="667" t="e">
        <v>#N/A</v>
      </c>
      <c r="M62" s="669">
        <v>36.566695727986051</v>
      </c>
      <c r="Q62" s="670" t="s">
        <v>1013</v>
      </c>
      <c r="R62" s="672" t="s">
        <v>1021</v>
      </c>
      <c r="S62" s="672" t="s">
        <v>1022</v>
      </c>
      <c r="T62" s="672"/>
      <c r="U62" s="672"/>
      <c r="V62" s="672"/>
      <c r="W62" s="672"/>
      <c r="X62" s="673"/>
    </row>
    <row r="63" spans="1:24">
      <c r="A63" s="58" t="str">
        <f t="shared" si="3"/>
        <v>NAS:MSTR</v>
      </c>
      <c r="B63" s="667">
        <v>74.843373493975903</v>
      </c>
      <c r="C63" s="667" t="e">
        <v>#N/A</v>
      </c>
      <c r="D63" s="667">
        <v>22.985897435897435</v>
      </c>
      <c r="E63" s="667">
        <v>23.006993006993007</v>
      </c>
      <c r="F63" s="667">
        <v>20.262345679012345</v>
      </c>
      <c r="G63" s="667" t="e">
        <v>#N/A</v>
      </c>
      <c r="H63" s="667">
        <v>58.216326530612243</v>
      </c>
      <c r="I63" s="667">
        <v>2775.3571428571427</v>
      </c>
      <c r="J63" s="667" t="e">
        <v>#N/A</v>
      </c>
      <c r="K63" s="667" t="e">
        <v>#N/A</v>
      </c>
      <c r="L63" s="667" t="e">
        <v>#N/A</v>
      </c>
      <c r="M63" s="669">
        <v>310.87684729064046</v>
      </c>
      <c r="Q63" s="680" t="s">
        <v>5</v>
      </c>
      <c r="R63" s="662">
        <f>+IFERROR(RATE(5,0,-Valuation!$M11,Valuation!$R11),NA())</f>
        <v>0.41244005930474636</v>
      </c>
      <c r="S63" s="681" t="e">
        <f ca="1">+IFERROR(RATE(5,0,-Valuation!$R11,Valuation!$W11),NA())</f>
        <v>#N/A</v>
      </c>
      <c r="T63" s="674"/>
      <c r="X63" s="675"/>
    </row>
    <row r="64" spans="1:24">
      <c r="Q64" s="680" t="s">
        <v>6</v>
      </c>
      <c r="R64" s="662">
        <f>+IFERROR(RATE(5,0,-Valuation!$M14,Valuation!$R14),NA())</f>
        <v>0.41244005930474636</v>
      </c>
      <c r="S64" s="681" t="e">
        <f ca="1">+IFERROR(RATE(5,0,-Valuation!$R14,Valuation!$W14),NA())</f>
        <v>#N/A</v>
      </c>
      <c r="T64" s="674"/>
      <c r="X64" s="675"/>
    </row>
    <row r="65" spans="1:24">
      <c r="Q65" s="680" t="s">
        <v>1003</v>
      </c>
      <c r="R65" s="662">
        <f>+IFERROR(RATE(5,0,-Valuation!$M73,Valuation!$R73),NA())</f>
        <v>4.4633792767661135E-2</v>
      </c>
      <c r="S65" s="681" t="e">
        <f ca="1">+IFERROR(RATE(5,0,-Valuation!$R73,Valuation!$W73),NA())</f>
        <v>#N/A</v>
      </c>
      <c r="T65" s="674"/>
      <c r="X65" s="675"/>
    </row>
    <row r="66" spans="1:24" ht="15">
      <c r="A66" s="567" t="str">
        <f>Comparables!B74</f>
        <v>Normalized Price / Earnings</v>
      </c>
      <c r="Q66" s="680" t="s">
        <v>1005</v>
      </c>
      <c r="R66" s="662">
        <f>+IFERROR(RATE(5,0,-Valuation!$M17,Valuation!$R17),NA())</f>
        <v>3.3715825023814122E-2</v>
      </c>
      <c r="S66" s="681" t="e">
        <f ca="1">+IFERROR(RATE(5,0,-Valuation!$R17,Valuation!$W17),NA())</f>
        <v>#N/A</v>
      </c>
      <c r="T66" s="674"/>
      <c r="X66" s="675"/>
    </row>
    <row r="67" spans="1:24">
      <c r="M67" s="58" t="s">
        <v>63</v>
      </c>
      <c r="Q67" s="680" t="s">
        <v>1007</v>
      </c>
      <c r="R67" s="662">
        <f>+IFERROR(RATE(5,0,-Valuation!$M24,Valuation!$R24),NA())</f>
        <v>0.2854725715716484</v>
      </c>
      <c r="S67" s="681" t="e">
        <f ca="1">+IFERROR(RATE(5,0,-Valuation!$R24,Valuation!$W24),NA())</f>
        <v>#N/A</v>
      </c>
      <c r="T67" s="674"/>
      <c r="X67" s="675"/>
    </row>
    <row r="68" spans="1:24">
      <c r="A68" s="58" t="str">
        <f>+A21</f>
        <v>NAS:COIN</v>
      </c>
      <c r="B68" s="667" t="e">
        <v>#N/A</v>
      </c>
      <c r="C68" s="667" t="e">
        <v>#N/A</v>
      </c>
      <c r="D68" s="667" t="e">
        <v>#N/A</v>
      </c>
      <c r="E68" s="667" t="e">
        <v>#N/A</v>
      </c>
      <c r="F68" s="667" t="e">
        <v>#N/A</v>
      </c>
      <c r="G68" s="667" t="e">
        <v>#N/A</v>
      </c>
      <c r="H68" s="667" t="e">
        <v>#N/A</v>
      </c>
      <c r="I68" s="667" t="e">
        <v>#N/A</v>
      </c>
      <c r="J68" s="667">
        <v>17.118359668450914</v>
      </c>
      <c r="K68" s="667">
        <v>19.957862679270548</v>
      </c>
      <c r="L68" s="667" t="e">
        <v>#N/A</v>
      </c>
      <c r="M68" s="669">
        <v>102.5258518661668</v>
      </c>
      <c r="Q68" s="680" t="s">
        <v>1009</v>
      </c>
      <c r="R68" s="662" t="e">
        <f>+IFERROR(RATE(5,0,-Valuation!$M49,Valuation!$R49),NA())</f>
        <v>#N/A</v>
      </c>
      <c r="S68" s="681" t="e">
        <f>+IFERROR(RATE(5,0,-Valuation!$R49,Valuation!$W49),NA())</f>
        <v>#N/A</v>
      </c>
      <c r="T68" s="676"/>
      <c r="X68" s="675"/>
    </row>
    <row r="69" spans="1:24">
      <c r="Q69" s="680" t="s">
        <v>131</v>
      </c>
      <c r="R69" s="662">
        <f>+IFERROR(RATE(5,0,-Valuation!$M41,Valuation!$R41),NA())</f>
        <v>4.8033804657308138E-2</v>
      </c>
      <c r="S69" s="681" t="e">
        <f ca="1">+IFERROR(RATE(5,0,-Valuation!$R41,Valuation!$W41),NA())</f>
        <v>#N/A</v>
      </c>
      <c r="T69" s="676"/>
      <c r="X69" s="675"/>
    </row>
    <row r="70" spans="1:24">
      <c r="A70" s="58" t="str">
        <f>B7</f>
        <v>NYS:SQ</v>
      </c>
      <c r="B70" s="667" t="e">
        <v>#N/A</v>
      </c>
      <c r="C70" s="667" t="e">
        <v>#N/A</v>
      </c>
      <c r="D70" s="667" t="e">
        <v>#N/A</v>
      </c>
      <c r="E70" s="667" t="e">
        <v>#N/A</v>
      </c>
      <c r="F70" s="667">
        <v>144.45833333333334</v>
      </c>
      <c r="G70" s="667">
        <v>136.80487804878049</v>
      </c>
      <c r="H70" s="667">
        <v>88.112676056338032</v>
      </c>
      <c r="I70" s="667">
        <v>294.10810810810807</v>
      </c>
      <c r="J70" s="667">
        <v>91.767045454545439</v>
      </c>
      <c r="K70" s="667">
        <v>59.847619047619048</v>
      </c>
      <c r="L70" s="667" t="e">
        <v>#N/A</v>
      </c>
      <c r="M70" s="669">
        <v>42.649681528662413</v>
      </c>
      <c r="Q70" s="680" t="s">
        <v>21</v>
      </c>
      <c r="R70" s="662" t="e">
        <f>+IFERROR(RATE(5,0,Valuation!$M61,-Valuation!$R61),NA())</f>
        <v>#N/A</v>
      </c>
      <c r="S70" s="681" t="e">
        <f ca="1">+IFERROR(RATE(5,0,Valuation!$R61,-Valuation!$W61),NA())</f>
        <v>#N/A</v>
      </c>
      <c r="T70" s="674"/>
      <c r="X70" s="675"/>
    </row>
    <row r="71" spans="1:24" ht="15" thickBot="1">
      <c r="A71" s="58" t="str">
        <f t="shared" ref="A71:A79" si="4">B8</f>
        <v>NAS:PYPL</v>
      </c>
      <c r="B71" s="667" t="e">
        <v>#N/A</v>
      </c>
      <c r="C71" s="667" t="e">
        <v>#N/A</v>
      </c>
      <c r="D71" s="667">
        <v>31.033732534930135</v>
      </c>
      <c r="E71" s="667">
        <v>27.409722222222221</v>
      </c>
      <c r="F71" s="667">
        <v>41.593220338983052</v>
      </c>
      <c r="G71" s="667">
        <v>36.881578947368425</v>
      </c>
      <c r="H71" s="667">
        <v>37.041133372003308</v>
      </c>
      <c r="I71" s="667">
        <v>104.96325035485548</v>
      </c>
      <c r="J71" s="667">
        <v>43.18028281897508</v>
      </c>
      <c r="K71" s="667">
        <v>21.93263185566823</v>
      </c>
      <c r="L71" s="667" t="e">
        <v>#N/A</v>
      </c>
      <c r="M71" s="669">
        <v>13.469038760890898</v>
      </c>
      <c r="Q71" s="677"/>
      <c r="R71" s="678"/>
      <c r="S71" s="678"/>
      <c r="T71" s="678"/>
      <c r="U71" s="678"/>
      <c r="V71" s="678"/>
      <c r="W71" s="678"/>
      <c r="X71" s="679"/>
    </row>
    <row r="72" spans="1:24">
      <c r="A72" s="58" t="str">
        <f t="shared" si="4"/>
        <v>STO:SFL</v>
      </c>
      <c r="B72" s="667" t="e">
        <v>#N/A</v>
      </c>
      <c r="C72" s="667" t="e">
        <v>#N/A</v>
      </c>
      <c r="D72" s="667" t="e">
        <v>#N/A</v>
      </c>
      <c r="E72" s="667" t="e">
        <v>#N/A</v>
      </c>
      <c r="F72" s="667" t="e">
        <v>#N/A</v>
      </c>
      <c r="G72" s="667" t="e">
        <v>#N/A</v>
      </c>
      <c r="H72" s="667" t="e">
        <v>#N/A</v>
      </c>
      <c r="I72" s="667" t="e">
        <v>#N/A</v>
      </c>
      <c r="J72" s="667" t="e">
        <v>#N/A</v>
      </c>
      <c r="K72" s="667" t="e">
        <v>#N/A</v>
      </c>
      <c r="L72" s="667" t="e">
        <v>#N/A</v>
      </c>
      <c r="M72" s="669" t="e">
        <v>#N/A</v>
      </c>
    </row>
    <row r="73" spans="1:24">
      <c r="A73" s="58" t="str">
        <f t="shared" si="4"/>
        <v>PINX:VYGVQ</v>
      </c>
      <c r="B73" s="667" t="e">
        <v>#N/A</v>
      </c>
      <c r="C73" s="667" t="e">
        <v>#N/A</v>
      </c>
      <c r="D73" s="667" t="e">
        <v>#N/A</v>
      </c>
      <c r="E73" s="667" t="e">
        <v>#N/A</v>
      </c>
      <c r="F73" s="667" t="e">
        <v>#N/A</v>
      </c>
      <c r="G73" s="667" t="e">
        <v>#N/A</v>
      </c>
      <c r="H73" s="667" t="e">
        <v>#N/A</v>
      </c>
      <c r="I73" s="667" t="e">
        <v>#N/A</v>
      </c>
      <c r="J73" s="667">
        <v>81.240203027708276</v>
      </c>
      <c r="K73" s="667" t="e">
        <v>#N/A</v>
      </c>
      <c r="L73" s="667" t="e">
        <v>#N/A</v>
      </c>
      <c r="M73" s="669" t="e">
        <v>#N/A</v>
      </c>
    </row>
    <row r="74" spans="1:24">
      <c r="A74" s="58" t="str">
        <f t="shared" si="4"/>
        <v>PINX:CRCW</v>
      </c>
      <c r="B74" s="667" t="e">
        <v>#N/A</v>
      </c>
      <c r="C74" s="667" t="e">
        <v>#N/A</v>
      </c>
      <c r="D74" s="667" t="e">
        <v>#N/A</v>
      </c>
      <c r="E74" s="667" t="e">
        <v>#N/A</v>
      </c>
      <c r="F74" s="667" t="e">
        <v>#N/A</v>
      </c>
      <c r="G74" s="667" t="e">
        <v>#N/A</v>
      </c>
      <c r="H74" s="667" t="e">
        <v>#N/A</v>
      </c>
      <c r="I74" s="667" t="e">
        <v>#N/A</v>
      </c>
      <c r="J74" s="667">
        <v>688.96868298797222</v>
      </c>
      <c r="K74" s="667" t="e">
        <v>#N/A</v>
      </c>
      <c r="L74" s="667" t="e">
        <v>#N/A</v>
      </c>
      <c r="M74" s="669" t="e">
        <v>#N/A</v>
      </c>
    </row>
    <row r="75" spans="1:24">
      <c r="A75" s="58" t="str">
        <f t="shared" si="4"/>
        <v>STU:WD0</v>
      </c>
      <c r="B75" s="667" t="e">
        <v>#N/A</v>
      </c>
      <c r="C75" s="667" t="e">
        <v>#N/A</v>
      </c>
      <c r="D75" s="667" t="e">
        <v>#N/A</v>
      </c>
      <c r="E75" s="667" t="e">
        <v>#N/A</v>
      </c>
      <c r="F75" s="667" t="e">
        <v>#N/A</v>
      </c>
      <c r="G75" s="667" t="e">
        <v>#N/A</v>
      </c>
      <c r="H75" s="667" t="e">
        <v>#N/A</v>
      </c>
      <c r="I75" s="667" t="e">
        <v>#N/A</v>
      </c>
      <c r="J75" s="667" t="e">
        <v>#N/A</v>
      </c>
      <c r="K75" s="667" t="e">
        <v>#N/A</v>
      </c>
      <c r="L75" s="667" t="e">
        <v>#N/A</v>
      </c>
      <c r="M75" s="669" t="e">
        <v>#N/A</v>
      </c>
    </row>
    <row r="76" spans="1:24">
      <c r="A76" s="58" t="str">
        <f t="shared" si="4"/>
        <v>NAS:HOOD</v>
      </c>
      <c r="B76" s="667" t="e">
        <v>#N/A</v>
      </c>
      <c r="C76" s="667" t="e">
        <v>#N/A</v>
      </c>
      <c r="D76" s="667" t="e">
        <v>#N/A</v>
      </c>
      <c r="E76" s="667" t="e">
        <v>#N/A</v>
      </c>
      <c r="F76" s="667" t="e">
        <v>#N/A</v>
      </c>
      <c r="G76" s="667" t="e">
        <v>#N/A</v>
      </c>
      <c r="H76" s="667" t="e">
        <v>#N/A</v>
      </c>
      <c r="I76" s="667" t="e">
        <v>#N/A</v>
      </c>
      <c r="J76" s="667" t="e">
        <v>#N/A</v>
      </c>
      <c r="K76" s="667">
        <v>6.9209649582514023</v>
      </c>
      <c r="L76" s="667" t="e">
        <v>#N/A</v>
      </c>
      <c r="M76" s="669">
        <v>93.551901006601327</v>
      </c>
    </row>
    <row r="77" spans="1:24">
      <c r="A77" s="58" t="str">
        <f t="shared" si="4"/>
        <v>BOM:532960</v>
      </c>
      <c r="B77" s="667">
        <v>4.1894390362350933</v>
      </c>
      <c r="C77" s="667">
        <v>4.1936605375838871</v>
      </c>
      <c r="D77" s="667">
        <v>6.8414658620187438</v>
      </c>
      <c r="E77" s="667">
        <v>3.3732093691005538</v>
      </c>
      <c r="F77" s="667">
        <v>36.104873115596341</v>
      </c>
      <c r="G77" s="667">
        <v>45.076511367551127</v>
      </c>
      <c r="H77" s="667">
        <v>37.970439729331837</v>
      </c>
      <c r="I77" s="667">
        <v>18.289514417278703</v>
      </c>
      <c r="J77" s="667">
        <v>54.782164880872699</v>
      </c>
      <c r="K77" s="667" t="e">
        <v>#N/A</v>
      </c>
      <c r="L77" s="667" t="e">
        <v>#N/A</v>
      </c>
      <c r="M77" s="669" t="e">
        <v>#N/A</v>
      </c>
    </row>
    <row r="78" spans="1:24">
      <c r="A78" s="58" t="str">
        <f t="shared" si="4"/>
        <v>NYS:MA</v>
      </c>
      <c r="B78" s="667">
        <v>32.815614331935116</v>
      </c>
      <c r="C78" s="667">
        <v>29.054323656370393</v>
      </c>
      <c r="D78" s="667">
        <v>29.332249841019188</v>
      </c>
      <c r="E78" s="667">
        <v>27.981029810298104</v>
      </c>
      <c r="F78" s="667">
        <v>35.200000000000003</v>
      </c>
      <c r="G78" s="667">
        <v>31.027960526315791</v>
      </c>
      <c r="H78" s="667">
        <v>40.569293478260867</v>
      </c>
      <c r="I78" s="667">
        <v>52.958456973293757</v>
      </c>
      <c r="J78" s="667">
        <v>46.664935064935065</v>
      </c>
      <c r="K78" s="667">
        <v>33.597101449275364</v>
      </c>
      <c r="L78" s="667" t="e">
        <v>#N/A</v>
      </c>
      <c r="M78" s="669">
        <v>35.756180733162829</v>
      </c>
    </row>
    <row r="79" spans="1:24">
      <c r="A79" s="58" t="str">
        <f t="shared" si="4"/>
        <v>NAS:MSTR</v>
      </c>
      <c r="B79" s="667">
        <v>74.843373493975903</v>
      </c>
      <c r="C79" s="667">
        <v>136.84921326235394</v>
      </c>
      <c r="D79" s="667">
        <v>19.784013991553412</v>
      </c>
      <c r="E79" s="667">
        <v>20.47591879404888</v>
      </c>
      <c r="F79" s="667">
        <v>20.29366306027821</v>
      </c>
      <c r="G79" s="667">
        <v>43.305084745762706</v>
      </c>
      <c r="H79" s="667">
        <v>419.49999999999994</v>
      </c>
      <c r="I79" s="667">
        <v>92.292161520190021</v>
      </c>
      <c r="J79" s="667">
        <v>75.728789986091797</v>
      </c>
      <c r="K79" s="667" t="e">
        <v>#N/A</v>
      </c>
      <c r="L79" s="667" t="e">
        <v>#N/A</v>
      </c>
      <c r="M79" s="669">
        <v>154.6764705882353</v>
      </c>
    </row>
    <row r="82" spans="1:13" ht="15">
      <c r="A82" s="567" t="str">
        <f>Comparables!B88</f>
        <v>EV / Forward EBIT</v>
      </c>
    </row>
    <row r="83" spans="1:13">
      <c r="M83" s="58" t="s">
        <v>63</v>
      </c>
    </row>
    <row r="84" spans="1:13">
      <c r="A84" s="58" t="str">
        <f>+A21</f>
        <v>NAS:COIN</v>
      </c>
      <c r="B84" s="667" t="e">
        <v>#N/A</v>
      </c>
      <c r="C84" s="667" t="e">
        <v>#N/A</v>
      </c>
      <c r="D84" s="667" t="e">
        <v>#N/A</v>
      </c>
      <c r="E84" s="667" t="e">
        <v>#N/A</v>
      </c>
      <c r="F84" s="667" t="e">
        <v>#N/A</v>
      </c>
      <c r="G84" s="667" t="e">
        <v>#N/A</v>
      </c>
      <c r="H84" s="667" t="e">
        <v>#N/A</v>
      </c>
      <c r="I84" s="667" t="e">
        <v>#N/A</v>
      </c>
      <c r="J84" s="667">
        <v>21.74510952455546</v>
      </c>
      <c r="K84" s="667" t="e">
        <v>#N/A</v>
      </c>
      <c r="L84" s="667" t="e">
        <v>#N/A</v>
      </c>
      <c r="M84" s="669" t="e">
        <v>#N/A</v>
      </c>
    </row>
    <row r="86" spans="1:13">
      <c r="A86" s="58" t="str">
        <f>B7</f>
        <v>NYS:SQ</v>
      </c>
      <c r="B86" s="667" t="e">
        <v>#N/A</v>
      </c>
      <c r="C86" s="667" t="e">
        <v>#N/A</v>
      </c>
      <c r="D86" s="667" t="e">
        <v>#N/A</v>
      </c>
      <c r="E86" s="667" t="e">
        <v>#N/A</v>
      </c>
      <c r="F86" s="667">
        <v>852.45252635761585</v>
      </c>
      <c r="G86" s="667">
        <v>438.02326171153845</v>
      </c>
      <c r="H86" s="667">
        <v>432.18370685888311</v>
      </c>
      <c r="I86" s="667">
        <v>1059.759664151776</v>
      </c>
      <c r="J86" s="667">
        <v>237.5997412891586</v>
      </c>
      <c r="K86" s="667" t="e">
        <v>#N/A</v>
      </c>
      <c r="L86" s="667" t="e">
        <v>#N/A</v>
      </c>
      <c r="M86" s="669">
        <v>63.49288142857143</v>
      </c>
    </row>
    <row r="87" spans="1:13">
      <c r="A87" s="58" t="str">
        <f t="shared" ref="A87:A95" si="5">B8</f>
        <v>NAS:PYPL</v>
      </c>
      <c r="B87" s="667" t="e">
        <v>#N/A</v>
      </c>
      <c r="C87" s="667" t="e">
        <v>#N/A</v>
      </c>
      <c r="D87" s="667" t="e">
        <v>#N/A</v>
      </c>
      <c r="E87" s="667" t="e">
        <v>#N/A</v>
      </c>
      <c r="F87" s="667">
        <v>25.253441316711999</v>
      </c>
      <c r="G87" s="667">
        <v>22.38835715928554</v>
      </c>
      <c r="H87" s="667">
        <v>24.578154775080908</v>
      </c>
      <c r="I87" s="667">
        <v>41.509901583102064</v>
      </c>
      <c r="J87" s="667">
        <v>28.825391826559191</v>
      </c>
      <c r="K87" s="667">
        <v>12.16609665616291</v>
      </c>
      <c r="L87" s="667" t="e">
        <v>#N/A</v>
      </c>
      <c r="M87" s="669">
        <v>8.9594603682366127</v>
      </c>
    </row>
    <row r="88" spans="1:13">
      <c r="A88" s="58" t="str">
        <f t="shared" si="5"/>
        <v>STO:SFL</v>
      </c>
      <c r="B88" s="667" t="e">
        <v>#N/A</v>
      </c>
      <c r="C88" s="667" t="e">
        <v>#N/A</v>
      </c>
      <c r="D88" s="667" t="e">
        <v>#N/A</v>
      </c>
      <c r="E88" s="667" t="e">
        <v>#N/A</v>
      </c>
      <c r="F88" s="667" t="e">
        <v>#N/A</v>
      </c>
      <c r="G88" s="667" t="e">
        <v>#N/A</v>
      </c>
      <c r="H88" s="667" t="e">
        <v>#N/A</v>
      </c>
      <c r="I88" s="667" t="e">
        <v>#N/A</v>
      </c>
      <c r="J88" s="667" t="e">
        <v>#N/A</v>
      </c>
      <c r="K88" s="667" t="e">
        <v>#N/A</v>
      </c>
      <c r="L88" s="667" t="e">
        <v>#N/A</v>
      </c>
      <c r="M88" s="669" t="e">
        <v>#N/A</v>
      </c>
    </row>
    <row r="89" spans="1:13">
      <c r="A89" s="58" t="str">
        <f t="shared" si="5"/>
        <v>PINX:VYGVQ</v>
      </c>
      <c r="B89" s="667" t="e">
        <v>#N/A</v>
      </c>
      <c r="C89" s="667" t="e">
        <v>#N/A</v>
      </c>
      <c r="D89" s="667" t="e">
        <v>#N/A</v>
      </c>
      <c r="E89" s="667" t="e">
        <v>#N/A</v>
      </c>
      <c r="F89" s="667" t="e">
        <v>#N/A</v>
      </c>
      <c r="G89" s="667" t="e">
        <v>#N/A</v>
      </c>
      <c r="H89" s="667" t="e">
        <v>#N/A</v>
      </c>
      <c r="I89" s="667" t="e">
        <v>#N/A</v>
      </c>
      <c r="J89" s="667">
        <v>9.0364126533684601</v>
      </c>
      <c r="K89" s="667" t="e">
        <v>#N/A</v>
      </c>
      <c r="L89" s="667" t="e">
        <v>#N/A</v>
      </c>
      <c r="M89" s="669" t="e">
        <v>#N/A</v>
      </c>
    </row>
    <row r="90" spans="1:13">
      <c r="A90" s="58" t="str">
        <f t="shared" si="5"/>
        <v>PINX:CRCW</v>
      </c>
      <c r="B90" s="667" t="e">
        <v>#N/A</v>
      </c>
      <c r="C90" s="667" t="e">
        <v>#N/A</v>
      </c>
      <c r="D90" s="667" t="e">
        <v>#N/A</v>
      </c>
      <c r="E90" s="667" t="e">
        <v>#N/A</v>
      </c>
      <c r="F90" s="667" t="e">
        <v>#N/A</v>
      </c>
      <c r="G90" s="667" t="e">
        <v>#N/A</v>
      </c>
      <c r="H90" s="667" t="e">
        <v>#N/A</v>
      </c>
      <c r="I90" s="667" t="e">
        <v>#N/A</v>
      </c>
      <c r="J90" s="667" t="e">
        <v>#N/A</v>
      </c>
      <c r="K90" s="667" t="e">
        <v>#N/A</v>
      </c>
      <c r="L90" s="667" t="e">
        <v>#N/A</v>
      </c>
      <c r="M90" s="669" t="e">
        <v>#N/A</v>
      </c>
    </row>
    <row r="91" spans="1:13">
      <c r="A91" s="58" t="str">
        <f t="shared" si="5"/>
        <v>STU:WD0</v>
      </c>
      <c r="B91" s="667" t="e">
        <v>#N/A</v>
      </c>
      <c r="C91" s="667" t="e">
        <v>#N/A</v>
      </c>
      <c r="D91" s="667" t="e">
        <v>#N/A</v>
      </c>
      <c r="E91" s="667" t="e">
        <v>#N/A</v>
      </c>
      <c r="F91" s="667" t="e">
        <v>#N/A</v>
      </c>
      <c r="G91" s="667" t="e">
        <v>#N/A</v>
      </c>
      <c r="H91" s="667" t="e">
        <v>#N/A</v>
      </c>
      <c r="I91" s="667" t="e">
        <v>#N/A</v>
      </c>
      <c r="J91" s="667" t="e">
        <v>#N/A</v>
      </c>
      <c r="K91" s="667" t="e">
        <v>#N/A</v>
      </c>
      <c r="L91" s="667" t="e">
        <v>#N/A</v>
      </c>
      <c r="M91" s="669" t="e">
        <v>#N/A</v>
      </c>
    </row>
    <row r="92" spans="1:13">
      <c r="A92" s="58" t="str">
        <f t="shared" si="5"/>
        <v>NAS:HOOD</v>
      </c>
      <c r="B92" s="667" t="e">
        <v>#N/A</v>
      </c>
      <c r="C92" s="667" t="e">
        <v>#N/A</v>
      </c>
      <c r="D92" s="667" t="e">
        <v>#N/A</v>
      </c>
      <c r="E92" s="667" t="e">
        <v>#N/A</v>
      </c>
      <c r="F92" s="667" t="e">
        <v>#N/A</v>
      </c>
      <c r="G92" s="667" t="e">
        <v>#N/A</v>
      </c>
      <c r="H92" s="667" t="e">
        <v>#N/A</v>
      </c>
      <c r="I92" s="667" t="e">
        <v>#N/A</v>
      </c>
      <c r="J92" s="667" t="e">
        <v>#N/A</v>
      </c>
      <c r="K92" s="667" t="e">
        <v>#N/A</v>
      </c>
      <c r="L92" s="667" t="e">
        <v>#N/A</v>
      </c>
      <c r="M92" s="669">
        <v>43.586596830769231</v>
      </c>
    </row>
    <row r="93" spans="1:13">
      <c r="A93" s="58" t="str">
        <f t="shared" si="5"/>
        <v>BOM:532960</v>
      </c>
      <c r="B93" s="667" t="e">
        <v>#N/A</v>
      </c>
      <c r="C93" s="667" t="e">
        <v>#N/A</v>
      </c>
      <c r="D93" s="667" t="e">
        <v>#N/A</v>
      </c>
      <c r="E93" s="667" t="e">
        <v>#N/A</v>
      </c>
      <c r="F93" s="667" t="e">
        <v>#N/A</v>
      </c>
      <c r="G93" s="667">
        <v>32.765295546163522</v>
      </c>
      <c r="H93" s="667">
        <v>23.517986103282105</v>
      </c>
      <c r="I93" s="667">
        <v>5.6049812210999361</v>
      </c>
      <c r="J93" s="667" t="e">
        <v>#N/A</v>
      </c>
      <c r="K93" s="667" t="e">
        <v>#N/A</v>
      </c>
      <c r="L93" s="667" t="e">
        <v>#N/A</v>
      </c>
      <c r="M93" s="669" t="e">
        <v>#N/A</v>
      </c>
    </row>
    <row r="94" spans="1:13">
      <c r="A94" s="58" t="str">
        <f t="shared" si="5"/>
        <v>NYS:MA</v>
      </c>
      <c r="B94" s="667" t="e">
        <v>#N/A</v>
      </c>
      <c r="C94" s="667" t="e">
        <v>#N/A</v>
      </c>
      <c r="D94" s="667" t="e">
        <v>#N/A</v>
      </c>
      <c r="E94" s="667" t="e">
        <v>#N/A</v>
      </c>
      <c r="F94" s="667">
        <v>20.150881886074338</v>
      </c>
      <c r="G94" s="667">
        <v>19.855165805973225</v>
      </c>
      <c r="H94" s="667">
        <v>26.928917415008883</v>
      </c>
      <c r="I94" s="667">
        <v>34.641035109379537</v>
      </c>
      <c r="J94" s="667">
        <v>28.138036583004492</v>
      </c>
      <c r="K94" s="667">
        <v>23.551621635321332</v>
      </c>
      <c r="L94" s="667" t="e">
        <v>#N/A</v>
      </c>
      <c r="M94" s="669">
        <v>24.281754815482358</v>
      </c>
    </row>
    <row r="95" spans="1:13">
      <c r="A95" s="58" t="str">
        <f t="shared" si="5"/>
        <v>NAS:MSTR</v>
      </c>
      <c r="B95" s="667" t="e">
        <v>#N/A</v>
      </c>
      <c r="C95" s="667" t="e">
        <v>#N/A</v>
      </c>
      <c r="D95" s="667" t="e">
        <v>#N/A</v>
      </c>
      <c r="E95" s="667" t="e">
        <v>#N/A</v>
      </c>
      <c r="F95" s="667">
        <v>27.350345100542611</v>
      </c>
      <c r="G95" s="667">
        <v>21.223098778912828</v>
      </c>
      <c r="H95" s="667">
        <v>20.928762465695588</v>
      </c>
      <c r="I95" s="667">
        <v>56.952132422589365</v>
      </c>
      <c r="J95" s="667">
        <v>83.573631592490372</v>
      </c>
      <c r="K95" s="667">
        <v>52.467573642297651</v>
      </c>
      <c r="L95" s="667" t="e">
        <v>#N/A</v>
      </c>
      <c r="M95" s="669">
        <v>148.58014897685536</v>
      </c>
    </row>
    <row r="98" spans="1:13" ht="15">
      <c r="A98" s="567" t="str">
        <f>Comparables!B102</f>
        <v>Normalized EV / EBIT</v>
      </c>
    </row>
    <row r="99" spans="1:13">
      <c r="M99" s="58" t="s">
        <v>63</v>
      </c>
    </row>
    <row r="100" spans="1:13">
      <c r="A100" s="58" t="str">
        <f>+A21</f>
        <v>NAS:COIN</v>
      </c>
      <c r="B100" s="667" t="e">
        <v>#N/A</v>
      </c>
      <c r="C100" s="667" t="e">
        <v>#N/A</v>
      </c>
      <c r="D100" s="667" t="e">
        <v>#N/A</v>
      </c>
      <c r="E100" s="667" t="e">
        <v>#N/A</v>
      </c>
      <c r="F100" s="667" t="e">
        <v>#N/A</v>
      </c>
      <c r="G100" s="667" t="e">
        <v>#N/A</v>
      </c>
      <c r="H100" s="667" t="e">
        <v>#N/A</v>
      </c>
      <c r="I100" s="667" t="e">
        <v>#N/A</v>
      </c>
      <c r="J100" s="667">
        <v>16.840916331757398</v>
      </c>
      <c r="K100" s="667">
        <v>8.250647138834438</v>
      </c>
      <c r="L100" s="667" t="e">
        <v>#N/A</v>
      </c>
      <c r="M100" s="669">
        <v>73.958629810934923</v>
      </c>
    </row>
    <row r="102" spans="1:13">
      <c r="A102" s="58" t="str">
        <f>B7</f>
        <v>NYS:SQ</v>
      </c>
      <c r="B102" s="667" t="e">
        <v>#N/A</v>
      </c>
      <c r="C102" s="667" t="e">
        <v>#N/A</v>
      </c>
      <c r="D102" s="667" t="e">
        <v>#N/A</v>
      </c>
      <c r="E102" s="667" t="e">
        <v>#N/A</v>
      </c>
      <c r="F102" s="667">
        <v>144.09046094948116</v>
      </c>
      <c r="G102" s="667">
        <v>117.54523108879415</v>
      </c>
      <c r="H102" s="667">
        <v>100.39052214716592</v>
      </c>
      <c r="I102" s="667">
        <v>278.81775777590758</v>
      </c>
      <c r="J102" s="667">
        <v>60.999509132373944</v>
      </c>
      <c r="K102" s="667">
        <v>60.330494058501721</v>
      </c>
      <c r="L102" s="667" t="e">
        <v>#N/A</v>
      </c>
      <c r="M102" s="669">
        <v>38.706702304021334</v>
      </c>
    </row>
    <row r="103" spans="1:13">
      <c r="A103" s="58" t="str">
        <f t="shared" ref="A103:A111" si="6">B8</f>
        <v>NAS:PYPL</v>
      </c>
      <c r="B103" s="667" t="e">
        <v>#N/A</v>
      </c>
      <c r="C103" s="667" t="e">
        <v>#N/A</v>
      </c>
      <c r="D103" s="667">
        <v>23.037260217415419</v>
      </c>
      <c r="E103" s="667">
        <v>21.703221584183673</v>
      </c>
      <c r="F103" s="667">
        <v>33.955155350264121</v>
      </c>
      <c r="G103" s="667">
        <v>24.174693714663142</v>
      </c>
      <c r="H103" s="667">
        <v>32.138163768315259</v>
      </c>
      <c r="I103" s="667">
        <v>77.365868295402294</v>
      </c>
      <c r="J103" s="667">
        <v>38.020983266397046</v>
      </c>
      <c r="K103" s="667">
        <v>16.031613587851208</v>
      </c>
      <c r="L103" s="667" t="e">
        <v>#N/A</v>
      </c>
      <c r="M103" s="669">
        <v>10.285933419214675</v>
      </c>
    </row>
    <row r="104" spans="1:13">
      <c r="A104" s="58" t="str">
        <f t="shared" si="6"/>
        <v>STO:SFL</v>
      </c>
      <c r="B104" s="667" t="e">
        <v>#N/A</v>
      </c>
      <c r="C104" s="667" t="e">
        <v>#N/A</v>
      </c>
      <c r="D104" s="667" t="e">
        <v>#N/A</v>
      </c>
      <c r="E104" s="667" t="e">
        <v>#N/A</v>
      </c>
      <c r="F104" s="667" t="e">
        <v>#N/A</v>
      </c>
      <c r="G104" s="667" t="e">
        <v>#N/A</v>
      </c>
      <c r="H104" s="667" t="e">
        <v>#N/A</v>
      </c>
      <c r="I104" s="667" t="e">
        <v>#N/A</v>
      </c>
      <c r="J104" s="667" t="e">
        <v>#N/A</v>
      </c>
      <c r="K104" s="667" t="e">
        <v>#N/A</v>
      </c>
      <c r="L104" s="667" t="e">
        <v>#N/A</v>
      </c>
      <c r="M104" s="669" t="e">
        <v>#N/A</v>
      </c>
    </row>
    <row r="105" spans="1:13">
      <c r="A105" s="58" t="str">
        <f t="shared" si="6"/>
        <v>PINX:VYGVQ</v>
      </c>
      <c r="B105" s="667" t="e">
        <v>#N/A</v>
      </c>
      <c r="C105" s="667" t="e">
        <v>#N/A</v>
      </c>
      <c r="D105" s="667" t="e">
        <v>#N/A</v>
      </c>
      <c r="E105" s="667" t="e">
        <v>#N/A</v>
      </c>
      <c r="F105" s="667" t="e">
        <v>#N/A</v>
      </c>
      <c r="G105" s="667" t="e">
        <v>#N/A</v>
      </c>
      <c r="H105" s="667" t="e">
        <v>#N/A</v>
      </c>
      <c r="I105" s="667" t="e">
        <v>#N/A</v>
      </c>
      <c r="J105" s="667">
        <v>112.13618313856726</v>
      </c>
      <c r="K105" s="667" t="e">
        <v>#N/A</v>
      </c>
      <c r="L105" s="667" t="e">
        <v>#N/A</v>
      </c>
      <c r="M105" s="669" t="e">
        <v>#N/A</v>
      </c>
    </row>
    <row r="106" spans="1:13">
      <c r="A106" s="58" t="str">
        <f t="shared" si="6"/>
        <v>PINX:CRCW</v>
      </c>
      <c r="B106" s="667" t="e">
        <v>#N/A</v>
      </c>
      <c r="C106" s="667" t="e">
        <v>#N/A</v>
      </c>
      <c r="D106" s="667" t="e">
        <v>#N/A</v>
      </c>
      <c r="E106" s="667" t="e">
        <v>#N/A</v>
      </c>
      <c r="F106" s="667" t="e">
        <v>#N/A</v>
      </c>
      <c r="G106" s="667" t="e">
        <v>#N/A</v>
      </c>
      <c r="H106" s="667" t="e">
        <v>#N/A</v>
      </c>
      <c r="I106" s="667" t="e">
        <v>#N/A</v>
      </c>
      <c r="J106" s="667">
        <v>1523.5891266102944</v>
      </c>
      <c r="K106" s="667" t="e">
        <v>#N/A</v>
      </c>
      <c r="L106" s="667" t="e">
        <v>#N/A</v>
      </c>
      <c r="M106" s="669">
        <v>4.3770623890874063</v>
      </c>
    </row>
    <row r="107" spans="1:13">
      <c r="A107" s="58" t="str">
        <f t="shared" si="6"/>
        <v>STU:WD0</v>
      </c>
      <c r="B107" s="667" t="e">
        <v>#N/A</v>
      </c>
      <c r="C107" s="667" t="e">
        <v>#N/A</v>
      </c>
      <c r="D107" s="667" t="e">
        <v>#N/A</v>
      </c>
      <c r="E107" s="667" t="e">
        <v>#N/A</v>
      </c>
      <c r="F107" s="667" t="e">
        <v>#N/A</v>
      </c>
      <c r="G107" s="667" t="e">
        <v>#N/A</v>
      </c>
      <c r="H107" s="667" t="e">
        <v>#N/A</v>
      </c>
      <c r="I107" s="667" t="e">
        <v>#N/A</v>
      </c>
      <c r="J107" s="667" t="e">
        <v>#N/A</v>
      </c>
      <c r="K107" s="667" t="e">
        <v>#N/A</v>
      </c>
      <c r="L107" s="667" t="e">
        <v>#N/A</v>
      </c>
      <c r="M107" s="669" t="e">
        <v>#N/A</v>
      </c>
    </row>
    <row r="108" spans="1:13">
      <c r="A108" s="58" t="str">
        <f t="shared" si="6"/>
        <v>NAS:HOOD</v>
      </c>
      <c r="B108" s="667" t="e">
        <v>#N/A</v>
      </c>
      <c r="C108" s="667" t="e">
        <v>#N/A</v>
      </c>
      <c r="D108" s="667" t="e">
        <v>#N/A</v>
      </c>
      <c r="E108" s="667" t="e">
        <v>#N/A</v>
      </c>
      <c r="F108" s="667" t="e">
        <v>#N/A</v>
      </c>
      <c r="G108" s="667" t="e">
        <v>#N/A</v>
      </c>
      <c r="H108" s="667" t="e">
        <v>#N/A</v>
      </c>
      <c r="I108" s="667" t="e">
        <v>#N/A</v>
      </c>
      <c r="J108" s="667" t="e">
        <v>#N/A</v>
      </c>
      <c r="K108" s="667" t="e">
        <v>#N/A</v>
      </c>
      <c r="L108" s="667" t="e">
        <v>#N/A</v>
      </c>
      <c r="M108" s="669">
        <v>16.423935037681158</v>
      </c>
    </row>
    <row r="109" spans="1:13">
      <c r="A109" s="58" t="str">
        <f t="shared" si="6"/>
        <v>BOM:532960</v>
      </c>
      <c r="B109" s="667">
        <v>1.182811215772094</v>
      </c>
      <c r="C109" s="667">
        <v>5.4901132095490475</v>
      </c>
      <c r="D109" s="667">
        <v>5.3965097106995241</v>
      </c>
      <c r="E109" s="667">
        <v>11.88100175700181</v>
      </c>
      <c r="F109" s="667">
        <v>57.393395239419718</v>
      </c>
      <c r="G109" s="667">
        <v>42.271950179454812</v>
      </c>
      <c r="H109" s="667">
        <v>37.227756018958914</v>
      </c>
      <c r="I109" s="667">
        <v>22.07390572442899</v>
      </c>
      <c r="J109" s="667">
        <v>79.685376363514422</v>
      </c>
      <c r="K109" s="667" t="e">
        <v>#N/A</v>
      </c>
      <c r="L109" s="667" t="e">
        <v>#N/A</v>
      </c>
      <c r="M109" s="669" t="e">
        <v>#N/A</v>
      </c>
    </row>
    <row r="110" spans="1:13">
      <c r="A110" s="58" t="str">
        <f t="shared" si="6"/>
        <v>NYS:MA</v>
      </c>
      <c r="B110" s="667">
        <v>20.965342237862998</v>
      </c>
      <c r="C110" s="667">
        <v>18.623595624384478</v>
      </c>
      <c r="D110" s="667">
        <v>20.858111300256461</v>
      </c>
      <c r="E110" s="667">
        <v>19.51248937706093</v>
      </c>
      <c r="F110" s="667">
        <v>23.666516384661385</v>
      </c>
      <c r="G110" s="667">
        <v>23.465635342745863</v>
      </c>
      <c r="H110" s="667">
        <v>31.308168311099639</v>
      </c>
      <c r="I110" s="667">
        <v>40.900175281714283</v>
      </c>
      <c r="J110" s="667">
        <v>36.902697598995694</v>
      </c>
      <c r="K110" s="667">
        <v>27.085603651755921</v>
      </c>
      <c r="L110" s="667" t="e">
        <v>#N/A</v>
      </c>
      <c r="M110" s="669">
        <v>27.292048640720601</v>
      </c>
    </row>
    <row r="111" spans="1:13">
      <c r="A111" s="58" t="str">
        <f t="shared" si="6"/>
        <v>NAS:MSTR</v>
      </c>
      <c r="B111" s="667">
        <v>99.213180720636402</v>
      </c>
      <c r="C111" s="667">
        <v>95.998859504668033</v>
      </c>
      <c r="D111" s="667">
        <v>10.760341322786619</v>
      </c>
      <c r="E111" s="667">
        <v>12.70420117984718</v>
      </c>
      <c r="F111" s="667">
        <v>8.2196118140221976</v>
      </c>
      <c r="G111" s="667">
        <v>17.23924684270953</v>
      </c>
      <c r="H111" s="667">
        <v>30.929881071974545</v>
      </c>
      <c r="I111" s="667">
        <v>84.564406340659602</v>
      </c>
      <c r="J111" s="667">
        <v>85.22964068578014</v>
      </c>
      <c r="K111" s="667">
        <v>45.469641482537419</v>
      </c>
      <c r="L111" s="667" t="e">
        <v>#N/A</v>
      </c>
      <c r="M111" s="669">
        <v>181.91777748115575</v>
      </c>
    </row>
    <row r="114" spans="1:13" ht="15">
      <c r="A114" s="567" t="str">
        <f>Comparables!B117</f>
        <v>Price / Sales</v>
      </c>
    </row>
    <row r="115" spans="1:13">
      <c r="M115" s="58" t="s">
        <v>63</v>
      </c>
    </row>
    <row r="116" spans="1:13">
      <c r="A116" s="58" t="str">
        <f>+A21</f>
        <v>NAS:COIN</v>
      </c>
      <c r="B116" s="667" t="e">
        <v>#N/A</v>
      </c>
      <c r="C116" s="667" t="e">
        <v>#N/A</v>
      </c>
      <c r="D116" s="667" t="e">
        <v>#N/A</v>
      </c>
      <c r="E116" s="667" t="e">
        <v>#N/A</v>
      </c>
      <c r="F116" s="667" t="e">
        <v>#N/A</v>
      </c>
      <c r="G116" s="667" t="e">
        <v>#N/A</v>
      </c>
      <c r="H116" s="667" t="e">
        <v>#N/A</v>
      </c>
      <c r="I116" s="667" t="e">
        <v>#N/A</v>
      </c>
      <c r="J116" s="667">
        <v>9.5885148009827041</v>
      </c>
      <c r="K116" s="667">
        <v>1.5992432640810432</v>
      </c>
      <c r="L116" s="667" t="e">
        <v>#N/A</v>
      </c>
      <c r="M116" s="669">
        <v>12.86829069607457</v>
      </c>
    </row>
    <row r="118" spans="1:13">
      <c r="A118" s="58" t="str">
        <f>B7</f>
        <v>NYS:SQ</v>
      </c>
      <c r="B118" s="667" t="e">
        <v>#N/A</v>
      </c>
      <c r="C118" s="667" t="e">
        <v>#N/A</v>
      </c>
      <c r="D118" s="667">
        <v>3.173860186490296</v>
      </c>
      <c r="E118" s="667">
        <v>1.752331761245344</v>
      </c>
      <c r="F118" s="667">
        <v>6.2726160594302334</v>
      </c>
      <c r="G118" s="667">
        <v>7.520313171181118</v>
      </c>
      <c r="H118" s="667">
        <v>6.077895424893927</v>
      </c>
      <c r="I118" s="667">
        <v>13.610625552385592</v>
      </c>
      <c r="J118" s="667">
        <v>5.2329205887488071</v>
      </c>
      <c r="K118" s="667">
        <v>2.0187844281036762</v>
      </c>
      <c r="L118" s="667" t="e">
        <v>#N/A</v>
      </c>
      <c r="M118" s="669">
        <v>1.9477579730149104</v>
      </c>
    </row>
    <row r="119" spans="1:13">
      <c r="A119" s="58" t="str">
        <f t="shared" ref="A119:A127" si="7">B8</f>
        <v>NAS:PYPL</v>
      </c>
      <c r="B119" s="667" t="e">
        <v>#N/A</v>
      </c>
      <c r="C119" s="667" t="e">
        <v>#N/A</v>
      </c>
      <c r="D119" s="667">
        <v>5.3128643781654477</v>
      </c>
      <c r="E119" s="667">
        <v>4.63110372468081</v>
      </c>
      <c r="F119" s="667">
        <v>7.2718481874949319</v>
      </c>
      <c r="G119" s="667">
        <v>6.8085429888436106</v>
      </c>
      <c r="H119" s="667">
        <v>7.5522812114808948</v>
      </c>
      <c r="I119" s="667">
        <v>13.689260554707127</v>
      </c>
      <c r="J119" s="667">
        <v>9.1166060889739118</v>
      </c>
      <c r="K119" s="667">
        <v>3.0748885521014304</v>
      </c>
      <c r="L119" s="667" t="e">
        <v>#N/A</v>
      </c>
      <c r="M119" s="669">
        <v>2.3158006042296071</v>
      </c>
    </row>
    <row r="120" spans="1:13">
      <c r="A120" s="58" t="str">
        <f t="shared" si="7"/>
        <v>STO:SFL</v>
      </c>
      <c r="B120" s="667" t="e">
        <v>#N/A</v>
      </c>
      <c r="C120" s="667" t="e">
        <v>#N/A</v>
      </c>
      <c r="D120" s="667" t="e">
        <v>#N/A</v>
      </c>
      <c r="E120" s="667" t="e">
        <v>#N/A</v>
      </c>
      <c r="F120" s="667" t="e">
        <v>#N/A</v>
      </c>
      <c r="G120" s="667" t="e">
        <v>#N/A</v>
      </c>
      <c r="H120" s="667" t="e">
        <v>#N/A</v>
      </c>
      <c r="I120" s="667" t="e">
        <v>#N/A</v>
      </c>
      <c r="J120" s="667">
        <v>0.23597913787176561</v>
      </c>
      <c r="K120" s="667">
        <v>0.1058863817164549</v>
      </c>
      <c r="L120" s="667" t="e">
        <v>#N/A</v>
      </c>
      <c r="M120" s="669">
        <v>0.19441989745375307</v>
      </c>
    </row>
    <row r="121" spans="1:13">
      <c r="A121" s="58" t="str">
        <f t="shared" si="7"/>
        <v>PINX:VYGVQ</v>
      </c>
      <c r="B121" s="667" t="e">
        <v>#N/A</v>
      </c>
      <c r="C121" s="667" t="e">
        <v>#N/A</v>
      </c>
      <c r="D121" s="667" t="e">
        <v>#N/A</v>
      </c>
      <c r="E121" s="667" t="e">
        <v>#N/A</v>
      </c>
      <c r="F121" s="667" t="e">
        <v>#N/A</v>
      </c>
      <c r="G121" s="667" t="e">
        <v>#N/A</v>
      </c>
      <c r="H121" s="667">
        <v>595.70906700247508</v>
      </c>
      <c r="I121" s="667">
        <v>46.515531791147431</v>
      </c>
      <c r="J121" s="667">
        <v>29.687203954259985</v>
      </c>
      <c r="K121" s="667" t="e">
        <v>#N/A</v>
      </c>
      <c r="L121" s="667" t="e">
        <v>#N/A</v>
      </c>
      <c r="M121" s="669" t="e">
        <v>#N/A</v>
      </c>
    </row>
    <row r="122" spans="1:13">
      <c r="A122" s="58" t="str">
        <f t="shared" si="7"/>
        <v>PINX:CRCW</v>
      </c>
      <c r="B122" s="667" t="e">
        <v>#N/A</v>
      </c>
      <c r="C122" s="667" t="e">
        <v>#N/A</v>
      </c>
      <c r="D122" s="667" t="e">
        <v>#N/A</v>
      </c>
      <c r="E122" s="667" t="e">
        <v>#N/A</v>
      </c>
      <c r="F122" s="667" t="e">
        <v>#N/A</v>
      </c>
      <c r="G122" s="667" t="e">
        <v>#N/A</v>
      </c>
      <c r="H122" s="667">
        <v>219.38058669309055</v>
      </c>
      <c r="I122" s="667" t="e">
        <v>#N/A</v>
      </c>
      <c r="J122" s="667">
        <v>355.24253324832699</v>
      </c>
      <c r="K122" s="667">
        <v>6.7051228971040739</v>
      </c>
      <c r="L122" s="667" t="e">
        <v>#N/A</v>
      </c>
      <c r="M122" s="669">
        <v>0.17339813410426649</v>
      </c>
    </row>
    <row r="123" spans="1:13">
      <c r="A123" s="58" t="str">
        <f t="shared" si="7"/>
        <v>STU:WD0</v>
      </c>
      <c r="B123" s="667" t="e">
        <v>#N/A</v>
      </c>
      <c r="C123" s="667" t="e">
        <v>#N/A</v>
      </c>
      <c r="D123" s="667" t="e">
        <v>#N/A</v>
      </c>
      <c r="E123" s="667" t="e">
        <v>#N/A</v>
      </c>
      <c r="F123" s="667" t="e">
        <v>#N/A</v>
      </c>
      <c r="G123" s="667" t="e">
        <v>#N/A</v>
      </c>
      <c r="H123" s="667" t="e">
        <v>#N/A</v>
      </c>
      <c r="I123" s="667" t="e">
        <v>#N/A</v>
      </c>
      <c r="J123" s="667" t="e">
        <v>#N/A</v>
      </c>
      <c r="K123" s="667" t="e">
        <v>#N/A</v>
      </c>
      <c r="L123" s="667" t="e">
        <v>#N/A</v>
      </c>
      <c r="M123" s="669" t="e">
        <v>#N/A</v>
      </c>
    </row>
    <row r="124" spans="1:13">
      <c r="A124" s="58" t="str">
        <f t="shared" si="7"/>
        <v>NAS:HOOD</v>
      </c>
      <c r="B124" s="667" t="e">
        <v>#N/A</v>
      </c>
      <c r="C124" s="667" t="e">
        <v>#N/A</v>
      </c>
      <c r="D124" s="667" t="e">
        <v>#N/A</v>
      </c>
      <c r="E124" s="667" t="e">
        <v>#N/A</v>
      </c>
      <c r="F124" s="667" t="e">
        <v>#N/A</v>
      </c>
      <c r="G124" s="667" t="e">
        <v>#N/A</v>
      </c>
      <c r="H124" s="667" t="e">
        <v>#N/A</v>
      </c>
      <c r="I124" s="667" t="e">
        <v>#N/A</v>
      </c>
      <c r="J124" s="667">
        <v>5.9808734164834254</v>
      </c>
      <c r="K124" s="667">
        <v>5.2959800507043644</v>
      </c>
      <c r="L124" s="667" t="e">
        <v>#N/A</v>
      </c>
      <c r="M124" s="669">
        <v>6.0143159715896282</v>
      </c>
    </row>
    <row r="125" spans="1:13">
      <c r="A125" s="58" t="str">
        <f t="shared" si="7"/>
        <v>BOM:532960</v>
      </c>
      <c r="B125" s="667">
        <v>1.0563864497797684</v>
      </c>
      <c r="C125" s="667">
        <v>1.9240705547587695</v>
      </c>
      <c r="D125" s="667">
        <v>3.257757900551288</v>
      </c>
      <c r="E125" s="667">
        <v>1.1805346486531916</v>
      </c>
      <c r="F125" s="667">
        <v>5.3369670225876282</v>
      </c>
      <c r="G125" s="667">
        <v>15.569382977175509</v>
      </c>
      <c r="H125" s="667">
        <v>10.593343884863421</v>
      </c>
      <c r="I125" s="667">
        <v>2.6851180295559218</v>
      </c>
      <c r="J125" s="667">
        <v>6.5254248848865375</v>
      </c>
      <c r="K125" s="667">
        <v>2.9092661001587397</v>
      </c>
      <c r="L125" s="667">
        <v>1.940022462990008</v>
      </c>
      <c r="M125" s="669">
        <v>6.1966119306490048</v>
      </c>
    </row>
    <row r="126" spans="1:13">
      <c r="A126" s="58" t="str">
        <f t="shared" si="7"/>
        <v>NYS:MA</v>
      </c>
      <c r="B126" s="667">
        <v>12.663164510166361</v>
      </c>
      <c r="C126" s="667">
        <v>11.06906893172166</v>
      </c>
      <c r="D126" s="667">
        <v>11.645847794271376</v>
      </c>
      <c r="E126" s="667">
        <v>10.884021780392899</v>
      </c>
      <c r="F126" s="667">
        <v>13.680200988191944</v>
      </c>
      <c r="G126" s="667">
        <v>13.745805084745763</v>
      </c>
      <c r="H126" s="667">
        <v>18.863674582206929</v>
      </c>
      <c r="I126" s="667">
        <v>23.099820134658543</v>
      </c>
      <c r="J126" s="667">
        <v>20.109234315268719</v>
      </c>
      <c r="K126" s="667">
        <v>15.70217276760954</v>
      </c>
      <c r="L126" s="667" t="e">
        <v>#N/A</v>
      </c>
      <c r="M126" s="669">
        <v>16.390720851971928</v>
      </c>
    </row>
    <row r="127" spans="1:13">
      <c r="A127" s="58" t="str">
        <f t="shared" si="7"/>
        <v>NAS:MSTR</v>
      </c>
      <c r="B127" s="667">
        <v>2.4430701876544929</v>
      </c>
      <c r="C127" s="667">
        <v>3.0752030694993633</v>
      </c>
      <c r="D127" s="667">
        <v>3.8593621477603519</v>
      </c>
      <c r="E127" s="667">
        <v>4.4128084177859668</v>
      </c>
      <c r="F127" s="667">
        <v>2.9977003233920234</v>
      </c>
      <c r="G127" s="667">
        <v>2.9152620686849282</v>
      </c>
      <c r="H127" s="667">
        <v>3.1007289365046948</v>
      </c>
      <c r="I127" s="667">
        <v>7.9719820446135916</v>
      </c>
      <c r="J127" s="667">
        <v>10.405379551624812</v>
      </c>
      <c r="K127" s="667">
        <v>3.1480948226844228</v>
      </c>
      <c r="L127" s="667" t="e">
        <v>#N/A</v>
      </c>
      <c r="M127" s="669">
        <v>17.181576603460822</v>
      </c>
    </row>
    <row r="130" spans="1:13" ht="15">
      <c r="A130" s="567" t="str">
        <f>Comparables!B132</f>
        <v>Price / Book</v>
      </c>
    </row>
    <row r="131" spans="1:13">
      <c r="M131" s="58" t="s">
        <v>63</v>
      </c>
    </row>
    <row r="132" spans="1:13">
      <c r="A132" s="58" t="str">
        <f>+A21</f>
        <v>NAS:COIN</v>
      </c>
      <c r="B132" s="667" t="e">
        <v>#N/A</v>
      </c>
      <c r="C132" s="667" t="e">
        <v>#N/A</v>
      </c>
      <c r="D132" s="667" t="e">
        <v>#N/A</v>
      </c>
      <c r="E132" s="667" t="e">
        <v>#N/A</v>
      </c>
      <c r="F132" s="667" t="e">
        <v>#N/A</v>
      </c>
      <c r="G132" s="667" t="e">
        <v>#N/A</v>
      </c>
      <c r="H132" s="667" t="e">
        <v>#N/A</v>
      </c>
      <c r="I132" s="667" t="e">
        <v>#N/A</v>
      </c>
      <c r="J132" s="667">
        <v>10.059119320465994</v>
      </c>
      <c r="K132" s="667">
        <v>1.4253647280680162</v>
      </c>
      <c r="L132" s="667" t="e">
        <v>#N/A</v>
      </c>
      <c r="M132" s="669">
        <v>6.2216556938081862</v>
      </c>
    </row>
    <row r="134" spans="1:13">
      <c r="A134" s="58" t="str">
        <f>B7</f>
        <v>NYS:SQ</v>
      </c>
      <c r="B134" s="667" t="e">
        <v>#N/A</v>
      </c>
      <c r="C134" s="667" t="e">
        <v>#N/A</v>
      </c>
      <c r="D134" s="667" t="e">
        <v>#N/A</v>
      </c>
      <c r="E134" s="667">
        <v>9.3819839831579444</v>
      </c>
      <c r="F134" s="667">
        <v>18.344842624582316</v>
      </c>
      <c r="G134" s="667">
        <v>20.612320831265865</v>
      </c>
      <c r="H134" s="667">
        <v>21.477825488424493</v>
      </c>
      <c r="I134" s="667">
        <v>47.234210528268136</v>
      </c>
      <c r="J134" s="667">
        <v>25.154468171608116</v>
      </c>
      <c r="K134" s="667">
        <v>2.2722235245741462</v>
      </c>
      <c r="L134" s="667" t="e">
        <v>#N/A</v>
      </c>
      <c r="M134" s="669">
        <v>2.3037453900764957</v>
      </c>
    </row>
    <row r="135" spans="1:13">
      <c r="A135" s="58" t="str">
        <f t="shared" ref="A135:A143" si="8">B8</f>
        <v>NAS:PYPL</v>
      </c>
      <c r="B135" s="667" t="e">
        <v>#N/A</v>
      </c>
      <c r="C135" s="667" t="e">
        <v>#N/A</v>
      </c>
      <c r="D135" s="667">
        <v>3.3449523232934766</v>
      </c>
      <c r="E135" s="667">
        <v>3.3540600338218711</v>
      </c>
      <c r="F135" s="667">
        <v>5.7342690513219292</v>
      </c>
      <c r="G135" s="667">
        <v>6.5536235527621569</v>
      </c>
      <c r="H135" s="667">
        <v>7.7043972577807436</v>
      </c>
      <c r="I135" s="667">
        <v>14.850532922144671</v>
      </c>
      <c r="J135" s="667">
        <v>10.02231416930738</v>
      </c>
      <c r="K135" s="667">
        <v>4.0312544413738651</v>
      </c>
      <c r="L135" s="667" t="e">
        <v>#N/A</v>
      </c>
      <c r="M135" s="669">
        <v>3.2892401215805469</v>
      </c>
    </row>
    <row r="136" spans="1:13">
      <c r="A136" s="58" t="str">
        <f t="shared" si="8"/>
        <v>STO:SFL</v>
      </c>
      <c r="B136" s="667" t="e">
        <v>#N/A</v>
      </c>
      <c r="C136" s="667" t="e">
        <v>#N/A</v>
      </c>
      <c r="D136" s="667" t="e">
        <v>#N/A</v>
      </c>
      <c r="E136" s="667" t="e">
        <v>#N/A</v>
      </c>
      <c r="F136" s="667" t="e">
        <v>#N/A</v>
      </c>
      <c r="G136" s="667" t="e">
        <v>#N/A</v>
      </c>
      <c r="H136" s="667" t="e">
        <v>#N/A</v>
      </c>
      <c r="I136" s="667" t="e">
        <v>#N/A</v>
      </c>
      <c r="J136" s="667">
        <v>2.5076687601456391</v>
      </c>
      <c r="K136" s="667">
        <v>2.3130361961383867</v>
      </c>
      <c r="L136" s="667" t="e">
        <v>#N/A</v>
      </c>
      <c r="M136" s="669">
        <v>3.1564124902676678</v>
      </c>
    </row>
    <row r="137" spans="1:13">
      <c r="A137" s="58" t="str">
        <f t="shared" si="8"/>
        <v>PINX:VYGVQ</v>
      </c>
      <c r="B137" s="667" t="e">
        <v>#N/A</v>
      </c>
      <c r="C137" s="667">
        <v>7.2158842008385238E-2</v>
      </c>
      <c r="D137" s="667" t="e">
        <v>#N/A</v>
      </c>
      <c r="E137" s="667" t="e">
        <v>#N/A</v>
      </c>
      <c r="F137" s="667" t="e">
        <v>#N/A</v>
      </c>
      <c r="G137" s="667" t="e">
        <v>#N/A</v>
      </c>
      <c r="H137" s="667" t="e">
        <v>#N/A</v>
      </c>
      <c r="I137" s="667" t="e">
        <v>#N/A</v>
      </c>
      <c r="J137" s="667">
        <v>30.130244851307832</v>
      </c>
      <c r="K137" s="667" t="e">
        <v>#N/A</v>
      </c>
      <c r="L137" s="667" t="e">
        <v>#N/A</v>
      </c>
      <c r="M137" s="669" t="e">
        <v>#N/A</v>
      </c>
    </row>
    <row r="138" spans="1:13">
      <c r="A138" s="58" t="str">
        <f t="shared" si="8"/>
        <v>PINX:CRCW</v>
      </c>
      <c r="B138" s="667" t="e">
        <v>#N/A</v>
      </c>
      <c r="C138" s="667" t="e">
        <v>#N/A</v>
      </c>
      <c r="D138" s="667" t="e">
        <v>#N/A</v>
      </c>
      <c r="E138" s="667" t="e">
        <v>#N/A</v>
      </c>
      <c r="F138" s="667" t="e">
        <v>#N/A</v>
      </c>
      <c r="G138" s="667">
        <v>23.260544539175775</v>
      </c>
      <c r="H138" s="667" t="e">
        <v>#N/A</v>
      </c>
      <c r="I138" s="667" t="e">
        <v>#N/A</v>
      </c>
      <c r="J138" s="667" t="e">
        <v>#N/A</v>
      </c>
      <c r="K138" s="667" t="e">
        <v>#N/A</v>
      </c>
      <c r="L138" s="667" t="e">
        <v>#N/A</v>
      </c>
      <c r="M138" s="669" t="e">
        <v>#N/A</v>
      </c>
    </row>
    <row r="139" spans="1:13">
      <c r="A139" s="58" t="str">
        <f t="shared" si="8"/>
        <v>STU:WD0</v>
      </c>
      <c r="B139" s="667" t="e">
        <v>#N/A</v>
      </c>
      <c r="C139" s="667" t="e">
        <v>#N/A</v>
      </c>
      <c r="D139" s="667" t="e">
        <v>#N/A</v>
      </c>
      <c r="E139" s="667" t="e">
        <v>#N/A</v>
      </c>
      <c r="F139" s="667" t="e">
        <v>#N/A</v>
      </c>
      <c r="G139" s="667" t="e">
        <v>#N/A</v>
      </c>
      <c r="H139" s="667" t="e">
        <v>#N/A</v>
      </c>
      <c r="I139" s="667" t="e">
        <v>#N/A</v>
      </c>
      <c r="J139" s="667" t="e">
        <v>#N/A</v>
      </c>
      <c r="K139" s="667" t="e">
        <v>#N/A</v>
      </c>
      <c r="L139" s="667" t="e">
        <v>#N/A</v>
      </c>
      <c r="M139" s="669" t="e">
        <v>#N/A</v>
      </c>
    </row>
    <row r="140" spans="1:13">
      <c r="A140" s="58" t="str">
        <f t="shared" si="8"/>
        <v>NAS:HOOD</v>
      </c>
      <c r="B140" s="667" t="e">
        <v>#N/A</v>
      </c>
      <c r="C140" s="667" t="e">
        <v>#N/A</v>
      </c>
      <c r="D140" s="667" t="e">
        <v>#N/A</v>
      </c>
      <c r="E140" s="667" t="e">
        <v>#N/A</v>
      </c>
      <c r="F140" s="667" t="e">
        <v>#N/A</v>
      </c>
      <c r="G140" s="667" t="e">
        <v>#N/A</v>
      </c>
      <c r="H140" s="667" t="e">
        <v>#N/A</v>
      </c>
      <c r="I140" s="667" t="e">
        <v>#N/A</v>
      </c>
      <c r="J140" s="667">
        <v>2.0572104225154519</v>
      </c>
      <c r="K140" s="667">
        <v>1.0356011277624391</v>
      </c>
      <c r="L140" s="667" t="e">
        <v>#N/A</v>
      </c>
      <c r="M140" s="669">
        <v>1.5613702655004562</v>
      </c>
    </row>
    <row r="141" spans="1:13">
      <c r="A141" s="58" t="str">
        <f t="shared" si="8"/>
        <v>BOM:532960</v>
      </c>
      <c r="B141" s="667">
        <v>0.8021029495988492</v>
      </c>
      <c r="C141" s="667">
        <v>2.0415395795152071</v>
      </c>
      <c r="D141" s="667">
        <v>3.6953246028188191</v>
      </c>
      <c r="E141" s="667">
        <v>1.2972016437611331</v>
      </c>
      <c r="F141" s="667">
        <v>4.7949370716065944</v>
      </c>
      <c r="G141" s="667">
        <v>8.3127630031460562</v>
      </c>
      <c r="H141" s="667">
        <v>4.4908632521748286</v>
      </c>
      <c r="I141" s="667">
        <v>0.929257290346305</v>
      </c>
      <c r="J141" s="667">
        <v>1.9422222710150376</v>
      </c>
      <c r="K141" s="667">
        <v>0.55475859584439091</v>
      </c>
      <c r="L141" s="667">
        <v>0.35037610559108889</v>
      </c>
      <c r="M141" s="669">
        <v>0.61341083618398362</v>
      </c>
    </row>
    <row r="142" spans="1:13">
      <c r="A142" s="58" t="str">
        <f t="shared" si="8"/>
        <v>NYS:MA</v>
      </c>
      <c r="B142" s="667">
        <v>13.134067642233251</v>
      </c>
      <c r="C142" s="667">
        <v>15.301001747964929</v>
      </c>
      <c r="D142" s="667">
        <v>17.466595824413595</v>
      </c>
      <c r="E142" s="667">
        <v>18.129763627592855</v>
      </c>
      <c r="F142" s="667">
        <v>24.905557280347718</v>
      </c>
      <c r="G142" s="667">
        <v>33.81</v>
      </c>
      <c r="H142" s="667">
        <v>60.93673469387754</v>
      </c>
      <c r="I142" s="667">
        <v>61.460683229813668</v>
      </c>
      <c r="J142" s="667">
        <v>52.748154557660754</v>
      </c>
      <c r="K142" s="667">
        <v>52.643293507310176</v>
      </c>
      <c r="L142" s="667" t="e">
        <v>#N/A</v>
      </c>
      <c r="M142" s="669">
        <v>62.404591982253216</v>
      </c>
    </row>
    <row r="143" spans="1:13">
      <c r="A143" s="58" t="str">
        <f t="shared" si="8"/>
        <v>NAS:MSTR</v>
      </c>
      <c r="B143" s="667">
        <v>4.8065680185701272</v>
      </c>
      <c r="C143" s="667">
        <v>6.1362937203236809</v>
      </c>
      <c r="D143" s="667">
        <v>4.9874950062666459</v>
      </c>
      <c r="E143" s="667">
        <v>4.3402097707063456</v>
      </c>
      <c r="F143" s="667">
        <v>2.4545082054221603</v>
      </c>
      <c r="G143" s="667">
        <v>2.3054079723270955</v>
      </c>
      <c r="H143" s="667">
        <v>2.8411490651295352</v>
      </c>
      <c r="I143" s="667">
        <v>9.2493368730926928</v>
      </c>
      <c r="J143" s="667">
        <v>12.225571779742214</v>
      </c>
      <c r="K143" s="667" t="e">
        <v>#N/A</v>
      </c>
      <c r="L143" s="667" t="e">
        <v>#N/A</v>
      </c>
      <c r="M143" s="669">
        <v>10.89377918716794</v>
      </c>
    </row>
    <row r="146" spans="1:13" ht="15">
      <c r="A146" s="567" t="str">
        <f>Comparables!J32</f>
        <v>Revenue Growth</v>
      </c>
    </row>
    <row r="147" spans="1:13">
      <c r="M147" s="58" t="s">
        <v>63</v>
      </c>
    </row>
    <row r="148" spans="1:13">
      <c r="A148" s="58" t="str">
        <f>+A21</f>
        <v>NAS:COIN</v>
      </c>
      <c r="B148" s="661" t="e">
        <v>#N/A</v>
      </c>
      <c r="C148" s="661" t="e">
        <v>#N/A</v>
      </c>
      <c r="D148" s="661" t="e">
        <v>#N/A</v>
      </c>
      <c r="E148" s="661" t="e">
        <v>#N/A</v>
      </c>
      <c r="F148" s="661" t="e">
        <v>#N/A</v>
      </c>
      <c r="G148" s="661" t="e">
        <v>#N/A</v>
      </c>
      <c r="H148" s="661" t="e">
        <v>#N/A</v>
      </c>
      <c r="I148" s="661">
        <v>1.3934742896755885</v>
      </c>
      <c r="J148" s="661">
        <v>5.1366423453656065</v>
      </c>
      <c r="K148" s="661">
        <v>-0.59254661427519606</v>
      </c>
      <c r="L148" s="661" t="e">
        <v>#N/A</v>
      </c>
      <c r="M148" s="661">
        <v>-0.45024955747563522</v>
      </c>
    </row>
    <row r="149" spans="1:13">
      <c r="B149" s="661"/>
      <c r="C149" s="661"/>
      <c r="D149" s="661"/>
      <c r="E149" s="661"/>
      <c r="F149" s="661"/>
      <c r="G149" s="661"/>
      <c r="H149" s="661"/>
      <c r="I149" s="661"/>
      <c r="J149" s="661"/>
      <c r="K149" s="661"/>
      <c r="L149" s="661"/>
    </row>
    <row r="150" spans="1:13">
      <c r="A150" s="58" t="str">
        <f>B7</f>
        <v>NYS:SQ</v>
      </c>
      <c r="B150" s="661">
        <v>1.7153389793019382</v>
      </c>
      <c r="C150" s="661">
        <v>0.53899567911402824</v>
      </c>
      <c r="D150" s="661">
        <v>0.49039040593183647</v>
      </c>
      <c r="E150" s="661">
        <v>0.34850976783535548</v>
      </c>
      <c r="F150" s="661">
        <v>0.29585403351395567</v>
      </c>
      <c r="G150" s="661">
        <v>0.48952129679851408</v>
      </c>
      <c r="H150" s="661">
        <v>0.42912281542197395</v>
      </c>
      <c r="I150" s="661">
        <v>1.0149735865068421</v>
      </c>
      <c r="J150" s="661">
        <v>0.85954808689120532</v>
      </c>
      <c r="K150" s="661">
        <v>-7.3390244141353644E-3</v>
      </c>
      <c r="L150" s="661" t="e">
        <v>#N/A</v>
      </c>
      <c r="M150" s="661">
        <v>0.22608729800588101</v>
      </c>
    </row>
    <row r="151" spans="1:13">
      <c r="A151" s="58" t="str">
        <f t="shared" ref="A151:A159" si="9">B8</f>
        <v>NAS:PYPL</v>
      </c>
      <c r="B151" s="661">
        <v>0.18809607912398452</v>
      </c>
      <c r="C151" s="661">
        <v>0.19295376839601608</v>
      </c>
      <c r="D151" s="661">
        <v>0.15239875389408097</v>
      </c>
      <c r="E151" s="661">
        <v>0.17236159169550169</v>
      </c>
      <c r="F151" s="661">
        <v>0.20771075447334431</v>
      </c>
      <c r="G151" s="661">
        <v>0.18000610966855057</v>
      </c>
      <c r="H151" s="661">
        <v>0.15021681444566704</v>
      </c>
      <c r="I151" s="661">
        <v>0.20717983344586988</v>
      </c>
      <c r="J151" s="661">
        <v>0.18257667567819524</v>
      </c>
      <c r="K151" s="661">
        <v>8.4624177210200546E-2</v>
      </c>
      <c r="L151" s="661" t="e">
        <v>#N/A</v>
      </c>
      <c r="M151" s="661">
        <v>7.670129006025217E-2</v>
      </c>
    </row>
    <row r="152" spans="1:13">
      <c r="A152" s="58" t="str">
        <f t="shared" si="9"/>
        <v>STO:SFL</v>
      </c>
      <c r="B152" s="661" t="e">
        <v>#N/A</v>
      </c>
      <c r="C152" s="661" t="e">
        <v>#N/A</v>
      </c>
      <c r="D152" s="661" t="e">
        <v>#N/A</v>
      </c>
      <c r="E152" s="661" t="e">
        <v>#N/A</v>
      </c>
      <c r="F152" s="661" t="e">
        <v>#N/A</v>
      </c>
      <c r="G152" s="661" t="e">
        <v>#N/A</v>
      </c>
      <c r="H152" s="661" t="e">
        <v>#N/A</v>
      </c>
      <c r="I152" s="661">
        <v>0.52456964778655468</v>
      </c>
      <c r="J152" s="661">
        <v>1.4059642929703371</v>
      </c>
      <c r="K152" s="661">
        <v>-0.1622909679138882</v>
      </c>
      <c r="L152" s="661" t="e">
        <v>#N/A</v>
      </c>
      <c r="M152" s="661">
        <v>-0.24789480749800397</v>
      </c>
    </row>
    <row r="153" spans="1:13">
      <c r="A153" s="58" t="str">
        <f t="shared" si="9"/>
        <v>PINX:VYGVQ</v>
      </c>
      <c r="B153" s="661">
        <v>0</v>
      </c>
      <c r="C153" s="661">
        <v>0</v>
      </c>
      <c r="D153" s="661">
        <v>0</v>
      </c>
      <c r="E153" s="661">
        <v>0</v>
      </c>
      <c r="F153" s="661">
        <v>0</v>
      </c>
      <c r="G153" s="661">
        <v>0</v>
      </c>
      <c r="H153" s="661" t="e">
        <v>#N/A</v>
      </c>
      <c r="I153" s="661">
        <v>12.170251265489361</v>
      </c>
      <c r="J153" s="661">
        <v>151.22260869565218</v>
      </c>
      <c r="K153" s="661" t="e">
        <v>#N/A</v>
      </c>
      <c r="L153" s="661" t="e">
        <v>#N/A</v>
      </c>
      <c r="M153" s="661">
        <v>5.8671550705738058</v>
      </c>
    </row>
    <row r="154" spans="1:13">
      <c r="A154" s="58" t="str">
        <f t="shared" si="9"/>
        <v>PINX:CRCW</v>
      </c>
      <c r="B154" s="661" t="e">
        <v>#N/A</v>
      </c>
      <c r="C154" s="661" t="e">
        <v>#N/A</v>
      </c>
      <c r="D154" s="661" t="e">
        <v>#N/A</v>
      </c>
      <c r="E154" s="661" t="e">
        <v>#N/A</v>
      </c>
      <c r="F154" s="661" t="e">
        <v>#N/A</v>
      </c>
      <c r="G154" s="661" t="e">
        <v>#N/A</v>
      </c>
      <c r="H154" s="661">
        <v>12.1486</v>
      </c>
      <c r="I154" s="661">
        <v>-0.78096527386946135</v>
      </c>
      <c r="J154" s="661">
        <v>29.177222222222223</v>
      </c>
      <c r="K154" s="661">
        <v>0.42569358787901113</v>
      </c>
      <c r="L154" s="661" t="e">
        <v>#N/A</v>
      </c>
      <c r="M154" s="661">
        <v>-0.33845260178484826</v>
      </c>
    </row>
    <row r="155" spans="1:13">
      <c r="A155" s="58" t="str">
        <f t="shared" si="9"/>
        <v>STU:WD0</v>
      </c>
      <c r="B155" s="661" t="e">
        <v>#N/A</v>
      </c>
      <c r="C155" s="661" t="e">
        <v>#N/A</v>
      </c>
      <c r="D155" s="661" t="e">
        <v>#N/A</v>
      </c>
      <c r="E155" s="661" t="e">
        <v>#N/A</v>
      </c>
      <c r="F155" s="661" t="e">
        <v>#N/A</v>
      </c>
      <c r="G155" s="661" t="e">
        <v>#N/A</v>
      </c>
      <c r="H155" s="661" t="e">
        <v>#N/A</v>
      </c>
      <c r="I155" s="661" t="e">
        <v>#N/A</v>
      </c>
      <c r="J155" s="661" t="e">
        <v>#N/A</v>
      </c>
      <c r="K155" s="661" t="e">
        <v>#N/A</v>
      </c>
      <c r="L155" s="661" t="e">
        <v>#N/A</v>
      </c>
      <c r="M155" s="661" t="e">
        <v>#N/A</v>
      </c>
    </row>
    <row r="156" spans="1:13">
      <c r="A156" s="58" t="str">
        <f t="shared" si="9"/>
        <v>NAS:HOOD</v>
      </c>
      <c r="B156" s="661" t="e">
        <v>#N/A</v>
      </c>
      <c r="C156" s="661" t="e">
        <v>#N/A</v>
      </c>
      <c r="D156" s="661" t="e">
        <v>#N/A</v>
      </c>
      <c r="E156" s="661" t="e">
        <v>#N/A</v>
      </c>
      <c r="F156" s="661" t="e">
        <v>#N/A</v>
      </c>
      <c r="G156" s="661" t="e">
        <v>#N/A</v>
      </c>
      <c r="H156" s="661" t="e">
        <v>#N/A</v>
      </c>
      <c r="I156" s="661">
        <v>2.4518417629615219</v>
      </c>
      <c r="J156" s="661">
        <v>0.89457202505219202</v>
      </c>
      <c r="K156" s="661">
        <v>-0.25179063360881537</v>
      </c>
      <c r="L156" s="661" t="e">
        <v>#N/A</v>
      </c>
      <c r="M156" s="661">
        <v>0.3228933631618196</v>
      </c>
    </row>
    <row r="157" spans="1:13">
      <c r="A157" s="58" t="str">
        <f t="shared" si="9"/>
        <v>BOM:532960</v>
      </c>
      <c r="B157" s="661">
        <v>0.11984809344341384</v>
      </c>
      <c r="C157" s="661">
        <v>0.63736296049015828</v>
      </c>
      <c r="D157" s="661">
        <v>0.17592590704025879</v>
      </c>
      <c r="E157" s="661">
        <v>0.12020073037320356</v>
      </c>
      <c r="F157" s="661">
        <v>8.7446456282806784E-2</v>
      </c>
      <c r="G157" s="661">
        <v>0.93242014541814078</v>
      </c>
      <c r="H157" s="661">
        <v>1.4673764901917372</v>
      </c>
      <c r="I157" s="661">
        <v>0.16316530623787462</v>
      </c>
      <c r="J157" s="661">
        <v>-0.43585148406312779</v>
      </c>
      <c r="K157" s="661">
        <v>2.2172042261956904E-2</v>
      </c>
      <c r="L157" s="661">
        <v>-0.55822834068402871</v>
      </c>
      <c r="M157" s="661">
        <v>-0.65416410140572556</v>
      </c>
    </row>
    <row r="158" spans="1:13">
      <c r="A158" s="58" t="str">
        <f t="shared" si="9"/>
        <v>NYS:MA</v>
      </c>
      <c r="B158" s="661">
        <v>0.12461101339466918</v>
      </c>
      <c r="C158" s="661">
        <v>0.13582771896053902</v>
      </c>
      <c r="D158" s="661">
        <v>2.3938142145959015E-2</v>
      </c>
      <c r="E158" s="661">
        <v>0.11472018206268753</v>
      </c>
      <c r="F158" s="661">
        <v>0.15970675575352633</v>
      </c>
      <c r="G158" s="661">
        <v>0.19628710890613751</v>
      </c>
      <c r="H158" s="661">
        <v>0.12929765886287625</v>
      </c>
      <c r="I158" s="661">
        <v>-9.3703725641177557E-2</v>
      </c>
      <c r="J158" s="661">
        <v>0.23416770145742105</v>
      </c>
      <c r="K158" s="661">
        <v>0.17755772082185972</v>
      </c>
      <c r="L158" s="661" t="e">
        <v>#N/A</v>
      </c>
      <c r="M158" s="661">
        <v>0.12622481050101686</v>
      </c>
    </row>
    <row r="159" spans="1:13">
      <c r="A159" s="58" t="str">
        <f t="shared" si="9"/>
        <v>NAS:MSTR</v>
      </c>
      <c r="B159" s="661">
        <v>1.7966358153445938E-2</v>
      </c>
      <c r="C159" s="661">
        <v>6.845080987969876E-3</v>
      </c>
      <c r="D159" s="661">
        <v>-8.6164910404773809E-2</v>
      </c>
      <c r="E159" s="661">
        <v>-3.0724575319560077E-2</v>
      </c>
      <c r="F159" s="661">
        <v>-1.8976263120900172E-2</v>
      </c>
      <c r="G159" s="661">
        <v>-1.2315344263986949E-2</v>
      </c>
      <c r="H159" s="661">
        <v>-2.2729373560700705E-2</v>
      </c>
      <c r="I159" s="661">
        <v>-1.1498436237346477E-2</v>
      </c>
      <c r="J159" s="661">
        <v>6.2460607195232269E-2</v>
      </c>
      <c r="K159" s="661">
        <v>-2.2511463264690779E-2</v>
      </c>
      <c r="L159" s="661" t="e">
        <v>#N/A</v>
      </c>
      <c r="M159" s="661">
        <v>6.1968177963989124E-3</v>
      </c>
    </row>
    <row r="162" spans="1:13" ht="15">
      <c r="A162" s="567" t="str">
        <f>Comparables!J46</f>
        <v>EBITDA Growth</v>
      </c>
    </row>
    <row r="164" spans="1:13">
      <c r="A164" s="58" t="str">
        <f>+A21</f>
        <v>NAS:COIN</v>
      </c>
      <c r="B164" s="661" t="e">
        <v>#N/A</v>
      </c>
      <c r="C164" s="661" t="e">
        <v>#N/A</v>
      </c>
      <c r="D164" s="661" t="e">
        <v>#N/A</v>
      </c>
      <c r="E164" s="661" t="e">
        <v>#N/A</v>
      </c>
      <c r="F164" s="661" t="e">
        <v>#N/A</v>
      </c>
      <c r="G164" s="661" t="e">
        <v>#N/A</v>
      </c>
      <c r="H164" s="661" t="e">
        <v>#N/A</v>
      </c>
      <c r="I164" s="661" t="e">
        <v>#N/A</v>
      </c>
      <c r="J164" s="661">
        <v>6.0877656130370479</v>
      </c>
      <c r="K164" s="661" t="e">
        <v>#N/A</v>
      </c>
      <c r="L164" s="661" t="e">
        <v>#N/A</v>
      </c>
      <c r="M164" s="661" t="e">
        <v>#N/A</v>
      </c>
    </row>
    <row r="165" spans="1:13">
      <c r="B165" s="661"/>
      <c r="C165" s="661"/>
      <c r="D165" s="661"/>
      <c r="E165" s="661"/>
      <c r="F165" s="661"/>
      <c r="G165" s="661"/>
      <c r="H165" s="661"/>
      <c r="I165" s="661"/>
      <c r="J165" s="661"/>
      <c r="K165" s="661"/>
      <c r="L165" s="661"/>
    </row>
    <row r="166" spans="1:13">
      <c r="A166" s="58" t="str">
        <f>B7</f>
        <v>NYS:SQ</v>
      </c>
      <c r="B166" s="661" t="e">
        <v>#N/A</v>
      </c>
      <c r="C166" s="661" t="e">
        <v>#N/A</v>
      </c>
      <c r="D166" s="661" t="e">
        <v>#N/A</v>
      </c>
      <c r="E166" s="661" t="e">
        <v>#N/A</v>
      </c>
      <c r="F166" s="661" t="e">
        <v>#N/A</v>
      </c>
      <c r="G166" s="661" t="e">
        <v>#N/A</v>
      </c>
      <c r="H166" s="661">
        <v>10.101620889387146</v>
      </c>
      <c r="I166" s="661">
        <v>-0.24868143404435261</v>
      </c>
      <c r="J166" s="661">
        <v>-8.8986396805573409E-2</v>
      </c>
      <c r="K166" s="661" t="e">
        <v>#N/A</v>
      </c>
      <c r="L166" s="661" t="e">
        <v>#N/A</v>
      </c>
      <c r="M166" s="661" t="e">
        <v>#N/A</v>
      </c>
    </row>
    <row r="167" spans="1:13">
      <c r="A167" s="58" t="str">
        <f t="shared" ref="A167:A175" si="10">B8</f>
        <v>NAS:PYPL</v>
      </c>
      <c r="B167" s="661">
        <v>0.20738413197172045</v>
      </c>
      <c r="C167" s="661">
        <v>0.15614834092387775</v>
      </c>
      <c r="D167" s="661">
        <v>0.17951603826674178</v>
      </c>
      <c r="E167" s="661">
        <v>9.6851145038167941E-2</v>
      </c>
      <c r="F167" s="661">
        <v>0.27316224445411041</v>
      </c>
      <c r="G167" s="661">
        <v>4.5780662794670413E-2</v>
      </c>
      <c r="H167" s="661">
        <v>0.25057170859196343</v>
      </c>
      <c r="I167" s="661">
        <v>0.66536050156739801</v>
      </c>
      <c r="J167" s="661">
        <v>-0.13113725490196082</v>
      </c>
      <c r="K167" s="661">
        <v>-0.1310705903592706</v>
      </c>
      <c r="L167" s="661" t="e">
        <v>#N/A</v>
      </c>
      <c r="M167" s="661">
        <v>0.29916835243875028</v>
      </c>
    </row>
    <row r="168" spans="1:13">
      <c r="A168" s="58" t="str">
        <f t="shared" si="10"/>
        <v>STO:SFL</v>
      </c>
      <c r="B168" s="661" t="e">
        <v>#N/A</v>
      </c>
      <c r="C168" s="661" t="e">
        <v>#N/A</v>
      </c>
      <c r="D168" s="661" t="e">
        <v>#N/A</v>
      </c>
      <c r="E168" s="661" t="e">
        <v>#N/A</v>
      </c>
      <c r="F168" s="661" t="e">
        <v>#N/A</v>
      </c>
      <c r="G168" s="661" t="e">
        <v>#N/A</v>
      </c>
      <c r="H168" s="661" t="e">
        <v>#N/A</v>
      </c>
      <c r="I168" s="661">
        <v>0.33610545985624918</v>
      </c>
      <c r="J168" s="661" t="e">
        <v>#N/A</v>
      </c>
      <c r="K168" s="661" t="e">
        <v>#N/A</v>
      </c>
      <c r="L168" s="661" t="e">
        <v>#N/A</v>
      </c>
      <c r="M168" s="661" t="e">
        <v>#N/A</v>
      </c>
    </row>
    <row r="169" spans="1:13">
      <c r="A169" s="58" t="str">
        <f t="shared" si="10"/>
        <v>PINX:VYGVQ</v>
      </c>
      <c r="B169" s="661" t="e">
        <v>#N/A</v>
      </c>
      <c r="C169" s="661" t="e">
        <v>#N/A</v>
      </c>
      <c r="D169" s="661" t="e">
        <v>#N/A</v>
      </c>
      <c r="E169" s="661" t="e">
        <v>#N/A</v>
      </c>
      <c r="F169" s="661" t="e">
        <v>#N/A</v>
      </c>
      <c r="G169" s="661" t="e">
        <v>#N/A</v>
      </c>
      <c r="H169" s="661" t="e">
        <v>#N/A</v>
      </c>
      <c r="I169" s="661" t="e">
        <v>#N/A</v>
      </c>
      <c r="J169" s="661" t="e">
        <v>#N/A</v>
      </c>
      <c r="K169" s="661" t="e">
        <v>#N/A</v>
      </c>
      <c r="L169" s="661" t="e">
        <v>#N/A</v>
      </c>
      <c r="M169" s="661" t="e">
        <v>#N/A</v>
      </c>
    </row>
    <row r="170" spans="1:13">
      <c r="A170" s="58" t="str">
        <f t="shared" si="10"/>
        <v>PINX:CRCW</v>
      </c>
      <c r="B170" s="661" t="e">
        <v>#N/A</v>
      </c>
      <c r="C170" s="661" t="e">
        <v>#N/A</v>
      </c>
      <c r="D170" s="661" t="e">
        <v>#N/A</v>
      </c>
      <c r="E170" s="661" t="e">
        <v>#N/A</v>
      </c>
      <c r="F170" s="661" t="e">
        <v>#N/A</v>
      </c>
      <c r="G170" s="661" t="e">
        <v>#N/A</v>
      </c>
      <c r="H170" s="661" t="e">
        <v>#N/A</v>
      </c>
      <c r="I170" s="661" t="e">
        <v>#N/A</v>
      </c>
      <c r="J170" s="661" t="e">
        <v>#N/A</v>
      </c>
      <c r="K170" s="661" t="e">
        <v>#N/A</v>
      </c>
      <c r="L170" s="661" t="e">
        <v>#N/A</v>
      </c>
      <c r="M170" s="661" t="e">
        <v>#N/A</v>
      </c>
    </row>
    <row r="171" spans="1:13">
      <c r="A171" s="58" t="str">
        <f t="shared" si="10"/>
        <v>STU:WD0</v>
      </c>
      <c r="B171" s="661" t="e">
        <v>#N/A</v>
      </c>
      <c r="C171" s="661" t="e">
        <v>#N/A</v>
      </c>
      <c r="D171" s="661" t="e">
        <v>#N/A</v>
      </c>
      <c r="E171" s="661" t="e">
        <v>#N/A</v>
      </c>
      <c r="F171" s="661" t="e">
        <v>#N/A</v>
      </c>
      <c r="G171" s="661" t="e">
        <v>#N/A</v>
      </c>
      <c r="H171" s="661" t="e">
        <v>#N/A</v>
      </c>
      <c r="I171" s="661" t="e">
        <v>#N/A</v>
      </c>
      <c r="J171" s="661" t="e">
        <v>#N/A</v>
      </c>
      <c r="K171" s="661" t="e">
        <v>#N/A</v>
      </c>
      <c r="L171" s="661" t="e">
        <v>#N/A</v>
      </c>
      <c r="M171" s="661" t="e">
        <v>#N/A</v>
      </c>
    </row>
    <row r="172" spans="1:13">
      <c r="A172" s="58" t="str">
        <f t="shared" si="10"/>
        <v>NAS:HOOD</v>
      </c>
      <c r="B172" s="661" t="e">
        <v>#N/A</v>
      </c>
      <c r="C172" s="661" t="e">
        <v>#N/A</v>
      </c>
      <c r="D172" s="661" t="e">
        <v>#N/A</v>
      </c>
      <c r="E172" s="661" t="e">
        <v>#N/A</v>
      </c>
      <c r="F172" s="661" t="e">
        <v>#N/A</v>
      </c>
      <c r="G172" s="661" t="e">
        <v>#N/A</v>
      </c>
      <c r="H172" s="661" t="e">
        <v>#N/A</v>
      </c>
      <c r="I172" s="661" t="e">
        <v>#N/A</v>
      </c>
      <c r="J172" s="661" t="e">
        <v>#N/A</v>
      </c>
      <c r="K172" s="661" t="e">
        <v>#N/A</v>
      </c>
      <c r="L172" s="661" t="e">
        <v>#N/A</v>
      </c>
      <c r="M172" s="661" t="e">
        <v>#N/A</v>
      </c>
    </row>
    <row r="173" spans="1:13">
      <c r="A173" s="58" t="str">
        <f t="shared" si="10"/>
        <v>BOM:532960</v>
      </c>
      <c r="B173" s="661" t="e">
        <v>#N/A</v>
      </c>
      <c r="C173" s="661">
        <v>2.1201592469247084</v>
      </c>
      <c r="D173" s="661">
        <v>0.46664680245552548</v>
      </c>
      <c r="E173" s="661">
        <v>-0.49662446414233252</v>
      </c>
      <c r="F173" s="661">
        <v>0.71901077366860533</v>
      </c>
      <c r="G173" s="661">
        <v>0.67764206601656296</v>
      </c>
      <c r="H173" s="661">
        <v>1.4299785646733434</v>
      </c>
      <c r="I173" s="661">
        <v>-0.51391366845313513</v>
      </c>
      <c r="J173" s="661">
        <v>-0.93978894897014997</v>
      </c>
      <c r="K173" s="661" t="e">
        <v>#N/A</v>
      </c>
      <c r="L173" s="661" t="e">
        <v>#N/A</v>
      </c>
      <c r="M173" s="661" t="e">
        <v>#N/A</v>
      </c>
    </row>
    <row r="174" spans="1:13">
      <c r="A174" s="58" t="str">
        <f t="shared" si="10"/>
        <v>NYS:MA</v>
      </c>
      <c r="B174" s="661">
        <v>0.15071135760790932</v>
      </c>
      <c r="C174" s="661">
        <v>0.14165968147527239</v>
      </c>
      <c r="D174" s="661">
        <v>-1.156387665198233E-2</v>
      </c>
      <c r="E174" s="661">
        <v>0.13537604456824504</v>
      </c>
      <c r="F174" s="661">
        <v>0.163395485770363</v>
      </c>
      <c r="G174" s="661">
        <v>0.103472515113173</v>
      </c>
      <c r="H174" s="661">
        <v>0.33481972225761236</v>
      </c>
      <c r="I174" s="661">
        <v>-0.16770067767490693</v>
      </c>
      <c r="J174" s="661">
        <v>0.31467889908256885</v>
      </c>
      <c r="K174" s="661">
        <v>0.12988485694347518</v>
      </c>
      <c r="L174" s="661" t="e">
        <v>#N/A</v>
      </c>
      <c r="M174" s="661">
        <v>0.16302375128225366</v>
      </c>
    </row>
    <row r="175" spans="1:13">
      <c r="A175" s="58" t="str">
        <f t="shared" si="10"/>
        <v>NAS:MSTR</v>
      </c>
      <c r="B175" s="661">
        <v>-0.21763454271983559</v>
      </c>
      <c r="C175" s="661">
        <v>-0.15166576794129372</v>
      </c>
      <c r="D175" s="661">
        <v>3.3885142604466063</v>
      </c>
      <c r="E175" s="661">
        <v>-0.16448984218547302</v>
      </c>
      <c r="F175" s="661">
        <v>-0.38344362874413979</v>
      </c>
      <c r="G175" s="661">
        <v>-0.7625090157822032</v>
      </c>
      <c r="H175" s="661">
        <v>0.85041437175065626</v>
      </c>
      <c r="I175" s="661" t="e">
        <v>#N/A</v>
      </c>
      <c r="J175" s="661" t="e">
        <v>#N/A</v>
      </c>
      <c r="K175" s="661" t="e">
        <v>#N/A</v>
      </c>
      <c r="L175" s="661" t="e">
        <v>#N/A</v>
      </c>
      <c r="M175" s="661" t="e">
        <v>#N/A</v>
      </c>
    </row>
    <row r="178" spans="1:13" ht="15">
      <c r="A178" s="567" t="str">
        <f>Comparables!J60</f>
        <v>EBIT Margin</v>
      </c>
    </row>
    <row r="180" spans="1:13">
      <c r="A180" s="58" t="str">
        <f>+A21</f>
        <v>NAS:COIN</v>
      </c>
      <c r="B180" s="661" t="e">
        <v>#N/A</v>
      </c>
      <c r="C180" s="661" t="e">
        <v>#N/A</v>
      </c>
      <c r="D180" s="661" t="e">
        <v>#N/A</v>
      </c>
      <c r="E180" s="661" t="e">
        <v>#N/A</v>
      </c>
      <c r="F180" s="661" t="e">
        <v>#N/A</v>
      </c>
      <c r="G180" s="661" t="e">
        <v>#N/A</v>
      </c>
      <c r="H180" s="661">
        <v>-8.5090915903959827E-2</v>
      </c>
      <c r="I180" s="661">
        <v>0.32031709277867931</v>
      </c>
      <c r="J180" s="661">
        <v>0.38983721294520379</v>
      </c>
      <c r="K180" s="661">
        <v>-0.93158648403610522</v>
      </c>
      <c r="L180" s="661" t="e">
        <v>#N/A</v>
      </c>
      <c r="M180" s="661">
        <v>-0.24964902776739989</v>
      </c>
    </row>
    <row r="181" spans="1:13">
      <c r="B181" s="661"/>
      <c r="C181" s="661"/>
      <c r="D181" s="661"/>
      <c r="E181" s="661"/>
      <c r="F181" s="661"/>
      <c r="G181" s="661"/>
      <c r="H181" s="661"/>
      <c r="I181" s="661"/>
      <c r="J181" s="661"/>
      <c r="K181" s="661"/>
      <c r="L181" s="661"/>
    </row>
    <row r="182" spans="1:13">
      <c r="A182" s="58" t="str">
        <f>B7</f>
        <v>NYS:SQ</v>
      </c>
      <c r="B182" s="661">
        <v>-0.18824364221543607</v>
      </c>
      <c r="C182" s="661">
        <v>-0.17700825225360858</v>
      </c>
      <c r="D182" s="661">
        <v>-0.13768094210641788</v>
      </c>
      <c r="E182" s="661">
        <v>-9.9610176266341902E-2</v>
      </c>
      <c r="F182" s="661">
        <v>-2.3760157488778383E-2</v>
      </c>
      <c r="G182" s="661">
        <v>-5.5015240237258336E-3</v>
      </c>
      <c r="H182" s="661">
        <v>8.4805134189031503E-2</v>
      </c>
      <c r="I182" s="661">
        <v>2.8734694255735511E-2</v>
      </c>
      <c r="J182" s="661">
        <v>1.0791224131221413E-2</v>
      </c>
      <c r="K182" s="661">
        <v>-3.0179184576958149E-2</v>
      </c>
      <c r="L182" s="661" t="e">
        <v>#N/A</v>
      </c>
      <c r="M182" s="661">
        <v>-1.3198798873666331E-2</v>
      </c>
    </row>
    <row r="183" spans="1:13">
      <c r="A183" s="58" t="str">
        <f t="shared" ref="A183:A191" si="11">B8</f>
        <v>NAS:PYPL</v>
      </c>
      <c r="B183" s="661">
        <v>0.16114166790545562</v>
      </c>
      <c r="C183" s="661">
        <v>0.15713395638629282</v>
      </c>
      <c r="D183" s="661">
        <v>0.16089965397923875</v>
      </c>
      <c r="E183" s="661">
        <v>0.14526840066408411</v>
      </c>
      <c r="F183" s="661">
        <v>0.16205895830151215</v>
      </c>
      <c r="G183" s="661">
        <v>0.14788686816387289</v>
      </c>
      <c r="H183" s="661">
        <v>0.16407832545577314</v>
      </c>
      <c r="I183" s="661">
        <v>0.24172648457164164</v>
      </c>
      <c r="J183" s="661">
        <v>0.16846005281620749</v>
      </c>
      <c r="K183" s="661">
        <v>0.12704411657823969</v>
      </c>
      <c r="L183" s="661" t="e">
        <v>#N/A</v>
      </c>
      <c r="M183" s="661">
        <v>0.15946855259544082</v>
      </c>
    </row>
    <row r="184" spans="1:13">
      <c r="A184" s="58" t="str">
        <f t="shared" si="11"/>
        <v>STO:SFL</v>
      </c>
      <c r="B184" s="661" t="e">
        <v>#N/A</v>
      </c>
      <c r="C184" s="661" t="e">
        <v>#N/A</v>
      </c>
      <c r="D184" s="661" t="e">
        <v>#N/A</v>
      </c>
      <c r="E184" s="661" t="e">
        <v>#N/A</v>
      </c>
      <c r="F184" s="661" t="e">
        <v>#N/A</v>
      </c>
      <c r="G184" s="661" t="e">
        <v>#N/A</v>
      </c>
      <c r="H184" s="661">
        <v>1.2392306953645466E-3</v>
      </c>
      <c r="I184" s="661">
        <v>2.8126269809020726E-3</v>
      </c>
      <c r="J184" s="661">
        <v>-1.944061074181486E-2</v>
      </c>
      <c r="K184" s="661">
        <v>-3.3876307690369159E-2</v>
      </c>
      <c r="L184" s="661" t="e">
        <v>#N/A</v>
      </c>
      <c r="M184" s="661">
        <v>-1.0561203687872372E-2</v>
      </c>
    </row>
    <row r="185" spans="1:13">
      <c r="A185" s="58" t="str">
        <f t="shared" si="11"/>
        <v>PINX:VYGVQ</v>
      </c>
      <c r="B185" s="661" t="e">
        <v>#N/A</v>
      </c>
      <c r="C185" s="661" t="e">
        <v>#N/A</v>
      </c>
      <c r="D185" s="661" t="e">
        <v>#N/A</v>
      </c>
      <c r="E185" s="661" t="e">
        <v>#N/A</v>
      </c>
      <c r="F185" s="661" t="e">
        <v>#N/A</v>
      </c>
      <c r="G185" s="661" t="e">
        <v>#N/A</v>
      </c>
      <c r="H185" s="661">
        <v>-352.83522297808014</v>
      </c>
      <c r="I185" s="661">
        <v>-8.8434782608695652</v>
      </c>
      <c r="J185" s="661">
        <v>-0.2304748194863358</v>
      </c>
      <c r="K185" s="661" t="e">
        <v>#N/A</v>
      </c>
      <c r="L185" s="661" t="e">
        <v>#N/A</v>
      </c>
      <c r="M185" s="661">
        <v>-9.7388168837008293E-2</v>
      </c>
    </row>
    <row r="186" spans="1:13">
      <c r="A186" s="58" t="str">
        <f t="shared" si="11"/>
        <v>PINX:CRCW</v>
      </c>
      <c r="B186" s="661" t="e">
        <v>#N/A</v>
      </c>
      <c r="C186" s="661" t="e">
        <v>#N/A</v>
      </c>
      <c r="D186" s="661">
        <v>-17.88961038961039</v>
      </c>
      <c r="E186" s="661" t="e">
        <v>#N/A</v>
      </c>
      <c r="F186" s="661" t="e">
        <v>#N/A</v>
      </c>
      <c r="G186" s="661">
        <v>-1808.4756</v>
      </c>
      <c r="H186" s="661">
        <v>-27.444716547769342</v>
      </c>
      <c r="I186" s="661">
        <v>-190.95006944444444</v>
      </c>
      <c r="J186" s="661">
        <v>-1.7702438373313203</v>
      </c>
      <c r="K186" s="661">
        <v>-6.3044736561760537</v>
      </c>
      <c r="L186" s="661" t="e">
        <v>#N/A</v>
      </c>
      <c r="M186" s="661">
        <v>-4.677593512232904</v>
      </c>
    </row>
    <row r="187" spans="1:13">
      <c r="A187" s="58" t="str">
        <f t="shared" si="11"/>
        <v>STU:WD0</v>
      </c>
      <c r="B187" s="661" t="e">
        <v>#N/A</v>
      </c>
      <c r="C187" s="661" t="e">
        <v>#N/A</v>
      </c>
      <c r="D187" s="661" t="e">
        <v>#N/A</v>
      </c>
      <c r="E187" s="661" t="e">
        <v>#N/A</v>
      </c>
      <c r="F187" s="661" t="e">
        <v>#N/A</v>
      </c>
      <c r="G187" s="661" t="e">
        <v>#N/A</v>
      </c>
      <c r="H187" s="661" t="e">
        <v>#N/A</v>
      </c>
      <c r="I187" s="661" t="e">
        <v>#N/A</v>
      </c>
      <c r="J187" s="661" t="e">
        <v>#N/A</v>
      </c>
      <c r="K187" s="661" t="e">
        <v>#N/A</v>
      </c>
      <c r="L187" s="661" t="e">
        <v>#N/A</v>
      </c>
      <c r="M187" s="661" t="e">
        <v>#N/A</v>
      </c>
    </row>
    <row r="188" spans="1:13">
      <c r="A188" s="58" t="str">
        <f t="shared" si="11"/>
        <v>NAS:HOOD</v>
      </c>
      <c r="B188" s="661" t="e">
        <v>#N/A</v>
      </c>
      <c r="C188" s="661" t="e">
        <v>#N/A</v>
      </c>
      <c r="D188" s="661" t="e">
        <v>#N/A</v>
      </c>
      <c r="E188" s="661" t="e">
        <v>#N/A</v>
      </c>
      <c r="F188" s="661" t="e">
        <v>#N/A</v>
      </c>
      <c r="G188" s="661" t="e">
        <v>#N/A</v>
      </c>
      <c r="H188" s="661">
        <v>-0.38765480141100339</v>
      </c>
      <c r="I188" s="661">
        <v>1.3569937369519834E-2</v>
      </c>
      <c r="J188" s="661">
        <v>-2.0303030303030303</v>
      </c>
      <c r="K188" s="661">
        <v>-0.75625920471281294</v>
      </c>
      <c r="L188" s="661" t="e">
        <v>#N/A</v>
      </c>
      <c r="M188" s="661">
        <v>-0.41149943630214197</v>
      </c>
    </row>
    <row r="189" spans="1:13">
      <c r="A189" s="58" t="str">
        <f t="shared" si="11"/>
        <v>BOM:532960</v>
      </c>
      <c r="B189" s="661">
        <v>0.23851400614988097</v>
      </c>
      <c r="C189" s="661">
        <v>0.52516102368650708</v>
      </c>
      <c r="D189" s="661">
        <v>0.63689985949937766</v>
      </c>
      <c r="E189" s="661">
        <v>0.24101413392603091</v>
      </c>
      <c r="F189" s="661">
        <v>0.4206421868192145</v>
      </c>
      <c r="G189" s="661">
        <v>0.40206279754490098</v>
      </c>
      <c r="H189" s="661">
        <v>0.39719710306709549</v>
      </c>
      <c r="I189" s="661">
        <v>0.11862481065923364</v>
      </c>
      <c r="J189" s="661">
        <v>-5.0099087391385286E-2</v>
      </c>
      <c r="K189" s="661">
        <v>-0.67697941863798961</v>
      </c>
      <c r="L189" s="661">
        <v>-0.8585122116383006</v>
      </c>
      <c r="M189" s="661">
        <v>-1.3054856490668327</v>
      </c>
    </row>
    <row r="190" spans="1:13">
      <c r="A190" s="58" t="str">
        <f t="shared" si="11"/>
        <v>NYS:MA</v>
      </c>
      <c r="B190" s="661">
        <v>0.54307025986525503</v>
      </c>
      <c r="C190" s="661">
        <v>0.54305687956784243</v>
      </c>
      <c r="D190" s="661">
        <v>0.51918899348298331</v>
      </c>
      <c r="E190" s="661">
        <v>0.53275798069784708</v>
      </c>
      <c r="F190" s="661">
        <v>0.53420820997039287</v>
      </c>
      <c r="G190" s="661">
        <v>0.49431438127090299</v>
      </c>
      <c r="H190" s="661">
        <v>0.58964638985962214</v>
      </c>
      <c r="I190" s="661">
        <v>0.53199137311286848</v>
      </c>
      <c r="J190" s="661">
        <v>0.56862952764244867</v>
      </c>
      <c r="K190" s="661">
        <v>0.54877006790484328</v>
      </c>
      <c r="L190" s="661" t="e">
        <v>#N/A</v>
      </c>
      <c r="M190" s="661">
        <v>0.57294701850863872</v>
      </c>
    </row>
    <row r="191" spans="1:13">
      <c r="A191" s="58" t="str">
        <f t="shared" si="11"/>
        <v>NAS:MSTR</v>
      </c>
      <c r="B191" s="661">
        <v>2.8224238046286779E-2</v>
      </c>
      <c r="C191" s="661">
        <v>1.8779642308952623E-2</v>
      </c>
      <c r="D191" s="661">
        <v>0.2596490830752507</v>
      </c>
      <c r="E191" s="661">
        <v>0.219494576402532</v>
      </c>
      <c r="F191" s="661">
        <v>0.13152708284128189</v>
      </c>
      <c r="G191" s="661">
        <v>1.7335894766878735E-2</v>
      </c>
      <c r="H191" s="661">
        <v>5.6246106015088615E-2</v>
      </c>
      <c r="I191" s="661">
        <v>-4.2982100325543178E-2</v>
      </c>
      <c r="J191" s="661">
        <v>-1.5315156569987587</v>
      </c>
      <c r="K191" s="661">
        <v>-2.5424004134085374</v>
      </c>
      <c r="L191" s="661" t="e">
        <v>#N/A</v>
      </c>
      <c r="M191" s="661">
        <v>-0.44890359704241856</v>
      </c>
    </row>
    <row r="194" spans="1:13" ht="15">
      <c r="A194" s="567" t="str">
        <f>Comparables!J74</f>
        <v>DD&amp;A, % of Sales</v>
      </c>
    </row>
    <row r="196" spans="1:13">
      <c r="A196" s="58" t="str">
        <f>+A21</f>
        <v>NAS:COIN</v>
      </c>
      <c r="B196" s="637" t="e">
        <v>#N/A</v>
      </c>
      <c r="C196" s="637" t="e">
        <v>#N/A</v>
      </c>
      <c r="D196" s="637" t="e">
        <v>#N/A</v>
      </c>
      <c r="E196" s="637" t="e">
        <v>#N/A</v>
      </c>
      <c r="F196" s="637" t="e">
        <v>#N/A</v>
      </c>
      <c r="G196" s="637" t="e">
        <v>#N/A</v>
      </c>
      <c r="H196" s="637">
        <v>3.4947789518147879E-2</v>
      </c>
      <c r="I196" s="637">
        <v>2.7131874651124682E-2</v>
      </c>
      <c r="J196" s="637">
        <v>8.6544034857458842E-3</v>
      </c>
      <c r="K196" s="637">
        <v>4.8929200349972925E-2</v>
      </c>
      <c r="L196" s="637" t="e">
        <v>#N/A</v>
      </c>
      <c r="M196" s="661">
        <v>5.7294902483889437E-2</v>
      </c>
    </row>
    <row r="197" spans="1:13">
      <c r="B197" s="637"/>
      <c r="C197" s="637"/>
      <c r="D197" s="637"/>
      <c r="E197" s="637"/>
      <c r="F197" s="637"/>
      <c r="G197" s="637"/>
      <c r="H197" s="637"/>
      <c r="I197" s="637"/>
      <c r="J197" s="637"/>
      <c r="K197" s="637"/>
      <c r="L197" s="637"/>
    </row>
    <row r="198" spans="1:13">
      <c r="A198" s="58" t="str">
        <f>B7</f>
        <v>NYS:SQ</v>
      </c>
      <c r="B198" s="637">
        <v>1.4973761524021918E-2</v>
      </c>
      <c r="C198" s="637">
        <v>2.1860944351393567E-2</v>
      </c>
      <c r="D198" s="637">
        <v>2.1802231520663427E-2</v>
      </c>
      <c r="E198" s="637">
        <v>2.2089621418593205E-2</v>
      </c>
      <c r="F198" s="637">
        <v>1.6835926156586443E-2</v>
      </c>
      <c r="G198" s="637">
        <v>1.8483240893378373E-2</v>
      </c>
      <c r="H198" s="637">
        <v>1.6038612496022064E-2</v>
      </c>
      <c r="I198" s="637">
        <v>8.8666815897695175E-3</v>
      </c>
      <c r="J198" s="637">
        <v>7.6301144378443531E-3</v>
      </c>
      <c r="K198" s="637">
        <v>1.9423398463584613E-2</v>
      </c>
      <c r="L198" s="637" t="e">
        <v>#N/A</v>
      </c>
      <c r="M198" s="661">
        <v>1.895512165999318E-2</v>
      </c>
    </row>
    <row r="199" spans="1:13">
      <c r="A199" s="58" t="str">
        <f t="shared" ref="A199:A207" si="12">B8</f>
        <v>NAS:PYPL</v>
      </c>
      <c r="B199" s="637">
        <v>6.7340567860859221E-2</v>
      </c>
      <c r="C199" s="637">
        <v>6.4299065420560741E-2</v>
      </c>
      <c r="D199" s="637">
        <v>6.5743944636678195E-2</v>
      </c>
      <c r="E199" s="637">
        <v>6.6777347352886915E-2</v>
      </c>
      <c r="F199" s="637">
        <v>6.1478539789216434E-2</v>
      </c>
      <c r="G199" s="637">
        <v>5.0223286518671931E-2</v>
      </c>
      <c r="H199" s="637">
        <v>5.1316677920324107E-2</v>
      </c>
      <c r="I199" s="637">
        <v>5.5420900531369444E-2</v>
      </c>
      <c r="J199" s="637">
        <v>4.9860076465255608E-2</v>
      </c>
      <c r="K199" s="637">
        <v>4.7859582818518785E-2</v>
      </c>
      <c r="L199" s="637" t="e">
        <v>#N/A</v>
      </c>
      <c r="M199" s="661">
        <v>3.8965943422136773E-2</v>
      </c>
    </row>
    <row r="200" spans="1:13">
      <c r="A200" s="58" t="str">
        <f t="shared" si="12"/>
        <v>STO:SFL</v>
      </c>
      <c r="B200" s="637" t="e">
        <v>#N/A</v>
      </c>
      <c r="C200" s="637" t="e">
        <v>#N/A</v>
      </c>
      <c r="D200" s="637" t="e">
        <v>#N/A</v>
      </c>
      <c r="E200" s="637" t="e">
        <v>#N/A</v>
      </c>
      <c r="F200" s="637" t="e">
        <v>#N/A</v>
      </c>
      <c r="G200" s="637" t="e">
        <v>#N/A</v>
      </c>
      <c r="H200" s="637" t="e">
        <v>#N/A</v>
      </c>
      <c r="I200" s="637">
        <v>6.4982476635514026E-3</v>
      </c>
      <c r="J200" s="637">
        <v>4.5454665403523954E-3</v>
      </c>
      <c r="K200" s="637">
        <v>1.4400738386323471E-2</v>
      </c>
      <c r="L200" s="637" t="e">
        <v>#N/A</v>
      </c>
      <c r="M200" s="661">
        <v>2.8799121458707249E-3</v>
      </c>
    </row>
    <row r="201" spans="1:13">
      <c r="A201" s="58" t="str">
        <f t="shared" si="12"/>
        <v>PINX:VYGVQ</v>
      </c>
      <c r="B201" s="637" t="e">
        <v>#DIV/0!</v>
      </c>
      <c r="C201" s="637" t="e">
        <v>#DIV/0!</v>
      </c>
      <c r="D201" s="637" t="e">
        <v>#N/A</v>
      </c>
      <c r="E201" s="637" t="e">
        <v>#N/A</v>
      </c>
      <c r="F201" s="637" t="e">
        <v>#DIV/0!</v>
      </c>
      <c r="G201" s="637" t="e">
        <v>#DIV/0!</v>
      </c>
      <c r="H201" s="637">
        <v>0.2246844865892485</v>
      </c>
      <c r="I201" s="637">
        <v>0.13565217391304349</v>
      </c>
      <c r="J201" s="637">
        <v>1.7765743533497851E-3</v>
      </c>
      <c r="K201" s="637" t="e">
        <v>#N/A</v>
      </c>
      <c r="L201" s="637" t="e">
        <v>#N/A</v>
      </c>
      <c r="M201" s="661">
        <v>1.0027505300735125E-2</v>
      </c>
    </row>
    <row r="202" spans="1:13">
      <c r="A202" s="58" t="str">
        <f t="shared" si="12"/>
        <v>PINX:CRCW</v>
      </c>
      <c r="B202" s="637" t="e">
        <v>#N/A</v>
      </c>
      <c r="C202" s="637" t="e">
        <v>#N/A</v>
      </c>
      <c r="D202" s="637" t="e">
        <v>#N/A</v>
      </c>
      <c r="E202" s="637" t="e">
        <v>#N/A</v>
      </c>
      <c r="F202" s="637" t="e">
        <v>#N/A</v>
      </c>
      <c r="G202" s="637" t="e">
        <v>#N/A</v>
      </c>
      <c r="H202" s="637">
        <v>0.34310877203656664</v>
      </c>
      <c r="I202" s="637">
        <v>0</v>
      </c>
      <c r="J202" s="637">
        <v>7.4787367219573256E-2</v>
      </c>
      <c r="K202" s="637">
        <v>0.21072799408591564</v>
      </c>
      <c r="L202" s="637" t="e">
        <v>#N/A</v>
      </c>
      <c r="M202" s="661">
        <v>0.11231615439096418</v>
      </c>
    </row>
    <row r="203" spans="1:13">
      <c r="A203" s="58" t="str">
        <f t="shared" si="12"/>
        <v>STU:WD0</v>
      </c>
      <c r="B203" s="637" t="e">
        <v>#N/A</v>
      </c>
      <c r="C203" s="637" t="e">
        <v>#N/A</v>
      </c>
      <c r="D203" s="637" t="e">
        <v>#N/A</v>
      </c>
      <c r="E203" s="637" t="e">
        <v>#N/A</v>
      </c>
      <c r="F203" s="637" t="e">
        <v>#N/A</v>
      </c>
      <c r="G203" s="637" t="e">
        <v>#N/A</v>
      </c>
      <c r="H203" s="637" t="e">
        <v>#N/A</v>
      </c>
      <c r="I203" s="637" t="e">
        <v>#N/A</v>
      </c>
      <c r="J203" s="637" t="e">
        <v>#N/A</v>
      </c>
      <c r="K203" s="637" t="e">
        <v>#N/A</v>
      </c>
      <c r="L203" s="637" t="e">
        <v>#N/A</v>
      </c>
      <c r="M203" s="661" t="e">
        <v>#N/A</v>
      </c>
    </row>
    <row r="204" spans="1:13">
      <c r="A204" s="58" t="str">
        <f t="shared" si="12"/>
        <v>NAS:HOOD</v>
      </c>
      <c r="B204" s="637" t="e">
        <v>#N/A</v>
      </c>
      <c r="C204" s="637" t="e">
        <v>#N/A</v>
      </c>
      <c r="D204" s="637" t="e">
        <v>#N/A</v>
      </c>
      <c r="E204" s="637" t="e">
        <v>#N/A</v>
      </c>
      <c r="F204" s="637" t="e">
        <v>#N/A</v>
      </c>
      <c r="G204" s="637" t="e">
        <v>#N/A</v>
      </c>
      <c r="H204" s="637">
        <v>2.2545243715575435E-2</v>
      </c>
      <c r="I204" s="637">
        <v>1.1148272017837236E-2</v>
      </c>
      <c r="J204" s="637">
        <v>1.5681544028950542E-2</v>
      </c>
      <c r="K204" s="637">
        <v>4.9273021001615507E-2</v>
      </c>
      <c r="L204" s="637" t="e">
        <v>#N/A</v>
      </c>
      <c r="M204" s="661">
        <v>4.3531575720416923E-2</v>
      </c>
    </row>
    <row r="205" spans="1:13">
      <c r="A205" s="58" t="str">
        <f t="shared" si="12"/>
        <v>BOM:532960</v>
      </c>
      <c r="B205" s="637">
        <v>4.9225565665266098E-2</v>
      </c>
      <c r="C205" s="637">
        <v>1.8737797703850829E-2</v>
      </c>
      <c r="D205" s="637">
        <v>4.1646041255588073E-2</v>
      </c>
      <c r="E205" s="637">
        <v>6.4561798544588267E-2</v>
      </c>
      <c r="F205" s="637">
        <v>6.1934717886829159E-2</v>
      </c>
      <c r="G205" s="637">
        <v>1.5954180286064636E-2</v>
      </c>
      <c r="H205" s="637">
        <v>1.4451473956598491E-2</v>
      </c>
      <c r="I205" s="637">
        <v>5.3396223733058579E-2</v>
      </c>
      <c r="J205" s="637">
        <v>6.845873380967149E-2</v>
      </c>
      <c r="K205" s="637">
        <v>7.5777311504243772E-2</v>
      </c>
      <c r="L205" s="637">
        <v>0.16397309376551847</v>
      </c>
      <c r="M205" s="661">
        <v>0.17774742876412072</v>
      </c>
    </row>
    <row r="206" spans="1:13">
      <c r="A206" s="58" t="str">
        <f t="shared" si="12"/>
        <v>NYS:MA</v>
      </c>
      <c r="B206" s="637">
        <v>3.1039461020211743E-2</v>
      </c>
      <c r="C206" s="637">
        <v>3.4000635525897681E-2</v>
      </c>
      <c r="D206" s="637">
        <v>3.1400137268359642E-2</v>
      </c>
      <c r="E206" s="637">
        <v>2.8425544886450237E-2</v>
      </c>
      <c r="F206" s="637">
        <v>2.8208107410276271E-2</v>
      </c>
      <c r="G206" s="637">
        <v>2.4833630904074012E-2</v>
      </c>
      <c r="H206" s="637">
        <v>2.5028768699654775E-2</v>
      </c>
      <c r="I206" s="637">
        <v>3.0689454468490397E-2</v>
      </c>
      <c r="J206" s="637">
        <v>3.8445244651556874E-2</v>
      </c>
      <c r="K206" s="637">
        <v>3.3727571165175156E-2</v>
      </c>
      <c r="L206" s="637" t="e">
        <v>#N/A</v>
      </c>
      <c r="M206" s="661">
        <v>3.1928427791685476E-2</v>
      </c>
    </row>
    <row r="207" spans="1:13">
      <c r="A207" s="58" t="str">
        <f t="shared" si="12"/>
        <v>NAS:MSTR</v>
      </c>
      <c r="B207" s="637">
        <v>6.0322095632423439E-2</v>
      </c>
      <c r="C207" s="637">
        <v>5.697367205958867E-2</v>
      </c>
      <c r="D207" s="637">
        <v>4.9481948675365386E-2</v>
      </c>
      <c r="E207" s="637">
        <v>4.6318488378574219E-2</v>
      </c>
      <c r="F207" s="637">
        <v>3.7443558632726713E-2</v>
      </c>
      <c r="G207" s="637">
        <v>8.9430049559857238E-3</v>
      </c>
      <c r="H207" s="637">
        <v>2.1017363658596234E-2</v>
      </c>
      <c r="I207" s="637">
        <v>3.2978857613559627E-2</v>
      </c>
      <c r="J207" s="637">
        <v>2.6656840702024492E-2</v>
      </c>
      <c r="K207" s="637">
        <v>2.6280618225321135E-2</v>
      </c>
      <c r="L207" s="637" t="e">
        <v>#N/A</v>
      </c>
      <c r="M207" s="661">
        <v>3.1296991160391807E-2</v>
      </c>
    </row>
    <row r="210" spans="1:13" ht="15">
      <c r="A210" s="567" t="str">
        <f>Comparables!J88</f>
        <v>Capital Spending, % of Sales</v>
      </c>
    </row>
    <row r="212" spans="1:13">
      <c r="A212" s="58" t="str">
        <f>+A21</f>
        <v>NAS:COIN</v>
      </c>
      <c r="B212" s="637"/>
      <c r="C212" s="637"/>
      <c r="D212" s="637"/>
      <c r="E212" s="637"/>
      <c r="F212" s="637"/>
      <c r="G212" s="637"/>
      <c r="H212" s="637">
        <v>-6.4661071873013509E-2</v>
      </c>
      <c r="I212" s="637">
        <v>-8.6867215753697758E-3</v>
      </c>
      <c r="J212" s="637">
        <v>-3.0011884831482446E-3</v>
      </c>
      <c r="K212" s="637">
        <v>-1.9384435097012685E-2</v>
      </c>
      <c r="L212" s="637"/>
      <c r="M212" s="637">
        <v>-2.4685478565946717E-2</v>
      </c>
    </row>
    <row r="213" spans="1:13">
      <c r="B213" s="637"/>
      <c r="C213" s="637"/>
      <c r="D213" s="637"/>
      <c r="E213" s="637"/>
      <c r="F213" s="637"/>
      <c r="G213" s="637"/>
      <c r="H213" s="637"/>
      <c r="I213" s="637"/>
      <c r="J213" s="637"/>
      <c r="K213" s="637"/>
      <c r="L213" s="637"/>
    </row>
    <row r="214" spans="1:13">
      <c r="A214" s="58" t="str">
        <f>B7</f>
        <v>NYS:SQ</v>
      </c>
      <c r="B214" s="637">
        <v>-8.6763462718555909E-2</v>
      </c>
      <c r="C214" s="637">
        <v>-3.3867644014528485E-2</v>
      </c>
      <c r="D214" s="637">
        <v>-2.9541053003745509E-2</v>
      </c>
      <c r="E214" s="637">
        <v>-1.4711003142116237E-2</v>
      </c>
      <c r="F214" s="637">
        <v>-1.1785916062888929E-2</v>
      </c>
      <c r="G214" s="637">
        <v>-1.8556614760214505E-2</v>
      </c>
      <c r="H214" s="637">
        <v>-1.3259361408719635E-2</v>
      </c>
      <c r="I214" s="637">
        <v>-1.4572346760405653E-2</v>
      </c>
      <c r="J214" s="637">
        <v>-7.6053709365098178E-3</v>
      </c>
      <c r="K214" s="637">
        <v>-9.7432708174108821E-3</v>
      </c>
      <c r="L214" s="637"/>
      <c r="M214" s="637">
        <v>-7.1446904782618672E-3</v>
      </c>
    </row>
    <row r="215" spans="1:13">
      <c r="A215" s="58" t="str">
        <f t="shared" ref="A215:A223" si="13">B8</f>
        <v>NAS:PYPL</v>
      </c>
      <c r="B215" s="637">
        <v>-5.8123977999108074E-2</v>
      </c>
      <c r="C215" s="637">
        <v>-6.1308411214953271E-2</v>
      </c>
      <c r="D215" s="637">
        <v>-7.5259515570934257E-2</v>
      </c>
      <c r="E215" s="637">
        <v>-6.1704482567791923E-2</v>
      </c>
      <c r="F215" s="637">
        <v>-5.0939361539636477E-2</v>
      </c>
      <c r="G215" s="637">
        <v>-5.3070998640864668E-2</v>
      </c>
      <c r="H215" s="637">
        <v>-3.8656313301823092E-2</v>
      </c>
      <c r="I215" s="637">
        <v>-3.4772070476368044E-2</v>
      </c>
      <c r="J215" s="637">
        <v>-3.5591817429348471E-2</v>
      </c>
      <c r="K215" s="637">
        <v>-2.5474235046151608E-2</v>
      </c>
      <c r="L215" s="637"/>
      <c r="M215" s="637">
        <v>-2.0324086789343589E-2</v>
      </c>
    </row>
    <row r="216" spans="1:13">
      <c r="A216" s="58" t="str">
        <f t="shared" si="13"/>
        <v>STO:SFL</v>
      </c>
      <c r="B216" s="637"/>
      <c r="C216" s="637"/>
      <c r="D216" s="637"/>
      <c r="E216" s="637"/>
      <c r="F216" s="637"/>
      <c r="G216" s="637"/>
      <c r="H216" s="637">
        <v>-8.116941453525829E-4</v>
      </c>
      <c r="I216" s="637">
        <v>-4.1268793173506711E-5</v>
      </c>
      <c r="J216" s="637">
        <v>-5.3701157675571122E-4</v>
      </c>
      <c r="K216" s="637">
        <v>-2.4255864721577322E-4</v>
      </c>
      <c r="L216" s="637"/>
      <c r="M216" s="637">
        <v>0</v>
      </c>
    </row>
    <row r="217" spans="1:13">
      <c r="A217" s="58" t="str">
        <f t="shared" si="13"/>
        <v>PINX:VYGVQ</v>
      </c>
      <c r="B217" s="637"/>
      <c r="C217" s="637"/>
      <c r="D217" s="637"/>
      <c r="E217" s="637"/>
      <c r="F217" s="637"/>
      <c r="G217" s="637"/>
      <c r="H217" s="637">
        <v>-0.38790398314207836</v>
      </c>
      <c r="I217" s="637">
        <v>0</v>
      </c>
      <c r="J217" s="637">
        <v>0</v>
      </c>
      <c r="K217" s="637"/>
      <c r="L217" s="637"/>
      <c r="M217" s="637">
        <v>0</v>
      </c>
    </row>
    <row r="218" spans="1:13">
      <c r="A218" s="58" t="str">
        <f t="shared" si="13"/>
        <v>PINX:CRCW</v>
      </c>
      <c r="B218" s="637"/>
      <c r="C218" s="637"/>
      <c r="D218" s="637">
        <v>0</v>
      </c>
      <c r="E218" s="637"/>
      <c r="F218" s="637"/>
      <c r="G218" s="637"/>
      <c r="H218" s="637">
        <v>0</v>
      </c>
      <c r="I218" s="637">
        <v>0</v>
      </c>
      <c r="J218" s="637">
        <v>0</v>
      </c>
      <c r="K218" s="637">
        <v>-8.0705299755624349E-2</v>
      </c>
      <c r="L218" s="637"/>
      <c r="M218" s="637">
        <v>0</v>
      </c>
    </row>
    <row r="219" spans="1:13">
      <c r="A219" s="58" t="str">
        <f t="shared" si="13"/>
        <v>STU:WD0</v>
      </c>
      <c r="B219" s="637"/>
      <c r="C219" s="637"/>
      <c r="D219" s="637"/>
      <c r="E219" s="637"/>
      <c r="F219" s="637"/>
      <c r="G219" s="637"/>
      <c r="H219" s="637"/>
      <c r="I219" s="637"/>
      <c r="J219" s="637"/>
      <c r="K219" s="637"/>
      <c r="L219" s="637"/>
      <c r="M219" s="637"/>
    </row>
    <row r="220" spans="1:13">
      <c r="A220" s="58" t="str">
        <f t="shared" si="13"/>
        <v>NAS:HOOD</v>
      </c>
      <c r="B220" s="637"/>
      <c r="C220" s="637"/>
      <c r="D220" s="637"/>
      <c r="E220" s="637"/>
      <c r="F220" s="637"/>
      <c r="G220" s="637"/>
      <c r="H220" s="637">
        <v>-3.0045140183045514E-2</v>
      </c>
      <c r="I220" s="637">
        <v>-2.6755852842809364E-2</v>
      </c>
      <c r="J220" s="637">
        <v>-3.7997587454764774E-2</v>
      </c>
      <c r="K220" s="637">
        <v>-2.3424878836833602E-2</v>
      </c>
      <c r="L220" s="637"/>
      <c r="M220" s="637">
        <v>-1.2875536480686695E-2</v>
      </c>
    </row>
    <row r="221" spans="1:13">
      <c r="A221" s="58" t="str">
        <f t="shared" si="13"/>
        <v>BOM:532960</v>
      </c>
      <c r="B221" s="637">
        <v>-1.8642113405047969E-2</v>
      </c>
      <c r="C221" s="637">
        <v>-1.7639810362941797E-2</v>
      </c>
      <c r="D221" s="637">
        <v>-1.2896307313314618E-2</v>
      </c>
      <c r="E221" s="637">
        <v>-9.1658489459572667E-2</v>
      </c>
      <c r="F221" s="637">
        <v>0</v>
      </c>
      <c r="G221" s="637">
        <v>-9.1483815447108929E-2</v>
      </c>
      <c r="H221" s="637">
        <v>-4.6958143517399034E-2</v>
      </c>
      <c r="I221" s="637">
        <v>-0.37223450464885721</v>
      </c>
      <c r="J221" s="637">
        <v>-2.5922628252794472E-2</v>
      </c>
      <c r="K221" s="637">
        <v>-4.7989194055007123E-2</v>
      </c>
      <c r="L221" s="637">
        <v>0</v>
      </c>
      <c r="M221" s="637">
        <v>0</v>
      </c>
    </row>
    <row r="222" spans="1:13">
      <c r="A222" s="58" t="str">
        <f t="shared" si="13"/>
        <v>NYS:MA</v>
      </c>
      <c r="B222" s="637">
        <v>-1.8647738209817133E-2</v>
      </c>
      <c r="C222" s="637">
        <v>-1.8536172015676304E-2</v>
      </c>
      <c r="D222" s="637">
        <v>-1.5185312285518188E-2</v>
      </c>
      <c r="E222" s="637">
        <v>-1.6384697454656302E-2</v>
      </c>
      <c r="F222" s="637">
        <v>-1.9364833462432222E-2</v>
      </c>
      <c r="G222" s="637">
        <v>-1.7854244440837528E-2</v>
      </c>
      <c r="H222" s="637">
        <v>-2.023398542385884E-2</v>
      </c>
      <c r="I222" s="637">
        <v>-1.9524842584263718E-2</v>
      </c>
      <c r="J222" s="637">
        <v>-2.155263715314552E-2</v>
      </c>
      <c r="K222" s="637">
        <v>-2.9455412150919638E-2</v>
      </c>
      <c r="L222" s="637"/>
      <c r="M222" s="637">
        <v>-3.0122706939713546E-2</v>
      </c>
    </row>
    <row r="223" spans="1:13">
      <c r="A223" s="58" t="str">
        <f t="shared" si="13"/>
        <v>NAS:MSTR</v>
      </c>
      <c r="B223" s="637">
        <v>-2.5233414222843746E-2</v>
      </c>
      <c r="C223" s="637">
        <v>-2.7929374719861615E-2</v>
      </c>
      <c r="D223" s="637">
        <v>-2.2387467869621806E-2</v>
      </c>
      <c r="E223" s="637">
        <v>-5.4275124017613289E-3</v>
      </c>
      <c r="F223" s="637">
        <v>-9.5995525673137887E-3</v>
      </c>
      <c r="G223" s="637">
        <v>-1.6542505249575321E-2</v>
      </c>
      <c r="H223" s="637">
        <v>-2.4900953778429935E-2</v>
      </c>
      <c r="I223" s="637">
        <v>-9.0313388199149552E-3</v>
      </c>
      <c r="J223" s="637">
        <v>-6.3508902042329878E-3</v>
      </c>
      <c r="K223" s="637">
        <v>-6.0082413930612789E-3</v>
      </c>
      <c r="L223" s="637"/>
      <c r="M223" s="637">
        <v>-7.5560614790767837E-3</v>
      </c>
    </row>
    <row r="228" spans="13:13"/>
    <row r="231" spans="13:13"/>
    <row r="233" spans="13:13"/>
    <row r="234" spans="13:13"/>
    <row r="235" spans="13:13"/>
    <row r="237" spans="13:13"/>
    <row r="238" spans="13:13"/>
    <row r="239" spans="13:13"/>
    <row r="276" spans="13:13"/>
    <row r="278" spans="13:13"/>
    <row r="280" spans="13:13"/>
    <row r="284" spans="13:13"/>
    <row r="292" spans="13:13"/>
    <row r="294" spans="13:13"/>
    <row r="295" spans="13:13"/>
    <row r="301" spans="13:13"/>
  </sheetData>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EBA2D-9F86-4AF4-A8AB-A20ED12B3645}">
  <sheetPr codeName="Sheet4"/>
  <dimension ref="A1:K3408"/>
  <sheetViews>
    <sheetView showOutlineSymbols="0" workbookViewId="0"/>
  </sheetViews>
  <sheetFormatPr baseColWidth="10" defaultColWidth="8.6640625" defaultRowHeight="14"/>
  <cols>
    <col min="1" max="1" width="10.5" style="58" bestFit="1" customWidth="1"/>
    <col min="2" max="2" width="6.5" style="58" bestFit="1" customWidth="1"/>
    <col min="3" max="3" width="73.1640625" style="58" bestFit="1" customWidth="1"/>
    <col min="4" max="4" width="7.83203125" style="58" bestFit="1" customWidth="1"/>
    <col min="5" max="5" width="10.33203125" style="58" bestFit="1" customWidth="1"/>
    <col min="6" max="10" width="8.6640625" style="58"/>
    <col min="11" max="11" width="10.33203125" style="58" bestFit="1" customWidth="1"/>
    <col min="12" max="16384" width="8.6640625" style="58"/>
  </cols>
  <sheetData>
    <row r="1" spans="1:11">
      <c r="A1" s="58" t="s">
        <v>1217</v>
      </c>
      <c r="B1" s="58" t="s">
        <v>1218</v>
      </c>
      <c r="C1" s="58" t="s">
        <v>1219</v>
      </c>
      <c r="D1" s="58" t="s">
        <v>1220</v>
      </c>
      <c r="E1" s="58" t="s">
        <v>3204</v>
      </c>
      <c r="H1" s="58" t="s">
        <v>1189</v>
      </c>
      <c r="K1" s="58" t="s">
        <v>3216</v>
      </c>
    </row>
    <row r="2" spans="1:11">
      <c r="A2" s="58" t="s">
        <v>829</v>
      </c>
      <c r="B2" s="58" t="s">
        <v>1221</v>
      </c>
      <c r="C2" s="58" t="s">
        <v>1052</v>
      </c>
      <c r="D2" s="58">
        <v>-11</v>
      </c>
      <c r="E2" s="58">
        <f>Valuation!H61</f>
        <v>0</v>
      </c>
      <c r="H2" s="58" t="s">
        <v>3206</v>
      </c>
      <c r="K2" s="682" t="s">
        <v>3732</v>
      </c>
    </row>
    <row r="3" spans="1:11">
      <c r="A3" s="58" t="s">
        <v>829</v>
      </c>
      <c r="B3" s="58" t="s">
        <v>1222</v>
      </c>
      <c r="C3" s="58" t="s">
        <v>1052</v>
      </c>
      <c r="D3" s="58">
        <v>-10</v>
      </c>
      <c r="E3" s="58">
        <f>Valuation!I61</f>
        <v>0</v>
      </c>
      <c r="H3" s="58" t="s">
        <v>3209</v>
      </c>
      <c r="K3" s="682">
        <v>46090</v>
      </c>
    </row>
    <row r="4" spans="1:11">
      <c r="A4" s="58" t="s">
        <v>829</v>
      </c>
      <c r="B4" s="58" t="s">
        <v>1223</v>
      </c>
      <c r="C4" s="58" t="s">
        <v>1052</v>
      </c>
      <c r="D4" s="58">
        <v>-9</v>
      </c>
      <c r="E4" s="58">
        <f>Valuation!J61</f>
        <v>0</v>
      </c>
      <c r="H4" s="58" t="s">
        <v>3211</v>
      </c>
    </row>
    <row r="5" spans="1:11">
      <c r="A5" s="58" t="s">
        <v>829</v>
      </c>
      <c r="B5" s="58" t="s">
        <v>1224</v>
      </c>
      <c r="C5" s="58" t="s">
        <v>1052</v>
      </c>
      <c r="D5" s="58">
        <v>-8</v>
      </c>
      <c r="E5" s="58">
        <f>Valuation!K61</f>
        <v>0</v>
      </c>
      <c r="H5" s="58" t="s">
        <v>3210</v>
      </c>
    </row>
    <row r="6" spans="1:11">
      <c r="A6" s="58" t="s">
        <v>829</v>
      </c>
      <c r="B6" s="58" t="s">
        <v>1225</v>
      </c>
      <c r="C6" s="58" t="s">
        <v>1052</v>
      </c>
      <c r="D6" s="58">
        <v>-7</v>
      </c>
      <c r="E6" s="58">
        <f>Valuation!L61</f>
        <v>0</v>
      </c>
      <c r="H6" s="58">
        <v>7.0010000000000003</v>
      </c>
    </row>
    <row r="7" spans="1:11">
      <c r="A7" s="58" t="s">
        <v>829</v>
      </c>
      <c r="B7" s="58" t="s">
        <v>1226</v>
      </c>
      <c r="C7" s="58" t="s">
        <v>1052</v>
      </c>
      <c r="D7" s="58">
        <v>-6</v>
      </c>
      <c r="E7" s="58">
        <f>Valuation!M61</f>
        <v>0</v>
      </c>
    </row>
    <row r="8" spans="1:11">
      <c r="A8" s="58" t="s">
        <v>829</v>
      </c>
      <c r="B8" s="58" t="s">
        <v>1227</v>
      </c>
      <c r="C8" s="58" t="s">
        <v>1052</v>
      </c>
      <c r="D8" s="58">
        <v>-5</v>
      </c>
      <c r="E8" s="58">
        <f>Valuation!N61</f>
        <v>-18802</v>
      </c>
    </row>
    <row r="9" spans="1:11">
      <c r="A9" s="58" t="s">
        <v>829</v>
      </c>
      <c r="B9" s="58" t="s">
        <v>1228</v>
      </c>
      <c r="C9" s="58" t="s">
        <v>1052</v>
      </c>
      <c r="D9" s="58">
        <v>-4</v>
      </c>
      <c r="E9" s="58">
        <f>Valuation!O61</f>
        <v>-24952</v>
      </c>
    </row>
    <row r="10" spans="1:11">
      <c r="A10" s="58" t="s">
        <v>829</v>
      </c>
      <c r="B10" s="58" t="s">
        <v>1229</v>
      </c>
      <c r="C10" s="58" t="s">
        <v>1052</v>
      </c>
      <c r="D10" s="58">
        <v>-3</v>
      </c>
      <c r="E10" s="58">
        <f>Valuation!P61</f>
        <v>-70000</v>
      </c>
    </row>
    <row r="11" spans="1:11">
      <c r="A11" s="58" t="s">
        <v>829</v>
      </c>
      <c r="B11" s="58" t="s">
        <v>1230</v>
      </c>
      <c r="C11" s="58" t="s">
        <v>1052</v>
      </c>
      <c r="D11" s="58">
        <v>-2</v>
      </c>
      <c r="E11" s="58">
        <f>Valuation!Q61</f>
        <v>-110500</v>
      </c>
    </row>
    <row r="12" spans="1:11">
      <c r="A12" s="58" t="s">
        <v>829</v>
      </c>
      <c r="B12" s="58" t="s">
        <v>1231</v>
      </c>
      <c r="C12" s="58" t="s">
        <v>1052</v>
      </c>
      <c r="D12" s="58">
        <v>-1</v>
      </c>
      <c r="E12" s="58">
        <f>Valuation!R61</f>
        <v>-138300</v>
      </c>
    </row>
    <row r="13" spans="1:11">
      <c r="A13" s="58" t="s">
        <v>829</v>
      </c>
      <c r="B13" s="58" t="s">
        <v>1232</v>
      </c>
      <c r="C13" s="58" t="s">
        <v>1052</v>
      </c>
      <c r="D13" s="58">
        <v>1</v>
      </c>
      <c r="E13" s="58" t="e">
        <f ca="1">Valuation!T61</f>
        <v>#NAME?</v>
      </c>
    </row>
    <row r="14" spans="1:11">
      <c r="A14" s="58" t="s">
        <v>829</v>
      </c>
      <c r="B14" s="58" t="s">
        <v>1233</v>
      </c>
      <c r="C14" s="58" t="s">
        <v>1052</v>
      </c>
      <c r="D14" s="58">
        <v>2</v>
      </c>
      <c r="E14" s="58" t="e">
        <f ca="1">Valuation!U61</f>
        <v>#NAME?</v>
      </c>
    </row>
    <row r="15" spans="1:11">
      <c r="A15" s="58" t="s">
        <v>829</v>
      </c>
      <c r="B15" s="58" t="s">
        <v>1234</v>
      </c>
      <c r="C15" s="58" t="s">
        <v>1052</v>
      </c>
      <c r="D15" s="58">
        <v>3</v>
      </c>
      <c r="E15" s="58" t="e">
        <f ca="1">Valuation!V61</f>
        <v>#NAME?</v>
      </c>
    </row>
    <row r="16" spans="1:11">
      <c r="A16" s="58" t="s">
        <v>829</v>
      </c>
      <c r="B16" s="58" t="s">
        <v>1235</v>
      </c>
      <c r="C16" s="58" t="s">
        <v>1052</v>
      </c>
      <c r="D16" s="58">
        <v>4</v>
      </c>
      <c r="E16" s="58" t="e">
        <f ca="1">Valuation!W61</f>
        <v>#NAME?</v>
      </c>
    </row>
    <row r="17" spans="1:5">
      <c r="A17" s="58" t="s">
        <v>829</v>
      </c>
      <c r="B17" s="58" t="s">
        <v>1236</v>
      </c>
      <c r="C17" s="58" t="s">
        <v>1052</v>
      </c>
      <c r="D17" s="58">
        <v>5</v>
      </c>
      <c r="E17" s="58" t="e">
        <f ca="1">Valuation!X61</f>
        <v>#NAME?</v>
      </c>
    </row>
    <row r="18" spans="1:5">
      <c r="A18" s="58" t="s">
        <v>829</v>
      </c>
      <c r="B18" s="58" t="s">
        <v>1237</v>
      </c>
      <c r="C18" s="58" t="s">
        <v>1052</v>
      </c>
      <c r="D18" s="58">
        <v>6</v>
      </c>
      <c r="E18" s="58" t="e">
        <f ca="1">Valuation!Y61</f>
        <v>#NAME?</v>
      </c>
    </row>
    <row r="19" spans="1:5">
      <c r="A19" s="58" t="s">
        <v>829</v>
      </c>
      <c r="B19" s="58" t="s">
        <v>1238</v>
      </c>
      <c r="C19" s="58" t="s">
        <v>1052</v>
      </c>
      <c r="D19" s="58">
        <v>7</v>
      </c>
      <c r="E19" s="58" t="e">
        <f ca="1">Valuation!Z61</f>
        <v>#NAME?</v>
      </c>
    </row>
    <row r="20" spans="1:5">
      <c r="A20" s="58" t="s">
        <v>829</v>
      </c>
      <c r="B20" s="58" t="s">
        <v>1239</v>
      </c>
      <c r="C20" s="58" t="s">
        <v>1052</v>
      </c>
      <c r="D20" s="58">
        <v>8</v>
      </c>
      <c r="E20" s="58" t="e">
        <f ca="1">Valuation!AA61</f>
        <v>#NAME?</v>
      </c>
    </row>
    <row r="21" spans="1:5">
      <c r="A21" s="58" t="s">
        <v>829</v>
      </c>
      <c r="B21" s="58" t="s">
        <v>1240</v>
      </c>
      <c r="C21" s="58" t="s">
        <v>1052</v>
      </c>
      <c r="D21" s="58">
        <v>9</v>
      </c>
      <c r="E21" s="58" t="e">
        <f ca="1">Valuation!AB61</f>
        <v>#NAME?</v>
      </c>
    </row>
    <row r="22" spans="1:5">
      <c r="A22" s="58" t="s">
        <v>829</v>
      </c>
      <c r="B22" s="58" t="s">
        <v>1241</v>
      </c>
      <c r="C22" s="58" t="s">
        <v>1052</v>
      </c>
      <c r="D22" s="58">
        <v>0</v>
      </c>
      <c r="E22" s="58">
        <f ca="1">Valuation!S61</f>
        <v>-142868.26133458148</v>
      </c>
    </row>
    <row r="23" spans="1:5">
      <c r="A23" s="58" t="s">
        <v>829</v>
      </c>
      <c r="B23" s="58" t="s">
        <v>1242</v>
      </c>
      <c r="C23" s="58" t="s">
        <v>1050</v>
      </c>
      <c r="D23" s="58">
        <v>-11</v>
      </c>
      <c r="E23" s="58">
        <f>Valuation!H33</f>
        <v>0</v>
      </c>
    </row>
    <row r="24" spans="1:5">
      <c r="A24" s="58" t="s">
        <v>829</v>
      </c>
      <c r="B24" s="58" t="s">
        <v>1243</v>
      </c>
      <c r="C24" s="58" t="s">
        <v>1050</v>
      </c>
      <c r="D24" s="58">
        <v>-10</v>
      </c>
      <c r="E24" s="58">
        <f>Valuation!I33</f>
        <v>0</v>
      </c>
    </row>
    <row r="25" spans="1:5">
      <c r="A25" s="58" t="s">
        <v>829</v>
      </c>
      <c r="B25" s="58" t="s">
        <v>1244</v>
      </c>
      <c r="C25" s="58" t="s">
        <v>1050</v>
      </c>
      <c r="D25" s="58">
        <v>-9</v>
      </c>
      <c r="E25" s="58">
        <f>Valuation!J33</f>
        <v>0</v>
      </c>
    </row>
    <row r="26" spans="1:5">
      <c r="A26" s="58" t="s">
        <v>829</v>
      </c>
      <c r="B26" s="58" t="s">
        <v>1245</v>
      </c>
      <c r="C26" s="58" t="s">
        <v>1050</v>
      </c>
      <c r="D26" s="58">
        <v>-8</v>
      </c>
      <c r="E26" s="58">
        <f>Valuation!K33</f>
        <v>0</v>
      </c>
    </row>
    <row r="27" spans="1:5">
      <c r="A27" s="58" t="s">
        <v>829</v>
      </c>
      <c r="B27" s="58" t="s">
        <v>1246</v>
      </c>
      <c r="C27" s="58" t="s">
        <v>1050</v>
      </c>
      <c r="D27" s="58">
        <v>-7</v>
      </c>
      <c r="E27" s="58">
        <f>Valuation!L33</f>
        <v>0</v>
      </c>
    </row>
    <row r="28" spans="1:5">
      <c r="A28" s="58" t="s">
        <v>829</v>
      </c>
      <c r="B28" s="58" t="s">
        <v>1247</v>
      </c>
      <c r="C28" s="58" t="s">
        <v>1050</v>
      </c>
      <c r="D28" s="58">
        <v>-6</v>
      </c>
      <c r="E28" s="58">
        <f>Valuation!M33</f>
        <v>0</v>
      </c>
    </row>
    <row r="29" spans="1:5">
      <c r="A29" s="58" t="s">
        <v>829</v>
      </c>
      <c r="B29" s="58" t="s">
        <v>1248</v>
      </c>
      <c r="C29" s="58" t="s">
        <v>1050</v>
      </c>
      <c r="D29" s="58">
        <v>-5</v>
      </c>
      <c r="E29" s="58">
        <f>Valuation!N33</f>
        <v>0</v>
      </c>
    </row>
    <row r="30" spans="1:5">
      <c r="A30" s="58" t="s">
        <v>829</v>
      </c>
      <c r="B30" s="58" t="s">
        <v>1249</v>
      </c>
      <c r="C30" s="58" t="s">
        <v>1050</v>
      </c>
      <c r="D30" s="58">
        <v>-4</v>
      </c>
      <c r="E30" s="58">
        <f>Valuation!O33</f>
        <v>0</v>
      </c>
    </row>
    <row r="31" spans="1:5">
      <c r="A31" s="58" t="s">
        <v>829</v>
      </c>
      <c r="B31" s="58" t="s">
        <v>1250</v>
      </c>
      <c r="C31" s="58" t="s">
        <v>1050</v>
      </c>
      <c r="D31" s="58">
        <v>-3</v>
      </c>
      <c r="E31" s="58">
        <f>Valuation!P33</f>
        <v>0</v>
      </c>
    </row>
    <row r="32" spans="1:5">
      <c r="A32" s="58" t="s">
        <v>829</v>
      </c>
      <c r="B32" s="58" t="s">
        <v>1251</v>
      </c>
      <c r="C32" s="58" t="s">
        <v>1050</v>
      </c>
      <c r="D32" s="58">
        <v>-2</v>
      </c>
      <c r="E32" s="58">
        <f>Valuation!Q33</f>
        <v>0</v>
      </c>
    </row>
    <row r="33" spans="1:5">
      <c r="A33" s="58" t="s">
        <v>829</v>
      </c>
      <c r="B33" s="58" t="s">
        <v>1252</v>
      </c>
      <c r="C33" s="58" t="s">
        <v>1050</v>
      </c>
      <c r="D33" s="58">
        <v>-1</v>
      </c>
      <c r="E33" s="58">
        <f>Valuation!R33</f>
        <v>0</v>
      </c>
    </row>
    <row r="34" spans="1:5">
      <c r="A34" s="58" t="s">
        <v>829</v>
      </c>
      <c r="B34" s="58" t="s">
        <v>1253</v>
      </c>
      <c r="C34" s="58" t="s">
        <v>1050</v>
      </c>
      <c r="D34" s="58">
        <v>1</v>
      </c>
      <c r="E34" s="58">
        <f>Valuation!T33</f>
        <v>0</v>
      </c>
    </row>
    <row r="35" spans="1:5">
      <c r="A35" s="58" t="s">
        <v>829</v>
      </c>
      <c r="B35" s="58" t="s">
        <v>1254</v>
      </c>
      <c r="C35" s="58" t="s">
        <v>1050</v>
      </c>
      <c r="D35" s="58">
        <v>2</v>
      </c>
      <c r="E35" s="58">
        <f>Valuation!U33</f>
        <v>0</v>
      </c>
    </row>
    <row r="36" spans="1:5">
      <c r="A36" s="58" t="s">
        <v>829</v>
      </c>
      <c r="B36" s="58" t="s">
        <v>1255</v>
      </c>
      <c r="C36" s="58" t="s">
        <v>1050</v>
      </c>
      <c r="D36" s="58">
        <v>3</v>
      </c>
      <c r="E36" s="58">
        <f>Valuation!V33</f>
        <v>0</v>
      </c>
    </row>
    <row r="37" spans="1:5">
      <c r="A37" s="58" t="s">
        <v>829</v>
      </c>
      <c r="B37" s="58" t="s">
        <v>1256</v>
      </c>
      <c r="C37" s="58" t="s">
        <v>1050</v>
      </c>
      <c r="D37" s="58">
        <v>4</v>
      </c>
      <c r="E37" s="58">
        <f>Valuation!W33</f>
        <v>0</v>
      </c>
    </row>
    <row r="38" spans="1:5">
      <c r="A38" s="58" t="s">
        <v>829</v>
      </c>
      <c r="B38" s="58" t="s">
        <v>1257</v>
      </c>
      <c r="C38" s="58" t="s">
        <v>1050</v>
      </c>
      <c r="D38" s="58">
        <v>5</v>
      </c>
      <c r="E38" s="58">
        <f>Valuation!X33</f>
        <v>0</v>
      </c>
    </row>
    <row r="39" spans="1:5">
      <c r="A39" s="58" t="s">
        <v>829</v>
      </c>
      <c r="B39" s="58" t="s">
        <v>1258</v>
      </c>
      <c r="C39" s="58" t="s">
        <v>1050</v>
      </c>
      <c r="D39" s="58">
        <v>6</v>
      </c>
      <c r="E39" s="58">
        <f>Valuation!Y33</f>
        <v>0</v>
      </c>
    </row>
    <row r="40" spans="1:5">
      <c r="A40" s="58" t="s">
        <v>829</v>
      </c>
      <c r="B40" s="58" t="s">
        <v>1259</v>
      </c>
      <c r="C40" s="58" t="s">
        <v>1050</v>
      </c>
      <c r="D40" s="58">
        <v>7</v>
      </c>
      <c r="E40" s="58">
        <f>Valuation!Z33</f>
        <v>0</v>
      </c>
    </row>
    <row r="41" spans="1:5">
      <c r="A41" s="58" t="s">
        <v>829</v>
      </c>
      <c r="B41" s="58" t="s">
        <v>1260</v>
      </c>
      <c r="C41" s="58" t="s">
        <v>1050</v>
      </c>
      <c r="D41" s="58">
        <v>8</v>
      </c>
      <c r="E41" s="58">
        <f>Valuation!AA33</f>
        <v>0</v>
      </c>
    </row>
    <row r="42" spans="1:5">
      <c r="A42" s="58" t="s">
        <v>829</v>
      </c>
      <c r="B42" s="58" t="s">
        <v>1261</v>
      </c>
      <c r="C42" s="58" t="s">
        <v>1050</v>
      </c>
      <c r="D42" s="58">
        <v>9</v>
      </c>
      <c r="E42" s="58">
        <f>Valuation!AB33</f>
        <v>0</v>
      </c>
    </row>
    <row r="43" spans="1:5">
      <c r="A43" s="58" t="s">
        <v>829</v>
      </c>
      <c r="B43" s="58" t="s">
        <v>1262</v>
      </c>
      <c r="C43" s="58" t="s">
        <v>1050</v>
      </c>
      <c r="D43" s="58">
        <v>0</v>
      </c>
      <c r="E43" s="58">
        <f>Valuation!S33</f>
        <v>0</v>
      </c>
    </row>
    <row r="44" spans="1:5">
      <c r="A44" s="58" t="s">
        <v>829</v>
      </c>
      <c r="B44" s="58" t="s">
        <v>1263</v>
      </c>
      <c r="C44" s="58" t="s">
        <v>1026</v>
      </c>
      <c r="D44" s="58">
        <v>-11</v>
      </c>
      <c r="E44" s="58">
        <f>Valuation!H87</f>
        <v>0</v>
      </c>
    </row>
    <row r="45" spans="1:5">
      <c r="A45" s="58" t="s">
        <v>829</v>
      </c>
      <c r="B45" s="58" t="s">
        <v>1264</v>
      </c>
      <c r="C45" s="58" t="s">
        <v>1026</v>
      </c>
      <c r="D45" s="58">
        <v>-10</v>
      </c>
      <c r="E45" s="58">
        <f>Valuation!I87</f>
        <v>0</v>
      </c>
    </row>
    <row r="46" spans="1:5">
      <c r="A46" s="58" t="s">
        <v>829</v>
      </c>
      <c r="B46" s="58" t="s">
        <v>1265</v>
      </c>
      <c r="C46" s="58" t="s">
        <v>1026</v>
      </c>
      <c r="D46" s="58">
        <v>-9</v>
      </c>
      <c r="E46" s="58">
        <f>Valuation!J87</f>
        <v>0</v>
      </c>
    </row>
    <row r="47" spans="1:5">
      <c r="A47" s="58" t="s">
        <v>829</v>
      </c>
      <c r="B47" s="58" t="s">
        <v>1266</v>
      </c>
      <c r="C47" s="58" t="s">
        <v>1026</v>
      </c>
      <c r="D47" s="58">
        <v>-8</v>
      </c>
      <c r="E47" s="58">
        <f>Valuation!K87</f>
        <v>0</v>
      </c>
    </row>
    <row r="48" spans="1:5">
      <c r="A48" s="58" t="s">
        <v>829</v>
      </c>
      <c r="B48" s="58" t="s">
        <v>1267</v>
      </c>
      <c r="C48" s="58" t="s">
        <v>1026</v>
      </c>
      <c r="D48" s="58">
        <v>-7</v>
      </c>
      <c r="E48" s="58">
        <f>Valuation!L87</f>
        <v>0</v>
      </c>
    </row>
    <row r="49" spans="1:5">
      <c r="A49" s="58" t="s">
        <v>829</v>
      </c>
      <c r="B49" s="58" t="s">
        <v>1268</v>
      </c>
      <c r="C49" s="58" t="s">
        <v>1026</v>
      </c>
      <c r="D49" s="58">
        <v>-6</v>
      </c>
      <c r="E49" s="58">
        <f>Valuation!M87</f>
        <v>85111</v>
      </c>
    </row>
    <row r="50" spans="1:5">
      <c r="A50" s="58" t="s">
        <v>829</v>
      </c>
      <c r="B50" s="58" t="s">
        <v>1269</v>
      </c>
      <c r="C50" s="58" t="s">
        <v>1026</v>
      </c>
      <c r="D50" s="58">
        <v>-5</v>
      </c>
      <c r="E50" s="58">
        <f>Valuation!N87</f>
        <v>39833</v>
      </c>
    </row>
    <row r="51" spans="1:5">
      <c r="A51" s="58" t="s">
        <v>829</v>
      </c>
      <c r="B51" s="58" t="s">
        <v>1270</v>
      </c>
      <c r="C51" s="58" t="s">
        <v>1026</v>
      </c>
      <c r="D51" s="58">
        <v>-4</v>
      </c>
      <c r="E51" s="58">
        <f>Valuation!O87</f>
        <v>56043</v>
      </c>
    </row>
    <row r="52" spans="1:5">
      <c r="A52" s="58" t="s">
        <v>829</v>
      </c>
      <c r="B52" s="58" t="s">
        <v>1271</v>
      </c>
      <c r="C52" s="58" t="s">
        <v>1026</v>
      </c>
      <c r="D52" s="58">
        <v>-3</v>
      </c>
      <c r="E52" s="58">
        <f>Valuation!P87</f>
        <v>39294</v>
      </c>
    </row>
    <row r="53" spans="1:5">
      <c r="A53" s="58" t="s">
        <v>829</v>
      </c>
      <c r="B53" s="58" t="s">
        <v>1272</v>
      </c>
      <c r="C53" s="58" t="s">
        <v>1026</v>
      </c>
      <c r="D53" s="58">
        <v>-2</v>
      </c>
      <c r="E53" s="58">
        <f>Valuation!Q87</f>
        <v>63316</v>
      </c>
    </row>
    <row r="54" spans="1:5">
      <c r="A54" s="58" t="s">
        <v>829</v>
      </c>
      <c r="B54" s="58" t="s">
        <v>1273</v>
      </c>
      <c r="C54" s="58" t="s">
        <v>1026</v>
      </c>
      <c r="D54" s="58">
        <v>-1</v>
      </c>
      <c r="E54" s="58">
        <f>Valuation!R87</f>
        <v>117605</v>
      </c>
    </row>
    <row r="55" spans="1:5">
      <c r="A55" s="58" t="s">
        <v>829</v>
      </c>
      <c r="B55" s="58" t="s">
        <v>1274</v>
      </c>
      <c r="C55" s="58" t="s">
        <v>1026</v>
      </c>
      <c r="D55" s="58">
        <v>1</v>
      </c>
      <c r="E55" s="58">
        <f ca="1">Valuation!T87</f>
        <v>0</v>
      </c>
    </row>
    <row r="56" spans="1:5">
      <c r="A56" s="58" t="s">
        <v>829</v>
      </c>
      <c r="B56" s="58" t="s">
        <v>1275</v>
      </c>
      <c r="C56" s="58" t="s">
        <v>1026</v>
      </c>
      <c r="D56" s="58">
        <v>2</v>
      </c>
      <c r="E56" s="58">
        <f ca="1">Valuation!U87</f>
        <v>0</v>
      </c>
    </row>
    <row r="57" spans="1:5">
      <c r="A57" s="58" t="s">
        <v>829</v>
      </c>
      <c r="B57" s="58" t="s">
        <v>1276</v>
      </c>
      <c r="C57" s="58" t="s">
        <v>1026</v>
      </c>
      <c r="D57" s="58">
        <v>3</v>
      </c>
      <c r="E57" s="58">
        <f ca="1">Valuation!V87</f>
        <v>0</v>
      </c>
    </row>
    <row r="58" spans="1:5">
      <c r="A58" s="58" t="s">
        <v>829</v>
      </c>
      <c r="B58" s="58" t="s">
        <v>1277</v>
      </c>
      <c r="C58" s="58" t="s">
        <v>1026</v>
      </c>
      <c r="D58" s="58">
        <v>4</v>
      </c>
      <c r="E58" s="58">
        <f ca="1">Valuation!W87</f>
        <v>0</v>
      </c>
    </row>
    <row r="59" spans="1:5">
      <c r="A59" s="58" t="s">
        <v>829</v>
      </c>
      <c r="B59" s="58" t="s">
        <v>1278</v>
      </c>
      <c r="C59" s="58" t="s">
        <v>1026</v>
      </c>
      <c r="D59" s="58">
        <v>5</v>
      </c>
      <c r="E59" s="58">
        <f ca="1">Valuation!X87</f>
        <v>0</v>
      </c>
    </row>
    <row r="60" spans="1:5">
      <c r="A60" s="58" t="s">
        <v>829</v>
      </c>
      <c r="B60" s="58" t="s">
        <v>1279</v>
      </c>
      <c r="C60" s="58" t="s">
        <v>1026</v>
      </c>
      <c r="D60" s="58">
        <v>6</v>
      </c>
      <c r="E60" s="58">
        <f ca="1">Valuation!Y87</f>
        <v>0</v>
      </c>
    </row>
    <row r="61" spans="1:5">
      <c r="A61" s="58" t="s">
        <v>829</v>
      </c>
      <c r="B61" s="58" t="s">
        <v>1280</v>
      </c>
      <c r="C61" s="58" t="s">
        <v>1026</v>
      </c>
      <c r="D61" s="58">
        <v>7</v>
      </c>
      <c r="E61" s="58">
        <f ca="1">Valuation!Z87</f>
        <v>0</v>
      </c>
    </row>
    <row r="62" spans="1:5">
      <c r="A62" s="58" t="s">
        <v>829</v>
      </c>
      <c r="B62" s="58" t="s">
        <v>1281</v>
      </c>
      <c r="C62" s="58" t="s">
        <v>1026</v>
      </c>
      <c r="D62" s="58">
        <v>8</v>
      </c>
      <c r="E62" s="58">
        <f ca="1">Valuation!AA87</f>
        <v>0</v>
      </c>
    </row>
    <row r="63" spans="1:5">
      <c r="A63" s="58" t="s">
        <v>829</v>
      </c>
      <c r="B63" s="58" t="s">
        <v>1282</v>
      </c>
      <c r="C63" s="58" t="s">
        <v>1026</v>
      </c>
      <c r="D63" s="58">
        <v>9</v>
      </c>
      <c r="E63" s="58">
        <f>Valuation!AB87</f>
        <v>0</v>
      </c>
    </row>
    <row r="64" spans="1:5">
      <c r="A64" s="58" t="s">
        <v>829</v>
      </c>
      <c r="B64" s="58" t="s">
        <v>1283</v>
      </c>
      <c r="C64" s="58" t="s">
        <v>1026</v>
      </c>
      <c r="D64" s="58">
        <v>0</v>
      </c>
      <c r="E64" s="58">
        <f ca="1">Valuation!S87</f>
        <v>93195.212873177734</v>
      </c>
    </row>
    <row r="65" spans="1:5">
      <c r="A65" s="58" t="s">
        <v>829</v>
      </c>
      <c r="B65" s="58" t="s">
        <v>1284</v>
      </c>
      <c r="C65" s="58" t="s">
        <v>1033</v>
      </c>
      <c r="D65" s="58">
        <v>-11</v>
      </c>
      <c r="E65" s="58">
        <f>Valuation!H79</f>
        <v>0</v>
      </c>
    </row>
    <row r="66" spans="1:5">
      <c r="A66" s="58" t="s">
        <v>829</v>
      </c>
      <c r="B66" s="58" t="s">
        <v>1285</v>
      </c>
      <c r="C66" s="58" t="s">
        <v>1033</v>
      </c>
      <c r="D66" s="58">
        <v>-10</v>
      </c>
      <c r="E66" s="58">
        <f>Valuation!I79</f>
        <v>0</v>
      </c>
    </row>
    <row r="67" spans="1:5">
      <c r="A67" s="58" t="s">
        <v>829</v>
      </c>
      <c r="B67" s="58" t="s">
        <v>1286</v>
      </c>
      <c r="C67" s="58" t="s">
        <v>1033</v>
      </c>
      <c r="D67" s="58">
        <v>-9</v>
      </c>
      <c r="E67" s="58">
        <f>Valuation!J79</f>
        <v>0</v>
      </c>
    </row>
    <row r="68" spans="1:5">
      <c r="A68" s="58" t="s">
        <v>829</v>
      </c>
      <c r="B68" s="58" t="s">
        <v>1287</v>
      </c>
      <c r="C68" s="58" t="s">
        <v>1033</v>
      </c>
      <c r="D68" s="58">
        <v>-8</v>
      </c>
      <c r="E68" s="58">
        <f>Valuation!K79</f>
        <v>0</v>
      </c>
    </row>
    <row r="69" spans="1:5">
      <c r="A69" s="58" t="s">
        <v>829</v>
      </c>
      <c r="B69" s="58" t="s">
        <v>1288</v>
      </c>
      <c r="C69" s="58" t="s">
        <v>1033</v>
      </c>
      <c r="D69" s="58">
        <v>-7</v>
      </c>
      <c r="E69" s="58">
        <f>Valuation!L79</f>
        <v>0</v>
      </c>
    </row>
    <row r="70" spans="1:5">
      <c r="A70" s="58" t="s">
        <v>829</v>
      </c>
      <c r="B70" s="58" t="s">
        <v>1289</v>
      </c>
      <c r="C70" s="58" t="s">
        <v>1033</v>
      </c>
      <c r="D70" s="58">
        <v>-6</v>
      </c>
      <c r="E70" s="58">
        <f>Valuation!M79</f>
        <v>189471</v>
      </c>
    </row>
    <row r="71" spans="1:5">
      <c r="A71" s="58" t="s">
        <v>829</v>
      </c>
      <c r="B71" s="58" t="s">
        <v>1290</v>
      </c>
      <c r="C71" s="58" t="s">
        <v>1033</v>
      </c>
      <c r="D71" s="58">
        <v>-5</v>
      </c>
      <c r="E71" s="58">
        <f>Valuation!N79</f>
        <v>457256</v>
      </c>
    </row>
    <row r="72" spans="1:5">
      <c r="A72" s="58" t="s">
        <v>829</v>
      </c>
      <c r="B72" s="58" t="s">
        <v>1291</v>
      </c>
      <c r="C72" s="58" t="s">
        <v>1033</v>
      </c>
      <c r="D72" s="58">
        <v>-4</v>
      </c>
      <c r="E72" s="58">
        <f>Valuation!O79</f>
        <v>464817</v>
      </c>
    </row>
    <row r="73" spans="1:5">
      <c r="A73" s="58" t="s">
        <v>829</v>
      </c>
      <c r="B73" s="58" t="s">
        <v>1292</v>
      </c>
      <c r="C73" s="58" t="s">
        <v>1033</v>
      </c>
      <c r="D73" s="58">
        <v>-3</v>
      </c>
      <c r="E73" s="58">
        <f>Valuation!P79</f>
        <v>425441</v>
      </c>
    </row>
    <row r="74" spans="1:5">
      <c r="A74" s="58" t="s">
        <v>829</v>
      </c>
      <c r="B74" s="58" t="s">
        <v>1293</v>
      </c>
      <c r="C74" s="58" t="s">
        <v>1033</v>
      </c>
      <c r="D74" s="58">
        <v>-2</v>
      </c>
      <c r="E74" s="58">
        <f>Valuation!Q79</f>
        <v>740621</v>
      </c>
    </row>
    <row r="75" spans="1:5">
      <c r="A75" s="58" t="s">
        <v>829</v>
      </c>
      <c r="B75" s="58" t="s">
        <v>1294</v>
      </c>
      <c r="C75" s="58" t="s">
        <v>1033</v>
      </c>
      <c r="D75" s="58">
        <v>-1</v>
      </c>
      <c r="E75" s="58">
        <f>Valuation!R79</f>
        <v>1661811</v>
      </c>
    </row>
    <row r="76" spans="1:5">
      <c r="A76" s="58" t="s">
        <v>829</v>
      </c>
      <c r="B76" s="58" t="s">
        <v>1295</v>
      </c>
      <c r="C76" s="58" t="s">
        <v>1033</v>
      </c>
      <c r="D76" s="58">
        <v>1</v>
      </c>
      <c r="E76" s="58">
        <f ca="1">Valuation!T79</f>
        <v>0</v>
      </c>
    </row>
    <row r="77" spans="1:5">
      <c r="A77" s="58" t="s">
        <v>829</v>
      </c>
      <c r="B77" s="58" t="s">
        <v>1296</v>
      </c>
      <c r="C77" s="58" t="s">
        <v>1033</v>
      </c>
      <c r="D77" s="58">
        <v>2</v>
      </c>
      <c r="E77" s="58">
        <f ca="1">Valuation!U79</f>
        <v>0</v>
      </c>
    </row>
    <row r="78" spans="1:5">
      <c r="A78" s="58" t="s">
        <v>829</v>
      </c>
      <c r="B78" s="58" t="s">
        <v>1297</v>
      </c>
      <c r="C78" s="58" t="s">
        <v>1033</v>
      </c>
      <c r="D78" s="58">
        <v>3</v>
      </c>
      <c r="E78" s="58">
        <f ca="1">Valuation!V79</f>
        <v>0</v>
      </c>
    </row>
    <row r="79" spans="1:5">
      <c r="A79" s="58" t="s">
        <v>829</v>
      </c>
      <c r="B79" s="58" t="s">
        <v>1298</v>
      </c>
      <c r="C79" s="58" t="s">
        <v>1033</v>
      </c>
      <c r="D79" s="58">
        <v>4</v>
      </c>
      <c r="E79" s="58">
        <f ca="1">Valuation!W79</f>
        <v>0</v>
      </c>
    </row>
    <row r="80" spans="1:5">
      <c r="A80" s="58" t="s">
        <v>829</v>
      </c>
      <c r="B80" s="58" t="s">
        <v>1299</v>
      </c>
      <c r="C80" s="58" t="s">
        <v>1033</v>
      </c>
      <c r="D80" s="58">
        <v>5</v>
      </c>
      <c r="E80" s="58">
        <f ca="1">Valuation!X79</f>
        <v>0</v>
      </c>
    </row>
    <row r="81" spans="1:5">
      <c r="A81" s="58" t="s">
        <v>829</v>
      </c>
      <c r="B81" s="58" t="s">
        <v>1300</v>
      </c>
      <c r="C81" s="58" t="s">
        <v>1033</v>
      </c>
      <c r="D81" s="58">
        <v>6</v>
      </c>
      <c r="E81" s="58">
        <f ca="1">Valuation!Y79</f>
        <v>0</v>
      </c>
    </row>
    <row r="82" spans="1:5">
      <c r="A82" s="58" t="s">
        <v>829</v>
      </c>
      <c r="B82" s="58" t="s">
        <v>1301</v>
      </c>
      <c r="C82" s="58" t="s">
        <v>1033</v>
      </c>
      <c r="D82" s="58">
        <v>7</v>
      </c>
      <c r="E82" s="58">
        <f ca="1">Valuation!Z79</f>
        <v>0</v>
      </c>
    </row>
    <row r="83" spans="1:5">
      <c r="A83" s="58" t="s">
        <v>829</v>
      </c>
      <c r="B83" s="58" t="s">
        <v>1302</v>
      </c>
      <c r="C83" s="58" t="s">
        <v>1033</v>
      </c>
      <c r="D83" s="58">
        <v>8</v>
      </c>
      <c r="E83" s="58">
        <f ca="1">Valuation!AA79</f>
        <v>0</v>
      </c>
    </row>
    <row r="84" spans="1:5">
      <c r="A84" s="58" t="s">
        <v>829</v>
      </c>
      <c r="B84" s="58" t="s">
        <v>1303</v>
      </c>
      <c r="C84" s="58" t="s">
        <v>1033</v>
      </c>
      <c r="D84" s="58">
        <v>9</v>
      </c>
      <c r="E84" s="58">
        <f ca="1">Valuation!AB79</f>
        <v>0</v>
      </c>
    </row>
    <row r="85" spans="1:5">
      <c r="A85" s="58" t="s">
        <v>829</v>
      </c>
      <c r="B85" s="58" t="s">
        <v>1304</v>
      </c>
      <c r="C85" s="58" t="s">
        <v>1033</v>
      </c>
      <c r="D85" s="58">
        <v>0</v>
      </c>
      <c r="E85" s="58">
        <f ca="1">Valuation!S79</f>
        <v>1574321.8114622512</v>
      </c>
    </row>
    <row r="86" spans="1:5">
      <c r="A86" s="58" t="s">
        <v>829</v>
      </c>
      <c r="B86" s="58" t="s">
        <v>1305</v>
      </c>
      <c r="C86" s="58" t="s">
        <v>1306</v>
      </c>
      <c r="D86" s="58">
        <v>-11</v>
      </c>
      <c r="E86" s="58">
        <f>Valuation!H186</f>
        <v>0</v>
      </c>
    </row>
    <row r="87" spans="1:5">
      <c r="A87" s="58" t="s">
        <v>829</v>
      </c>
      <c r="B87" s="58" t="s">
        <v>1307</v>
      </c>
      <c r="C87" s="58" t="s">
        <v>1306</v>
      </c>
      <c r="D87" s="58">
        <v>-10</v>
      </c>
      <c r="E87" s="58">
        <f>Valuation!I186</f>
        <v>0</v>
      </c>
    </row>
    <row r="88" spans="1:5">
      <c r="A88" s="58" t="s">
        <v>829</v>
      </c>
      <c r="B88" s="58" t="s">
        <v>1308</v>
      </c>
      <c r="C88" s="58" t="s">
        <v>1306</v>
      </c>
      <c r="D88" s="58">
        <v>-9</v>
      </c>
      <c r="E88" s="58">
        <f>Valuation!J186</f>
        <v>0</v>
      </c>
    </row>
    <row r="89" spans="1:5">
      <c r="A89" s="58" t="s">
        <v>829</v>
      </c>
      <c r="B89" s="58" t="s">
        <v>1309</v>
      </c>
      <c r="C89" s="58" t="s">
        <v>1306</v>
      </c>
      <c r="D89" s="58">
        <v>-8</v>
      </c>
      <c r="E89" s="58">
        <f>Valuation!K186</f>
        <v>0</v>
      </c>
    </row>
    <row r="90" spans="1:5">
      <c r="A90" s="58" t="s">
        <v>829</v>
      </c>
      <c r="B90" s="58" t="s">
        <v>1310</v>
      </c>
      <c r="C90" s="58" t="s">
        <v>1306</v>
      </c>
      <c r="D90" s="58">
        <v>-7</v>
      </c>
      <c r="E90" s="58">
        <f>Valuation!L186</f>
        <v>0</v>
      </c>
    </row>
    <row r="91" spans="1:5">
      <c r="A91" s="58" t="s">
        <v>829</v>
      </c>
      <c r="B91" s="58" t="s">
        <v>1311</v>
      </c>
      <c r="C91" s="58" t="s">
        <v>1306</v>
      </c>
      <c r="D91" s="58">
        <v>-6</v>
      </c>
      <c r="E91" s="58">
        <f>Valuation!M186</f>
        <v>0</v>
      </c>
    </row>
    <row r="92" spans="1:5">
      <c r="A92" s="58" t="s">
        <v>829</v>
      </c>
      <c r="B92" s="58" t="s">
        <v>1312</v>
      </c>
      <c r="C92" s="58" t="s">
        <v>1306</v>
      </c>
      <c r="D92" s="58">
        <v>-5</v>
      </c>
      <c r="E92" s="58">
        <f>Valuation!N186</f>
        <v>0</v>
      </c>
    </row>
    <row r="93" spans="1:5">
      <c r="A93" s="58" t="s">
        <v>829</v>
      </c>
      <c r="B93" s="58" t="s">
        <v>1313</v>
      </c>
      <c r="C93" s="58" t="s">
        <v>1306</v>
      </c>
      <c r="D93" s="58">
        <v>-4</v>
      </c>
      <c r="E93" s="58">
        <f>Valuation!O186</f>
        <v>0</v>
      </c>
    </row>
    <row r="94" spans="1:5">
      <c r="A94" s="58" t="s">
        <v>829</v>
      </c>
      <c r="B94" s="58" t="s">
        <v>1314</v>
      </c>
      <c r="C94" s="58" t="s">
        <v>1306</v>
      </c>
      <c r="D94" s="58">
        <v>-3</v>
      </c>
      <c r="E94" s="58">
        <f>Valuation!P186</f>
        <v>0</v>
      </c>
    </row>
    <row r="95" spans="1:5">
      <c r="A95" s="58" t="s">
        <v>829</v>
      </c>
      <c r="B95" s="58" t="s">
        <v>1315</v>
      </c>
      <c r="C95" s="58" t="s">
        <v>1306</v>
      </c>
      <c r="D95" s="58">
        <v>-2</v>
      </c>
      <c r="E95" s="58">
        <f>Valuation!Q186</f>
        <v>0</v>
      </c>
    </row>
    <row r="96" spans="1:5">
      <c r="A96" s="58" t="s">
        <v>829</v>
      </c>
      <c r="B96" s="58" t="s">
        <v>1316</v>
      </c>
      <c r="C96" s="58" t="s">
        <v>1306</v>
      </c>
      <c r="D96" s="58">
        <v>-1</v>
      </c>
      <c r="E96" s="58">
        <f>Valuation!R186</f>
        <v>0</v>
      </c>
    </row>
    <row r="97" spans="1:5">
      <c r="A97" s="58" t="s">
        <v>829</v>
      </c>
      <c r="B97" s="58" t="s">
        <v>1317</v>
      </c>
      <c r="C97" s="58" t="s">
        <v>1306</v>
      </c>
      <c r="D97" s="58">
        <v>1</v>
      </c>
      <c r="E97" s="58">
        <f>Valuation!T186</f>
        <v>0</v>
      </c>
    </row>
    <row r="98" spans="1:5">
      <c r="A98" s="58" t="s">
        <v>829</v>
      </c>
      <c r="B98" s="58" t="s">
        <v>1318</v>
      </c>
      <c r="C98" s="58" t="s">
        <v>1306</v>
      </c>
      <c r="D98" s="58">
        <v>2</v>
      </c>
      <c r="E98" s="58">
        <f>Valuation!U186</f>
        <v>0</v>
      </c>
    </row>
    <row r="99" spans="1:5">
      <c r="A99" s="58" t="s">
        <v>829</v>
      </c>
      <c r="B99" s="58" t="s">
        <v>1319</v>
      </c>
      <c r="C99" s="58" t="s">
        <v>1306</v>
      </c>
      <c r="D99" s="58">
        <v>3</v>
      </c>
      <c r="E99" s="58">
        <f>Valuation!V186</f>
        <v>0</v>
      </c>
    </row>
    <row r="100" spans="1:5">
      <c r="A100" s="58" t="s">
        <v>829</v>
      </c>
      <c r="B100" s="58" t="s">
        <v>1320</v>
      </c>
      <c r="C100" s="58" t="s">
        <v>1306</v>
      </c>
      <c r="D100" s="58">
        <v>4</v>
      </c>
      <c r="E100" s="58">
        <f>Valuation!W186</f>
        <v>0</v>
      </c>
    </row>
    <row r="101" spans="1:5">
      <c r="A101" s="58" t="s">
        <v>829</v>
      </c>
      <c r="B101" s="58" t="s">
        <v>1321</v>
      </c>
      <c r="C101" s="58" t="s">
        <v>1306</v>
      </c>
      <c r="D101" s="58">
        <v>5</v>
      </c>
      <c r="E101" s="58">
        <f>Valuation!X186</f>
        <v>0</v>
      </c>
    </row>
    <row r="102" spans="1:5">
      <c r="A102" s="58" t="s">
        <v>829</v>
      </c>
      <c r="B102" s="58" t="s">
        <v>1322</v>
      </c>
      <c r="C102" s="58" t="s">
        <v>1306</v>
      </c>
      <c r="D102" s="58">
        <v>6</v>
      </c>
      <c r="E102" s="58">
        <f>Valuation!Y186</f>
        <v>0</v>
      </c>
    </row>
    <row r="103" spans="1:5">
      <c r="A103" s="58" t="s">
        <v>829</v>
      </c>
      <c r="B103" s="58" t="s">
        <v>1323</v>
      </c>
      <c r="C103" s="58" t="s">
        <v>1306</v>
      </c>
      <c r="D103" s="58">
        <v>7</v>
      </c>
      <c r="E103" s="58">
        <f>Valuation!Z186</f>
        <v>0</v>
      </c>
    </row>
    <row r="104" spans="1:5">
      <c r="A104" s="58" t="s">
        <v>829</v>
      </c>
      <c r="B104" s="58" t="s">
        <v>1324</v>
      </c>
      <c r="C104" s="58" t="s">
        <v>1306</v>
      </c>
      <c r="D104" s="58">
        <v>8</v>
      </c>
      <c r="E104" s="58">
        <f>Valuation!AA186</f>
        <v>0</v>
      </c>
    </row>
    <row r="105" spans="1:5">
      <c r="A105" s="58" t="s">
        <v>829</v>
      </c>
      <c r="B105" s="58" t="s">
        <v>1325</v>
      </c>
      <c r="C105" s="58" t="s">
        <v>1306</v>
      </c>
      <c r="D105" s="58">
        <v>9</v>
      </c>
      <c r="E105" s="58">
        <f>Valuation!AB186</f>
        <v>0</v>
      </c>
    </row>
    <row r="106" spans="1:5">
      <c r="A106" s="58" t="s">
        <v>829</v>
      </c>
      <c r="B106" s="58" t="s">
        <v>1326</v>
      </c>
      <c r="C106" s="58" t="s">
        <v>1306</v>
      </c>
      <c r="D106" s="58">
        <v>0</v>
      </c>
      <c r="E106" s="58">
        <f>Valuation!S186</f>
        <v>0</v>
      </c>
    </row>
    <row r="107" spans="1:5">
      <c r="A107" s="58" t="s">
        <v>829</v>
      </c>
      <c r="B107" s="58" t="s">
        <v>1327</v>
      </c>
      <c r="C107" s="58" t="s">
        <v>1065</v>
      </c>
      <c r="D107" s="58">
        <v>-11</v>
      </c>
      <c r="E107" s="58">
        <f>Valuation!H55</f>
        <v>0</v>
      </c>
    </row>
    <row r="108" spans="1:5">
      <c r="A108" s="58" t="s">
        <v>829</v>
      </c>
      <c r="B108" s="58" t="s">
        <v>1328</v>
      </c>
      <c r="C108" s="58" t="s">
        <v>1065</v>
      </c>
      <c r="D108" s="58">
        <v>-10</v>
      </c>
      <c r="E108" s="58">
        <f>Valuation!I55</f>
        <v>0</v>
      </c>
    </row>
    <row r="109" spans="1:5">
      <c r="A109" s="58" t="s">
        <v>829</v>
      </c>
      <c r="B109" s="58" t="s">
        <v>1329</v>
      </c>
      <c r="C109" s="58" t="s">
        <v>1065</v>
      </c>
      <c r="D109" s="58">
        <v>-9</v>
      </c>
      <c r="E109" s="58">
        <f>Valuation!J55</f>
        <v>0</v>
      </c>
    </row>
    <row r="110" spans="1:5">
      <c r="A110" s="58" t="s">
        <v>829</v>
      </c>
      <c r="B110" s="58" t="s">
        <v>1330</v>
      </c>
      <c r="C110" s="58" t="s">
        <v>1065</v>
      </c>
      <c r="D110" s="58">
        <v>-8</v>
      </c>
      <c r="E110" s="58">
        <f>Valuation!K55</f>
        <v>0</v>
      </c>
    </row>
    <row r="111" spans="1:5">
      <c r="A111" s="58" t="s">
        <v>829</v>
      </c>
      <c r="B111" s="58" t="s">
        <v>1331</v>
      </c>
      <c r="C111" s="58" t="s">
        <v>1065</v>
      </c>
      <c r="D111" s="58">
        <v>-7</v>
      </c>
      <c r="E111" s="58">
        <f>Valuation!L55</f>
        <v>0</v>
      </c>
    </row>
    <row r="112" spans="1:5">
      <c r="A112" s="58" t="s">
        <v>829</v>
      </c>
      <c r="B112" s="58" t="s">
        <v>1332</v>
      </c>
      <c r="C112" s="58" t="s">
        <v>1065</v>
      </c>
      <c r="D112" s="58">
        <v>-6</v>
      </c>
      <c r="E112" s="58">
        <f>Valuation!M55</f>
        <v>406069</v>
      </c>
    </row>
    <row r="113" spans="1:5">
      <c r="A113" s="58" t="s">
        <v>829</v>
      </c>
      <c r="B113" s="58" t="s">
        <v>1333</v>
      </c>
      <c r="C113" s="58" t="s">
        <v>1065</v>
      </c>
      <c r="D113" s="58">
        <v>-5</v>
      </c>
      <c r="E113" s="58">
        <f>Valuation!N55</f>
        <v>3103058</v>
      </c>
    </row>
    <row r="114" spans="1:5">
      <c r="A114" s="58" t="s">
        <v>829</v>
      </c>
      <c r="B114" s="58" t="s">
        <v>1334</v>
      </c>
      <c r="C114" s="58" t="s">
        <v>1065</v>
      </c>
      <c r="D114" s="58">
        <v>-4</v>
      </c>
      <c r="E114" s="58">
        <f>Valuation!O55</f>
        <v>-2821612</v>
      </c>
    </row>
    <row r="115" spans="1:5">
      <c r="A115" s="58" t="s">
        <v>829</v>
      </c>
      <c r="B115" s="58" t="s">
        <v>1335</v>
      </c>
      <c r="C115" s="58" t="s">
        <v>1065</v>
      </c>
      <c r="D115" s="58">
        <v>-3</v>
      </c>
      <c r="E115" s="58">
        <f>Valuation!P55</f>
        <v>145563</v>
      </c>
    </row>
    <row r="116" spans="1:5">
      <c r="A116" s="58" t="s">
        <v>829</v>
      </c>
      <c r="B116" s="58" t="s">
        <v>1336</v>
      </c>
      <c r="C116" s="58" t="s">
        <v>1065</v>
      </c>
      <c r="D116" s="58">
        <v>-2</v>
      </c>
      <c r="E116" s="58">
        <f>Valuation!Q55</f>
        <v>3150807</v>
      </c>
    </row>
    <row r="117" spans="1:5">
      <c r="A117" s="58" t="s">
        <v>829</v>
      </c>
      <c r="B117" s="58" t="s">
        <v>1337</v>
      </c>
      <c r="C117" s="58" t="s">
        <v>1065</v>
      </c>
      <c r="D117" s="58">
        <v>-1</v>
      </c>
      <c r="E117" s="58">
        <f>Valuation!R55</f>
        <v>1795906</v>
      </c>
    </row>
    <row r="118" spans="1:5">
      <c r="A118" s="58" t="s">
        <v>829</v>
      </c>
      <c r="B118" s="58" t="s">
        <v>1338</v>
      </c>
      <c r="C118" s="58" t="s">
        <v>1065</v>
      </c>
      <c r="D118" s="58">
        <v>1</v>
      </c>
      <c r="E118" s="58" t="e">
        <f ca="1">Valuation!T55</f>
        <v>#NAME?</v>
      </c>
    </row>
    <row r="119" spans="1:5">
      <c r="A119" s="58" t="s">
        <v>829</v>
      </c>
      <c r="B119" s="58" t="s">
        <v>1339</v>
      </c>
      <c r="C119" s="58" t="s">
        <v>1065</v>
      </c>
      <c r="D119" s="58">
        <v>2</v>
      </c>
      <c r="E119" s="58" t="e">
        <f ca="1">Valuation!U55</f>
        <v>#NAME?</v>
      </c>
    </row>
    <row r="120" spans="1:5">
      <c r="A120" s="58" t="s">
        <v>829</v>
      </c>
      <c r="B120" s="58" t="s">
        <v>1340</v>
      </c>
      <c r="C120" s="58" t="s">
        <v>1065</v>
      </c>
      <c r="D120" s="58">
        <v>3</v>
      </c>
      <c r="E120" s="58" t="e">
        <f ca="1">Valuation!V55</f>
        <v>#NAME?</v>
      </c>
    </row>
    <row r="121" spans="1:5">
      <c r="A121" s="58" t="s">
        <v>829</v>
      </c>
      <c r="B121" s="58" t="s">
        <v>1341</v>
      </c>
      <c r="C121" s="58" t="s">
        <v>1065</v>
      </c>
      <c r="D121" s="58">
        <v>4</v>
      </c>
      <c r="E121" s="58" t="e">
        <f ca="1">Valuation!W55</f>
        <v>#NAME?</v>
      </c>
    </row>
    <row r="122" spans="1:5">
      <c r="A122" s="58" t="s">
        <v>829</v>
      </c>
      <c r="B122" s="58" t="s">
        <v>1342</v>
      </c>
      <c r="C122" s="58" t="s">
        <v>1065</v>
      </c>
      <c r="D122" s="58">
        <v>5</v>
      </c>
      <c r="E122" s="58" t="e">
        <f ca="1">Valuation!X55</f>
        <v>#NAME?</v>
      </c>
    </row>
    <row r="123" spans="1:5">
      <c r="A123" s="58" t="s">
        <v>829</v>
      </c>
      <c r="B123" s="58" t="s">
        <v>1343</v>
      </c>
      <c r="C123" s="58" t="s">
        <v>1065</v>
      </c>
      <c r="D123" s="58">
        <v>6</v>
      </c>
      <c r="E123" s="58" t="e">
        <f ca="1">Valuation!Y55</f>
        <v>#NAME?</v>
      </c>
    </row>
    <row r="124" spans="1:5">
      <c r="A124" s="58" t="s">
        <v>829</v>
      </c>
      <c r="B124" s="58" t="s">
        <v>1344</v>
      </c>
      <c r="C124" s="58" t="s">
        <v>1065</v>
      </c>
      <c r="D124" s="58">
        <v>7</v>
      </c>
      <c r="E124" s="58" t="e">
        <f ca="1">Valuation!Z55</f>
        <v>#NAME?</v>
      </c>
    </row>
    <row r="125" spans="1:5">
      <c r="A125" s="58" t="s">
        <v>829</v>
      </c>
      <c r="B125" s="58" t="s">
        <v>1345</v>
      </c>
      <c r="C125" s="58" t="s">
        <v>1065</v>
      </c>
      <c r="D125" s="58">
        <v>8</v>
      </c>
      <c r="E125" s="58" t="e">
        <f ca="1">Valuation!AA55</f>
        <v>#NAME?</v>
      </c>
    </row>
    <row r="126" spans="1:5">
      <c r="A126" s="58" t="s">
        <v>829</v>
      </c>
      <c r="B126" s="58" t="s">
        <v>1346</v>
      </c>
      <c r="C126" s="58" t="s">
        <v>1065</v>
      </c>
      <c r="D126" s="58">
        <v>9</v>
      </c>
      <c r="E126" s="58" t="e">
        <f ca="1">Valuation!AB55</f>
        <v>#NAME?</v>
      </c>
    </row>
    <row r="127" spans="1:5">
      <c r="A127" s="58" t="s">
        <v>829</v>
      </c>
      <c r="B127" s="58" t="s">
        <v>1347</v>
      </c>
      <c r="C127" s="58" t="s">
        <v>1065</v>
      </c>
      <c r="D127" s="58">
        <v>0</v>
      </c>
      <c r="E127" s="58">
        <f ca="1">Valuation!S55</f>
        <v>1120724.4168768078</v>
      </c>
    </row>
    <row r="128" spans="1:5">
      <c r="A128" s="58" t="s">
        <v>829</v>
      </c>
      <c r="B128" s="58" t="s">
        <v>1348</v>
      </c>
      <c r="C128" s="58" t="s">
        <v>1078</v>
      </c>
      <c r="D128" s="58">
        <v>-11</v>
      </c>
      <c r="E128" s="58" t="str">
        <f>Valuation!H56</f>
        <v/>
      </c>
    </row>
    <row r="129" spans="1:5">
      <c r="A129" s="58" t="s">
        <v>829</v>
      </c>
      <c r="B129" s="58" t="s">
        <v>1349</v>
      </c>
      <c r="C129" s="58" t="s">
        <v>1078</v>
      </c>
      <c r="D129" s="58">
        <v>-10</v>
      </c>
      <c r="E129" s="58" t="str">
        <f>Valuation!I56</f>
        <v/>
      </c>
    </row>
    <row r="130" spans="1:5">
      <c r="A130" s="58" t="s">
        <v>829</v>
      </c>
      <c r="B130" s="58" t="s">
        <v>1350</v>
      </c>
      <c r="C130" s="58" t="s">
        <v>1078</v>
      </c>
      <c r="D130" s="58">
        <v>-9</v>
      </c>
      <c r="E130" s="58" t="str">
        <f>Valuation!J56</f>
        <v/>
      </c>
    </row>
    <row r="131" spans="1:5">
      <c r="A131" s="58" t="s">
        <v>829</v>
      </c>
      <c r="B131" s="58" t="s">
        <v>1351</v>
      </c>
      <c r="C131" s="58" t="s">
        <v>1078</v>
      </c>
      <c r="D131" s="58">
        <v>-8</v>
      </c>
      <c r="E131" s="58" t="str">
        <f>Valuation!K56</f>
        <v/>
      </c>
    </row>
    <row r="132" spans="1:5">
      <c r="A132" s="58" t="s">
        <v>829</v>
      </c>
      <c r="B132" s="58" t="s">
        <v>1352</v>
      </c>
      <c r="C132" s="58" t="s">
        <v>1078</v>
      </c>
      <c r="D132" s="58">
        <v>-7</v>
      </c>
      <c r="E132" s="58" t="str">
        <f>Valuation!L56</f>
        <v/>
      </c>
    </row>
    <row r="133" spans="1:5">
      <c r="A133" s="58" t="s">
        <v>829</v>
      </c>
      <c r="B133" s="58" t="s">
        <v>1353</v>
      </c>
      <c r="C133" s="58" t="s">
        <v>1078</v>
      </c>
      <c r="D133" s="58">
        <v>-6</v>
      </c>
      <c r="E133" s="58">
        <f>Valuation!M56</f>
        <v>0.3178669584909678</v>
      </c>
    </row>
    <row r="134" spans="1:5">
      <c r="A134" s="58" t="s">
        <v>829</v>
      </c>
      <c r="B134" s="58" t="s">
        <v>1354</v>
      </c>
      <c r="C134" s="58" t="s">
        <v>1078</v>
      </c>
      <c r="D134" s="58">
        <v>-5</v>
      </c>
      <c r="E134" s="58">
        <f>Valuation!N56</f>
        <v>0.39582628563964484</v>
      </c>
    </row>
    <row r="135" spans="1:5">
      <c r="A135" s="58" t="s">
        <v>829</v>
      </c>
      <c r="B135" s="58" t="s">
        <v>1355</v>
      </c>
      <c r="C135" s="58" t="s">
        <v>1078</v>
      </c>
      <c r="D135" s="58">
        <v>-4</v>
      </c>
      <c r="E135" s="58">
        <f>Valuation!O56</f>
        <v>-0.88335261823901257</v>
      </c>
    </row>
    <row r="136" spans="1:5">
      <c r="A136" s="58" t="s">
        <v>829</v>
      </c>
      <c r="B136" s="58" t="s">
        <v>1356</v>
      </c>
      <c r="C136" s="58" t="s">
        <v>1078</v>
      </c>
      <c r="D136" s="58">
        <v>-3</v>
      </c>
      <c r="E136" s="58">
        <f>Valuation!P56</f>
        <v>4.6829171308683644E-2</v>
      </c>
    </row>
    <row r="137" spans="1:5">
      <c r="A137" s="58" t="s">
        <v>829</v>
      </c>
      <c r="B137" s="58" t="s">
        <v>1357</v>
      </c>
      <c r="C137" s="58" t="s">
        <v>1078</v>
      </c>
      <c r="D137" s="58">
        <v>-2</v>
      </c>
      <c r="E137" s="58">
        <f>Valuation!Q56</f>
        <v>0.48001120653354923</v>
      </c>
    </row>
    <row r="138" spans="1:5">
      <c r="A138" s="58" t="s">
        <v>829</v>
      </c>
      <c r="B138" s="58" t="s">
        <v>1358</v>
      </c>
      <c r="C138" s="58" t="s">
        <v>1078</v>
      </c>
      <c r="D138" s="58">
        <v>-1</v>
      </c>
      <c r="E138" s="58">
        <f>Valuation!R56</f>
        <v>0.25008003397701678</v>
      </c>
    </row>
    <row r="139" spans="1:5">
      <c r="A139" s="58" t="s">
        <v>829</v>
      </c>
      <c r="B139" s="58" t="s">
        <v>1359</v>
      </c>
      <c r="C139" s="58" t="s">
        <v>1078</v>
      </c>
      <c r="D139" s="58">
        <v>1</v>
      </c>
      <c r="E139" s="58" t="str">
        <f ca="1">Valuation!T56</f>
        <v/>
      </c>
    </row>
    <row r="140" spans="1:5">
      <c r="A140" s="58" t="s">
        <v>829</v>
      </c>
      <c r="B140" s="58" t="s">
        <v>1360</v>
      </c>
      <c r="C140" s="58" t="s">
        <v>1078</v>
      </c>
      <c r="D140" s="58">
        <v>2</v>
      </c>
      <c r="E140" s="58" t="str">
        <f ca="1">Valuation!U56</f>
        <v/>
      </c>
    </row>
    <row r="141" spans="1:5">
      <c r="A141" s="58" t="s">
        <v>829</v>
      </c>
      <c r="B141" s="58" t="s">
        <v>1361</v>
      </c>
      <c r="C141" s="58" t="s">
        <v>1078</v>
      </c>
      <c r="D141" s="58">
        <v>3</v>
      </c>
      <c r="E141" s="58" t="str">
        <f ca="1">Valuation!V56</f>
        <v/>
      </c>
    </row>
    <row r="142" spans="1:5">
      <c r="A142" s="58" t="s">
        <v>829</v>
      </c>
      <c r="B142" s="58" t="s">
        <v>1362</v>
      </c>
      <c r="C142" s="58" t="s">
        <v>1078</v>
      </c>
      <c r="D142" s="58">
        <v>4</v>
      </c>
      <c r="E142" s="58" t="str">
        <f ca="1">Valuation!W56</f>
        <v/>
      </c>
    </row>
    <row r="143" spans="1:5">
      <c r="A143" s="58" t="s">
        <v>829</v>
      </c>
      <c r="B143" s="58" t="s">
        <v>1363</v>
      </c>
      <c r="C143" s="58" t="s">
        <v>1078</v>
      </c>
      <c r="D143" s="58">
        <v>5</v>
      </c>
      <c r="E143" s="58" t="str">
        <f ca="1">Valuation!X56</f>
        <v/>
      </c>
    </row>
    <row r="144" spans="1:5">
      <c r="A144" s="58" t="s">
        <v>829</v>
      </c>
      <c r="B144" s="58" t="s">
        <v>1364</v>
      </c>
      <c r="C144" s="58" t="s">
        <v>1078</v>
      </c>
      <c r="D144" s="58">
        <v>6</v>
      </c>
      <c r="E144" s="58" t="str">
        <f ca="1">Valuation!Y56</f>
        <v/>
      </c>
    </row>
    <row r="145" spans="1:5">
      <c r="A145" s="58" t="s">
        <v>829</v>
      </c>
      <c r="B145" s="58" t="s">
        <v>1365</v>
      </c>
      <c r="C145" s="58" t="s">
        <v>1078</v>
      </c>
      <c r="D145" s="58">
        <v>7</v>
      </c>
      <c r="E145" s="58" t="str">
        <f ca="1">Valuation!Z56</f>
        <v/>
      </c>
    </row>
    <row r="146" spans="1:5">
      <c r="A146" s="58" t="s">
        <v>829</v>
      </c>
      <c r="B146" s="58" t="s">
        <v>1366</v>
      </c>
      <c r="C146" s="58" t="s">
        <v>1078</v>
      </c>
      <c r="D146" s="58">
        <v>8</v>
      </c>
      <c r="E146" s="58" t="str">
        <f ca="1">Valuation!AA56</f>
        <v/>
      </c>
    </row>
    <row r="147" spans="1:5">
      <c r="A147" s="58" t="s">
        <v>829</v>
      </c>
      <c r="B147" s="58" t="s">
        <v>1367</v>
      </c>
      <c r="C147" s="58" t="s">
        <v>1078</v>
      </c>
      <c r="D147" s="58">
        <v>9</v>
      </c>
      <c r="E147" s="58" t="str">
        <f ca="1">Valuation!AB56</f>
        <v/>
      </c>
    </row>
    <row r="148" spans="1:5">
      <c r="A148" s="58" t="s">
        <v>829</v>
      </c>
      <c r="B148" s="58" t="s">
        <v>1368</v>
      </c>
      <c r="C148" s="58" t="s">
        <v>1078</v>
      </c>
      <c r="D148" s="58">
        <v>0</v>
      </c>
      <c r="E148" s="58">
        <f ca="1">Valuation!S56</f>
        <v>0.16473366816788043</v>
      </c>
    </row>
    <row r="149" spans="1:5">
      <c r="A149" s="58" t="s">
        <v>829</v>
      </c>
      <c r="B149" s="58" t="s">
        <v>1369</v>
      </c>
      <c r="C149" s="58" t="s">
        <v>1030</v>
      </c>
      <c r="D149" s="58">
        <v>-11</v>
      </c>
      <c r="E149" s="58">
        <f>Valuation!H36</f>
        <v>0</v>
      </c>
    </row>
    <row r="150" spans="1:5">
      <c r="A150" s="58" t="s">
        <v>829</v>
      </c>
      <c r="B150" s="58" t="s">
        <v>1370</v>
      </c>
      <c r="C150" s="58" t="s">
        <v>1030</v>
      </c>
      <c r="D150" s="58">
        <v>-10</v>
      </c>
      <c r="E150" s="58">
        <f>Valuation!I36</f>
        <v>0</v>
      </c>
    </row>
    <row r="151" spans="1:5">
      <c r="A151" s="58" t="s">
        <v>829</v>
      </c>
      <c r="B151" s="58" t="s">
        <v>1371</v>
      </c>
      <c r="C151" s="58" t="s">
        <v>1030</v>
      </c>
      <c r="D151" s="58">
        <v>-9</v>
      </c>
      <c r="E151" s="58">
        <f>Valuation!J36</f>
        <v>0</v>
      </c>
    </row>
    <row r="152" spans="1:5">
      <c r="A152" s="58" t="s">
        <v>829</v>
      </c>
      <c r="B152" s="58" t="s">
        <v>1372</v>
      </c>
      <c r="C152" s="58" t="s">
        <v>1030</v>
      </c>
      <c r="D152" s="58">
        <v>-8</v>
      </c>
      <c r="E152" s="58">
        <f>Valuation!K36</f>
        <v>0</v>
      </c>
    </row>
    <row r="153" spans="1:5">
      <c r="A153" s="58" t="s">
        <v>829</v>
      </c>
      <c r="B153" s="58" t="s">
        <v>1373</v>
      </c>
      <c r="C153" s="58" t="s">
        <v>1030</v>
      </c>
      <c r="D153" s="58">
        <v>-7</v>
      </c>
      <c r="E153" s="58">
        <f>Valuation!L36</f>
        <v>0</v>
      </c>
    </row>
    <row r="154" spans="1:5">
      <c r="A154" s="58" t="s">
        <v>829</v>
      </c>
      <c r="B154" s="58" t="s">
        <v>1374</v>
      </c>
      <c r="C154" s="58" t="s">
        <v>1030</v>
      </c>
      <c r="D154" s="58">
        <v>-6</v>
      </c>
      <c r="E154" s="58">
        <f>Valuation!M36</f>
        <v>316553</v>
      </c>
    </row>
    <row r="155" spans="1:5">
      <c r="A155" s="58" t="s">
        <v>829</v>
      </c>
      <c r="B155" s="58" t="s">
        <v>1375</v>
      </c>
      <c r="C155" s="58" t="s">
        <v>1030</v>
      </c>
      <c r="D155" s="58">
        <v>-5</v>
      </c>
      <c r="E155" s="58">
        <f>Valuation!N36</f>
        <v>3624120</v>
      </c>
    </row>
    <row r="156" spans="1:5">
      <c r="A156" s="58" t="s">
        <v>829</v>
      </c>
      <c r="B156" s="58" t="s">
        <v>1376</v>
      </c>
      <c r="C156" s="58" t="s">
        <v>1030</v>
      </c>
      <c r="D156" s="58">
        <v>-4</v>
      </c>
      <c r="E156" s="58">
        <f>Valuation!O36</f>
        <v>-2624949</v>
      </c>
    </row>
    <row r="157" spans="1:5">
      <c r="A157" s="58" t="s">
        <v>829</v>
      </c>
      <c r="B157" s="58" t="s">
        <v>1377</v>
      </c>
      <c r="C157" s="58" t="s">
        <v>1030</v>
      </c>
      <c r="D157" s="58">
        <v>-3</v>
      </c>
      <c r="E157" s="58">
        <f>Valuation!P36</f>
        <v>94871</v>
      </c>
    </row>
    <row r="158" spans="1:5">
      <c r="A158" s="58" t="s">
        <v>829</v>
      </c>
      <c r="B158" s="58" t="s">
        <v>1378</v>
      </c>
      <c r="C158" s="58" t="s">
        <v>1030</v>
      </c>
      <c r="D158" s="58">
        <v>-2</v>
      </c>
      <c r="E158" s="58">
        <f>Valuation!Q36</f>
        <v>2579066</v>
      </c>
    </row>
    <row r="159" spans="1:5">
      <c r="A159" s="58" t="s">
        <v>829</v>
      </c>
      <c r="B159" s="58" t="s">
        <v>1379</v>
      </c>
      <c r="C159" s="58" t="s">
        <v>1030</v>
      </c>
      <c r="D159" s="58">
        <v>-1</v>
      </c>
      <c r="E159" s="58">
        <f>Valuation!R36</f>
        <v>1260327</v>
      </c>
    </row>
    <row r="160" spans="1:5">
      <c r="A160" s="58" t="s">
        <v>829</v>
      </c>
      <c r="B160" s="58" t="s">
        <v>1380</v>
      </c>
      <c r="C160" s="58" t="s">
        <v>1030</v>
      </c>
      <c r="D160" s="58">
        <v>1</v>
      </c>
      <c r="E160" s="58" t="e">
        <f ca="1">Valuation!T36</f>
        <v>#NAME?</v>
      </c>
    </row>
    <row r="161" spans="1:5">
      <c r="A161" s="58" t="s">
        <v>829</v>
      </c>
      <c r="B161" s="58" t="s">
        <v>1381</v>
      </c>
      <c r="C161" s="58" t="s">
        <v>1030</v>
      </c>
      <c r="D161" s="58">
        <v>2</v>
      </c>
      <c r="E161" s="58" t="e">
        <f ca="1">Valuation!U36</f>
        <v>#NAME?</v>
      </c>
    </row>
    <row r="162" spans="1:5">
      <c r="A162" s="58" t="s">
        <v>829</v>
      </c>
      <c r="B162" s="58" t="s">
        <v>1382</v>
      </c>
      <c r="C162" s="58" t="s">
        <v>1030</v>
      </c>
      <c r="D162" s="58">
        <v>3</v>
      </c>
      <c r="E162" s="58" t="e">
        <f ca="1">Valuation!V36</f>
        <v>#NAME?</v>
      </c>
    </row>
    <row r="163" spans="1:5">
      <c r="A163" s="58" t="s">
        <v>829</v>
      </c>
      <c r="B163" s="58" t="s">
        <v>1383</v>
      </c>
      <c r="C163" s="58" t="s">
        <v>1030</v>
      </c>
      <c r="D163" s="58">
        <v>4</v>
      </c>
      <c r="E163" s="58" t="e">
        <f ca="1">Valuation!W36</f>
        <v>#NAME?</v>
      </c>
    </row>
    <row r="164" spans="1:5">
      <c r="A164" s="58" t="s">
        <v>829</v>
      </c>
      <c r="B164" s="58" t="s">
        <v>1384</v>
      </c>
      <c r="C164" s="58" t="s">
        <v>1030</v>
      </c>
      <c r="D164" s="58">
        <v>5</v>
      </c>
      <c r="E164" s="58" t="e">
        <f ca="1">Valuation!X36</f>
        <v>#NAME?</v>
      </c>
    </row>
    <row r="165" spans="1:5">
      <c r="A165" s="58" t="s">
        <v>829</v>
      </c>
      <c r="B165" s="58" t="s">
        <v>1385</v>
      </c>
      <c r="C165" s="58" t="s">
        <v>1030</v>
      </c>
      <c r="D165" s="58">
        <v>6</v>
      </c>
      <c r="E165" s="58" t="e">
        <f ca="1">Valuation!Y36</f>
        <v>#NAME?</v>
      </c>
    </row>
    <row r="166" spans="1:5">
      <c r="A166" s="58" t="s">
        <v>829</v>
      </c>
      <c r="B166" s="58" t="s">
        <v>1386</v>
      </c>
      <c r="C166" s="58" t="s">
        <v>1030</v>
      </c>
      <c r="D166" s="58">
        <v>7</v>
      </c>
      <c r="E166" s="58" t="e">
        <f ca="1">Valuation!Z36</f>
        <v>#NAME?</v>
      </c>
    </row>
    <row r="167" spans="1:5">
      <c r="A167" s="58" t="s">
        <v>829</v>
      </c>
      <c r="B167" s="58" t="s">
        <v>1387</v>
      </c>
      <c r="C167" s="58" t="s">
        <v>1030</v>
      </c>
      <c r="D167" s="58">
        <v>8</v>
      </c>
      <c r="E167" s="58" t="e">
        <f ca="1">Valuation!AA36</f>
        <v>#NAME?</v>
      </c>
    </row>
    <row r="168" spans="1:5">
      <c r="A168" s="58" t="s">
        <v>829</v>
      </c>
      <c r="B168" s="58" t="s">
        <v>1388</v>
      </c>
      <c r="C168" s="58" t="s">
        <v>1030</v>
      </c>
      <c r="D168" s="58">
        <v>9</v>
      </c>
      <c r="E168" s="58" t="e">
        <f ca="1">Valuation!AB36</f>
        <v>#NAME?</v>
      </c>
    </row>
    <row r="169" spans="1:5">
      <c r="A169" s="58" t="s">
        <v>829</v>
      </c>
      <c r="B169" s="58" t="s">
        <v>1389</v>
      </c>
      <c r="C169" s="58" t="s">
        <v>1030</v>
      </c>
      <c r="D169" s="58">
        <v>0</v>
      </c>
      <c r="E169" s="58">
        <f ca="1">Valuation!S36</f>
        <v>568207.81928220042</v>
      </c>
    </row>
    <row r="170" spans="1:5">
      <c r="A170" s="58" t="s">
        <v>829</v>
      </c>
      <c r="B170" s="58" t="s">
        <v>1369</v>
      </c>
      <c r="C170" s="58" t="s">
        <v>1390</v>
      </c>
      <c r="D170" s="58">
        <v>-11</v>
      </c>
      <c r="E170" s="58">
        <f>Valuation!H36</f>
        <v>0</v>
      </c>
    </row>
    <row r="171" spans="1:5">
      <c r="A171" s="58" t="s">
        <v>829</v>
      </c>
      <c r="B171" s="58" t="s">
        <v>1370</v>
      </c>
      <c r="C171" s="58" t="s">
        <v>1390</v>
      </c>
      <c r="D171" s="58">
        <v>-10</v>
      </c>
      <c r="E171" s="58">
        <f>Valuation!I36</f>
        <v>0</v>
      </c>
    </row>
    <row r="172" spans="1:5">
      <c r="A172" s="58" t="s">
        <v>829</v>
      </c>
      <c r="B172" s="58" t="s">
        <v>1371</v>
      </c>
      <c r="C172" s="58" t="s">
        <v>1390</v>
      </c>
      <c r="D172" s="58">
        <v>-9</v>
      </c>
      <c r="E172" s="58">
        <f>Valuation!J36</f>
        <v>0</v>
      </c>
    </row>
    <row r="173" spans="1:5">
      <c r="A173" s="58" t="s">
        <v>829</v>
      </c>
      <c r="B173" s="58" t="s">
        <v>1372</v>
      </c>
      <c r="C173" s="58" t="s">
        <v>1390</v>
      </c>
      <c r="D173" s="58">
        <v>-8</v>
      </c>
      <c r="E173" s="58">
        <f>Valuation!K36</f>
        <v>0</v>
      </c>
    </row>
    <row r="174" spans="1:5">
      <c r="A174" s="58" t="s">
        <v>829</v>
      </c>
      <c r="B174" s="58" t="s">
        <v>1373</v>
      </c>
      <c r="C174" s="58" t="s">
        <v>1390</v>
      </c>
      <c r="D174" s="58">
        <v>-7</v>
      </c>
      <c r="E174" s="58">
        <f>Valuation!L36</f>
        <v>0</v>
      </c>
    </row>
    <row r="175" spans="1:5">
      <c r="A175" s="58" t="s">
        <v>829</v>
      </c>
      <c r="B175" s="58" t="s">
        <v>1374</v>
      </c>
      <c r="C175" s="58" t="s">
        <v>1390</v>
      </c>
      <c r="D175" s="58">
        <v>-6</v>
      </c>
      <c r="E175" s="58">
        <f>Valuation!M36</f>
        <v>316553</v>
      </c>
    </row>
    <row r="176" spans="1:5">
      <c r="A176" s="58" t="s">
        <v>829</v>
      </c>
      <c r="B176" s="58" t="s">
        <v>1375</v>
      </c>
      <c r="C176" s="58" t="s">
        <v>1390</v>
      </c>
      <c r="D176" s="58">
        <v>-5</v>
      </c>
      <c r="E176" s="58">
        <f>Valuation!N36</f>
        <v>3624120</v>
      </c>
    </row>
    <row r="177" spans="1:5">
      <c r="A177" s="58" t="s">
        <v>829</v>
      </c>
      <c r="B177" s="58" t="s">
        <v>1376</v>
      </c>
      <c r="C177" s="58" t="s">
        <v>1390</v>
      </c>
      <c r="D177" s="58">
        <v>-4</v>
      </c>
      <c r="E177" s="58">
        <f>Valuation!O36</f>
        <v>-2624949</v>
      </c>
    </row>
    <row r="178" spans="1:5">
      <c r="A178" s="58" t="s">
        <v>829</v>
      </c>
      <c r="B178" s="58" t="s">
        <v>1377</v>
      </c>
      <c r="C178" s="58" t="s">
        <v>1390</v>
      </c>
      <c r="D178" s="58">
        <v>-3</v>
      </c>
      <c r="E178" s="58">
        <f>Valuation!P36</f>
        <v>94871</v>
      </c>
    </row>
    <row r="179" spans="1:5">
      <c r="A179" s="58" t="s">
        <v>829</v>
      </c>
      <c r="B179" s="58" t="s">
        <v>1378</v>
      </c>
      <c r="C179" s="58" t="s">
        <v>1390</v>
      </c>
      <c r="D179" s="58">
        <v>-2</v>
      </c>
      <c r="E179" s="58">
        <f>Valuation!Q36</f>
        <v>2579066</v>
      </c>
    </row>
    <row r="180" spans="1:5">
      <c r="A180" s="58" t="s">
        <v>829</v>
      </c>
      <c r="B180" s="58" t="s">
        <v>1379</v>
      </c>
      <c r="C180" s="58" t="s">
        <v>1390</v>
      </c>
      <c r="D180" s="58">
        <v>-1</v>
      </c>
      <c r="E180" s="58">
        <f>Valuation!R36</f>
        <v>1260327</v>
      </c>
    </row>
    <row r="181" spans="1:5">
      <c r="A181" s="58" t="s">
        <v>829</v>
      </c>
      <c r="B181" s="58" t="s">
        <v>1380</v>
      </c>
      <c r="C181" s="58" t="s">
        <v>1390</v>
      </c>
      <c r="D181" s="58">
        <v>1</v>
      </c>
      <c r="E181" s="58" t="e">
        <f ca="1">Valuation!T36</f>
        <v>#NAME?</v>
      </c>
    </row>
    <row r="182" spans="1:5">
      <c r="A182" s="58" t="s">
        <v>829</v>
      </c>
      <c r="B182" s="58" t="s">
        <v>1381</v>
      </c>
      <c r="C182" s="58" t="s">
        <v>1390</v>
      </c>
      <c r="D182" s="58">
        <v>2</v>
      </c>
      <c r="E182" s="58" t="e">
        <f ca="1">Valuation!U36</f>
        <v>#NAME?</v>
      </c>
    </row>
    <row r="183" spans="1:5">
      <c r="A183" s="58" t="s">
        <v>829</v>
      </c>
      <c r="B183" s="58" t="s">
        <v>1382</v>
      </c>
      <c r="C183" s="58" t="s">
        <v>1390</v>
      </c>
      <c r="D183" s="58">
        <v>3</v>
      </c>
      <c r="E183" s="58" t="e">
        <f ca="1">Valuation!V36</f>
        <v>#NAME?</v>
      </c>
    </row>
    <row r="184" spans="1:5">
      <c r="A184" s="58" t="s">
        <v>829</v>
      </c>
      <c r="B184" s="58" t="s">
        <v>1383</v>
      </c>
      <c r="C184" s="58" t="s">
        <v>1390</v>
      </c>
      <c r="D184" s="58">
        <v>4</v>
      </c>
      <c r="E184" s="58" t="e">
        <f ca="1">Valuation!W36</f>
        <v>#NAME?</v>
      </c>
    </row>
    <row r="185" spans="1:5">
      <c r="A185" s="58" t="s">
        <v>829</v>
      </c>
      <c r="B185" s="58" t="s">
        <v>1384</v>
      </c>
      <c r="C185" s="58" t="s">
        <v>1390</v>
      </c>
      <c r="D185" s="58">
        <v>5</v>
      </c>
      <c r="E185" s="58" t="e">
        <f ca="1">Valuation!X36</f>
        <v>#NAME?</v>
      </c>
    </row>
    <row r="186" spans="1:5">
      <c r="A186" s="58" t="s">
        <v>829</v>
      </c>
      <c r="B186" s="58" t="s">
        <v>1385</v>
      </c>
      <c r="C186" s="58" t="s">
        <v>1390</v>
      </c>
      <c r="D186" s="58">
        <v>6</v>
      </c>
      <c r="E186" s="58" t="e">
        <f ca="1">Valuation!Y36</f>
        <v>#NAME?</v>
      </c>
    </row>
    <row r="187" spans="1:5">
      <c r="A187" s="58" t="s">
        <v>829</v>
      </c>
      <c r="B187" s="58" t="s">
        <v>1386</v>
      </c>
      <c r="C187" s="58" t="s">
        <v>1390</v>
      </c>
      <c r="D187" s="58">
        <v>7</v>
      </c>
      <c r="E187" s="58" t="e">
        <f ca="1">Valuation!Z36</f>
        <v>#NAME?</v>
      </c>
    </row>
    <row r="188" spans="1:5">
      <c r="A188" s="58" t="s">
        <v>829</v>
      </c>
      <c r="B188" s="58" t="s">
        <v>1387</v>
      </c>
      <c r="C188" s="58" t="s">
        <v>1390</v>
      </c>
      <c r="D188" s="58">
        <v>8</v>
      </c>
      <c r="E188" s="58" t="e">
        <f ca="1">Valuation!AA36</f>
        <v>#NAME?</v>
      </c>
    </row>
    <row r="189" spans="1:5">
      <c r="A189" s="58" t="s">
        <v>829</v>
      </c>
      <c r="B189" s="58" t="s">
        <v>1388</v>
      </c>
      <c r="C189" s="58" t="s">
        <v>1390</v>
      </c>
      <c r="D189" s="58">
        <v>9</v>
      </c>
      <c r="E189" s="58" t="e">
        <f ca="1">Valuation!AB36</f>
        <v>#NAME?</v>
      </c>
    </row>
    <row r="190" spans="1:5">
      <c r="A190" s="58" t="s">
        <v>829</v>
      </c>
      <c r="B190" s="58" t="s">
        <v>1389</v>
      </c>
      <c r="C190" s="58" t="s">
        <v>1390</v>
      </c>
      <c r="D190" s="58">
        <v>0</v>
      </c>
      <c r="E190" s="58">
        <f ca="1">Valuation!S36</f>
        <v>568207.81928220042</v>
      </c>
    </row>
    <row r="191" spans="1:5">
      <c r="A191" s="58" t="s">
        <v>829</v>
      </c>
      <c r="B191" s="58" t="s">
        <v>1391</v>
      </c>
      <c r="C191" s="58" t="s">
        <v>1069</v>
      </c>
      <c r="D191" s="58">
        <v>-11</v>
      </c>
      <c r="E191" s="58">
        <f>Valuation!H18</f>
        <v>0</v>
      </c>
    </row>
    <row r="192" spans="1:5">
      <c r="A192" s="58" t="s">
        <v>829</v>
      </c>
      <c r="B192" s="58" t="s">
        <v>1392</v>
      </c>
      <c r="C192" s="58" t="s">
        <v>1069</v>
      </c>
      <c r="D192" s="58">
        <v>-10</v>
      </c>
      <c r="E192" s="58">
        <f>Valuation!I18</f>
        <v>0</v>
      </c>
    </row>
    <row r="193" spans="1:5">
      <c r="A193" s="58" t="s">
        <v>829</v>
      </c>
      <c r="B193" s="58" t="s">
        <v>1393</v>
      </c>
      <c r="C193" s="58" t="s">
        <v>1069</v>
      </c>
      <c r="D193" s="58">
        <v>-9</v>
      </c>
      <c r="E193" s="58">
        <f>Valuation!J18</f>
        <v>0</v>
      </c>
    </row>
    <row r="194" spans="1:5">
      <c r="A194" s="58" t="s">
        <v>829</v>
      </c>
      <c r="B194" s="58" t="s">
        <v>1394</v>
      </c>
      <c r="C194" s="58" t="s">
        <v>1069</v>
      </c>
      <c r="D194" s="58">
        <v>-8</v>
      </c>
      <c r="E194" s="58">
        <f>Valuation!K18</f>
        <v>0</v>
      </c>
    </row>
    <row r="195" spans="1:5">
      <c r="A195" s="58" t="s">
        <v>829</v>
      </c>
      <c r="B195" s="58" t="s">
        <v>1395</v>
      </c>
      <c r="C195" s="58" t="s">
        <v>1069</v>
      </c>
      <c r="D195" s="58">
        <v>-7</v>
      </c>
      <c r="E195" s="58">
        <f>Valuation!L18</f>
        <v>0</v>
      </c>
    </row>
    <row r="196" spans="1:5">
      <c r="A196" s="58" t="s">
        <v>829</v>
      </c>
      <c r="B196" s="58" t="s">
        <v>1396</v>
      </c>
      <c r="C196" s="58" t="s">
        <v>1069</v>
      </c>
      <c r="D196" s="58">
        <v>-6</v>
      </c>
      <c r="E196" s="58">
        <f>Valuation!M18</f>
        <v>0</v>
      </c>
    </row>
    <row r="197" spans="1:5">
      <c r="A197" s="58" t="s">
        <v>829</v>
      </c>
      <c r="B197" s="58" t="s">
        <v>1397</v>
      </c>
      <c r="C197" s="58" t="s">
        <v>1069</v>
      </c>
      <c r="D197" s="58">
        <v>-5</v>
      </c>
      <c r="E197" s="58">
        <f>Valuation!N18</f>
        <v>0</v>
      </c>
    </row>
    <row r="198" spans="1:5">
      <c r="A198" s="58" t="s">
        <v>829</v>
      </c>
      <c r="B198" s="58" t="s">
        <v>1398</v>
      </c>
      <c r="C198" s="58" t="s">
        <v>1069</v>
      </c>
      <c r="D198" s="58">
        <v>-4</v>
      </c>
      <c r="E198" s="58">
        <f>Valuation!O18</f>
        <v>0</v>
      </c>
    </row>
    <row r="199" spans="1:5">
      <c r="A199" s="58" t="s">
        <v>829</v>
      </c>
      <c r="B199" s="58" t="s">
        <v>1399</v>
      </c>
      <c r="C199" s="58" t="s">
        <v>1069</v>
      </c>
      <c r="D199" s="58">
        <v>-3</v>
      </c>
      <c r="E199" s="58">
        <f>Valuation!P18</f>
        <v>0</v>
      </c>
    </row>
    <row r="200" spans="1:5">
      <c r="A200" s="58" t="s">
        <v>829</v>
      </c>
      <c r="B200" s="58" t="s">
        <v>1400</v>
      </c>
      <c r="C200" s="58" t="s">
        <v>1069</v>
      </c>
      <c r="D200" s="58">
        <v>-2</v>
      </c>
      <c r="E200" s="58">
        <f>Valuation!Q18</f>
        <v>0</v>
      </c>
    </row>
    <row r="201" spans="1:5">
      <c r="A201" s="58" t="s">
        <v>829</v>
      </c>
      <c r="B201" s="58" t="s">
        <v>1401</v>
      </c>
      <c r="C201" s="58" t="s">
        <v>1069</v>
      </c>
      <c r="D201" s="58">
        <v>-1</v>
      </c>
      <c r="E201" s="58">
        <f>Valuation!R18</f>
        <v>0</v>
      </c>
    </row>
    <row r="202" spans="1:5">
      <c r="A202" s="58" t="s">
        <v>829</v>
      </c>
      <c r="B202" s="58" t="s">
        <v>1402</v>
      </c>
      <c r="C202" s="58" t="s">
        <v>1069</v>
      </c>
      <c r="D202" s="58">
        <v>1</v>
      </c>
      <c r="E202" s="58">
        <f>Valuation!T18</f>
        <v>0</v>
      </c>
    </row>
    <row r="203" spans="1:5">
      <c r="A203" s="58" t="s">
        <v>829</v>
      </c>
      <c r="B203" s="58" t="s">
        <v>1403</v>
      </c>
      <c r="C203" s="58" t="s">
        <v>1069</v>
      </c>
      <c r="D203" s="58">
        <v>2</v>
      </c>
      <c r="E203" s="58">
        <f>Valuation!U18</f>
        <v>0</v>
      </c>
    </row>
    <row r="204" spans="1:5">
      <c r="A204" s="58" t="s">
        <v>829</v>
      </c>
      <c r="B204" s="58" t="s">
        <v>1404</v>
      </c>
      <c r="C204" s="58" t="s">
        <v>1069</v>
      </c>
      <c r="D204" s="58">
        <v>3</v>
      </c>
      <c r="E204" s="58">
        <f>Valuation!V18</f>
        <v>0</v>
      </c>
    </row>
    <row r="205" spans="1:5">
      <c r="A205" s="58" t="s">
        <v>829</v>
      </c>
      <c r="B205" s="58" t="s">
        <v>1405</v>
      </c>
      <c r="C205" s="58" t="s">
        <v>1069</v>
      </c>
      <c r="D205" s="58">
        <v>4</v>
      </c>
      <c r="E205" s="58">
        <f>Valuation!W18</f>
        <v>0</v>
      </c>
    </row>
    <row r="206" spans="1:5">
      <c r="A206" s="58" t="s">
        <v>829</v>
      </c>
      <c r="B206" s="58" t="s">
        <v>1406</v>
      </c>
      <c r="C206" s="58" t="s">
        <v>1069</v>
      </c>
      <c r="D206" s="58">
        <v>5</v>
      </c>
      <c r="E206" s="58">
        <f>Valuation!X18</f>
        <v>0</v>
      </c>
    </row>
    <row r="207" spans="1:5">
      <c r="A207" s="58" t="s">
        <v>829</v>
      </c>
      <c r="B207" s="58" t="s">
        <v>1407</v>
      </c>
      <c r="C207" s="58" t="s">
        <v>1069</v>
      </c>
      <c r="D207" s="58">
        <v>6</v>
      </c>
      <c r="E207" s="58">
        <f>Valuation!Y18</f>
        <v>0</v>
      </c>
    </row>
    <row r="208" spans="1:5">
      <c r="A208" s="58" t="s">
        <v>829</v>
      </c>
      <c r="B208" s="58" t="s">
        <v>1408</v>
      </c>
      <c r="C208" s="58" t="s">
        <v>1069</v>
      </c>
      <c r="D208" s="58">
        <v>7</v>
      </c>
      <c r="E208" s="58">
        <f>Valuation!Z18</f>
        <v>0</v>
      </c>
    </row>
    <row r="209" spans="1:5">
      <c r="A209" s="58" t="s">
        <v>829</v>
      </c>
      <c r="B209" s="58" t="s">
        <v>1409</v>
      </c>
      <c r="C209" s="58" t="s">
        <v>1069</v>
      </c>
      <c r="D209" s="58">
        <v>8</v>
      </c>
      <c r="E209" s="58">
        <f>Valuation!AA18</f>
        <v>0</v>
      </c>
    </row>
    <row r="210" spans="1:5">
      <c r="A210" s="58" t="s">
        <v>829</v>
      </c>
      <c r="B210" s="58" t="s">
        <v>1410</v>
      </c>
      <c r="C210" s="58" t="s">
        <v>1069</v>
      </c>
      <c r="D210" s="58">
        <v>9</v>
      </c>
      <c r="E210" s="58">
        <f>Valuation!AB18</f>
        <v>0</v>
      </c>
    </row>
    <row r="211" spans="1:5">
      <c r="A211" s="58" t="s">
        <v>829</v>
      </c>
      <c r="B211" s="58" t="s">
        <v>1411</v>
      </c>
      <c r="C211" s="58" t="s">
        <v>1069</v>
      </c>
      <c r="D211" s="58">
        <v>0</v>
      </c>
      <c r="E211" s="58">
        <f>Valuation!S18</f>
        <v>0</v>
      </c>
    </row>
    <row r="212" spans="1:5">
      <c r="A212" s="58" t="s">
        <v>829</v>
      </c>
      <c r="B212" s="58" t="s">
        <v>1412</v>
      </c>
      <c r="C212" s="58" t="s">
        <v>1413</v>
      </c>
      <c r="D212" s="58">
        <v>-11</v>
      </c>
      <c r="E212" s="58">
        <f>Valuation!H32</f>
        <v>0</v>
      </c>
    </row>
    <row r="213" spans="1:5">
      <c r="A213" s="58" t="s">
        <v>829</v>
      </c>
      <c r="B213" s="58" t="s">
        <v>1414</v>
      </c>
      <c r="C213" s="58" t="s">
        <v>1413</v>
      </c>
      <c r="D213" s="58">
        <v>-10</v>
      </c>
      <c r="E213" s="58">
        <f>Valuation!I32</f>
        <v>0</v>
      </c>
    </row>
    <row r="214" spans="1:5">
      <c r="A214" s="58" t="s">
        <v>829</v>
      </c>
      <c r="B214" s="58" t="s">
        <v>1415</v>
      </c>
      <c r="C214" s="58" t="s">
        <v>1413</v>
      </c>
      <c r="D214" s="58">
        <v>-9</v>
      </c>
      <c r="E214" s="58">
        <f>Valuation!J32</f>
        <v>0</v>
      </c>
    </row>
    <row r="215" spans="1:5">
      <c r="A215" s="58" t="s">
        <v>829</v>
      </c>
      <c r="B215" s="58" t="s">
        <v>1416</v>
      </c>
      <c r="C215" s="58" t="s">
        <v>1413</v>
      </c>
      <c r="D215" s="58">
        <v>-8</v>
      </c>
      <c r="E215" s="58">
        <f>Valuation!K32</f>
        <v>0</v>
      </c>
    </row>
    <row r="216" spans="1:5">
      <c r="A216" s="58" t="s">
        <v>829</v>
      </c>
      <c r="B216" s="58" t="s">
        <v>1417</v>
      </c>
      <c r="C216" s="58" t="s">
        <v>1413</v>
      </c>
      <c r="D216" s="58">
        <v>-7</v>
      </c>
      <c r="E216" s="58">
        <f>Valuation!L32</f>
        <v>0</v>
      </c>
    </row>
    <row r="217" spans="1:5">
      <c r="A217" s="58" t="s">
        <v>829</v>
      </c>
      <c r="B217" s="58" t="s">
        <v>1418</v>
      </c>
      <c r="C217" s="58" t="s">
        <v>1413</v>
      </c>
      <c r="D217" s="58">
        <v>-6</v>
      </c>
      <c r="E217" s="58">
        <f>Valuation!M32</f>
        <v>0</v>
      </c>
    </row>
    <row r="218" spans="1:5">
      <c r="A218" s="58" t="s">
        <v>829</v>
      </c>
      <c r="B218" s="58" t="s">
        <v>1419</v>
      </c>
      <c r="C218" s="58" t="s">
        <v>1413</v>
      </c>
      <c r="D218" s="58">
        <v>-5</v>
      </c>
      <c r="E218" s="58">
        <f>Valuation!N32</f>
        <v>0</v>
      </c>
    </row>
    <row r="219" spans="1:5">
      <c r="A219" s="58" t="s">
        <v>829</v>
      </c>
      <c r="B219" s="58" t="s">
        <v>1420</v>
      </c>
      <c r="C219" s="58" t="s">
        <v>1413</v>
      </c>
      <c r="D219" s="58">
        <v>-4</v>
      </c>
      <c r="E219" s="58">
        <f>Valuation!O32</f>
        <v>0</v>
      </c>
    </row>
    <row r="220" spans="1:5">
      <c r="A220" s="58" t="s">
        <v>829</v>
      </c>
      <c r="B220" s="58" t="s">
        <v>1421</v>
      </c>
      <c r="C220" s="58" t="s">
        <v>1413</v>
      </c>
      <c r="D220" s="58">
        <v>-3</v>
      </c>
      <c r="E220" s="58">
        <f>Valuation!P32</f>
        <v>0</v>
      </c>
    </row>
    <row r="221" spans="1:5">
      <c r="A221" s="58" t="s">
        <v>829</v>
      </c>
      <c r="B221" s="58" t="s">
        <v>1422</v>
      </c>
      <c r="C221" s="58" t="s">
        <v>1413</v>
      </c>
      <c r="D221" s="58">
        <v>-2</v>
      </c>
      <c r="E221" s="58">
        <f>Valuation!Q32</f>
        <v>0</v>
      </c>
    </row>
    <row r="222" spans="1:5">
      <c r="A222" s="58" t="s">
        <v>829</v>
      </c>
      <c r="B222" s="58" t="s">
        <v>1423</v>
      </c>
      <c r="C222" s="58" t="s">
        <v>1413</v>
      </c>
      <c r="D222" s="58">
        <v>-1</v>
      </c>
      <c r="E222" s="58">
        <f>Valuation!R32</f>
        <v>0</v>
      </c>
    </row>
    <row r="223" spans="1:5">
      <c r="A223" s="58" t="s">
        <v>829</v>
      </c>
      <c r="B223" s="58" t="s">
        <v>1424</v>
      </c>
      <c r="C223" s="58" t="s">
        <v>1413</v>
      </c>
      <c r="D223" s="58">
        <v>1</v>
      </c>
      <c r="E223" s="58">
        <f>Valuation!T32</f>
        <v>0</v>
      </c>
    </row>
    <row r="224" spans="1:5">
      <c r="A224" s="58" t="s">
        <v>829</v>
      </c>
      <c r="B224" s="58" t="s">
        <v>1425</v>
      </c>
      <c r="C224" s="58" t="s">
        <v>1413</v>
      </c>
      <c r="D224" s="58">
        <v>2</v>
      </c>
      <c r="E224" s="58">
        <f>Valuation!U32</f>
        <v>0</v>
      </c>
    </row>
    <row r="225" spans="1:5">
      <c r="A225" s="58" t="s">
        <v>829</v>
      </c>
      <c r="B225" s="58" t="s">
        <v>1426</v>
      </c>
      <c r="C225" s="58" t="s">
        <v>1413</v>
      </c>
      <c r="D225" s="58">
        <v>3</v>
      </c>
      <c r="E225" s="58">
        <f>Valuation!V32</f>
        <v>0</v>
      </c>
    </row>
    <row r="226" spans="1:5">
      <c r="A226" s="58" t="s">
        <v>829</v>
      </c>
      <c r="B226" s="58" t="s">
        <v>1427</v>
      </c>
      <c r="C226" s="58" t="s">
        <v>1413</v>
      </c>
      <c r="D226" s="58">
        <v>4</v>
      </c>
      <c r="E226" s="58">
        <f>Valuation!W32</f>
        <v>0</v>
      </c>
    </row>
    <row r="227" spans="1:5">
      <c r="A227" s="58" t="s">
        <v>829</v>
      </c>
      <c r="B227" s="58" t="s">
        <v>1428</v>
      </c>
      <c r="C227" s="58" t="s">
        <v>1413</v>
      </c>
      <c r="D227" s="58">
        <v>5</v>
      </c>
      <c r="E227" s="58">
        <f>Valuation!X32</f>
        <v>0</v>
      </c>
    </row>
    <row r="228" spans="1:5">
      <c r="A228" s="58" t="s">
        <v>829</v>
      </c>
      <c r="B228" s="58" t="s">
        <v>1429</v>
      </c>
      <c r="C228" s="58" t="s">
        <v>1413</v>
      </c>
      <c r="D228" s="58">
        <v>6</v>
      </c>
      <c r="E228" s="58">
        <f>Valuation!Y32</f>
        <v>0</v>
      </c>
    </row>
    <row r="229" spans="1:5">
      <c r="A229" s="58" t="s">
        <v>829</v>
      </c>
      <c r="B229" s="58" t="s">
        <v>1430</v>
      </c>
      <c r="C229" s="58" t="s">
        <v>1413</v>
      </c>
      <c r="D229" s="58">
        <v>7</v>
      </c>
      <c r="E229" s="58">
        <f>Valuation!Z32</f>
        <v>0</v>
      </c>
    </row>
    <row r="230" spans="1:5">
      <c r="A230" s="58" t="s">
        <v>829</v>
      </c>
      <c r="B230" s="58" t="s">
        <v>1431</v>
      </c>
      <c r="C230" s="58" t="s">
        <v>1413</v>
      </c>
      <c r="D230" s="58">
        <v>8</v>
      </c>
      <c r="E230" s="58">
        <f>Valuation!AA32</f>
        <v>0</v>
      </c>
    </row>
    <row r="231" spans="1:5">
      <c r="A231" s="58" t="s">
        <v>829</v>
      </c>
      <c r="B231" s="58" t="s">
        <v>1432</v>
      </c>
      <c r="C231" s="58" t="s">
        <v>1413</v>
      </c>
      <c r="D231" s="58">
        <v>9</v>
      </c>
      <c r="E231" s="58">
        <f>Valuation!AB32</f>
        <v>0</v>
      </c>
    </row>
    <row r="232" spans="1:5">
      <c r="A232" s="58" t="s">
        <v>829</v>
      </c>
      <c r="B232" s="58" t="s">
        <v>1433</v>
      </c>
      <c r="C232" s="58" t="s">
        <v>1413</v>
      </c>
      <c r="D232" s="58">
        <v>0</v>
      </c>
      <c r="E232" s="58">
        <f>Valuation!S32</f>
        <v>0</v>
      </c>
    </row>
    <row r="233" spans="1:5">
      <c r="A233" s="58" t="s">
        <v>829</v>
      </c>
      <c r="B233" s="58" t="s">
        <v>1434</v>
      </c>
      <c r="C233" s="58" t="s">
        <v>14</v>
      </c>
      <c r="D233" s="58">
        <v>-11</v>
      </c>
      <c r="E233" s="58">
        <f>Valuation!H64</f>
        <v>0</v>
      </c>
    </row>
    <row r="234" spans="1:5">
      <c r="A234" s="58" t="s">
        <v>829</v>
      </c>
      <c r="B234" s="58" t="s">
        <v>1435</v>
      </c>
      <c r="C234" s="58" t="s">
        <v>14</v>
      </c>
      <c r="D234" s="58">
        <v>-10</v>
      </c>
      <c r="E234" s="58">
        <f>Valuation!I64</f>
        <v>0</v>
      </c>
    </row>
    <row r="235" spans="1:5">
      <c r="A235" s="58" t="s">
        <v>829</v>
      </c>
      <c r="B235" s="58" t="s">
        <v>1436</v>
      </c>
      <c r="C235" s="58" t="s">
        <v>14</v>
      </c>
      <c r="D235" s="58">
        <v>-9</v>
      </c>
      <c r="E235" s="58">
        <f>Valuation!J64</f>
        <v>0</v>
      </c>
    </row>
    <row r="236" spans="1:5">
      <c r="A236" s="58" t="s">
        <v>829</v>
      </c>
      <c r="B236" s="58" t="s">
        <v>1437</v>
      </c>
      <c r="C236" s="58" t="s">
        <v>14</v>
      </c>
      <c r="D236" s="58">
        <v>-8</v>
      </c>
      <c r="E236" s="58">
        <f>Valuation!K64</f>
        <v>0</v>
      </c>
    </row>
    <row r="237" spans="1:5">
      <c r="A237" s="58" t="s">
        <v>829</v>
      </c>
      <c r="B237" s="58" t="s">
        <v>1438</v>
      </c>
      <c r="C237" s="58" t="s">
        <v>14</v>
      </c>
      <c r="D237" s="58">
        <v>-7</v>
      </c>
      <c r="E237" s="58">
        <f>Valuation!L64</f>
        <v>0</v>
      </c>
    </row>
    <row r="238" spans="1:5">
      <c r="A238" s="58" t="s">
        <v>829</v>
      </c>
      <c r="B238" s="58" t="s">
        <v>1439</v>
      </c>
      <c r="C238" s="58" t="s">
        <v>14</v>
      </c>
      <c r="D238" s="58">
        <v>-6</v>
      </c>
      <c r="E238" s="58">
        <f>Valuation!M64</f>
        <v>0</v>
      </c>
    </row>
    <row r="239" spans="1:5">
      <c r="A239" s="58" t="s">
        <v>829</v>
      </c>
      <c r="B239" s="58" t="s">
        <v>1440</v>
      </c>
      <c r="C239" s="58" t="s">
        <v>14</v>
      </c>
      <c r="D239" s="58">
        <v>-5</v>
      </c>
      <c r="E239" s="58">
        <f>Valuation!N64</f>
        <v>0</v>
      </c>
    </row>
    <row r="240" spans="1:5">
      <c r="A240" s="58" t="s">
        <v>829</v>
      </c>
      <c r="B240" s="58" t="s">
        <v>1441</v>
      </c>
      <c r="C240" s="58" t="s">
        <v>14</v>
      </c>
      <c r="D240" s="58">
        <v>-4</v>
      </c>
      <c r="E240" s="58">
        <f>Valuation!O64</f>
        <v>45300</v>
      </c>
    </row>
    <row r="241" spans="1:5">
      <c r="A241" s="58" t="s">
        <v>829</v>
      </c>
      <c r="B241" s="58" t="s">
        <v>1442</v>
      </c>
      <c r="C241" s="58" t="s">
        <v>14</v>
      </c>
      <c r="D241" s="58">
        <v>-3</v>
      </c>
      <c r="E241" s="58">
        <f>Valuation!P64</f>
        <v>106100</v>
      </c>
    </row>
    <row r="242" spans="1:5">
      <c r="A242" s="58" t="s">
        <v>829</v>
      </c>
      <c r="B242" s="58" t="s">
        <v>1443</v>
      </c>
      <c r="C242" s="58" t="s">
        <v>14</v>
      </c>
      <c r="D242" s="58">
        <v>-2</v>
      </c>
      <c r="E242" s="58">
        <f>Valuation!Q64</f>
        <v>69600</v>
      </c>
    </row>
    <row r="243" spans="1:5">
      <c r="A243" s="58" t="s">
        <v>829</v>
      </c>
      <c r="B243" s="58" t="s">
        <v>1444</v>
      </c>
      <c r="C243" s="58" t="s">
        <v>14</v>
      </c>
      <c r="D243" s="58">
        <v>-1</v>
      </c>
      <c r="E243" s="58">
        <f>Valuation!R64</f>
        <v>67126</v>
      </c>
    </row>
    <row r="244" spans="1:5">
      <c r="A244" s="58" t="s">
        <v>829</v>
      </c>
      <c r="B244" s="58" t="s">
        <v>1445</v>
      </c>
      <c r="C244" s="58" t="s">
        <v>14</v>
      </c>
      <c r="D244" s="58">
        <v>1</v>
      </c>
      <c r="E244" s="58">
        <f>Valuation!T64</f>
        <v>130341</v>
      </c>
    </row>
    <row r="245" spans="1:5">
      <c r="A245" s="58" t="s">
        <v>829</v>
      </c>
      <c r="B245" s="58" t="s">
        <v>1446</v>
      </c>
      <c r="C245" s="58" t="s">
        <v>14</v>
      </c>
      <c r="D245" s="58">
        <v>2</v>
      </c>
      <c r="E245" s="58">
        <f>Valuation!U64</f>
        <v>127481</v>
      </c>
    </row>
    <row r="246" spans="1:5">
      <c r="A246" s="58" t="s">
        <v>829</v>
      </c>
      <c r="B246" s="58" t="s">
        <v>1447</v>
      </c>
      <c r="C246" s="58" t="s">
        <v>14</v>
      </c>
      <c r="D246" s="58">
        <v>3</v>
      </c>
      <c r="E246" s="58">
        <f>Valuation!V64</f>
        <v>124043</v>
      </c>
    </row>
    <row r="247" spans="1:5">
      <c r="A247" s="58" t="s">
        <v>829</v>
      </c>
      <c r="B247" s="58" t="s">
        <v>1448</v>
      </c>
      <c r="C247" s="58" t="s">
        <v>14</v>
      </c>
      <c r="D247" s="58">
        <v>4</v>
      </c>
      <c r="E247" s="58">
        <f>Valuation!W64</f>
        <v>123524</v>
      </c>
    </row>
    <row r="248" spans="1:5">
      <c r="A248" s="58" t="s">
        <v>829</v>
      </c>
      <c r="B248" s="58" t="s">
        <v>1449</v>
      </c>
      <c r="C248" s="58" t="s">
        <v>14</v>
      </c>
      <c r="D248" s="58">
        <v>5</v>
      </c>
      <c r="E248" s="58">
        <f>Valuation!X64</f>
        <v>117347.79999999999</v>
      </c>
    </row>
    <row r="249" spans="1:5">
      <c r="A249" s="58" t="s">
        <v>829</v>
      </c>
      <c r="B249" s="58" t="s">
        <v>1450</v>
      </c>
      <c r="C249" s="58" t="s">
        <v>14</v>
      </c>
      <c r="D249" s="58">
        <v>6</v>
      </c>
      <c r="E249" s="58">
        <f>Valuation!Y64</f>
        <v>111480.40999999999</v>
      </c>
    </row>
    <row r="250" spans="1:5">
      <c r="A250" s="58" t="s">
        <v>829</v>
      </c>
      <c r="B250" s="58" t="s">
        <v>1451</v>
      </c>
      <c r="C250" s="58" t="s">
        <v>14</v>
      </c>
      <c r="D250" s="58">
        <v>7</v>
      </c>
      <c r="E250" s="58">
        <f>Valuation!Z64</f>
        <v>105906.38949999999</v>
      </c>
    </row>
    <row r="251" spans="1:5">
      <c r="A251" s="58" t="s">
        <v>829</v>
      </c>
      <c r="B251" s="58" t="s">
        <v>1452</v>
      </c>
      <c r="C251" s="58" t="s">
        <v>14</v>
      </c>
      <c r="D251" s="58">
        <v>8</v>
      </c>
      <c r="E251" s="58">
        <f>Valuation!AA64</f>
        <v>100611.07002499998</v>
      </c>
    </row>
    <row r="252" spans="1:5">
      <c r="A252" s="58" t="s">
        <v>829</v>
      </c>
      <c r="B252" s="58" t="s">
        <v>1453</v>
      </c>
      <c r="C252" s="58" t="s">
        <v>14</v>
      </c>
      <c r="D252" s="58">
        <v>9</v>
      </c>
      <c r="E252" s="58">
        <f>Valuation!AB64</f>
        <v>95580.516523749975</v>
      </c>
    </row>
    <row r="253" spans="1:5">
      <c r="A253" s="58" t="s">
        <v>829</v>
      </c>
      <c r="B253" s="58" t="s">
        <v>1454</v>
      </c>
      <c r="C253" s="58" t="s">
        <v>14</v>
      </c>
      <c r="D253" s="58">
        <v>0</v>
      </c>
      <c r="E253" s="58">
        <f>Valuation!S64</f>
        <v>138231</v>
      </c>
    </row>
    <row r="254" spans="1:5">
      <c r="A254" s="58" t="s">
        <v>829</v>
      </c>
      <c r="B254" s="58" t="s">
        <v>1455</v>
      </c>
      <c r="C254" s="58" t="s">
        <v>1456</v>
      </c>
      <c r="D254" s="58">
        <v>-11</v>
      </c>
      <c r="E254" s="58">
        <f>Valuation!H76</f>
        <v>0</v>
      </c>
    </row>
    <row r="255" spans="1:5">
      <c r="A255" s="58" t="s">
        <v>829</v>
      </c>
      <c r="B255" s="58" t="s">
        <v>1457</v>
      </c>
      <c r="C255" s="58" t="s">
        <v>1456</v>
      </c>
      <c r="D255" s="58">
        <v>-10</v>
      </c>
      <c r="E255" s="58">
        <f>Valuation!I76</f>
        <v>0</v>
      </c>
    </row>
    <row r="256" spans="1:5">
      <c r="A256" s="58" t="s">
        <v>829</v>
      </c>
      <c r="B256" s="58" t="s">
        <v>1458</v>
      </c>
      <c r="C256" s="58" t="s">
        <v>1456</v>
      </c>
      <c r="D256" s="58">
        <v>-9</v>
      </c>
      <c r="E256" s="58">
        <f>Valuation!J76</f>
        <v>0</v>
      </c>
    </row>
    <row r="257" spans="1:5">
      <c r="A257" s="58" t="s">
        <v>829</v>
      </c>
      <c r="B257" s="58" t="s">
        <v>1459</v>
      </c>
      <c r="C257" s="58" t="s">
        <v>1456</v>
      </c>
      <c r="D257" s="58">
        <v>-8</v>
      </c>
      <c r="E257" s="58">
        <f>Valuation!K76</f>
        <v>0</v>
      </c>
    </row>
    <row r="258" spans="1:5">
      <c r="A258" s="58" t="s">
        <v>829</v>
      </c>
      <c r="B258" s="58" t="s">
        <v>1460</v>
      </c>
      <c r="C258" s="58" t="s">
        <v>1456</v>
      </c>
      <c r="D258" s="58">
        <v>-7</v>
      </c>
      <c r="E258" s="58">
        <f>Valuation!L76</f>
        <v>0</v>
      </c>
    </row>
    <row r="259" spans="1:5">
      <c r="A259" s="58" t="s">
        <v>829</v>
      </c>
      <c r="B259" s="58" t="s">
        <v>1461</v>
      </c>
      <c r="C259" s="58" t="s">
        <v>1456</v>
      </c>
      <c r="D259" s="58">
        <v>-6</v>
      </c>
      <c r="E259" s="58">
        <f>Valuation!M76</f>
        <v>1141575</v>
      </c>
    </row>
    <row r="260" spans="1:5">
      <c r="A260" s="58" t="s">
        <v>829</v>
      </c>
      <c r="B260" s="58" t="s">
        <v>1462</v>
      </c>
      <c r="C260" s="58" t="s">
        <v>1456</v>
      </c>
      <c r="D260" s="58">
        <v>-5</v>
      </c>
      <c r="E260" s="58">
        <f>Valuation!N76</f>
        <v>7254525</v>
      </c>
    </row>
    <row r="261" spans="1:5">
      <c r="A261" s="58" t="s">
        <v>829</v>
      </c>
      <c r="B261" s="58" t="s">
        <v>1463</v>
      </c>
      <c r="C261" s="58" t="s">
        <v>1456</v>
      </c>
      <c r="D261" s="58">
        <v>-4</v>
      </c>
      <c r="E261" s="58">
        <f>Valuation!O76</f>
        <v>5312043</v>
      </c>
    </row>
    <row r="262" spans="1:5">
      <c r="A262" s="58" t="s">
        <v>829</v>
      </c>
      <c r="B262" s="58" t="s">
        <v>1464</v>
      </c>
      <c r="C262" s="58" t="s">
        <v>1456</v>
      </c>
      <c r="D262" s="58">
        <v>-3</v>
      </c>
      <c r="E262" s="58">
        <f>Valuation!P76</f>
        <v>5738371</v>
      </c>
    </row>
    <row r="263" spans="1:5">
      <c r="A263" s="58" t="s">
        <v>829</v>
      </c>
      <c r="B263" s="58" t="s">
        <v>1465</v>
      </c>
      <c r="C263" s="58" t="s">
        <v>1456</v>
      </c>
      <c r="D263" s="58">
        <v>-2</v>
      </c>
      <c r="E263" s="58">
        <f>Valuation!Q76</f>
        <v>9824230</v>
      </c>
    </row>
    <row r="264" spans="1:5">
      <c r="A264" s="58" t="s">
        <v>829</v>
      </c>
      <c r="B264" s="58" t="s">
        <v>1466</v>
      </c>
      <c r="C264" s="58" t="s">
        <v>1456</v>
      </c>
      <c r="D264" s="58">
        <v>-1</v>
      </c>
      <c r="E264" s="58">
        <f>Valuation!R76</f>
        <v>11929535</v>
      </c>
    </row>
    <row r="265" spans="1:5">
      <c r="A265" s="58" t="s">
        <v>829</v>
      </c>
      <c r="B265" s="58" t="s">
        <v>1467</v>
      </c>
      <c r="C265" s="58" t="s">
        <v>1456</v>
      </c>
      <c r="D265" s="58">
        <v>1</v>
      </c>
      <c r="E265" s="58" t="e">
        <f ca="1">Valuation!T76</f>
        <v>#NAME?</v>
      </c>
    </row>
    <row r="266" spans="1:5">
      <c r="A266" s="58" t="s">
        <v>829</v>
      </c>
      <c r="B266" s="58" t="s">
        <v>1468</v>
      </c>
      <c r="C266" s="58" t="s">
        <v>1456</v>
      </c>
      <c r="D266" s="58">
        <v>2</v>
      </c>
      <c r="E266" s="58" t="e">
        <f ca="1">Valuation!U76</f>
        <v>#NAME?</v>
      </c>
    </row>
    <row r="267" spans="1:5">
      <c r="A267" s="58" t="s">
        <v>829</v>
      </c>
      <c r="B267" s="58" t="s">
        <v>1469</v>
      </c>
      <c r="C267" s="58" t="s">
        <v>1456</v>
      </c>
      <c r="D267" s="58">
        <v>3</v>
      </c>
      <c r="E267" s="58" t="e">
        <f ca="1">Valuation!V76</f>
        <v>#NAME?</v>
      </c>
    </row>
    <row r="268" spans="1:5">
      <c r="A268" s="58" t="s">
        <v>829</v>
      </c>
      <c r="B268" s="58" t="s">
        <v>1470</v>
      </c>
      <c r="C268" s="58" t="s">
        <v>1456</v>
      </c>
      <c r="D268" s="58">
        <v>4</v>
      </c>
      <c r="E268" s="58" t="e">
        <f ca="1">Valuation!W76</f>
        <v>#NAME?</v>
      </c>
    </row>
    <row r="269" spans="1:5">
      <c r="A269" s="58" t="s">
        <v>829</v>
      </c>
      <c r="B269" s="58" t="s">
        <v>1471</v>
      </c>
      <c r="C269" s="58" t="s">
        <v>1456</v>
      </c>
      <c r="D269" s="58">
        <v>5</v>
      </c>
      <c r="E269" s="58" t="e">
        <f ca="1">Valuation!X76</f>
        <v>#NAME?</v>
      </c>
    </row>
    <row r="270" spans="1:5">
      <c r="A270" s="58" t="s">
        <v>829</v>
      </c>
      <c r="B270" s="58" t="s">
        <v>1472</v>
      </c>
      <c r="C270" s="58" t="s">
        <v>1456</v>
      </c>
      <c r="D270" s="58">
        <v>6</v>
      </c>
      <c r="E270" s="58" t="e">
        <f ca="1">Valuation!Y76</f>
        <v>#NAME?</v>
      </c>
    </row>
    <row r="271" spans="1:5">
      <c r="A271" s="58" t="s">
        <v>829</v>
      </c>
      <c r="B271" s="58" t="s">
        <v>1473</v>
      </c>
      <c r="C271" s="58" t="s">
        <v>1456</v>
      </c>
      <c r="D271" s="58">
        <v>7</v>
      </c>
      <c r="E271" s="58" t="e">
        <f ca="1">Valuation!Z76</f>
        <v>#NAME?</v>
      </c>
    </row>
    <row r="272" spans="1:5">
      <c r="A272" s="58" t="s">
        <v>829</v>
      </c>
      <c r="B272" s="58" t="s">
        <v>1474</v>
      </c>
      <c r="C272" s="58" t="s">
        <v>1456</v>
      </c>
      <c r="D272" s="58">
        <v>8</v>
      </c>
      <c r="E272" s="58" t="e">
        <f ca="1">Valuation!AA76</f>
        <v>#NAME?</v>
      </c>
    </row>
    <row r="273" spans="1:5">
      <c r="A273" s="58" t="s">
        <v>829</v>
      </c>
      <c r="B273" s="58" t="s">
        <v>1475</v>
      </c>
      <c r="C273" s="58" t="s">
        <v>1456</v>
      </c>
      <c r="D273" s="58">
        <v>9</v>
      </c>
      <c r="E273" s="58" t="e">
        <f ca="1">Valuation!AB76</f>
        <v>#NAME?</v>
      </c>
    </row>
    <row r="274" spans="1:5">
      <c r="A274" s="58" t="s">
        <v>829</v>
      </c>
      <c r="B274" s="58" t="s">
        <v>1476</v>
      </c>
      <c r="C274" s="58" t="s">
        <v>1456</v>
      </c>
      <c r="D274" s="58">
        <v>0</v>
      </c>
      <c r="E274" s="58" t="e">
        <f ca="1">Valuation!S76</f>
        <v>#NAME?</v>
      </c>
    </row>
    <row r="275" spans="1:5">
      <c r="A275" s="58" t="s">
        <v>829</v>
      </c>
      <c r="B275" s="58" t="s">
        <v>1477</v>
      </c>
      <c r="C275" s="58" t="s">
        <v>1209</v>
      </c>
      <c r="D275" s="58" t="s">
        <v>1138</v>
      </c>
      <c r="E275" s="58">
        <f>Valuation!Q110</f>
        <v>10140104.75</v>
      </c>
    </row>
    <row r="276" spans="1:5">
      <c r="A276" s="58" t="s">
        <v>829</v>
      </c>
      <c r="B276" s="58" t="s">
        <v>1478</v>
      </c>
      <c r="C276" s="58" t="s">
        <v>1479</v>
      </c>
      <c r="D276" s="58">
        <v>-11</v>
      </c>
      <c r="E276" s="58">
        <f>Valuation!H37</f>
        <v>0</v>
      </c>
    </row>
    <row r="277" spans="1:5">
      <c r="A277" s="58" t="s">
        <v>829</v>
      </c>
      <c r="B277" s="58" t="s">
        <v>1480</v>
      </c>
      <c r="C277" s="58" t="s">
        <v>1479</v>
      </c>
      <c r="D277" s="58">
        <v>-10</v>
      </c>
      <c r="E277" s="58">
        <f>Valuation!I37</f>
        <v>0</v>
      </c>
    </row>
    <row r="278" spans="1:5">
      <c r="A278" s="58" t="s">
        <v>829</v>
      </c>
      <c r="B278" s="58" t="s">
        <v>1481</v>
      </c>
      <c r="C278" s="58" t="s">
        <v>1479</v>
      </c>
      <c r="D278" s="58">
        <v>-9</v>
      </c>
      <c r="E278" s="58">
        <f>Valuation!J37</f>
        <v>0</v>
      </c>
    </row>
    <row r="279" spans="1:5">
      <c r="A279" s="58" t="s">
        <v>829</v>
      </c>
      <c r="B279" s="58" t="s">
        <v>1482</v>
      </c>
      <c r="C279" s="58" t="s">
        <v>1479</v>
      </c>
      <c r="D279" s="58">
        <v>-8</v>
      </c>
      <c r="E279" s="58">
        <f>Valuation!K37</f>
        <v>0</v>
      </c>
    </row>
    <row r="280" spans="1:5">
      <c r="A280" s="58" t="s">
        <v>829</v>
      </c>
      <c r="B280" s="58" t="s">
        <v>1483</v>
      </c>
      <c r="C280" s="58" t="s">
        <v>1479</v>
      </c>
      <c r="D280" s="58">
        <v>-7</v>
      </c>
      <c r="E280" s="58">
        <f>Valuation!L37</f>
        <v>0</v>
      </c>
    </row>
    <row r="281" spans="1:5">
      <c r="A281" s="58" t="s">
        <v>829</v>
      </c>
      <c r="B281" s="58" t="s">
        <v>1484</v>
      </c>
      <c r="C281" s="58" t="s">
        <v>1479</v>
      </c>
      <c r="D281" s="58">
        <v>-6</v>
      </c>
      <c r="E281" s="58">
        <f>Valuation!M37</f>
        <v>0</v>
      </c>
    </row>
    <row r="282" spans="1:5">
      <c r="A282" s="58" t="s">
        <v>829</v>
      </c>
      <c r="B282" s="58" t="s">
        <v>1485</v>
      </c>
      <c r="C282" s="58" t="s">
        <v>1479</v>
      </c>
      <c r="D282" s="58">
        <v>-5</v>
      </c>
      <c r="E282" s="58">
        <f>Valuation!N37</f>
        <v>0</v>
      </c>
    </row>
    <row r="283" spans="1:5">
      <c r="A283" s="58" t="s">
        <v>829</v>
      </c>
      <c r="B283" s="58" t="s">
        <v>1486</v>
      </c>
      <c r="C283" s="58" t="s">
        <v>1479</v>
      </c>
      <c r="D283" s="58">
        <v>-4</v>
      </c>
      <c r="E283" s="58">
        <f>Valuation!O37</f>
        <v>0</v>
      </c>
    </row>
    <row r="284" spans="1:5">
      <c r="A284" s="58" t="s">
        <v>829</v>
      </c>
      <c r="B284" s="58" t="s">
        <v>1487</v>
      </c>
      <c r="C284" s="58" t="s">
        <v>1479</v>
      </c>
      <c r="D284" s="58">
        <v>-3</v>
      </c>
      <c r="E284" s="58">
        <f>Valuation!P37</f>
        <v>0</v>
      </c>
    </row>
    <row r="285" spans="1:5">
      <c r="A285" s="58" t="s">
        <v>829</v>
      </c>
      <c r="B285" s="58" t="s">
        <v>1488</v>
      </c>
      <c r="C285" s="58" t="s">
        <v>1479</v>
      </c>
      <c r="D285" s="58">
        <v>-2</v>
      </c>
      <c r="E285" s="58">
        <f>Valuation!Q37</f>
        <v>0</v>
      </c>
    </row>
    <row r="286" spans="1:5">
      <c r="A286" s="58" t="s">
        <v>829</v>
      </c>
      <c r="B286" s="58" t="s">
        <v>1489</v>
      </c>
      <c r="C286" s="58" t="s">
        <v>1479</v>
      </c>
      <c r="D286" s="58">
        <v>-1</v>
      </c>
      <c r="E286" s="58">
        <f>Valuation!R37</f>
        <v>0</v>
      </c>
    </row>
    <row r="287" spans="1:5">
      <c r="A287" s="58" t="s">
        <v>829</v>
      </c>
      <c r="B287" s="58" t="s">
        <v>1490</v>
      </c>
      <c r="C287" s="58" t="s">
        <v>1479</v>
      </c>
      <c r="D287" s="58">
        <v>1</v>
      </c>
      <c r="E287" s="58">
        <f>Valuation!T37</f>
        <v>-1300000</v>
      </c>
    </row>
    <row r="288" spans="1:5">
      <c r="A288" s="58" t="s">
        <v>829</v>
      </c>
      <c r="B288" s="58" t="s">
        <v>1491</v>
      </c>
      <c r="C288" s="58" t="s">
        <v>1479</v>
      </c>
      <c r="D288" s="58">
        <v>2</v>
      </c>
      <c r="E288" s="58">
        <f>Valuation!U37</f>
        <v>0</v>
      </c>
    </row>
    <row r="289" spans="1:5">
      <c r="A289" s="58" t="s">
        <v>829</v>
      </c>
      <c r="B289" s="58" t="s">
        <v>1492</v>
      </c>
      <c r="C289" s="58" t="s">
        <v>1479</v>
      </c>
      <c r="D289" s="58">
        <v>3</v>
      </c>
      <c r="E289" s="58">
        <f>Valuation!V37</f>
        <v>0</v>
      </c>
    </row>
    <row r="290" spans="1:5">
      <c r="A290" s="58" t="s">
        <v>829</v>
      </c>
      <c r="B290" s="58" t="s">
        <v>1493</v>
      </c>
      <c r="C290" s="58" t="s">
        <v>1479</v>
      </c>
      <c r="D290" s="58">
        <v>4</v>
      </c>
      <c r="E290" s="58">
        <f>Valuation!W37</f>
        <v>0</v>
      </c>
    </row>
    <row r="291" spans="1:5">
      <c r="A291" s="58" t="s">
        <v>829</v>
      </c>
      <c r="B291" s="58" t="s">
        <v>1494</v>
      </c>
      <c r="C291" s="58" t="s">
        <v>1479</v>
      </c>
      <c r="D291" s="58">
        <v>5</v>
      </c>
      <c r="E291" s="58">
        <f>Valuation!X37</f>
        <v>0</v>
      </c>
    </row>
    <row r="292" spans="1:5">
      <c r="A292" s="58" t="s">
        <v>829</v>
      </c>
      <c r="B292" s="58" t="s">
        <v>1495</v>
      </c>
      <c r="C292" s="58" t="s">
        <v>1479</v>
      </c>
      <c r="D292" s="58">
        <v>6</v>
      </c>
      <c r="E292" s="58">
        <f>Valuation!Y37</f>
        <v>0</v>
      </c>
    </row>
    <row r="293" spans="1:5">
      <c r="A293" s="58" t="s">
        <v>829</v>
      </c>
      <c r="B293" s="58" t="s">
        <v>1496</v>
      </c>
      <c r="C293" s="58" t="s">
        <v>1479</v>
      </c>
      <c r="D293" s="58">
        <v>7</v>
      </c>
      <c r="E293" s="58">
        <f>Valuation!Z37</f>
        <v>0</v>
      </c>
    </row>
    <row r="294" spans="1:5">
      <c r="A294" s="58" t="s">
        <v>829</v>
      </c>
      <c r="B294" s="58" t="s">
        <v>1497</v>
      </c>
      <c r="C294" s="58" t="s">
        <v>1479</v>
      </c>
      <c r="D294" s="58">
        <v>8</v>
      </c>
      <c r="E294" s="58">
        <f>Valuation!AA37</f>
        <v>0</v>
      </c>
    </row>
    <row r="295" spans="1:5">
      <c r="A295" s="58" t="s">
        <v>829</v>
      </c>
      <c r="B295" s="58" t="s">
        <v>1498</v>
      </c>
      <c r="C295" s="58" t="s">
        <v>1479</v>
      </c>
      <c r="D295" s="58">
        <v>9</v>
      </c>
      <c r="E295" s="58">
        <f>Valuation!AB37</f>
        <v>0</v>
      </c>
    </row>
    <row r="296" spans="1:5">
      <c r="A296" s="58" t="s">
        <v>829</v>
      </c>
      <c r="B296" s="58" t="s">
        <v>1499</v>
      </c>
      <c r="C296" s="58" t="s">
        <v>1479</v>
      </c>
      <c r="D296" s="58">
        <v>0</v>
      </c>
      <c r="E296" s="58">
        <f>Valuation!S37</f>
        <v>-2000000</v>
      </c>
    </row>
    <row r="297" spans="1:5">
      <c r="A297" s="58" t="s">
        <v>829</v>
      </c>
      <c r="B297" s="58" t="s">
        <v>1500</v>
      </c>
      <c r="C297" s="58" t="s">
        <v>1210</v>
      </c>
      <c r="D297" s="58">
        <v>0</v>
      </c>
      <c r="E297" s="58">
        <f>Valuation!S202</f>
        <v>0</v>
      </c>
    </row>
    <row r="298" spans="1:5">
      <c r="A298" s="58" t="s">
        <v>829</v>
      </c>
      <c r="B298" s="58" t="s">
        <v>1501</v>
      </c>
      <c r="C298" s="58" t="s">
        <v>1210</v>
      </c>
      <c r="D298" s="58">
        <v>-11</v>
      </c>
      <c r="E298" s="58">
        <f>Valuation!H202</f>
        <v>0</v>
      </c>
    </row>
    <row r="299" spans="1:5">
      <c r="A299" s="58" t="s">
        <v>829</v>
      </c>
      <c r="B299" s="58" t="s">
        <v>1502</v>
      </c>
      <c r="C299" s="58" t="s">
        <v>1210</v>
      </c>
      <c r="D299" s="58">
        <v>-10</v>
      </c>
      <c r="E299" s="58">
        <f>Valuation!I202</f>
        <v>0</v>
      </c>
    </row>
    <row r="300" spans="1:5">
      <c r="A300" s="58" t="s">
        <v>829</v>
      </c>
      <c r="B300" s="58" t="s">
        <v>1503</v>
      </c>
      <c r="C300" s="58" t="s">
        <v>1210</v>
      </c>
      <c r="D300" s="58">
        <v>-9</v>
      </c>
      <c r="E300" s="58">
        <f>Valuation!J202</f>
        <v>0</v>
      </c>
    </row>
    <row r="301" spans="1:5">
      <c r="A301" s="58" t="s">
        <v>829</v>
      </c>
      <c r="B301" s="58" t="s">
        <v>1504</v>
      </c>
      <c r="C301" s="58" t="s">
        <v>1210</v>
      </c>
      <c r="D301" s="58">
        <v>-8</v>
      </c>
      <c r="E301" s="58">
        <f>Valuation!K202</f>
        <v>0</v>
      </c>
    </row>
    <row r="302" spans="1:5">
      <c r="A302" s="58" t="s">
        <v>829</v>
      </c>
      <c r="B302" s="58" t="s">
        <v>1505</v>
      </c>
      <c r="C302" s="58" t="s">
        <v>1210</v>
      </c>
      <c r="D302" s="58">
        <v>-7</v>
      </c>
      <c r="E302" s="58">
        <f>Valuation!L202</f>
        <v>0</v>
      </c>
    </row>
    <row r="303" spans="1:5">
      <c r="A303" s="58" t="s">
        <v>829</v>
      </c>
      <c r="B303" s="58" t="s">
        <v>1506</v>
      </c>
      <c r="C303" s="58" t="s">
        <v>1210</v>
      </c>
      <c r="D303" s="58">
        <v>-6</v>
      </c>
      <c r="E303" s="58">
        <f>Valuation!M202</f>
        <v>0</v>
      </c>
    </row>
    <row r="304" spans="1:5">
      <c r="A304" s="58" t="s">
        <v>829</v>
      </c>
      <c r="B304" s="58" t="s">
        <v>1507</v>
      </c>
      <c r="C304" s="58" t="s">
        <v>1210</v>
      </c>
      <c r="D304" s="58">
        <v>-5</v>
      </c>
      <c r="E304" s="58">
        <f>Valuation!N202</f>
        <v>0</v>
      </c>
    </row>
    <row r="305" spans="1:5">
      <c r="A305" s="58" t="s">
        <v>829</v>
      </c>
      <c r="B305" s="58" t="s">
        <v>1508</v>
      </c>
      <c r="C305" s="58" t="s">
        <v>1210</v>
      </c>
      <c r="D305" s="58">
        <v>-4</v>
      </c>
      <c r="E305" s="58">
        <f>Valuation!O202</f>
        <v>0</v>
      </c>
    </row>
    <row r="306" spans="1:5">
      <c r="A306" s="58" t="s">
        <v>829</v>
      </c>
      <c r="B306" s="58" t="s">
        <v>1509</v>
      </c>
      <c r="C306" s="58" t="s">
        <v>1210</v>
      </c>
      <c r="D306" s="58">
        <v>-3</v>
      </c>
      <c r="E306" s="58">
        <f>Valuation!P202</f>
        <v>0</v>
      </c>
    </row>
    <row r="307" spans="1:5">
      <c r="A307" s="58" t="s">
        <v>829</v>
      </c>
      <c r="B307" s="58" t="s">
        <v>1510</v>
      </c>
      <c r="C307" s="58" t="s">
        <v>1210</v>
      </c>
      <c r="D307" s="58">
        <v>-2</v>
      </c>
      <c r="E307" s="58">
        <f>Valuation!Q202</f>
        <v>0</v>
      </c>
    </row>
    <row r="308" spans="1:5">
      <c r="A308" s="58" t="s">
        <v>829</v>
      </c>
      <c r="B308" s="58" t="s">
        <v>1511</v>
      </c>
      <c r="C308" s="58" t="s">
        <v>1210</v>
      </c>
      <c r="D308" s="58">
        <v>-1</v>
      </c>
      <c r="E308" s="58">
        <f>Valuation!R202</f>
        <v>0</v>
      </c>
    </row>
    <row r="309" spans="1:5">
      <c r="A309" s="58" t="s">
        <v>829</v>
      </c>
      <c r="B309" s="58" t="s">
        <v>1512</v>
      </c>
      <c r="C309" s="58" t="s">
        <v>1210</v>
      </c>
      <c r="D309" s="58">
        <v>1</v>
      </c>
      <c r="E309" s="58">
        <f>Valuation!T202</f>
        <v>0</v>
      </c>
    </row>
    <row r="310" spans="1:5">
      <c r="A310" s="58" t="s">
        <v>829</v>
      </c>
      <c r="B310" s="58" t="s">
        <v>1513</v>
      </c>
      <c r="C310" s="58" t="s">
        <v>1210</v>
      </c>
      <c r="D310" s="58">
        <v>2</v>
      </c>
      <c r="E310" s="58">
        <f>Valuation!U202</f>
        <v>0</v>
      </c>
    </row>
    <row r="311" spans="1:5">
      <c r="A311" s="58" t="s">
        <v>829</v>
      </c>
      <c r="B311" s="58" t="s">
        <v>1514</v>
      </c>
      <c r="C311" s="58" t="s">
        <v>1210</v>
      </c>
      <c r="D311" s="58">
        <v>3</v>
      </c>
      <c r="E311" s="58">
        <f>Valuation!V202</f>
        <v>0</v>
      </c>
    </row>
    <row r="312" spans="1:5">
      <c r="A312" s="58" t="s">
        <v>829</v>
      </c>
      <c r="B312" s="58" t="s">
        <v>1515</v>
      </c>
      <c r="C312" s="58" t="s">
        <v>1210</v>
      </c>
      <c r="D312" s="58">
        <v>4</v>
      </c>
      <c r="E312" s="58">
        <f>Valuation!W202</f>
        <v>0</v>
      </c>
    </row>
    <row r="313" spans="1:5">
      <c r="A313" s="58" t="s">
        <v>829</v>
      </c>
      <c r="B313" s="58" t="s">
        <v>1516</v>
      </c>
      <c r="C313" s="58" t="s">
        <v>1210</v>
      </c>
      <c r="D313" s="58">
        <v>5</v>
      </c>
      <c r="E313" s="58">
        <f>Valuation!X202</f>
        <v>0</v>
      </c>
    </row>
    <row r="314" spans="1:5">
      <c r="A314" s="58" t="s">
        <v>829</v>
      </c>
      <c r="B314" s="58" t="s">
        <v>1517</v>
      </c>
      <c r="C314" s="58" t="s">
        <v>1210</v>
      </c>
      <c r="D314" s="58">
        <v>6</v>
      </c>
      <c r="E314" s="58">
        <f>Valuation!Y202</f>
        <v>0</v>
      </c>
    </row>
    <row r="315" spans="1:5">
      <c r="A315" s="58" t="s">
        <v>829</v>
      </c>
      <c r="B315" s="58" t="s">
        <v>1518</v>
      </c>
      <c r="C315" s="58" t="s">
        <v>1210</v>
      </c>
      <c r="D315" s="58">
        <v>7</v>
      </c>
      <c r="E315" s="58">
        <f>Valuation!Z202</f>
        <v>0</v>
      </c>
    </row>
    <row r="316" spans="1:5">
      <c r="A316" s="58" t="s">
        <v>829</v>
      </c>
      <c r="B316" s="58" t="s">
        <v>1519</v>
      </c>
      <c r="C316" s="58" t="s">
        <v>1210</v>
      </c>
      <c r="D316" s="58">
        <v>8</v>
      </c>
      <c r="E316" s="58">
        <f>Valuation!AA202</f>
        <v>0</v>
      </c>
    </row>
    <row r="317" spans="1:5">
      <c r="A317" s="58" t="s">
        <v>829</v>
      </c>
      <c r="B317" s="58" t="s">
        <v>1520</v>
      </c>
      <c r="C317" s="58" t="s">
        <v>1210</v>
      </c>
      <c r="D317" s="58">
        <v>9</v>
      </c>
      <c r="E317" s="58">
        <f>Valuation!AB202</f>
        <v>0</v>
      </c>
    </row>
    <row r="318" spans="1:5">
      <c r="A318" s="58" t="s">
        <v>829</v>
      </c>
      <c r="B318" s="58" t="s">
        <v>1521</v>
      </c>
      <c r="C318" s="58" t="s">
        <v>1211</v>
      </c>
      <c r="D318" s="58">
        <v>0</v>
      </c>
      <c r="E318" s="58">
        <f>Valuation!S203</f>
        <v>0</v>
      </c>
    </row>
    <row r="319" spans="1:5">
      <c r="A319" s="58" t="s">
        <v>829</v>
      </c>
      <c r="B319" s="58" t="s">
        <v>1522</v>
      </c>
      <c r="C319" s="58" t="s">
        <v>1211</v>
      </c>
      <c r="D319" s="58">
        <v>-11</v>
      </c>
      <c r="E319" s="58">
        <f>Valuation!H203</f>
        <v>0</v>
      </c>
    </row>
    <row r="320" spans="1:5">
      <c r="A320" s="58" t="s">
        <v>829</v>
      </c>
      <c r="B320" s="58" t="s">
        <v>1523</v>
      </c>
      <c r="C320" s="58" t="s">
        <v>1211</v>
      </c>
      <c r="D320" s="58">
        <v>-10</v>
      </c>
      <c r="E320" s="58">
        <f>Valuation!I203</f>
        <v>0</v>
      </c>
    </row>
    <row r="321" spans="1:5">
      <c r="A321" s="58" t="s">
        <v>829</v>
      </c>
      <c r="B321" s="58" t="s">
        <v>1524</v>
      </c>
      <c r="C321" s="58" t="s">
        <v>1211</v>
      </c>
      <c r="D321" s="58">
        <v>-9</v>
      </c>
      <c r="E321" s="58">
        <f>Valuation!J203</f>
        <v>0</v>
      </c>
    </row>
    <row r="322" spans="1:5">
      <c r="A322" s="58" t="s">
        <v>829</v>
      </c>
      <c r="B322" s="58" t="s">
        <v>1525</v>
      </c>
      <c r="C322" s="58" t="s">
        <v>1211</v>
      </c>
      <c r="D322" s="58">
        <v>-8</v>
      </c>
      <c r="E322" s="58">
        <f>Valuation!K203</f>
        <v>0</v>
      </c>
    </row>
    <row r="323" spans="1:5">
      <c r="A323" s="58" t="s">
        <v>829</v>
      </c>
      <c r="B323" s="58" t="s">
        <v>1526</v>
      </c>
      <c r="C323" s="58" t="s">
        <v>1211</v>
      </c>
      <c r="D323" s="58">
        <v>-7</v>
      </c>
      <c r="E323" s="58">
        <f>Valuation!L203</f>
        <v>0</v>
      </c>
    </row>
    <row r="324" spans="1:5">
      <c r="A324" s="58" t="s">
        <v>829</v>
      </c>
      <c r="B324" s="58" t="s">
        <v>1527</v>
      </c>
      <c r="C324" s="58" t="s">
        <v>1211</v>
      </c>
      <c r="D324" s="58">
        <v>-6</v>
      </c>
      <c r="E324" s="58">
        <f>Valuation!M203</f>
        <v>0</v>
      </c>
    </row>
    <row r="325" spans="1:5">
      <c r="A325" s="58" t="s">
        <v>829</v>
      </c>
      <c r="B325" s="58" t="s">
        <v>1528</v>
      </c>
      <c r="C325" s="58" t="s">
        <v>1211</v>
      </c>
      <c r="D325" s="58">
        <v>-5</v>
      </c>
      <c r="E325" s="58">
        <f>Valuation!N203</f>
        <v>0</v>
      </c>
    </row>
    <row r="326" spans="1:5">
      <c r="A326" s="58" t="s">
        <v>829</v>
      </c>
      <c r="B326" s="58" t="s">
        <v>1529</v>
      </c>
      <c r="C326" s="58" t="s">
        <v>1211</v>
      </c>
      <c r="D326" s="58">
        <v>-4</v>
      </c>
      <c r="E326" s="58">
        <f>Valuation!O203</f>
        <v>0</v>
      </c>
    </row>
    <row r="327" spans="1:5">
      <c r="A327" s="58" t="s">
        <v>829</v>
      </c>
      <c r="B327" s="58" t="s">
        <v>1530</v>
      </c>
      <c r="C327" s="58" t="s">
        <v>1211</v>
      </c>
      <c r="D327" s="58">
        <v>-3</v>
      </c>
      <c r="E327" s="58">
        <f>Valuation!P203</f>
        <v>0</v>
      </c>
    </row>
    <row r="328" spans="1:5">
      <c r="A328" s="58" t="s">
        <v>829</v>
      </c>
      <c r="B328" s="58" t="s">
        <v>1531</v>
      </c>
      <c r="C328" s="58" t="s">
        <v>1211</v>
      </c>
      <c r="D328" s="58">
        <v>-2</v>
      </c>
      <c r="E328" s="58">
        <f>Valuation!Q203</f>
        <v>0</v>
      </c>
    </row>
    <row r="329" spans="1:5">
      <c r="A329" s="58" t="s">
        <v>829</v>
      </c>
      <c r="B329" s="58" t="s">
        <v>1532</v>
      </c>
      <c r="C329" s="58" t="s">
        <v>1211</v>
      </c>
      <c r="D329" s="58">
        <v>-1</v>
      </c>
      <c r="E329" s="58">
        <f>Valuation!R203</f>
        <v>0</v>
      </c>
    </row>
    <row r="330" spans="1:5">
      <c r="A330" s="58" t="s">
        <v>829</v>
      </c>
      <c r="B330" s="58" t="s">
        <v>1533</v>
      </c>
      <c r="C330" s="58" t="s">
        <v>1211</v>
      </c>
      <c r="D330" s="58">
        <v>1</v>
      </c>
      <c r="E330" s="58">
        <f>Valuation!T203</f>
        <v>0</v>
      </c>
    </row>
    <row r="331" spans="1:5">
      <c r="A331" s="58" t="s">
        <v>829</v>
      </c>
      <c r="B331" s="58" t="s">
        <v>1534</v>
      </c>
      <c r="C331" s="58" t="s">
        <v>1211</v>
      </c>
      <c r="D331" s="58">
        <v>2</v>
      </c>
      <c r="E331" s="58">
        <f>Valuation!U203</f>
        <v>0</v>
      </c>
    </row>
    <row r="332" spans="1:5">
      <c r="A332" s="58" t="s">
        <v>829</v>
      </c>
      <c r="B332" s="58" t="s">
        <v>1535</v>
      </c>
      <c r="C332" s="58" t="s">
        <v>1211</v>
      </c>
      <c r="D332" s="58">
        <v>3</v>
      </c>
      <c r="E332" s="58">
        <f>Valuation!V203</f>
        <v>0</v>
      </c>
    </row>
    <row r="333" spans="1:5">
      <c r="A333" s="58" t="s">
        <v>829</v>
      </c>
      <c r="B333" s="58" t="s">
        <v>1536</v>
      </c>
      <c r="C333" s="58" t="s">
        <v>1211</v>
      </c>
      <c r="D333" s="58">
        <v>4</v>
      </c>
      <c r="E333" s="58">
        <f>Valuation!W203</f>
        <v>0</v>
      </c>
    </row>
    <row r="334" spans="1:5">
      <c r="A334" s="58" t="s">
        <v>829</v>
      </c>
      <c r="B334" s="58" t="s">
        <v>1537</v>
      </c>
      <c r="C334" s="58" t="s">
        <v>1211</v>
      </c>
      <c r="D334" s="58">
        <v>5</v>
      </c>
      <c r="E334" s="58">
        <f>Valuation!X203</f>
        <v>0</v>
      </c>
    </row>
    <row r="335" spans="1:5">
      <c r="A335" s="58" t="s">
        <v>829</v>
      </c>
      <c r="B335" s="58" t="s">
        <v>1538</v>
      </c>
      <c r="C335" s="58" t="s">
        <v>1211</v>
      </c>
      <c r="D335" s="58">
        <v>6</v>
      </c>
      <c r="E335" s="58">
        <f>Valuation!Y203</f>
        <v>0</v>
      </c>
    </row>
    <row r="336" spans="1:5">
      <c r="A336" s="58" t="s">
        <v>829</v>
      </c>
      <c r="B336" s="58" t="s">
        <v>1539</v>
      </c>
      <c r="C336" s="58" t="s">
        <v>1211</v>
      </c>
      <c r="D336" s="58">
        <v>7</v>
      </c>
      <c r="E336" s="58">
        <f>Valuation!Z203</f>
        <v>0</v>
      </c>
    </row>
    <row r="337" spans="1:5">
      <c r="A337" s="58" t="s">
        <v>829</v>
      </c>
      <c r="B337" s="58" t="s">
        <v>1540</v>
      </c>
      <c r="C337" s="58" t="s">
        <v>1211</v>
      </c>
      <c r="D337" s="58">
        <v>8</v>
      </c>
      <c r="E337" s="58">
        <f>Valuation!AA203</f>
        <v>0</v>
      </c>
    </row>
    <row r="338" spans="1:5">
      <c r="A338" s="58" t="s">
        <v>829</v>
      </c>
      <c r="B338" s="58" t="s">
        <v>1541</v>
      </c>
      <c r="C338" s="58" t="s">
        <v>1211</v>
      </c>
      <c r="D338" s="58">
        <v>9</v>
      </c>
      <c r="E338" s="58">
        <f>Valuation!AB203</f>
        <v>0</v>
      </c>
    </row>
    <row r="339" spans="1:5">
      <c r="A339" s="58" t="s">
        <v>829</v>
      </c>
      <c r="B339" s="58" t="s">
        <v>1542</v>
      </c>
      <c r="C339" s="58" t="s">
        <v>1212</v>
      </c>
      <c r="D339" s="58">
        <v>0</v>
      </c>
      <c r="E339" s="58">
        <f>Valuation!S204</f>
        <v>0</v>
      </c>
    </row>
    <row r="340" spans="1:5">
      <c r="A340" s="58" t="s">
        <v>829</v>
      </c>
      <c r="B340" s="58" t="s">
        <v>1543</v>
      </c>
      <c r="C340" s="58" t="s">
        <v>1212</v>
      </c>
      <c r="D340" s="58">
        <v>-11</v>
      </c>
      <c r="E340" s="58">
        <f>Valuation!H204</f>
        <v>0</v>
      </c>
    </row>
    <row r="341" spans="1:5">
      <c r="A341" s="58" t="s">
        <v>829</v>
      </c>
      <c r="B341" s="58" t="s">
        <v>1544</v>
      </c>
      <c r="C341" s="58" t="s">
        <v>1212</v>
      </c>
      <c r="D341" s="58">
        <v>-10</v>
      </c>
      <c r="E341" s="58">
        <f>Valuation!I204</f>
        <v>0</v>
      </c>
    </row>
    <row r="342" spans="1:5">
      <c r="A342" s="58" t="s">
        <v>829</v>
      </c>
      <c r="B342" s="58" t="s">
        <v>1545</v>
      </c>
      <c r="C342" s="58" t="s">
        <v>1212</v>
      </c>
      <c r="D342" s="58">
        <v>-9</v>
      </c>
      <c r="E342" s="58">
        <f>Valuation!J204</f>
        <v>0</v>
      </c>
    </row>
    <row r="343" spans="1:5">
      <c r="A343" s="58" t="s">
        <v>829</v>
      </c>
      <c r="B343" s="58" t="s">
        <v>1546</v>
      </c>
      <c r="C343" s="58" t="s">
        <v>1212</v>
      </c>
      <c r="D343" s="58">
        <v>-8</v>
      </c>
      <c r="E343" s="58">
        <f>Valuation!K204</f>
        <v>0</v>
      </c>
    </row>
    <row r="344" spans="1:5">
      <c r="A344" s="58" t="s">
        <v>829</v>
      </c>
      <c r="B344" s="58" t="s">
        <v>1547</v>
      </c>
      <c r="C344" s="58" t="s">
        <v>1212</v>
      </c>
      <c r="D344" s="58">
        <v>-7</v>
      </c>
      <c r="E344" s="58">
        <f>Valuation!L204</f>
        <v>0</v>
      </c>
    </row>
    <row r="345" spans="1:5">
      <c r="A345" s="58" t="s">
        <v>829</v>
      </c>
      <c r="B345" s="58" t="s">
        <v>1548</v>
      </c>
      <c r="C345" s="58" t="s">
        <v>1212</v>
      </c>
      <c r="D345" s="58">
        <v>-6</v>
      </c>
      <c r="E345" s="58">
        <f>Valuation!M204</f>
        <v>0</v>
      </c>
    </row>
    <row r="346" spans="1:5">
      <c r="A346" s="58" t="s">
        <v>829</v>
      </c>
      <c r="B346" s="58" t="s">
        <v>1549</v>
      </c>
      <c r="C346" s="58" t="s">
        <v>1212</v>
      </c>
      <c r="D346" s="58">
        <v>-5</v>
      </c>
      <c r="E346" s="58">
        <f>Valuation!N204</f>
        <v>0</v>
      </c>
    </row>
    <row r="347" spans="1:5">
      <c r="A347" s="58" t="s">
        <v>829</v>
      </c>
      <c r="B347" s="58" t="s">
        <v>1550</v>
      </c>
      <c r="C347" s="58" t="s">
        <v>1212</v>
      </c>
      <c r="D347" s="58">
        <v>-4</v>
      </c>
      <c r="E347" s="58">
        <f>Valuation!O204</f>
        <v>0</v>
      </c>
    </row>
    <row r="348" spans="1:5">
      <c r="A348" s="58" t="s">
        <v>829</v>
      </c>
      <c r="B348" s="58" t="s">
        <v>1551</v>
      </c>
      <c r="C348" s="58" t="s">
        <v>1212</v>
      </c>
      <c r="D348" s="58">
        <v>-3</v>
      </c>
      <c r="E348" s="58">
        <f>Valuation!P204</f>
        <v>0</v>
      </c>
    </row>
    <row r="349" spans="1:5">
      <c r="A349" s="58" t="s">
        <v>829</v>
      </c>
      <c r="B349" s="58" t="s">
        <v>1552</v>
      </c>
      <c r="C349" s="58" t="s">
        <v>1212</v>
      </c>
      <c r="D349" s="58">
        <v>-2</v>
      </c>
      <c r="E349" s="58">
        <f>Valuation!Q204</f>
        <v>0</v>
      </c>
    </row>
    <row r="350" spans="1:5">
      <c r="A350" s="58" t="s">
        <v>829</v>
      </c>
      <c r="B350" s="58" t="s">
        <v>1553</v>
      </c>
      <c r="C350" s="58" t="s">
        <v>1212</v>
      </c>
      <c r="D350" s="58">
        <v>-1</v>
      </c>
      <c r="E350" s="58">
        <f>Valuation!R204</f>
        <v>0</v>
      </c>
    </row>
    <row r="351" spans="1:5">
      <c r="A351" s="58" t="s">
        <v>829</v>
      </c>
      <c r="B351" s="58" t="s">
        <v>1554</v>
      </c>
      <c r="C351" s="58" t="s">
        <v>1212</v>
      </c>
      <c r="D351" s="58">
        <v>1</v>
      </c>
      <c r="E351" s="58">
        <f>Valuation!T204</f>
        <v>0</v>
      </c>
    </row>
    <row r="352" spans="1:5">
      <c r="A352" s="58" t="s">
        <v>829</v>
      </c>
      <c r="B352" s="58" t="s">
        <v>1555</v>
      </c>
      <c r="C352" s="58" t="s">
        <v>1212</v>
      </c>
      <c r="D352" s="58">
        <v>2</v>
      </c>
      <c r="E352" s="58">
        <f>Valuation!U204</f>
        <v>0</v>
      </c>
    </row>
    <row r="353" spans="1:5">
      <c r="A353" s="58" t="s">
        <v>829</v>
      </c>
      <c r="B353" s="58" t="s">
        <v>1556</v>
      </c>
      <c r="C353" s="58" t="s">
        <v>1212</v>
      </c>
      <c r="D353" s="58">
        <v>3</v>
      </c>
      <c r="E353" s="58">
        <f>Valuation!V204</f>
        <v>0</v>
      </c>
    </row>
    <row r="354" spans="1:5">
      <c r="A354" s="58" t="s">
        <v>829</v>
      </c>
      <c r="B354" s="58" t="s">
        <v>1557</v>
      </c>
      <c r="C354" s="58" t="s">
        <v>1212</v>
      </c>
      <c r="D354" s="58">
        <v>4</v>
      </c>
      <c r="E354" s="58">
        <f>Valuation!W204</f>
        <v>0</v>
      </c>
    </row>
    <row r="355" spans="1:5">
      <c r="A355" s="58" t="s">
        <v>829</v>
      </c>
      <c r="B355" s="58" t="s">
        <v>1558</v>
      </c>
      <c r="C355" s="58" t="s">
        <v>1212</v>
      </c>
      <c r="D355" s="58">
        <v>5</v>
      </c>
      <c r="E355" s="58">
        <f>Valuation!X204</f>
        <v>0</v>
      </c>
    </row>
    <row r="356" spans="1:5">
      <c r="A356" s="58" t="s">
        <v>829</v>
      </c>
      <c r="B356" s="58" t="s">
        <v>1559</v>
      </c>
      <c r="C356" s="58" t="s">
        <v>1212</v>
      </c>
      <c r="D356" s="58">
        <v>6</v>
      </c>
      <c r="E356" s="58">
        <f>Valuation!Y204</f>
        <v>0</v>
      </c>
    </row>
    <row r="357" spans="1:5">
      <c r="A357" s="58" t="s">
        <v>829</v>
      </c>
      <c r="B357" s="58" t="s">
        <v>1560</v>
      </c>
      <c r="C357" s="58" t="s">
        <v>1212</v>
      </c>
      <c r="D357" s="58">
        <v>7</v>
      </c>
      <c r="E357" s="58">
        <f>Valuation!Z204</f>
        <v>0</v>
      </c>
    </row>
    <row r="358" spans="1:5">
      <c r="A358" s="58" t="s">
        <v>829</v>
      </c>
      <c r="B358" s="58" t="s">
        <v>1561</v>
      </c>
      <c r="C358" s="58" t="s">
        <v>1212</v>
      </c>
      <c r="D358" s="58">
        <v>8</v>
      </c>
      <c r="E358" s="58">
        <f>Valuation!AA204</f>
        <v>0</v>
      </c>
    </row>
    <row r="359" spans="1:5">
      <c r="A359" s="58" t="s">
        <v>829</v>
      </c>
      <c r="B359" s="58" t="s">
        <v>1562</v>
      </c>
      <c r="C359" s="58" t="s">
        <v>1212</v>
      </c>
      <c r="D359" s="58">
        <v>9</v>
      </c>
      <c r="E359" s="58">
        <f>Valuation!AB204</f>
        <v>0</v>
      </c>
    </row>
    <row r="360" spans="1:5">
      <c r="A360" s="58" t="s">
        <v>829</v>
      </c>
      <c r="B360" s="58" t="s">
        <v>1563</v>
      </c>
      <c r="C360" s="58" t="s">
        <v>1213</v>
      </c>
      <c r="D360" s="58">
        <v>0</v>
      </c>
      <c r="E360" s="58">
        <f>Valuation!S205</f>
        <v>0</v>
      </c>
    </row>
    <row r="361" spans="1:5">
      <c r="A361" s="58" t="s">
        <v>829</v>
      </c>
      <c r="B361" s="58" t="s">
        <v>1564</v>
      </c>
      <c r="C361" s="58" t="s">
        <v>1213</v>
      </c>
      <c r="D361" s="58">
        <v>-11</v>
      </c>
      <c r="E361" s="58">
        <f>Valuation!H205</f>
        <v>0</v>
      </c>
    </row>
    <row r="362" spans="1:5">
      <c r="A362" s="58" t="s">
        <v>829</v>
      </c>
      <c r="B362" s="58" t="s">
        <v>1565</v>
      </c>
      <c r="C362" s="58" t="s">
        <v>1213</v>
      </c>
      <c r="D362" s="58">
        <v>-10</v>
      </c>
      <c r="E362" s="58">
        <f>Valuation!I205</f>
        <v>0</v>
      </c>
    </row>
    <row r="363" spans="1:5">
      <c r="A363" s="58" t="s">
        <v>829</v>
      </c>
      <c r="B363" s="58" t="s">
        <v>1566</v>
      </c>
      <c r="C363" s="58" t="s">
        <v>1213</v>
      </c>
      <c r="D363" s="58">
        <v>-9</v>
      </c>
      <c r="E363" s="58">
        <f>Valuation!J205</f>
        <v>0</v>
      </c>
    </row>
    <row r="364" spans="1:5">
      <c r="A364" s="58" t="s">
        <v>829</v>
      </c>
      <c r="B364" s="58" t="s">
        <v>1567</v>
      </c>
      <c r="C364" s="58" t="s">
        <v>1213</v>
      </c>
      <c r="D364" s="58">
        <v>-8</v>
      </c>
      <c r="E364" s="58">
        <f>Valuation!K205</f>
        <v>0</v>
      </c>
    </row>
    <row r="365" spans="1:5">
      <c r="A365" s="58" t="s">
        <v>829</v>
      </c>
      <c r="B365" s="58" t="s">
        <v>1568</v>
      </c>
      <c r="C365" s="58" t="s">
        <v>1213</v>
      </c>
      <c r="D365" s="58">
        <v>-7</v>
      </c>
      <c r="E365" s="58">
        <f>Valuation!L205</f>
        <v>0</v>
      </c>
    </row>
    <row r="366" spans="1:5">
      <c r="A366" s="58" t="s">
        <v>829</v>
      </c>
      <c r="B366" s="58" t="s">
        <v>1569</v>
      </c>
      <c r="C366" s="58" t="s">
        <v>1213</v>
      </c>
      <c r="D366" s="58">
        <v>-6</v>
      </c>
      <c r="E366" s="58">
        <f>Valuation!M205</f>
        <v>0</v>
      </c>
    </row>
    <row r="367" spans="1:5">
      <c r="A367" s="58" t="s">
        <v>829</v>
      </c>
      <c r="B367" s="58" t="s">
        <v>1570</v>
      </c>
      <c r="C367" s="58" t="s">
        <v>1213</v>
      </c>
      <c r="D367" s="58">
        <v>-5</v>
      </c>
      <c r="E367" s="58">
        <f>Valuation!N205</f>
        <v>0</v>
      </c>
    </row>
    <row r="368" spans="1:5">
      <c r="A368" s="58" t="s">
        <v>829</v>
      </c>
      <c r="B368" s="58" t="s">
        <v>1571</v>
      </c>
      <c r="C368" s="58" t="s">
        <v>1213</v>
      </c>
      <c r="D368" s="58">
        <v>-4</v>
      </c>
      <c r="E368" s="58">
        <f>Valuation!O205</f>
        <v>0</v>
      </c>
    </row>
    <row r="369" spans="1:5">
      <c r="A369" s="58" t="s">
        <v>829</v>
      </c>
      <c r="B369" s="58" t="s">
        <v>1572</v>
      </c>
      <c r="C369" s="58" t="s">
        <v>1213</v>
      </c>
      <c r="D369" s="58">
        <v>-3</v>
      </c>
      <c r="E369" s="58">
        <f>Valuation!P205</f>
        <v>0</v>
      </c>
    </row>
    <row r="370" spans="1:5">
      <c r="A370" s="58" t="s">
        <v>829</v>
      </c>
      <c r="B370" s="58" t="s">
        <v>1573</v>
      </c>
      <c r="C370" s="58" t="s">
        <v>1213</v>
      </c>
      <c r="D370" s="58">
        <v>-2</v>
      </c>
      <c r="E370" s="58">
        <f>Valuation!Q205</f>
        <v>0</v>
      </c>
    </row>
    <row r="371" spans="1:5">
      <c r="A371" s="58" t="s">
        <v>829</v>
      </c>
      <c r="B371" s="58" t="s">
        <v>1574</v>
      </c>
      <c r="C371" s="58" t="s">
        <v>1213</v>
      </c>
      <c r="D371" s="58">
        <v>-1</v>
      </c>
      <c r="E371" s="58">
        <f>Valuation!R205</f>
        <v>0</v>
      </c>
    </row>
    <row r="372" spans="1:5">
      <c r="A372" s="58" t="s">
        <v>829</v>
      </c>
      <c r="B372" s="58" t="s">
        <v>1575</v>
      </c>
      <c r="C372" s="58" t="s">
        <v>1213</v>
      </c>
      <c r="D372" s="58">
        <v>1</v>
      </c>
      <c r="E372" s="58">
        <f>Valuation!T205</f>
        <v>0</v>
      </c>
    </row>
    <row r="373" spans="1:5">
      <c r="A373" s="58" t="s">
        <v>829</v>
      </c>
      <c r="B373" s="58" t="s">
        <v>1576</v>
      </c>
      <c r="C373" s="58" t="s">
        <v>1213</v>
      </c>
      <c r="D373" s="58">
        <v>2</v>
      </c>
      <c r="E373" s="58">
        <f>Valuation!U205</f>
        <v>0</v>
      </c>
    </row>
    <row r="374" spans="1:5">
      <c r="A374" s="58" t="s">
        <v>829</v>
      </c>
      <c r="B374" s="58" t="s">
        <v>1577</v>
      </c>
      <c r="C374" s="58" t="s">
        <v>1213</v>
      </c>
      <c r="D374" s="58">
        <v>3</v>
      </c>
      <c r="E374" s="58">
        <f>Valuation!V205</f>
        <v>0</v>
      </c>
    </row>
    <row r="375" spans="1:5">
      <c r="A375" s="58" t="s">
        <v>829</v>
      </c>
      <c r="B375" s="58" t="s">
        <v>1578</v>
      </c>
      <c r="C375" s="58" t="s">
        <v>1213</v>
      </c>
      <c r="D375" s="58">
        <v>4</v>
      </c>
      <c r="E375" s="58">
        <f>Valuation!W205</f>
        <v>0</v>
      </c>
    </row>
    <row r="376" spans="1:5">
      <c r="A376" s="58" t="s">
        <v>829</v>
      </c>
      <c r="B376" s="58" t="s">
        <v>1579</v>
      </c>
      <c r="C376" s="58" t="s">
        <v>1213</v>
      </c>
      <c r="D376" s="58">
        <v>5</v>
      </c>
      <c r="E376" s="58">
        <f>Valuation!X205</f>
        <v>0</v>
      </c>
    </row>
    <row r="377" spans="1:5">
      <c r="A377" s="58" t="s">
        <v>829</v>
      </c>
      <c r="B377" s="58" t="s">
        <v>1580</v>
      </c>
      <c r="C377" s="58" t="s">
        <v>1213</v>
      </c>
      <c r="D377" s="58">
        <v>6</v>
      </c>
      <c r="E377" s="58">
        <f>Valuation!Y205</f>
        <v>0</v>
      </c>
    </row>
    <row r="378" spans="1:5">
      <c r="A378" s="58" t="s">
        <v>829</v>
      </c>
      <c r="B378" s="58" t="s">
        <v>1581</v>
      </c>
      <c r="C378" s="58" t="s">
        <v>1213</v>
      </c>
      <c r="D378" s="58">
        <v>7</v>
      </c>
      <c r="E378" s="58">
        <f>Valuation!Z205</f>
        <v>0</v>
      </c>
    </row>
    <row r="379" spans="1:5">
      <c r="A379" s="58" t="s">
        <v>829</v>
      </c>
      <c r="B379" s="58" t="s">
        <v>1582</v>
      </c>
      <c r="C379" s="58" t="s">
        <v>1213</v>
      </c>
      <c r="D379" s="58">
        <v>8</v>
      </c>
      <c r="E379" s="58">
        <f>Valuation!AA205</f>
        <v>0</v>
      </c>
    </row>
    <row r="380" spans="1:5">
      <c r="A380" s="58" t="s">
        <v>829</v>
      </c>
      <c r="B380" s="58" t="s">
        <v>1583</v>
      </c>
      <c r="C380" s="58" t="s">
        <v>1213</v>
      </c>
      <c r="D380" s="58">
        <v>9</v>
      </c>
      <c r="E380" s="58">
        <f>Valuation!AB205</f>
        <v>0</v>
      </c>
    </row>
    <row r="381" spans="1:5">
      <c r="A381" s="58" t="s">
        <v>829</v>
      </c>
      <c r="B381" s="58" t="s">
        <v>1584</v>
      </c>
      <c r="C381" s="58" t="s">
        <v>1214</v>
      </c>
      <c r="D381" s="58">
        <v>0</v>
      </c>
      <c r="E381" s="58">
        <f>Valuation!S206</f>
        <v>0</v>
      </c>
    </row>
    <row r="382" spans="1:5">
      <c r="A382" s="58" t="s">
        <v>829</v>
      </c>
      <c r="B382" s="58" t="s">
        <v>1585</v>
      </c>
      <c r="C382" s="58" t="s">
        <v>1214</v>
      </c>
      <c r="D382" s="58">
        <v>-11</v>
      </c>
      <c r="E382" s="58">
        <f>Valuation!H206</f>
        <v>0</v>
      </c>
    </row>
    <row r="383" spans="1:5">
      <c r="A383" s="58" t="s">
        <v>829</v>
      </c>
      <c r="B383" s="58" t="s">
        <v>1586</v>
      </c>
      <c r="C383" s="58" t="s">
        <v>1214</v>
      </c>
      <c r="D383" s="58">
        <v>-10</v>
      </c>
      <c r="E383" s="58">
        <f>Valuation!I206</f>
        <v>0</v>
      </c>
    </row>
    <row r="384" spans="1:5">
      <c r="A384" s="58" t="s">
        <v>829</v>
      </c>
      <c r="B384" s="58" t="s">
        <v>1587</v>
      </c>
      <c r="C384" s="58" t="s">
        <v>1214</v>
      </c>
      <c r="D384" s="58">
        <v>-9</v>
      </c>
      <c r="E384" s="58">
        <f>Valuation!J206</f>
        <v>0</v>
      </c>
    </row>
    <row r="385" spans="1:5">
      <c r="A385" s="58" t="s">
        <v>829</v>
      </c>
      <c r="B385" s="58" t="s">
        <v>1588</v>
      </c>
      <c r="C385" s="58" t="s">
        <v>1214</v>
      </c>
      <c r="D385" s="58">
        <v>-8</v>
      </c>
      <c r="E385" s="58">
        <f>Valuation!K206</f>
        <v>0</v>
      </c>
    </row>
    <row r="386" spans="1:5">
      <c r="A386" s="58" t="s">
        <v>829</v>
      </c>
      <c r="B386" s="58" t="s">
        <v>1589</v>
      </c>
      <c r="C386" s="58" t="s">
        <v>1214</v>
      </c>
      <c r="D386" s="58">
        <v>-7</v>
      </c>
      <c r="E386" s="58">
        <f>Valuation!L206</f>
        <v>0</v>
      </c>
    </row>
    <row r="387" spans="1:5">
      <c r="A387" s="58" t="s">
        <v>829</v>
      </c>
      <c r="B387" s="58" t="s">
        <v>1590</v>
      </c>
      <c r="C387" s="58" t="s">
        <v>1214</v>
      </c>
      <c r="D387" s="58">
        <v>-6</v>
      </c>
      <c r="E387" s="58">
        <f>Valuation!M206</f>
        <v>0</v>
      </c>
    </row>
    <row r="388" spans="1:5">
      <c r="A388" s="58" t="s">
        <v>829</v>
      </c>
      <c r="B388" s="58" t="s">
        <v>1591</v>
      </c>
      <c r="C388" s="58" t="s">
        <v>1214</v>
      </c>
      <c r="D388" s="58">
        <v>-5</v>
      </c>
      <c r="E388" s="58">
        <f>Valuation!N206</f>
        <v>0</v>
      </c>
    </row>
    <row r="389" spans="1:5">
      <c r="A389" s="58" t="s">
        <v>829</v>
      </c>
      <c r="B389" s="58" t="s">
        <v>1592</v>
      </c>
      <c r="C389" s="58" t="s">
        <v>1214</v>
      </c>
      <c r="D389" s="58">
        <v>-4</v>
      </c>
      <c r="E389" s="58">
        <f>Valuation!O206</f>
        <v>0</v>
      </c>
    </row>
    <row r="390" spans="1:5">
      <c r="A390" s="58" t="s">
        <v>829</v>
      </c>
      <c r="B390" s="58" t="s">
        <v>1593</v>
      </c>
      <c r="C390" s="58" t="s">
        <v>1214</v>
      </c>
      <c r="D390" s="58">
        <v>-3</v>
      </c>
      <c r="E390" s="58">
        <f>Valuation!P206</f>
        <v>0</v>
      </c>
    </row>
    <row r="391" spans="1:5">
      <c r="A391" s="58" t="s">
        <v>829</v>
      </c>
      <c r="B391" s="58" t="s">
        <v>1594</v>
      </c>
      <c r="C391" s="58" t="s">
        <v>1214</v>
      </c>
      <c r="D391" s="58">
        <v>-2</v>
      </c>
      <c r="E391" s="58">
        <f>Valuation!Q206</f>
        <v>0</v>
      </c>
    </row>
    <row r="392" spans="1:5">
      <c r="A392" s="58" t="s">
        <v>829</v>
      </c>
      <c r="B392" s="58" t="s">
        <v>1595</v>
      </c>
      <c r="C392" s="58" t="s">
        <v>1214</v>
      </c>
      <c r="D392" s="58">
        <v>-1</v>
      </c>
      <c r="E392" s="58">
        <f>Valuation!R206</f>
        <v>0</v>
      </c>
    </row>
    <row r="393" spans="1:5">
      <c r="A393" s="58" t="s">
        <v>829</v>
      </c>
      <c r="B393" s="58" t="s">
        <v>1596</v>
      </c>
      <c r="C393" s="58" t="s">
        <v>1214</v>
      </c>
      <c r="D393" s="58">
        <v>1</v>
      </c>
      <c r="E393" s="58">
        <f>Valuation!T206</f>
        <v>0</v>
      </c>
    </row>
    <row r="394" spans="1:5">
      <c r="A394" s="58" t="s">
        <v>829</v>
      </c>
      <c r="B394" s="58" t="s">
        <v>1597</v>
      </c>
      <c r="C394" s="58" t="s">
        <v>1214</v>
      </c>
      <c r="D394" s="58">
        <v>2</v>
      </c>
      <c r="E394" s="58">
        <f>Valuation!U206</f>
        <v>0</v>
      </c>
    </row>
    <row r="395" spans="1:5">
      <c r="A395" s="58" t="s">
        <v>829</v>
      </c>
      <c r="B395" s="58" t="s">
        <v>1598</v>
      </c>
      <c r="C395" s="58" t="s">
        <v>1214</v>
      </c>
      <c r="D395" s="58">
        <v>3</v>
      </c>
      <c r="E395" s="58">
        <f>Valuation!V206</f>
        <v>0</v>
      </c>
    </row>
    <row r="396" spans="1:5">
      <c r="A396" s="58" t="s">
        <v>829</v>
      </c>
      <c r="B396" s="58" t="s">
        <v>1599</v>
      </c>
      <c r="C396" s="58" t="s">
        <v>1214</v>
      </c>
      <c r="D396" s="58">
        <v>4</v>
      </c>
      <c r="E396" s="58">
        <f>Valuation!W206</f>
        <v>0</v>
      </c>
    </row>
    <row r="397" spans="1:5">
      <c r="A397" s="58" t="s">
        <v>829</v>
      </c>
      <c r="B397" s="58" t="s">
        <v>1600</v>
      </c>
      <c r="C397" s="58" t="s">
        <v>1214</v>
      </c>
      <c r="D397" s="58">
        <v>5</v>
      </c>
      <c r="E397" s="58">
        <f>Valuation!X206</f>
        <v>0</v>
      </c>
    </row>
    <row r="398" spans="1:5">
      <c r="A398" s="58" t="s">
        <v>829</v>
      </c>
      <c r="B398" s="58" t="s">
        <v>1601</v>
      </c>
      <c r="C398" s="58" t="s">
        <v>1214</v>
      </c>
      <c r="D398" s="58">
        <v>6</v>
      </c>
      <c r="E398" s="58">
        <f>Valuation!Y206</f>
        <v>0</v>
      </c>
    </row>
    <row r="399" spans="1:5">
      <c r="A399" s="58" t="s">
        <v>829</v>
      </c>
      <c r="B399" s="58" t="s">
        <v>1602</v>
      </c>
      <c r="C399" s="58" t="s">
        <v>1214</v>
      </c>
      <c r="D399" s="58">
        <v>7</v>
      </c>
      <c r="E399" s="58">
        <f>Valuation!Z206</f>
        <v>0</v>
      </c>
    </row>
    <row r="400" spans="1:5">
      <c r="A400" s="58" t="s">
        <v>829</v>
      </c>
      <c r="B400" s="58" t="s">
        <v>1603</v>
      </c>
      <c r="C400" s="58" t="s">
        <v>1214</v>
      </c>
      <c r="D400" s="58">
        <v>8</v>
      </c>
      <c r="E400" s="58">
        <f>Valuation!AA206</f>
        <v>0</v>
      </c>
    </row>
    <row r="401" spans="1:5">
      <c r="A401" s="58" t="s">
        <v>829</v>
      </c>
      <c r="B401" s="58" t="s">
        <v>1604</v>
      </c>
      <c r="C401" s="58" t="s">
        <v>1214</v>
      </c>
      <c r="D401" s="58">
        <v>9</v>
      </c>
      <c r="E401" s="58">
        <f>Valuation!AB206</f>
        <v>0</v>
      </c>
    </row>
    <row r="402" spans="1:5">
      <c r="A402" s="58" t="s">
        <v>829</v>
      </c>
      <c r="B402" s="58" t="s">
        <v>1605</v>
      </c>
      <c r="C402" s="58" t="s">
        <v>1</v>
      </c>
      <c r="D402" s="58" t="s">
        <v>1138</v>
      </c>
      <c r="E402" s="58">
        <f>Valuation!Y104</f>
        <v>0.09</v>
      </c>
    </row>
    <row r="403" spans="1:5">
      <c r="A403" s="58" t="s">
        <v>829</v>
      </c>
      <c r="B403" s="58" t="s">
        <v>1606</v>
      </c>
      <c r="C403" s="58" t="s">
        <v>1046</v>
      </c>
      <c r="D403" s="58">
        <v>0</v>
      </c>
      <c r="E403" s="58">
        <f>Valuation!S13</f>
        <v>0</v>
      </c>
    </row>
    <row r="404" spans="1:5">
      <c r="A404" s="58" t="s">
        <v>829</v>
      </c>
      <c r="B404" s="58" t="s">
        <v>1607</v>
      </c>
      <c r="C404" s="58" t="s">
        <v>1046</v>
      </c>
      <c r="D404" s="58">
        <v>-11</v>
      </c>
      <c r="E404" s="58">
        <f>Valuation!H13</f>
        <v>0</v>
      </c>
    </row>
    <row r="405" spans="1:5">
      <c r="A405" s="58" t="s">
        <v>829</v>
      </c>
      <c r="B405" s="58" t="s">
        <v>1608</v>
      </c>
      <c r="C405" s="58" t="s">
        <v>1046</v>
      </c>
      <c r="D405" s="58">
        <v>-10</v>
      </c>
      <c r="E405" s="58">
        <f>Valuation!I13</f>
        <v>0</v>
      </c>
    </row>
    <row r="406" spans="1:5">
      <c r="A406" s="58" t="s">
        <v>829</v>
      </c>
      <c r="B406" s="58" t="s">
        <v>1609</v>
      </c>
      <c r="C406" s="58" t="s">
        <v>1046</v>
      </c>
      <c r="D406" s="58">
        <v>-9</v>
      </c>
      <c r="E406" s="58">
        <f>Valuation!J13</f>
        <v>0</v>
      </c>
    </row>
    <row r="407" spans="1:5">
      <c r="A407" s="58" t="s">
        <v>829</v>
      </c>
      <c r="B407" s="58" t="s">
        <v>1610</v>
      </c>
      <c r="C407" s="58" t="s">
        <v>1046</v>
      </c>
      <c r="D407" s="58">
        <v>-8</v>
      </c>
      <c r="E407" s="58">
        <f>Valuation!K13</f>
        <v>0</v>
      </c>
    </row>
    <row r="408" spans="1:5">
      <c r="A408" s="58" t="s">
        <v>829</v>
      </c>
      <c r="B408" s="58" t="s">
        <v>1611</v>
      </c>
      <c r="C408" s="58" t="s">
        <v>1046</v>
      </c>
      <c r="D408" s="58">
        <v>-7</v>
      </c>
      <c r="E408" s="58">
        <f>Valuation!L13</f>
        <v>0</v>
      </c>
    </row>
    <row r="409" spans="1:5">
      <c r="A409" s="58" t="s">
        <v>829</v>
      </c>
      <c r="B409" s="58" t="s">
        <v>1612</v>
      </c>
      <c r="C409" s="58" t="s">
        <v>1046</v>
      </c>
      <c r="D409" s="58">
        <v>-6</v>
      </c>
      <c r="E409" s="58">
        <f>Valuation!M13</f>
        <v>0</v>
      </c>
    </row>
    <row r="410" spans="1:5">
      <c r="A410" s="58" t="s">
        <v>829</v>
      </c>
      <c r="B410" s="58" t="s">
        <v>1613</v>
      </c>
      <c r="C410" s="58" t="s">
        <v>1046</v>
      </c>
      <c r="D410" s="58">
        <v>-5</v>
      </c>
      <c r="E410" s="58">
        <f>Valuation!N13</f>
        <v>0</v>
      </c>
    </row>
    <row r="411" spans="1:5">
      <c r="A411" s="58" t="s">
        <v>829</v>
      </c>
      <c r="B411" s="58" t="s">
        <v>1614</v>
      </c>
      <c r="C411" s="58" t="s">
        <v>1046</v>
      </c>
      <c r="D411" s="58">
        <v>-4</v>
      </c>
      <c r="E411" s="58">
        <f>Valuation!O13</f>
        <v>0</v>
      </c>
    </row>
    <row r="412" spans="1:5">
      <c r="A412" s="58" t="s">
        <v>829</v>
      </c>
      <c r="B412" s="58" t="s">
        <v>1615</v>
      </c>
      <c r="C412" s="58" t="s">
        <v>1046</v>
      </c>
      <c r="D412" s="58">
        <v>-3</v>
      </c>
      <c r="E412" s="58">
        <f>Valuation!P13</f>
        <v>0</v>
      </c>
    </row>
    <row r="413" spans="1:5">
      <c r="A413" s="58" t="s">
        <v>829</v>
      </c>
      <c r="B413" s="58" t="s">
        <v>1616</v>
      </c>
      <c r="C413" s="58" t="s">
        <v>1046</v>
      </c>
      <c r="D413" s="58">
        <v>-2</v>
      </c>
      <c r="E413" s="58">
        <f>Valuation!Q13</f>
        <v>0</v>
      </c>
    </row>
    <row r="414" spans="1:5">
      <c r="A414" s="58" t="s">
        <v>829</v>
      </c>
      <c r="B414" s="58" t="s">
        <v>1617</v>
      </c>
      <c r="C414" s="58" t="s">
        <v>1046</v>
      </c>
      <c r="D414" s="58">
        <v>-1</v>
      </c>
      <c r="E414" s="58">
        <f>Valuation!R13</f>
        <v>0</v>
      </c>
    </row>
    <row r="415" spans="1:5">
      <c r="A415" s="58" t="s">
        <v>829</v>
      </c>
      <c r="B415" s="58" t="s">
        <v>1618</v>
      </c>
      <c r="C415" s="58" t="s">
        <v>1046</v>
      </c>
      <c r="D415" s="58">
        <v>1</v>
      </c>
      <c r="E415" s="58">
        <f>Valuation!T13</f>
        <v>0</v>
      </c>
    </row>
    <row r="416" spans="1:5">
      <c r="A416" s="58" t="s">
        <v>829</v>
      </c>
      <c r="B416" s="58" t="s">
        <v>1619</v>
      </c>
      <c r="C416" s="58" t="s">
        <v>1046</v>
      </c>
      <c r="D416" s="58">
        <v>2</v>
      </c>
      <c r="E416" s="58">
        <f>Valuation!U13</f>
        <v>0</v>
      </c>
    </row>
    <row r="417" spans="1:5">
      <c r="A417" s="58" t="s">
        <v>829</v>
      </c>
      <c r="B417" s="58" t="s">
        <v>1620</v>
      </c>
      <c r="C417" s="58" t="s">
        <v>1046</v>
      </c>
      <c r="D417" s="58">
        <v>3</v>
      </c>
      <c r="E417" s="58">
        <f>Valuation!V13</f>
        <v>0</v>
      </c>
    </row>
    <row r="418" spans="1:5">
      <c r="A418" s="58" t="s">
        <v>829</v>
      </c>
      <c r="B418" s="58" t="s">
        <v>1621</v>
      </c>
      <c r="C418" s="58" t="s">
        <v>1046</v>
      </c>
      <c r="D418" s="58">
        <v>4</v>
      </c>
      <c r="E418" s="58">
        <f>Valuation!W13</f>
        <v>0</v>
      </c>
    </row>
    <row r="419" spans="1:5">
      <c r="A419" s="58" t="s">
        <v>829</v>
      </c>
      <c r="B419" s="58" t="s">
        <v>1622</v>
      </c>
      <c r="C419" s="58" t="s">
        <v>1046</v>
      </c>
      <c r="D419" s="58">
        <v>5</v>
      </c>
      <c r="E419" s="58">
        <f>Valuation!X13</f>
        <v>0</v>
      </c>
    </row>
    <row r="420" spans="1:5">
      <c r="A420" s="58" t="s">
        <v>829</v>
      </c>
      <c r="B420" s="58" t="s">
        <v>1623</v>
      </c>
      <c r="C420" s="58" t="s">
        <v>1046</v>
      </c>
      <c r="D420" s="58">
        <v>6</v>
      </c>
      <c r="E420" s="58">
        <f>Valuation!Y13</f>
        <v>0</v>
      </c>
    </row>
    <row r="421" spans="1:5">
      <c r="A421" s="58" t="s">
        <v>829</v>
      </c>
      <c r="B421" s="58" t="s">
        <v>1624</v>
      </c>
      <c r="C421" s="58" t="s">
        <v>1046</v>
      </c>
      <c r="D421" s="58">
        <v>7</v>
      </c>
      <c r="E421" s="58">
        <f>Valuation!Z13</f>
        <v>0</v>
      </c>
    </row>
    <row r="422" spans="1:5">
      <c r="A422" s="58" t="s">
        <v>829</v>
      </c>
      <c r="B422" s="58" t="s">
        <v>1625</v>
      </c>
      <c r="C422" s="58" t="s">
        <v>1046</v>
      </c>
      <c r="D422" s="58">
        <v>8</v>
      </c>
      <c r="E422" s="58">
        <f>Valuation!AA13</f>
        <v>0</v>
      </c>
    </row>
    <row r="423" spans="1:5">
      <c r="A423" s="58" t="s">
        <v>829</v>
      </c>
      <c r="B423" s="58" t="s">
        <v>1626</v>
      </c>
      <c r="C423" s="58" t="s">
        <v>1046</v>
      </c>
      <c r="D423" s="58">
        <v>9</v>
      </c>
      <c r="E423" s="58">
        <f>Valuation!AB13</f>
        <v>0</v>
      </c>
    </row>
    <row r="424" spans="1:5">
      <c r="A424" s="58" t="s">
        <v>829</v>
      </c>
      <c r="B424" s="58" t="s">
        <v>1627</v>
      </c>
      <c r="C424" s="58" t="s">
        <v>1139</v>
      </c>
      <c r="D424" s="58" t="s">
        <v>1138</v>
      </c>
      <c r="E424" s="58">
        <f>Valuation!V117</f>
        <v>1</v>
      </c>
    </row>
    <row r="425" spans="1:5">
      <c r="A425" s="58" t="s">
        <v>829</v>
      </c>
      <c r="B425" s="58" t="s">
        <v>1628</v>
      </c>
      <c r="C425" s="58" t="s">
        <v>1629</v>
      </c>
      <c r="D425" s="58">
        <v>-11</v>
      </c>
      <c r="E425" s="58" t="str">
        <f>Valuation!H78</f>
        <v/>
      </c>
    </row>
    <row r="426" spans="1:5">
      <c r="A426" s="58" t="s">
        <v>829</v>
      </c>
      <c r="B426" s="58" t="s">
        <v>1630</v>
      </c>
      <c r="C426" s="58" t="s">
        <v>1629</v>
      </c>
      <c r="D426" s="58">
        <v>-10</v>
      </c>
      <c r="E426" s="58" t="str">
        <f>Valuation!I78</f>
        <v/>
      </c>
    </row>
    <row r="427" spans="1:5">
      <c r="A427" s="58" t="s">
        <v>829</v>
      </c>
      <c r="B427" s="58" t="s">
        <v>1631</v>
      </c>
      <c r="C427" s="58" t="s">
        <v>1629</v>
      </c>
      <c r="D427" s="58">
        <v>-9</v>
      </c>
      <c r="E427" s="58" t="str">
        <f>Valuation!J78</f>
        <v/>
      </c>
    </row>
    <row r="428" spans="1:5">
      <c r="A428" s="58" t="s">
        <v>829</v>
      </c>
      <c r="B428" s="58" t="s">
        <v>1632</v>
      </c>
      <c r="C428" s="58" t="s">
        <v>1629</v>
      </c>
      <c r="D428" s="58">
        <v>-8</v>
      </c>
      <c r="E428" s="58" t="str">
        <f>Valuation!K78</f>
        <v/>
      </c>
    </row>
    <row r="429" spans="1:5">
      <c r="A429" s="58" t="s">
        <v>829</v>
      </c>
      <c r="B429" s="58" t="s">
        <v>1633</v>
      </c>
      <c r="C429" s="58" t="s">
        <v>1629</v>
      </c>
      <c r="D429" s="58">
        <v>-7</v>
      </c>
      <c r="E429" s="58" t="str">
        <f>Valuation!L78</f>
        <v/>
      </c>
    </row>
    <row r="430" spans="1:5">
      <c r="A430" s="58" t="s">
        <v>829</v>
      </c>
      <c r="B430" s="58" t="s">
        <v>1634</v>
      </c>
      <c r="C430" s="58" t="s">
        <v>1629</v>
      </c>
      <c r="D430" s="58">
        <v>-6</v>
      </c>
      <c r="E430" s="58" t="str">
        <f>Valuation!M78</f>
        <v/>
      </c>
    </row>
    <row r="431" spans="1:5">
      <c r="A431" s="58" t="s">
        <v>829</v>
      </c>
      <c r="B431" s="58" t="s">
        <v>1635</v>
      </c>
      <c r="C431" s="58" t="s">
        <v>1629</v>
      </c>
      <c r="D431" s="58">
        <v>-5</v>
      </c>
      <c r="E431" s="58" t="str">
        <f>Valuation!N78</f>
        <v/>
      </c>
    </row>
    <row r="432" spans="1:5">
      <c r="A432" s="58" t="s">
        <v>829</v>
      </c>
      <c r="B432" s="58" t="s">
        <v>1636</v>
      </c>
      <c r="C432" s="58" t="s">
        <v>1629</v>
      </c>
      <c r="D432" s="58">
        <v>-4</v>
      </c>
      <c r="E432" s="58" t="str">
        <f>Valuation!O78</f>
        <v/>
      </c>
    </row>
    <row r="433" spans="1:5">
      <c r="A433" s="58" t="s">
        <v>829</v>
      </c>
      <c r="B433" s="58" t="s">
        <v>1637</v>
      </c>
      <c r="C433" s="58" t="s">
        <v>1629</v>
      </c>
      <c r="D433" s="58">
        <v>-3</v>
      </c>
      <c r="E433" s="58" t="str">
        <f>Valuation!P78</f>
        <v/>
      </c>
    </row>
    <row r="434" spans="1:5">
      <c r="A434" s="58" t="s">
        <v>829</v>
      </c>
      <c r="B434" s="58" t="s">
        <v>1638</v>
      </c>
      <c r="C434" s="58" t="s">
        <v>1629</v>
      </c>
      <c r="D434" s="58">
        <v>-2</v>
      </c>
      <c r="E434" s="58" t="str">
        <f>Valuation!Q78</f>
        <v/>
      </c>
    </row>
    <row r="435" spans="1:5">
      <c r="A435" s="58" t="s">
        <v>829</v>
      </c>
      <c r="B435" s="58" t="s">
        <v>1639</v>
      </c>
      <c r="C435" s="58" t="s">
        <v>1629</v>
      </c>
      <c r="D435" s="58">
        <v>-1</v>
      </c>
      <c r="E435" s="58" t="str">
        <f>Valuation!R78</f>
        <v/>
      </c>
    </row>
    <row r="436" spans="1:5">
      <c r="A436" s="58" t="s">
        <v>829</v>
      </c>
      <c r="B436" s="58" t="s">
        <v>1640</v>
      </c>
      <c r="C436" s="58" t="s">
        <v>1629</v>
      </c>
      <c r="D436" s="58">
        <v>1</v>
      </c>
      <c r="E436" s="58">
        <f>Valuation!T78</f>
        <v>0</v>
      </c>
    </row>
    <row r="437" spans="1:5">
      <c r="A437" s="58" t="s">
        <v>829</v>
      </c>
      <c r="B437" s="58" t="s">
        <v>1641</v>
      </c>
      <c r="C437" s="58" t="s">
        <v>1629</v>
      </c>
      <c r="D437" s="58">
        <v>2</v>
      </c>
      <c r="E437" s="58">
        <f>Valuation!U78</f>
        <v>0</v>
      </c>
    </row>
    <row r="438" spans="1:5">
      <c r="A438" s="58" t="s">
        <v>829</v>
      </c>
      <c r="B438" s="58" t="s">
        <v>1642</v>
      </c>
      <c r="C438" s="58" t="s">
        <v>1629</v>
      </c>
      <c r="D438" s="58">
        <v>3</v>
      </c>
      <c r="E438" s="58">
        <f>Valuation!V78</f>
        <v>0</v>
      </c>
    </row>
    <row r="439" spans="1:5">
      <c r="A439" s="58" t="s">
        <v>829</v>
      </c>
      <c r="B439" s="58" t="s">
        <v>1643</v>
      </c>
      <c r="C439" s="58" t="s">
        <v>1629</v>
      </c>
      <c r="D439" s="58">
        <v>4</v>
      </c>
      <c r="E439" s="58">
        <f>Valuation!W78</f>
        <v>0</v>
      </c>
    </row>
    <row r="440" spans="1:5">
      <c r="A440" s="58" t="s">
        <v>829</v>
      </c>
      <c r="B440" s="58" t="s">
        <v>1644</v>
      </c>
      <c r="C440" s="58" t="s">
        <v>1629</v>
      </c>
      <c r="D440" s="58">
        <v>5</v>
      </c>
      <c r="E440" s="58">
        <f>Valuation!X78</f>
        <v>0</v>
      </c>
    </row>
    <row r="441" spans="1:5">
      <c r="A441" s="58" t="s">
        <v>829</v>
      </c>
      <c r="B441" s="58" t="s">
        <v>1645</v>
      </c>
      <c r="C441" s="58" t="s">
        <v>1629</v>
      </c>
      <c r="D441" s="58">
        <v>6</v>
      </c>
      <c r="E441" s="58">
        <f>Valuation!Y78</f>
        <v>0</v>
      </c>
    </row>
    <row r="442" spans="1:5">
      <c r="A442" s="58" t="s">
        <v>829</v>
      </c>
      <c r="B442" s="58" t="s">
        <v>1646</v>
      </c>
      <c r="C442" s="58" t="s">
        <v>1629</v>
      </c>
      <c r="D442" s="58">
        <v>7</v>
      </c>
      <c r="E442" s="58">
        <f>Valuation!Z78</f>
        <v>0</v>
      </c>
    </row>
    <row r="443" spans="1:5">
      <c r="A443" s="58" t="s">
        <v>829</v>
      </c>
      <c r="B443" s="58" t="s">
        <v>1647</v>
      </c>
      <c r="C443" s="58" t="s">
        <v>1629</v>
      </c>
      <c r="D443" s="58">
        <v>8</v>
      </c>
      <c r="E443" s="58">
        <f>Valuation!AA78</f>
        <v>0</v>
      </c>
    </row>
    <row r="444" spans="1:5">
      <c r="A444" s="58" t="s">
        <v>829</v>
      </c>
      <c r="B444" s="58" t="s">
        <v>1648</v>
      </c>
      <c r="C444" s="58" t="s">
        <v>1629</v>
      </c>
      <c r="D444" s="58">
        <v>9</v>
      </c>
      <c r="E444" s="58">
        <f>Valuation!AB78</f>
        <v>0</v>
      </c>
    </row>
    <row r="445" spans="1:5">
      <c r="A445" s="58" t="s">
        <v>829</v>
      </c>
      <c r="B445" s="58" t="s">
        <v>1649</v>
      </c>
      <c r="C445" s="58" t="s">
        <v>1629</v>
      </c>
      <c r="D445" s="58">
        <v>0</v>
      </c>
      <c r="E445" s="58">
        <f>Valuation!S78</f>
        <v>0</v>
      </c>
    </row>
    <row r="446" spans="1:5">
      <c r="A446" s="58" t="s">
        <v>829</v>
      </c>
      <c r="B446" s="58" t="s">
        <v>1650</v>
      </c>
      <c r="C446" s="58" t="s">
        <v>1651</v>
      </c>
      <c r="D446" s="58">
        <v>-11</v>
      </c>
      <c r="E446" s="58" t="str">
        <f>Valuation!H80</f>
        <v/>
      </c>
    </row>
    <row r="447" spans="1:5">
      <c r="A447" s="58" t="s">
        <v>829</v>
      </c>
      <c r="B447" s="58" t="s">
        <v>1652</v>
      </c>
      <c r="C447" s="58" t="s">
        <v>1651</v>
      </c>
      <c r="D447" s="58">
        <v>-10</v>
      </c>
      <c r="E447" s="58" t="str">
        <f>Valuation!I80</f>
        <v/>
      </c>
    </row>
    <row r="448" spans="1:5">
      <c r="A448" s="58" t="s">
        <v>829</v>
      </c>
      <c r="B448" s="58" t="s">
        <v>1653</v>
      </c>
      <c r="C448" s="58" t="s">
        <v>1651</v>
      </c>
      <c r="D448" s="58">
        <v>-9</v>
      </c>
      <c r="E448" s="58" t="str">
        <f>Valuation!J80</f>
        <v/>
      </c>
    </row>
    <row r="449" spans="1:5">
      <c r="A449" s="58" t="s">
        <v>829</v>
      </c>
      <c r="B449" s="58" t="s">
        <v>1654</v>
      </c>
      <c r="C449" s="58" t="s">
        <v>1651</v>
      </c>
      <c r="D449" s="58">
        <v>-8</v>
      </c>
      <c r="E449" s="58" t="str">
        <f>Valuation!K80</f>
        <v/>
      </c>
    </row>
    <row r="450" spans="1:5">
      <c r="A450" s="58" t="s">
        <v>829</v>
      </c>
      <c r="B450" s="58" t="s">
        <v>1655</v>
      </c>
      <c r="C450" s="58" t="s">
        <v>1651</v>
      </c>
      <c r="D450" s="58">
        <v>-7</v>
      </c>
      <c r="E450" s="58" t="str">
        <f>Valuation!L80</f>
        <v/>
      </c>
    </row>
    <row r="451" spans="1:5">
      <c r="A451" s="58" t="s">
        <v>829</v>
      </c>
      <c r="B451" s="58" t="s">
        <v>1656</v>
      </c>
      <c r="C451" s="58" t="s">
        <v>1651</v>
      </c>
      <c r="D451" s="58">
        <v>-6</v>
      </c>
      <c r="E451" s="58">
        <f>Valuation!M80</f>
        <v>54.13537657311538</v>
      </c>
    </row>
    <row r="452" spans="1:5">
      <c r="A452" s="58" t="s">
        <v>829</v>
      </c>
      <c r="B452" s="58" t="s">
        <v>1657</v>
      </c>
      <c r="C452" s="58" t="s">
        <v>1651</v>
      </c>
      <c r="D452" s="58">
        <v>-5</v>
      </c>
      <c r="E452" s="58">
        <f>Valuation!N80</f>
        <v>21.289576148512573</v>
      </c>
    </row>
    <row r="453" spans="1:5">
      <c r="A453" s="58" t="s">
        <v>829</v>
      </c>
      <c r="B453" s="58" t="s">
        <v>1658</v>
      </c>
      <c r="C453" s="58" t="s">
        <v>1651</v>
      </c>
      <c r="D453" s="58">
        <v>-4</v>
      </c>
      <c r="E453" s="58">
        <f>Valuation!O80</f>
        <v>53.114325992546512</v>
      </c>
    </row>
    <row r="454" spans="1:5">
      <c r="A454" s="58" t="s">
        <v>829</v>
      </c>
      <c r="B454" s="58" t="s">
        <v>1659</v>
      </c>
      <c r="C454" s="58" t="s">
        <v>1651</v>
      </c>
      <c r="D454" s="58">
        <v>-3</v>
      </c>
      <c r="E454" s="58">
        <f>Valuation!P80</f>
        <v>49.957152963453986</v>
      </c>
    </row>
    <row r="455" spans="1:5">
      <c r="A455" s="58" t="s">
        <v>829</v>
      </c>
      <c r="B455" s="58" t="s">
        <v>1660</v>
      </c>
      <c r="C455" s="58" t="s">
        <v>1651</v>
      </c>
      <c r="D455" s="58">
        <v>-2</v>
      </c>
      <c r="E455" s="58">
        <f>Valuation!Q80</f>
        <v>41.183045684753324</v>
      </c>
    </row>
    <row r="456" spans="1:5">
      <c r="A456" s="58" t="s">
        <v>829</v>
      </c>
      <c r="B456" s="58" t="s">
        <v>1661</v>
      </c>
      <c r="C456" s="58" t="s">
        <v>1651</v>
      </c>
      <c r="D456" s="58">
        <v>-1</v>
      </c>
      <c r="E456" s="58">
        <f>Valuation!R80</f>
        <v>84.463663042683635</v>
      </c>
    </row>
    <row r="457" spans="1:5">
      <c r="A457" s="58" t="s">
        <v>829</v>
      </c>
      <c r="B457" s="58" t="s">
        <v>1662</v>
      </c>
      <c r="C457" s="58" t="s">
        <v>1651</v>
      </c>
      <c r="D457" s="58">
        <v>1</v>
      </c>
      <c r="E457" s="58">
        <f>Valuation!T80</f>
        <v>84.463663042683635</v>
      </c>
    </row>
    <row r="458" spans="1:5">
      <c r="A458" s="58" t="s">
        <v>829</v>
      </c>
      <c r="B458" s="58" t="s">
        <v>1663</v>
      </c>
      <c r="C458" s="58" t="s">
        <v>1651</v>
      </c>
      <c r="D458" s="58">
        <v>2</v>
      </c>
      <c r="E458" s="58">
        <f>Valuation!U80</f>
        <v>84.463663042683635</v>
      </c>
    </row>
    <row r="459" spans="1:5">
      <c r="A459" s="58" t="s">
        <v>829</v>
      </c>
      <c r="B459" s="58" t="s">
        <v>1664</v>
      </c>
      <c r="C459" s="58" t="s">
        <v>1651</v>
      </c>
      <c r="D459" s="58">
        <v>3</v>
      </c>
      <c r="E459" s="58">
        <f>Valuation!V80</f>
        <v>84.463663042683635</v>
      </c>
    </row>
    <row r="460" spans="1:5">
      <c r="A460" s="58" t="s">
        <v>829</v>
      </c>
      <c r="B460" s="58" t="s">
        <v>1665</v>
      </c>
      <c r="C460" s="58" t="s">
        <v>1651</v>
      </c>
      <c r="D460" s="58">
        <v>4</v>
      </c>
      <c r="E460" s="58">
        <f>Valuation!W80</f>
        <v>84.463663042683635</v>
      </c>
    </row>
    <row r="461" spans="1:5">
      <c r="A461" s="58" t="s">
        <v>829</v>
      </c>
      <c r="B461" s="58" t="s">
        <v>1666</v>
      </c>
      <c r="C461" s="58" t="s">
        <v>1651</v>
      </c>
      <c r="D461" s="58">
        <v>5</v>
      </c>
      <c r="E461" s="58">
        <f>Valuation!X80</f>
        <v>84.463663042683635</v>
      </c>
    </row>
    <row r="462" spans="1:5">
      <c r="A462" s="58" t="s">
        <v>829</v>
      </c>
      <c r="B462" s="58" t="s">
        <v>1667</v>
      </c>
      <c r="C462" s="58" t="s">
        <v>1651</v>
      </c>
      <c r="D462" s="58">
        <v>6</v>
      </c>
      <c r="E462" s="58">
        <f>Valuation!Y80</f>
        <v>84.463663042683635</v>
      </c>
    </row>
    <row r="463" spans="1:5">
      <c r="A463" s="58" t="s">
        <v>829</v>
      </c>
      <c r="B463" s="58" t="s">
        <v>1668</v>
      </c>
      <c r="C463" s="58" t="s">
        <v>1651</v>
      </c>
      <c r="D463" s="58">
        <v>7</v>
      </c>
      <c r="E463" s="58">
        <f>Valuation!Z80</f>
        <v>84.463663042683635</v>
      </c>
    </row>
    <row r="464" spans="1:5">
      <c r="A464" s="58" t="s">
        <v>829</v>
      </c>
      <c r="B464" s="58" t="s">
        <v>1669</v>
      </c>
      <c r="C464" s="58" t="s">
        <v>1651</v>
      </c>
      <c r="D464" s="58">
        <v>8</v>
      </c>
      <c r="E464" s="58">
        <f>Valuation!AA80</f>
        <v>84.463663042683635</v>
      </c>
    </row>
    <row r="465" spans="1:5">
      <c r="A465" s="58" t="s">
        <v>829</v>
      </c>
      <c r="B465" s="58" t="s">
        <v>1670</v>
      </c>
      <c r="C465" s="58" t="s">
        <v>1651</v>
      </c>
      <c r="D465" s="58">
        <v>9</v>
      </c>
      <c r="E465" s="58">
        <f>Valuation!AB80</f>
        <v>84.463663042683635</v>
      </c>
    </row>
    <row r="466" spans="1:5">
      <c r="A466" s="58" t="s">
        <v>829</v>
      </c>
      <c r="B466" s="58" t="s">
        <v>1671</v>
      </c>
      <c r="C466" s="58" t="s">
        <v>1651</v>
      </c>
      <c r="D466" s="58">
        <v>0</v>
      </c>
      <c r="E466" s="58">
        <f>Valuation!S80</f>
        <v>84.463663042683635</v>
      </c>
    </row>
    <row r="467" spans="1:5">
      <c r="A467" s="58" t="s">
        <v>829</v>
      </c>
      <c r="B467" s="58" t="s">
        <v>1672</v>
      </c>
      <c r="C467" s="58" t="s">
        <v>1673</v>
      </c>
      <c r="D467" s="58">
        <v>-11</v>
      </c>
      <c r="E467" s="58" t="str">
        <f>Valuation!H88</f>
        <v/>
      </c>
    </row>
    <row r="468" spans="1:5">
      <c r="A468" s="58" t="s">
        <v>829</v>
      </c>
      <c r="B468" s="58" t="s">
        <v>1674</v>
      </c>
      <c r="C468" s="58" t="s">
        <v>1673</v>
      </c>
      <c r="D468" s="58">
        <v>-10</v>
      </c>
      <c r="E468" s="58" t="str">
        <f>Valuation!I88</f>
        <v/>
      </c>
    </row>
    <row r="469" spans="1:5">
      <c r="A469" s="58" t="s">
        <v>829</v>
      </c>
      <c r="B469" s="58" t="s">
        <v>1675</v>
      </c>
      <c r="C469" s="58" t="s">
        <v>1673</v>
      </c>
      <c r="D469" s="58">
        <v>-9</v>
      </c>
      <c r="E469" s="58" t="str">
        <f>Valuation!J88</f>
        <v/>
      </c>
    </row>
    <row r="470" spans="1:5">
      <c r="A470" s="58" t="s">
        <v>829</v>
      </c>
      <c r="B470" s="58" t="s">
        <v>1676</v>
      </c>
      <c r="C470" s="58" t="s">
        <v>1673</v>
      </c>
      <c r="D470" s="58">
        <v>-8</v>
      </c>
      <c r="E470" s="58" t="str">
        <f>Valuation!K88</f>
        <v/>
      </c>
    </row>
    <row r="471" spans="1:5">
      <c r="A471" s="58" t="s">
        <v>829</v>
      </c>
      <c r="B471" s="58" t="s">
        <v>1677</v>
      </c>
      <c r="C471" s="58" t="s">
        <v>1673</v>
      </c>
      <c r="D471" s="58">
        <v>-7</v>
      </c>
      <c r="E471" s="58" t="str">
        <f>Valuation!L88</f>
        <v/>
      </c>
    </row>
    <row r="472" spans="1:5">
      <c r="A472" s="58" t="s">
        <v>829</v>
      </c>
      <c r="B472" s="58" t="s">
        <v>1678</v>
      </c>
      <c r="C472" s="58" t="s">
        <v>1673</v>
      </c>
      <c r="D472" s="58">
        <v>-6</v>
      </c>
      <c r="E472" s="58" t="str">
        <f>Valuation!M88</f>
        <v/>
      </c>
    </row>
    <row r="473" spans="1:5">
      <c r="A473" s="58" t="s">
        <v>829</v>
      </c>
      <c r="B473" s="58" t="s">
        <v>1679</v>
      </c>
      <c r="C473" s="58" t="s">
        <v>1673</v>
      </c>
      <c r="D473" s="58">
        <v>-5</v>
      </c>
      <c r="E473" s="58" t="str">
        <f>Valuation!N88</f>
        <v/>
      </c>
    </row>
    <row r="474" spans="1:5">
      <c r="A474" s="58" t="s">
        <v>829</v>
      </c>
      <c r="B474" s="58" t="s">
        <v>1680</v>
      </c>
      <c r="C474" s="58" t="s">
        <v>1673</v>
      </c>
      <c r="D474" s="58">
        <v>-4</v>
      </c>
      <c r="E474" s="58" t="str">
        <f>Valuation!O88</f>
        <v/>
      </c>
    </row>
    <row r="475" spans="1:5">
      <c r="A475" s="58" t="s">
        <v>829</v>
      </c>
      <c r="B475" s="58" t="s">
        <v>1681</v>
      </c>
      <c r="C475" s="58" t="s">
        <v>1673</v>
      </c>
      <c r="D475" s="58">
        <v>-3</v>
      </c>
      <c r="E475" s="58" t="str">
        <f>Valuation!P88</f>
        <v/>
      </c>
    </row>
    <row r="476" spans="1:5">
      <c r="A476" s="58" t="s">
        <v>829</v>
      </c>
      <c r="B476" s="58" t="s">
        <v>1682</v>
      </c>
      <c r="C476" s="58" t="s">
        <v>1673</v>
      </c>
      <c r="D476" s="58">
        <v>-2</v>
      </c>
      <c r="E476" s="58" t="str">
        <f>Valuation!Q88</f>
        <v/>
      </c>
    </row>
    <row r="477" spans="1:5">
      <c r="A477" s="58" t="s">
        <v>829</v>
      </c>
      <c r="B477" s="58" t="s">
        <v>1683</v>
      </c>
      <c r="C477" s="58" t="s">
        <v>1673</v>
      </c>
      <c r="D477" s="58">
        <v>-1</v>
      </c>
      <c r="E477" s="58" t="str">
        <f>Valuation!R88</f>
        <v/>
      </c>
    </row>
    <row r="478" spans="1:5">
      <c r="A478" s="58" t="s">
        <v>829</v>
      </c>
      <c r="B478" s="58" t="s">
        <v>1684</v>
      </c>
      <c r="C478" s="58" t="s">
        <v>1673</v>
      </c>
      <c r="D478" s="58">
        <v>1</v>
      </c>
      <c r="E478" s="58">
        <f>Valuation!T88</f>
        <v>5</v>
      </c>
    </row>
    <row r="479" spans="1:5">
      <c r="A479" s="58" t="s">
        <v>829</v>
      </c>
      <c r="B479" s="58" t="s">
        <v>1685</v>
      </c>
      <c r="C479" s="58" t="s">
        <v>1673</v>
      </c>
      <c r="D479" s="58">
        <v>2</v>
      </c>
      <c r="E479" s="58">
        <f>Valuation!U88</f>
        <v>5</v>
      </c>
    </row>
    <row r="480" spans="1:5">
      <c r="A480" s="58" t="s">
        <v>829</v>
      </c>
      <c r="B480" s="58" t="s">
        <v>1686</v>
      </c>
      <c r="C480" s="58" t="s">
        <v>1673</v>
      </c>
      <c r="D480" s="58">
        <v>3</v>
      </c>
      <c r="E480" s="58">
        <f>Valuation!V88</f>
        <v>5</v>
      </c>
    </row>
    <row r="481" spans="1:5">
      <c r="A481" s="58" t="s">
        <v>829</v>
      </c>
      <c r="B481" s="58" t="s">
        <v>1687</v>
      </c>
      <c r="C481" s="58" t="s">
        <v>1673</v>
      </c>
      <c r="D481" s="58">
        <v>4</v>
      </c>
      <c r="E481" s="58">
        <f>Valuation!W88</f>
        <v>5</v>
      </c>
    </row>
    <row r="482" spans="1:5">
      <c r="A482" s="58" t="s">
        <v>829</v>
      </c>
      <c r="B482" s="58" t="s">
        <v>1688</v>
      </c>
      <c r="C482" s="58" t="s">
        <v>1673</v>
      </c>
      <c r="D482" s="58">
        <v>5</v>
      </c>
      <c r="E482" s="58">
        <f>Valuation!X88</f>
        <v>5</v>
      </c>
    </row>
    <row r="483" spans="1:5">
      <c r="A483" s="58" t="s">
        <v>829</v>
      </c>
      <c r="B483" s="58" t="s">
        <v>1689</v>
      </c>
      <c r="C483" s="58" t="s">
        <v>1673</v>
      </c>
      <c r="D483" s="58">
        <v>6</v>
      </c>
      <c r="E483" s="58">
        <f>Valuation!Y88</f>
        <v>5</v>
      </c>
    </row>
    <row r="484" spans="1:5">
      <c r="A484" s="58" t="s">
        <v>829</v>
      </c>
      <c r="B484" s="58" t="s">
        <v>1690</v>
      </c>
      <c r="C484" s="58" t="s">
        <v>1673</v>
      </c>
      <c r="D484" s="58">
        <v>7</v>
      </c>
      <c r="E484" s="58">
        <f>Valuation!Z88</f>
        <v>5</v>
      </c>
    </row>
    <row r="485" spans="1:5">
      <c r="A485" s="58" t="s">
        <v>829</v>
      </c>
      <c r="B485" s="58" t="s">
        <v>1691</v>
      </c>
      <c r="C485" s="58" t="s">
        <v>1673</v>
      </c>
      <c r="D485" s="58">
        <v>8</v>
      </c>
      <c r="E485" s="58">
        <f>Valuation!AA88</f>
        <v>5</v>
      </c>
    </row>
    <row r="486" spans="1:5">
      <c r="A486" s="58" t="s">
        <v>829</v>
      </c>
      <c r="B486" s="58" t="s">
        <v>1692</v>
      </c>
      <c r="C486" s="58" t="s">
        <v>1673</v>
      </c>
      <c r="D486" s="58">
        <v>9</v>
      </c>
      <c r="E486" s="58">
        <f>Valuation!AB88</f>
        <v>0</v>
      </c>
    </row>
    <row r="487" spans="1:5">
      <c r="A487" s="58" t="s">
        <v>829</v>
      </c>
      <c r="B487" s="58" t="s">
        <v>1693</v>
      </c>
      <c r="C487" s="58" t="s">
        <v>1673</v>
      </c>
      <c r="D487" s="58">
        <v>0</v>
      </c>
      <c r="E487" s="58">
        <f>Valuation!S88</f>
        <v>5</v>
      </c>
    </row>
    <row r="488" spans="1:5">
      <c r="A488" s="58" t="s">
        <v>829</v>
      </c>
      <c r="B488" s="58" t="s">
        <v>1694</v>
      </c>
      <c r="C488" s="58" t="s">
        <v>848</v>
      </c>
      <c r="D488" s="58" t="s">
        <v>1138</v>
      </c>
      <c r="E488" s="58">
        <f>Valuation!Q111</f>
        <v>7658724</v>
      </c>
    </row>
    <row r="489" spans="1:5">
      <c r="A489" s="58" t="s">
        <v>829</v>
      </c>
      <c r="B489" s="58" t="s">
        <v>1695</v>
      </c>
      <c r="C489" s="58" t="s">
        <v>1696</v>
      </c>
      <c r="D489" s="58">
        <v>-11</v>
      </c>
      <c r="E489" s="58">
        <f>Valuation!H22</f>
        <v>0</v>
      </c>
    </row>
    <row r="490" spans="1:5">
      <c r="A490" s="58" t="s">
        <v>829</v>
      </c>
      <c r="B490" s="58" t="s">
        <v>1697</v>
      </c>
      <c r="C490" s="58" t="s">
        <v>1696</v>
      </c>
      <c r="D490" s="58">
        <v>-10</v>
      </c>
      <c r="E490" s="58">
        <f>Valuation!I22</f>
        <v>0</v>
      </c>
    </row>
    <row r="491" spans="1:5">
      <c r="A491" s="58" t="s">
        <v>829</v>
      </c>
      <c r="B491" s="58" t="s">
        <v>1698</v>
      </c>
      <c r="C491" s="58" t="s">
        <v>1696</v>
      </c>
      <c r="D491" s="58">
        <v>-9</v>
      </c>
      <c r="E491" s="58">
        <f>Valuation!J22</f>
        <v>0</v>
      </c>
    </row>
    <row r="492" spans="1:5">
      <c r="A492" s="58" t="s">
        <v>829</v>
      </c>
      <c r="B492" s="58" t="s">
        <v>1699</v>
      </c>
      <c r="C492" s="58" t="s">
        <v>1696</v>
      </c>
      <c r="D492" s="58">
        <v>-8</v>
      </c>
      <c r="E492" s="58">
        <f>Valuation!K22</f>
        <v>0</v>
      </c>
    </row>
    <row r="493" spans="1:5">
      <c r="A493" s="58" t="s">
        <v>829</v>
      </c>
      <c r="B493" s="58" t="s">
        <v>1700</v>
      </c>
      <c r="C493" s="58" t="s">
        <v>1696</v>
      </c>
      <c r="D493" s="58">
        <v>-7</v>
      </c>
      <c r="E493" s="58">
        <f>Valuation!L22</f>
        <v>0</v>
      </c>
    </row>
    <row r="494" spans="1:5">
      <c r="A494" s="58" t="s">
        <v>829</v>
      </c>
      <c r="B494" s="58" t="s">
        <v>1701</v>
      </c>
      <c r="C494" s="58" t="s">
        <v>1696</v>
      </c>
      <c r="D494" s="58">
        <v>-6</v>
      </c>
      <c r="E494" s="58">
        <f>Valuation!M22</f>
        <v>30962</v>
      </c>
    </row>
    <row r="495" spans="1:5">
      <c r="A495" s="58" t="s">
        <v>829</v>
      </c>
      <c r="B495" s="58" t="s">
        <v>1702</v>
      </c>
      <c r="C495" s="58" t="s">
        <v>1696</v>
      </c>
      <c r="D495" s="58">
        <v>-5</v>
      </c>
      <c r="E495" s="58">
        <f>Valuation!N22</f>
        <v>63651</v>
      </c>
    </row>
    <row r="496" spans="1:5">
      <c r="A496" s="58" t="s">
        <v>829</v>
      </c>
      <c r="B496" s="58" t="s">
        <v>1703</v>
      </c>
      <c r="C496" s="58" t="s">
        <v>1696</v>
      </c>
      <c r="D496" s="58">
        <v>-4</v>
      </c>
      <c r="E496" s="58">
        <f>Valuation!O22</f>
        <v>154069</v>
      </c>
    </row>
    <row r="497" spans="1:5">
      <c r="A497" s="58" t="s">
        <v>829</v>
      </c>
      <c r="B497" s="58" t="s">
        <v>1704</v>
      </c>
      <c r="C497" s="58" t="s">
        <v>1696</v>
      </c>
      <c r="D497" s="58">
        <v>-3</v>
      </c>
      <c r="E497" s="58">
        <f>Valuation!P22</f>
        <v>139642</v>
      </c>
    </row>
    <row r="498" spans="1:5">
      <c r="A498" s="58" t="s">
        <v>829</v>
      </c>
      <c r="B498" s="58" t="s">
        <v>1705</v>
      </c>
      <c r="C498" s="58" t="s">
        <v>1696</v>
      </c>
      <c r="D498" s="58">
        <v>-2</v>
      </c>
      <c r="E498" s="58">
        <f>Valuation!Q22</f>
        <v>127518</v>
      </c>
    </row>
    <row r="499" spans="1:5">
      <c r="A499" s="58" t="s">
        <v>829</v>
      </c>
      <c r="B499" s="58" t="s">
        <v>1706</v>
      </c>
      <c r="C499" s="58" t="s">
        <v>1696</v>
      </c>
      <c r="D499" s="58">
        <v>-1</v>
      </c>
      <c r="E499" s="58">
        <f>Valuation!R22</f>
        <v>188428</v>
      </c>
    </row>
    <row r="500" spans="1:5">
      <c r="A500" s="58" t="s">
        <v>829</v>
      </c>
      <c r="B500" s="58" t="s">
        <v>1707</v>
      </c>
      <c r="C500" s="58" t="s">
        <v>1696</v>
      </c>
      <c r="D500" s="58">
        <v>1</v>
      </c>
      <c r="E500" s="58" t="e">
        <f ca="1">Valuation!T22</f>
        <v>#NAME?</v>
      </c>
    </row>
    <row r="501" spans="1:5">
      <c r="A501" s="58" t="s">
        <v>829</v>
      </c>
      <c r="B501" s="58" t="s">
        <v>1708</v>
      </c>
      <c r="C501" s="58" t="s">
        <v>1696</v>
      </c>
      <c r="D501" s="58">
        <v>2</v>
      </c>
      <c r="E501" s="58" t="e">
        <f ca="1">Valuation!U22</f>
        <v>#NAME?</v>
      </c>
    </row>
    <row r="502" spans="1:5">
      <c r="A502" s="58" t="s">
        <v>829</v>
      </c>
      <c r="B502" s="58" t="s">
        <v>1709</v>
      </c>
      <c r="C502" s="58" t="s">
        <v>1696</v>
      </c>
      <c r="D502" s="58">
        <v>3</v>
      </c>
      <c r="E502" s="58" t="e">
        <f ca="1">Valuation!V22</f>
        <v>#NAME?</v>
      </c>
    </row>
    <row r="503" spans="1:5">
      <c r="A503" s="58" t="s">
        <v>829</v>
      </c>
      <c r="B503" s="58" t="s">
        <v>1710</v>
      </c>
      <c r="C503" s="58" t="s">
        <v>1696</v>
      </c>
      <c r="D503" s="58">
        <v>4</v>
      </c>
      <c r="E503" s="58" t="e">
        <f ca="1">Valuation!W22</f>
        <v>#NAME?</v>
      </c>
    </row>
    <row r="504" spans="1:5">
      <c r="A504" s="58" t="s">
        <v>829</v>
      </c>
      <c r="B504" s="58" t="s">
        <v>1711</v>
      </c>
      <c r="C504" s="58" t="s">
        <v>1696</v>
      </c>
      <c r="D504" s="58">
        <v>5</v>
      </c>
      <c r="E504" s="58" t="e">
        <f ca="1">Valuation!X22</f>
        <v>#NAME?</v>
      </c>
    </row>
    <row r="505" spans="1:5">
      <c r="A505" s="58" t="s">
        <v>829</v>
      </c>
      <c r="B505" s="58" t="s">
        <v>1712</v>
      </c>
      <c r="C505" s="58" t="s">
        <v>1696</v>
      </c>
      <c r="D505" s="58">
        <v>6</v>
      </c>
      <c r="E505" s="58" t="e">
        <f ca="1">Valuation!Y22</f>
        <v>#NAME?</v>
      </c>
    </row>
    <row r="506" spans="1:5">
      <c r="A506" s="58" t="s">
        <v>829</v>
      </c>
      <c r="B506" s="58" t="s">
        <v>1713</v>
      </c>
      <c r="C506" s="58" t="s">
        <v>1696</v>
      </c>
      <c r="D506" s="58">
        <v>7</v>
      </c>
      <c r="E506" s="58" t="e">
        <f ca="1">Valuation!Z22</f>
        <v>#NAME?</v>
      </c>
    </row>
    <row r="507" spans="1:5">
      <c r="A507" s="58" t="s">
        <v>829</v>
      </c>
      <c r="B507" s="58" t="s">
        <v>1714</v>
      </c>
      <c r="C507" s="58" t="s">
        <v>1696</v>
      </c>
      <c r="D507" s="58">
        <v>8</v>
      </c>
      <c r="E507" s="58" t="e">
        <f ca="1">Valuation!AA22</f>
        <v>#NAME?</v>
      </c>
    </row>
    <row r="508" spans="1:5">
      <c r="A508" s="58" t="s">
        <v>829</v>
      </c>
      <c r="B508" s="58" t="s">
        <v>1715</v>
      </c>
      <c r="C508" s="58" t="s">
        <v>1696</v>
      </c>
      <c r="D508" s="58">
        <v>9</v>
      </c>
      <c r="E508" s="58" t="e">
        <f ca="1">Valuation!AB22</f>
        <v>#NAME?</v>
      </c>
    </row>
    <row r="509" spans="1:5">
      <c r="A509" s="58" t="s">
        <v>829</v>
      </c>
      <c r="B509" s="58" t="s">
        <v>1716</v>
      </c>
      <c r="C509" s="58" t="s">
        <v>1696</v>
      </c>
      <c r="D509" s="58">
        <v>0</v>
      </c>
      <c r="E509" s="58">
        <f ca="1">Valuation!S22</f>
        <v>253146.8263930098</v>
      </c>
    </row>
    <row r="510" spans="1:5">
      <c r="A510" s="58" t="s">
        <v>829</v>
      </c>
      <c r="B510" s="58" t="s">
        <v>1717</v>
      </c>
      <c r="C510" s="58" t="s">
        <v>1718</v>
      </c>
      <c r="D510" s="58">
        <v>-11</v>
      </c>
      <c r="E510" s="58">
        <f>Valuation!H63</f>
        <v>0</v>
      </c>
    </row>
    <row r="511" spans="1:5">
      <c r="A511" s="58" t="s">
        <v>829</v>
      </c>
      <c r="B511" s="58" t="s">
        <v>1719</v>
      </c>
      <c r="C511" s="58" t="s">
        <v>1718</v>
      </c>
      <c r="D511" s="58">
        <v>-10</v>
      </c>
      <c r="E511" s="58">
        <f>Valuation!I63</f>
        <v>0</v>
      </c>
    </row>
    <row r="512" spans="1:5">
      <c r="A512" s="58" t="s">
        <v>829</v>
      </c>
      <c r="B512" s="58" t="s">
        <v>1720</v>
      </c>
      <c r="C512" s="58" t="s">
        <v>1718</v>
      </c>
      <c r="D512" s="58">
        <v>-9</v>
      </c>
      <c r="E512" s="58">
        <f>Valuation!J63</f>
        <v>0</v>
      </c>
    </row>
    <row r="513" spans="1:5">
      <c r="A513" s="58" t="s">
        <v>829</v>
      </c>
      <c r="B513" s="58" t="s">
        <v>1721</v>
      </c>
      <c r="C513" s="58" t="s">
        <v>1718</v>
      </c>
      <c r="D513" s="58">
        <v>-8</v>
      </c>
      <c r="E513" s="58">
        <f>Valuation!K63</f>
        <v>0</v>
      </c>
    </row>
    <row r="514" spans="1:5">
      <c r="A514" s="58" t="s">
        <v>829</v>
      </c>
      <c r="B514" s="58" t="s">
        <v>1722</v>
      </c>
      <c r="C514" s="58" t="s">
        <v>1718</v>
      </c>
      <c r="D514" s="58">
        <v>-7</v>
      </c>
      <c r="E514" s="58">
        <f>Valuation!L63</f>
        <v>0</v>
      </c>
    </row>
    <row r="515" spans="1:5">
      <c r="A515" s="58" t="s">
        <v>829</v>
      </c>
      <c r="B515" s="58" t="s">
        <v>1723</v>
      </c>
      <c r="C515" s="58" t="s">
        <v>1718</v>
      </c>
      <c r="D515" s="58">
        <v>-6</v>
      </c>
      <c r="E515" s="58">
        <f>Valuation!M63</f>
        <v>0</v>
      </c>
    </row>
    <row r="516" spans="1:5">
      <c r="A516" s="58" t="s">
        <v>829</v>
      </c>
      <c r="B516" s="58" t="s">
        <v>1724</v>
      </c>
      <c r="C516" s="58" t="s">
        <v>1718</v>
      </c>
      <c r="D516" s="58">
        <v>-5</v>
      </c>
      <c r="E516" s="58">
        <f>Valuation!N63</f>
        <v>46951</v>
      </c>
    </row>
    <row r="517" spans="1:5">
      <c r="A517" s="58" t="s">
        <v>829</v>
      </c>
      <c r="B517" s="58" t="s">
        <v>1725</v>
      </c>
      <c r="C517" s="58" t="s">
        <v>1718</v>
      </c>
      <c r="D517" s="58">
        <v>-4</v>
      </c>
      <c r="E517" s="58">
        <f>Valuation!O63</f>
        <v>108769</v>
      </c>
    </row>
    <row r="518" spans="1:5">
      <c r="A518" s="58" t="s">
        <v>829</v>
      </c>
      <c r="B518" s="58" t="s">
        <v>1726</v>
      </c>
      <c r="C518" s="58" t="s">
        <v>1718</v>
      </c>
      <c r="D518" s="58">
        <v>-3</v>
      </c>
      <c r="E518" s="58">
        <f>Valuation!P63</f>
        <v>33542</v>
      </c>
    </row>
    <row r="519" spans="1:5">
      <c r="A519" s="58" t="s">
        <v>829</v>
      </c>
      <c r="B519" s="58" t="s">
        <v>1727</v>
      </c>
      <c r="C519" s="58" t="s">
        <v>1718</v>
      </c>
      <c r="D519" s="58">
        <v>-2</v>
      </c>
      <c r="E519" s="58">
        <f>Valuation!Q63</f>
        <v>57918</v>
      </c>
    </row>
    <row r="520" spans="1:5">
      <c r="A520" s="58" t="s">
        <v>829</v>
      </c>
      <c r="B520" s="58" t="s">
        <v>1728</v>
      </c>
      <c r="C520" s="58" t="s">
        <v>1718</v>
      </c>
      <c r="D520" s="58">
        <v>-1</v>
      </c>
      <c r="E520" s="58">
        <f>Valuation!R63</f>
        <v>121302</v>
      </c>
    </row>
    <row r="521" spans="1:5">
      <c r="A521" s="58" t="s">
        <v>829</v>
      </c>
      <c r="B521" s="58" t="s">
        <v>1729</v>
      </c>
      <c r="C521" s="58" t="s">
        <v>1718</v>
      </c>
      <c r="D521" s="58">
        <v>1</v>
      </c>
      <c r="E521" s="58" t="e">
        <f ca="1">Valuation!T63</f>
        <v>#NAME?</v>
      </c>
    </row>
    <row r="522" spans="1:5">
      <c r="A522" s="58" t="s">
        <v>829</v>
      </c>
      <c r="B522" s="58" t="s">
        <v>1730</v>
      </c>
      <c r="C522" s="58" t="s">
        <v>1718</v>
      </c>
      <c r="D522" s="58">
        <v>2</v>
      </c>
      <c r="E522" s="58" t="e">
        <f ca="1">Valuation!U63</f>
        <v>#NAME?</v>
      </c>
    </row>
    <row r="523" spans="1:5">
      <c r="A523" s="58" t="s">
        <v>829</v>
      </c>
      <c r="B523" s="58" t="s">
        <v>1731</v>
      </c>
      <c r="C523" s="58" t="s">
        <v>1718</v>
      </c>
      <c r="D523" s="58">
        <v>3</v>
      </c>
      <c r="E523" s="58" t="e">
        <f ca="1">Valuation!V63</f>
        <v>#NAME?</v>
      </c>
    </row>
    <row r="524" spans="1:5">
      <c r="A524" s="58" t="s">
        <v>829</v>
      </c>
      <c r="B524" s="58" t="s">
        <v>1732</v>
      </c>
      <c r="C524" s="58" t="s">
        <v>1718</v>
      </c>
      <c r="D524" s="58">
        <v>4</v>
      </c>
      <c r="E524" s="58" t="e">
        <f ca="1">Valuation!W63</f>
        <v>#NAME?</v>
      </c>
    </row>
    <row r="525" spans="1:5">
      <c r="A525" s="58" t="s">
        <v>829</v>
      </c>
      <c r="B525" s="58" t="s">
        <v>1733</v>
      </c>
      <c r="C525" s="58" t="s">
        <v>1718</v>
      </c>
      <c r="D525" s="58">
        <v>5</v>
      </c>
      <c r="E525" s="58" t="e">
        <f ca="1">Valuation!X63</f>
        <v>#NAME?</v>
      </c>
    </row>
    <row r="526" spans="1:5">
      <c r="A526" s="58" t="s">
        <v>829</v>
      </c>
      <c r="B526" s="58" t="s">
        <v>1734</v>
      </c>
      <c r="C526" s="58" t="s">
        <v>1718</v>
      </c>
      <c r="D526" s="58">
        <v>6</v>
      </c>
      <c r="E526" s="58" t="e">
        <f ca="1">Valuation!Y63</f>
        <v>#NAME?</v>
      </c>
    </row>
    <row r="527" spans="1:5">
      <c r="A527" s="58" t="s">
        <v>829</v>
      </c>
      <c r="B527" s="58" t="s">
        <v>1735</v>
      </c>
      <c r="C527" s="58" t="s">
        <v>1718</v>
      </c>
      <c r="D527" s="58">
        <v>7</v>
      </c>
      <c r="E527" s="58" t="e">
        <f ca="1">Valuation!Z63</f>
        <v>#NAME?</v>
      </c>
    </row>
    <row r="528" spans="1:5">
      <c r="A528" s="58" t="s">
        <v>829</v>
      </c>
      <c r="B528" s="58" t="s">
        <v>1736</v>
      </c>
      <c r="C528" s="58" t="s">
        <v>1718</v>
      </c>
      <c r="D528" s="58">
        <v>8</v>
      </c>
      <c r="E528" s="58" t="e">
        <f ca="1">Valuation!AA63</f>
        <v>#NAME?</v>
      </c>
    </row>
    <row r="529" spans="1:5">
      <c r="A529" s="58" t="s">
        <v>829</v>
      </c>
      <c r="B529" s="58" t="s">
        <v>1737</v>
      </c>
      <c r="C529" s="58" t="s">
        <v>1718</v>
      </c>
      <c r="D529" s="58">
        <v>9</v>
      </c>
      <c r="E529" s="58" t="e">
        <f ca="1">Valuation!AB63</f>
        <v>#NAME?</v>
      </c>
    </row>
    <row r="530" spans="1:5">
      <c r="A530" s="58" t="s">
        <v>829</v>
      </c>
      <c r="B530" s="58" t="s">
        <v>1738</v>
      </c>
      <c r="C530" s="58" t="s">
        <v>1718</v>
      </c>
      <c r="D530" s="58">
        <v>0</v>
      </c>
      <c r="E530" s="58">
        <f ca="1">Valuation!S63</f>
        <v>114915.82639300979</v>
      </c>
    </row>
    <row r="531" spans="1:5">
      <c r="A531" s="58" t="s">
        <v>829</v>
      </c>
      <c r="B531" s="58" t="s">
        <v>1739</v>
      </c>
      <c r="C531" s="58" t="s">
        <v>131</v>
      </c>
      <c r="D531" s="58">
        <v>-11</v>
      </c>
      <c r="E531" s="58">
        <f>Valuation!H41</f>
        <v>0</v>
      </c>
    </row>
    <row r="532" spans="1:5">
      <c r="A532" s="58" t="s">
        <v>829</v>
      </c>
      <c r="B532" s="58" t="s">
        <v>1740</v>
      </c>
      <c r="C532" s="58" t="s">
        <v>131</v>
      </c>
      <c r="D532" s="58">
        <v>-10</v>
      </c>
      <c r="E532" s="58">
        <f>Valuation!I41</f>
        <v>0</v>
      </c>
    </row>
    <row r="533" spans="1:5">
      <c r="A533" s="58" t="s">
        <v>829</v>
      </c>
      <c r="B533" s="58" t="s">
        <v>1741</v>
      </c>
      <c r="C533" s="58" t="s">
        <v>131</v>
      </c>
      <c r="D533" s="58">
        <v>-9</v>
      </c>
      <c r="E533" s="58">
        <f>Valuation!J41</f>
        <v>0</v>
      </c>
    </row>
    <row r="534" spans="1:5">
      <c r="A534" s="58" t="s">
        <v>829</v>
      </c>
      <c r="B534" s="58" t="s">
        <v>1742</v>
      </c>
      <c r="C534" s="58" t="s">
        <v>131</v>
      </c>
      <c r="D534" s="58">
        <v>-8</v>
      </c>
      <c r="E534" s="58">
        <f>Valuation!K41</f>
        <v>0</v>
      </c>
    </row>
    <row r="535" spans="1:5">
      <c r="A535" s="58" t="s">
        <v>829</v>
      </c>
      <c r="B535" s="58" t="s">
        <v>1743</v>
      </c>
      <c r="C535" s="58" t="s">
        <v>131</v>
      </c>
      <c r="D535" s="58">
        <v>-7</v>
      </c>
      <c r="E535" s="58">
        <f>Valuation!L41</f>
        <v>0</v>
      </c>
    </row>
    <row r="536" spans="1:5">
      <c r="A536" s="58" t="s">
        <v>829</v>
      </c>
      <c r="B536" s="58" t="s">
        <v>1744</v>
      </c>
      <c r="C536" s="58" t="s">
        <v>131</v>
      </c>
      <c r="D536" s="58">
        <v>-6</v>
      </c>
      <c r="E536" s="58">
        <f>Valuation!M41</f>
        <v>3.4706333804778038</v>
      </c>
    </row>
    <row r="537" spans="1:5">
      <c r="A537" s="58" t="s">
        <v>829</v>
      </c>
      <c r="B537" s="58" t="s">
        <v>1745</v>
      </c>
      <c r="C537" s="58" t="s">
        <v>131</v>
      </c>
      <c r="D537" s="58">
        <v>-5</v>
      </c>
      <c r="E537" s="58">
        <f>Valuation!N41</f>
        <v>16.475893892210124</v>
      </c>
    </row>
    <row r="538" spans="1:5">
      <c r="A538" s="58" t="s">
        <v>829</v>
      </c>
      <c r="B538" s="58" t="s">
        <v>1746</v>
      </c>
      <c r="C538" s="58" t="s">
        <v>131</v>
      </c>
      <c r="D538" s="58">
        <v>-4</v>
      </c>
      <c r="E538" s="58">
        <f>Valuation!O41</f>
        <v>-11.806119511734387</v>
      </c>
    </row>
    <row r="539" spans="1:5">
      <c r="A539" s="58" t="s">
        <v>829</v>
      </c>
      <c r="B539" s="58" t="s">
        <v>1747</v>
      </c>
      <c r="C539" s="58" t="s">
        <v>131</v>
      </c>
      <c r="D539" s="58">
        <v>-3</v>
      </c>
      <c r="E539" s="58">
        <f>Valuation!P41</f>
        <v>0.37293379089669054</v>
      </c>
    </row>
    <row r="540" spans="1:5">
      <c r="A540" s="58" t="s">
        <v>829</v>
      </c>
      <c r="B540" s="58" t="s">
        <v>1748</v>
      </c>
      <c r="C540" s="58" t="s">
        <v>131</v>
      </c>
      <c r="D540" s="58">
        <v>-2</v>
      </c>
      <c r="E540" s="58">
        <f>Valuation!Q41</f>
        <v>9.4341001620472831</v>
      </c>
    </row>
    <row r="541" spans="1:5">
      <c r="A541" s="58" t="s">
        <v>829</v>
      </c>
      <c r="B541" s="58" t="s">
        <v>1749</v>
      </c>
      <c r="C541" s="58" t="s">
        <v>131</v>
      </c>
      <c r="D541" s="58">
        <v>-1</v>
      </c>
      <c r="E541" s="58">
        <f>Valuation!R41</f>
        <v>4.3881876960680204</v>
      </c>
    </row>
    <row r="542" spans="1:5">
      <c r="A542" s="58" t="s">
        <v>829</v>
      </c>
      <c r="B542" s="58" t="s">
        <v>1750</v>
      </c>
      <c r="C542" s="58" t="s">
        <v>131</v>
      </c>
      <c r="D542" s="58">
        <v>1</v>
      </c>
      <c r="E542" s="58" t="e">
        <f ca="1">Valuation!T41</f>
        <v>#NAME?</v>
      </c>
    </row>
    <row r="543" spans="1:5">
      <c r="A543" s="58" t="s">
        <v>829</v>
      </c>
      <c r="B543" s="58" t="s">
        <v>1751</v>
      </c>
      <c r="C543" s="58" t="s">
        <v>131</v>
      </c>
      <c r="D543" s="58">
        <v>2</v>
      </c>
      <c r="E543" s="58" t="e">
        <f ca="1">Valuation!U41</f>
        <v>#NAME?</v>
      </c>
    </row>
    <row r="544" spans="1:5">
      <c r="A544" s="58" t="s">
        <v>829</v>
      </c>
      <c r="B544" s="58" t="s">
        <v>1752</v>
      </c>
      <c r="C544" s="58" t="s">
        <v>131</v>
      </c>
      <c r="D544" s="58">
        <v>3</v>
      </c>
      <c r="E544" s="58" t="e">
        <f ca="1">Valuation!V41</f>
        <v>#NAME?</v>
      </c>
    </row>
    <row r="545" spans="1:5">
      <c r="A545" s="58" t="s">
        <v>829</v>
      </c>
      <c r="B545" s="58" t="s">
        <v>1753</v>
      </c>
      <c r="C545" s="58" t="s">
        <v>131</v>
      </c>
      <c r="D545" s="58">
        <v>4</v>
      </c>
      <c r="E545" s="58" t="e">
        <f ca="1">Valuation!W41</f>
        <v>#NAME?</v>
      </c>
    </row>
    <row r="546" spans="1:5">
      <c r="A546" s="58" t="s">
        <v>829</v>
      </c>
      <c r="B546" s="58" t="s">
        <v>1754</v>
      </c>
      <c r="C546" s="58" t="s">
        <v>131</v>
      </c>
      <c r="D546" s="58">
        <v>5</v>
      </c>
      <c r="E546" s="58" t="e">
        <f ca="1">Valuation!X41</f>
        <v>#NAME?</v>
      </c>
    </row>
    <row r="547" spans="1:5">
      <c r="A547" s="58" t="s">
        <v>829</v>
      </c>
      <c r="B547" s="58" t="s">
        <v>1755</v>
      </c>
      <c r="C547" s="58" t="s">
        <v>131</v>
      </c>
      <c r="D547" s="58">
        <v>6</v>
      </c>
      <c r="E547" s="58" t="e">
        <f ca="1">Valuation!Y41</f>
        <v>#NAME?</v>
      </c>
    </row>
    <row r="548" spans="1:5">
      <c r="A548" s="58" t="s">
        <v>829</v>
      </c>
      <c r="B548" s="58" t="s">
        <v>1756</v>
      </c>
      <c r="C548" s="58" t="s">
        <v>131</v>
      </c>
      <c r="D548" s="58">
        <v>7</v>
      </c>
      <c r="E548" s="58" t="e">
        <f ca="1">Valuation!Z41</f>
        <v>#NAME?</v>
      </c>
    </row>
    <row r="549" spans="1:5">
      <c r="A549" s="58" t="s">
        <v>829</v>
      </c>
      <c r="B549" s="58" t="s">
        <v>1757</v>
      </c>
      <c r="C549" s="58" t="s">
        <v>131</v>
      </c>
      <c r="D549" s="58">
        <v>8</v>
      </c>
      <c r="E549" s="58" t="e">
        <f ca="1">Valuation!AA41</f>
        <v>#NAME?</v>
      </c>
    </row>
    <row r="550" spans="1:5">
      <c r="A550" s="58" t="s">
        <v>829</v>
      </c>
      <c r="B550" s="58" t="s">
        <v>1758</v>
      </c>
      <c r="C550" s="58" t="s">
        <v>131</v>
      </c>
      <c r="D550" s="58">
        <v>9</v>
      </c>
      <c r="E550" s="58" t="e">
        <f ca="1">Valuation!AB41</f>
        <v>#NAME?</v>
      </c>
    </row>
    <row r="551" spans="1:5">
      <c r="A551" s="58" t="s">
        <v>829</v>
      </c>
      <c r="B551" s="58" t="s">
        <v>1759</v>
      </c>
      <c r="C551" s="58" t="s">
        <v>131</v>
      </c>
      <c r="D551" s="58">
        <v>0</v>
      </c>
      <c r="E551" s="58" t="e">
        <f>Valuation!S41</f>
        <v>#NAME?</v>
      </c>
    </row>
    <row r="552" spans="1:5">
      <c r="A552" s="58" t="s">
        <v>829</v>
      </c>
      <c r="B552" s="58" t="s">
        <v>1760</v>
      </c>
      <c r="C552" s="58" t="s">
        <v>1761</v>
      </c>
      <c r="D552" s="58">
        <v>-11</v>
      </c>
      <c r="E552" s="58">
        <f>Valuation!H42</f>
        <v>0</v>
      </c>
    </row>
    <row r="553" spans="1:5">
      <c r="A553" s="58" t="s">
        <v>829</v>
      </c>
      <c r="B553" s="58" t="s">
        <v>1762</v>
      </c>
      <c r="C553" s="58" t="s">
        <v>1761</v>
      </c>
      <c r="D553" s="58">
        <v>-10</v>
      </c>
      <c r="E553" s="58">
        <f>Valuation!I42</f>
        <v>0</v>
      </c>
    </row>
    <row r="554" spans="1:5">
      <c r="A554" s="58" t="s">
        <v>829</v>
      </c>
      <c r="B554" s="58" t="s">
        <v>1763</v>
      </c>
      <c r="C554" s="58" t="s">
        <v>1761</v>
      </c>
      <c r="D554" s="58">
        <v>-9</v>
      </c>
      <c r="E554" s="58">
        <f>Valuation!J42</f>
        <v>0</v>
      </c>
    </row>
    <row r="555" spans="1:5">
      <c r="A555" s="58" t="s">
        <v>829</v>
      </c>
      <c r="B555" s="58" t="s">
        <v>1764</v>
      </c>
      <c r="C555" s="58" t="s">
        <v>1761</v>
      </c>
      <c r="D555" s="58">
        <v>-8</v>
      </c>
      <c r="E555" s="58">
        <f>Valuation!K42</f>
        <v>0</v>
      </c>
    </row>
    <row r="556" spans="1:5">
      <c r="A556" s="58" t="s">
        <v>829</v>
      </c>
      <c r="B556" s="58" t="s">
        <v>1765</v>
      </c>
      <c r="C556" s="58" t="s">
        <v>1761</v>
      </c>
      <c r="D556" s="58">
        <v>-7</v>
      </c>
      <c r="E556" s="58">
        <f>Valuation!L42</f>
        <v>0</v>
      </c>
    </row>
    <row r="557" spans="1:5">
      <c r="A557" s="58" t="s">
        <v>829</v>
      </c>
      <c r="B557" s="58" t="s">
        <v>1766</v>
      </c>
      <c r="C557" s="58" t="s">
        <v>1761</v>
      </c>
      <c r="D557" s="58">
        <v>-6</v>
      </c>
      <c r="E557" s="58">
        <f>Valuation!M42</f>
        <v>3.4706333804778038</v>
      </c>
    </row>
    <row r="558" spans="1:5">
      <c r="A558" s="58" t="s">
        <v>829</v>
      </c>
      <c r="B558" s="58" t="s">
        <v>1767</v>
      </c>
      <c r="C558" s="58" t="s">
        <v>1761</v>
      </c>
      <c r="D558" s="58">
        <v>-5</v>
      </c>
      <c r="E558" s="58">
        <f>Valuation!N42</f>
        <v>16.475893892210124</v>
      </c>
    </row>
    <row r="559" spans="1:5">
      <c r="A559" s="58" t="s">
        <v>829</v>
      </c>
      <c r="B559" s="58" t="s">
        <v>1768</v>
      </c>
      <c r="C559" s="58" t="s">
        <v>1761</v>
      </c>
      <c r="D559" s="58">
        <v>-4</v>
      </c>
      <c r="E559" s="58">
        <f>Valuation!O42</f>
        <v>-11.806119511734387</v>
      </c>
    </row>
    <row r="560" spans="1:5">
      <c r="A560" s="58" t="s">
        <v>829</v>
      </c>
      <c r="B560" s="58" t="s">
        <v>1769</v>
      </c>
      <c r="C560" s="58" t="s">
        <v>1761</v>
      </c>
      <c r="D560" s="58">
        <v>-3</v>
      </c>
      <c r="E560" s="58">
        <f>Valuation!P42</f>
        <v>0.37293379089669054</v>
      </c>
    </row>
    <row r="561" spans="1:5">
      <c r="A561" s="58" t="s">
        <v>829</v>
      </c>
      <c r="B561" s="58" t="s">
        <v>1770</v>
      </c>
      <c r="C561" s="58" t="s">
        <v>1761</v>
      </c>
      <c r="D561" s="58">
        <v>-2</v>
      </c>
      <c r="E561" s="58">
        <f>Valuation!Q42</f>
        <v>9.4341001620472831</v>
      </c>
    </row>
    <row r="562" spans="1:5">
      <c r="A562" s="58" t="s">
        <v>829</v>
      </c>
      <c r="B562" s="58" t="s">
        <v>1771</v>
      </c>
      <c r="C562" s="58" t="s">
        <v>1761</v>
      </c>
      <c r="D562" s="58">
        <v>-1</v>
      </c>
      <c r="E562" s="58">
        <f>Valuation!R42</f>
        <v>4.3881876960680204</v>
      </c>
    </row>
    <row r="563" spans="1:5">
      <c r="A563" s="58" t="s">
        <v>829</v>
      </c>
      <c r="B563" s="58" t="s">
        <v>1772</v>
      </c>
      <c r="C563" s="58" t="s">
        <v>1761</v>
      </c>
      <c r="D563" s="58">
        <v>1</v>
      </c>
      <c r="E563" s="58" t="e">
        <f ca="1">Valuation!T42</f>
        <v>#NAME?</v>
      </c>
    </row>
    <row r="564" spans="1:5">
      <c r="A564" s="58" t="s">
        <v>829</v>
      </c>
      <c r="B564" s="58" t="s">
        <v>1773</v>
      </c>
      <c r="C564" s="58" t="s">
        <v>1761</v>
      </c>
      <c r="D564" s="58">
        <v>2</v>
      </c>
      <c r="E564" s="58" t="e">
        <f ca="1">Valuation!U42</f>
        <v>#NAME?</v>
      </c>
    </row>
    <row r="565" spans="1:5">
      <c r="A565" s="58" t="s">
        <v>829</v>
      </c>
      <c r="B565" s="58" t="s">
        <v>1774</v>
      </c>
      <c r="C565" s="58" t="s">
        <v>1761</v>
      </c>
      <c r="D565" s="58">
        <v>3</v>
      </c>
      <c r="E565" s="58" t="e">
        <f ca="1">Valuation!V42</f>
        <v>#NAME?</v>
      </c>
    </row>
    <row r="566" spans="1:5">
      <c r="A566" s="58" t="s">
        <v>829</v>
      </c>
      <c r="B566" s="58" t="s">
        <v>1775</v>
      </c>
      <c r="C566" s="58" t="s">
        <v>1761</v>
      </c>
      <c r="D566" s="58">
        <v>4</v>
      </c>
      <c r="E566" s="58" t="e">
        <f ca="1">Valuation!W42</f>
        <v>#NAME?</v>
      </c>
    </row>
    <row r="567" spans="1:5">
      <c r="A567" s="58" t="s">
        <v>829</v>
      </c>
      <c r="B567" s="58" t="s">
        <v>1776</v>
      </c>
      <c r="C567" s="58" t="s">
        <v>1761</v>
      </c>
      <c r="D567" s="58">
        <v>5</v>
      </c>
      <c r="E567" s="58" t="e">
        <f ca="1">Valuation!X42</f>
        <v>#NAME?</v>
      </c>
    </row>
    <row r="568" spans="1:5">
      <c r="A568" s="58" t="s">
        <v>829</v>
      </c>
      <c r="B568" s="58" t="s">
        <v>1777</v>
      </c>
      <c r="C568" s="58" t="s">
        <v>1761</v>
      </c>
      <c r="D568" s="58">
        <v>6</v>
      </c>
      <c r="E568" s="58" t="e">
        <f ca="1">Valuation!Y42</f>
        <v>#NAME?</v>
      </c>
    </row>
    <row r="569" spans="1:5">
      <c r="A569" s="58" t="s">
        <v>829</v>
      </c>
      <c r="B569" s="58" t="s">
        <v>1778</v>
      </c>
      <c r="C569" s="58" t="s">
        <v>1761</v>
      </c>
      <c r="D569" s="58">
        <v>7</v>
      </c>
      <c r="E569" s="58" t="e">
        <f ca="1">Valuation!Z42</f>
        <v>#NAME?</v>
      </c>
    </row>
    <row r="570" spans="1:5">
      <c r="A570" s="58" t="s">
        <v>829</v>
      </c>
      <c r="B570" s="58" t="s">
        <v>1779</v>
      </c>
      <c r="C570" s="58" t="s">
        <v>1761</v>
      </c>
      <c r="D570" s="58">
        <v>8</v>
      </c>
      <c r="E570" s="58" t="e">
        <f ca="1">Valuation!AA42</f>
        <v>#NAME?</v>
      </c>
    </row>
    <row r="571" spans="1:5">
      <c r="A571" s="58" t="s">
        <v>829</v>
      </c>
      <c r="B571" s="58" t="s">
        <v>1780</v>
      </c>
      <c r="C571" s="58" t="s">
        <v>1761</v>
      </c>
      <c r="D571" s="58">
        <v>9</v>
      </c>
      <c r="E571" s="58" t="e">
        <f ca="1">Valuation!AB42</f>
        <v>#NAME?</v>
      </c>
    </row>
    <row r="572" spans="1:5">
      <c r="A572" s="58" t="s">
        <v>829</v>
      </c>
      <c r="B572" s="58" t="s">
        <v>1781</v>
      </c>
      <c r="C572" s="58" t="s">
        <v>1761</v>
      </c>
      <c r="D572" s="58">
        <v>0</v>
      </c>
      <c r="E572" s="58" t="e">
        <f>Valuation!S42</f>
        <v>#NAME?</v>
      </c>
    </row>
    <row r="573" spans="1:5">
      <c r="A573" s="58" t="s">
        <v>829</v>
      </c>
      <c r="B573" s="58" t="s">
        <v>1782</v>
      </c>
      <c r="C573" s="58" t="s">
        <v>1140</v>
      </c>
      <c r="D573" s="58" t="s">
        <v>1138</v>
      </c>
      <c r="E573" s="58">
        <f>Valuation!P122</f>
        <v>0</v>
      </c>
    </row>
    <row r="574" spans="1:5">
      <c r="A574" s="58" t="s">
        <v>829</v>
      </c>
      <c r="B574" s="58" t="s">
        <v>3636</v>
      </c>
      <c r="C574" s="58" t="s">
        <v>1784</v>
      </c>
      <c r="D574" s="58">
        <v>0</v>
      </c>
      <c r="E574" s="58">
        <f>Valuation!S48</f>
        <v>0</v>
      </c>
    </row>
    <row r="575" spans="1:5">
      <c r="A575" s="58" t="s">
        <v>829</v>
      </c>
      <c r="B575" s="58" t="s">
        <v>3637</v>
      </c>
      <c r="C575" s="58" t="s">
        <v>1784</v>
      </c>
      <c r="D575" s="58">
        <v>-11</v>
      </c>
      <c r="E575" s="58">
        <f>Valuation!H48</f>
        <v>0</v>
      </c>
    </row>
    <row r="576" spans="1:5">
      <c r="A576" s="58" t="s">
        <v>829</v>
      </c>
      <c r="B576" s="58" t="s">
        <v>3638</v>
      </c>
      <c r="C576" s="58" t="s">
        <v>1784</v>
      </c>
      <c r="D576" s="58">
        <v>-10</v>
      </c>
      <c r="E576" s="58">
        <f>Valuation!I48</f>
        <v>0</v>
      </c>
    </row>
    <row r="577" spans="1:5">
      <c r="A577" s="58" t="s">
        <v>829</v>
      </c>
      <c r="B577" s="58" t="s">
        <v>3639</v>
      </c>
      <c r="C577" s="58" t="s">
        <v>1784</v>
      </c>
      <c r="D577" s="58">
        <v>-9</v>
      </c>
      <c r="E577" s="58">
        <f>Valuation!J48</f>
        <v>0</v>
      </c>
    </row>
    <row r="578" spans="1:5">
      <c r="A578" s="58" t="s">
        <v>829</v>
      </c>
      <c r="B578" s="58" t="s">
        <v>3640</v>
      </c>
      <c r="C578" s="58" t="s">
        <v>1784</v>
      </c>
      <c r="D578" s="58">
        <v>-8</v>
      </c>
      <c r="E578" s="58">
        <f>Valuation!K48</f>
        <v>0</v>
      </c>
    </row>
    <row r="579" spans="1:5">
      <c r="A579" s="58" t="s">
        <v>829</v>
      </c>
      <c r="B579" s="58" t="s">
        <v>3641</v>
      </c>
      <c r="C579" s="58" t="s">
        <v>1784</v>
      </c>
      <c r="D579" s="58">
        <v>-7</v>
      </c>
      <c r="E579" s="58">
        <f>Valuation!L48</f>
        <v>0</v>
      </c>
    </row>
    <row r="580" spans="1:5">
      <c r="A580" s="58" t="s">
        <v>829</v>
      </c>
      <c r="B580" s="58" t="s">
        <v>3642</v>
      </c>
      <c r="C580" s="58" t="s">
        <v>1784</v>
      </c>
      <c r="D580" s="58">
        <v>-6</v>
      </c>
      <c r="E580" s="58">
        <f>Valuation!M48</f>
        <v>0</v>
      </c>
    </row>
    <row r="581" spans="1:5">
      <c r="A581" s="58" t="s">
        <v>829</v>
      </c>
      <c r="B581" s="58" t="s">
        <v>3643</v>
      </c>
      <c r="C581" s="58" t="s">
        <v>1784</v>
      </c>
      <c r="D581" s="58">
        <v>-5</v>
      </c>
      <c r="E581" s="58">
        <f>Valuation!N48</f>
        <v>0</v>
      </c>
    </row>
    <row r="582" spans="1:5">
      <c r="A582" s="58" t="s">
        <v>829</v>
      </c>
      <c r="B582" s="58" t="s">
        <v>3644</v>
      </c>
      <c r="C582" s="58" t="s">
        <v>1784</v>
      </c>
      <c r="D582" s="58">
        <v>-4</v>
      </c>
      <c r="E582" s="58">
        <f>Valuation!O48</f>
        <v>0</v>
      </c>
    </row>
    <row r="583" spans="1:5">
      <c r="A583" s="58" t="s">
        <v>829</v>
      </c>
      <c r="B583" s="58" t="s">
        <v>3645</v>
      </c>
      <c r="C583" s="58" t="s">
        <v>1784</v>
      </c>
      <c r="D583" s="58">
        <v>-3</v>
      </c>
      <c r="E583" s="58">
        <f>Valuation!P48</f>
        <v>0</v>
      </c>
    </row>
    <row r="584" spans="1:5">
      <c r="A584" s="58" t="s">
        <v>829</v>
      </c>
      <c r="B584" s="58" t="s">
        <v>3646</v>
      </c>
      <c r="C584" s="58" t="s">
        <v>1784</v>
      </c>
      <c r="D584" s="58">
        <v>-2</v>
      </c>
      <c r="E584" s="58">
        <f>Valuation!Q48</f>
        <v>0</v>
      </c>
    </row>
    <row r="585" spans="1:5">
      <c r="A585" s="58" t="s">
        <v>829</v>
      </c>
      <c r="B585" s="58" t="s">
        <v>3647</v>
      </c>
      <c r="C585" s="58" t="s">
        <v>1784</v>
      </c>
      <c r="D585" s="58">
        <v>-1</v>
      </c>
      <c r="E585" s="58">
        <f>Valuation!R48</f>
        <v>0</v>
      </c>
    </row>
    <row r="586" spans="1:5">
      <c r="A586" s="58" t="s">
        <v>829</v>
      </c>
      <c r="B586" s="58" t="s">
        <v>3648</v>
      </c>
      <c r="C586" s="58" t="s">
        <v>1784</v>
      </c>
      <c r="D586" s="58">
        <v>1</v>
      </c>
      <c r="E586" s="58">
        <f>Valuation!T48</f>
        <v>0</v>
      </c>
    </row>
    <row r="587" spans="1:5">
      <c r="A587" s="58" t="s">
        <v>829</v>
      </c>
      <c r="B587" s="58" t="s">
        <v>3649</v>
      </c>
      <c r="C587" s="58" t="s">
        <v>1784</v>
      </c>
      <c r="D587" s="58">
        <v>2</v>
      </c>
      <c r="E587" s="58">
        <f>Valuation!U48</f>
        <v>0</v>
      </c>
    </row>
    <row r="588" spans="1:5">
      <c r="A588" s="58" t="s">
        <v>829</v>
      </c>
      <c r="B588" s="58" t="s">
        <v>3650</v>
      </c>
      <c r="C588" s="58" t="s">
        <v>1784</v>
      </c>
      <c r="D588" s="58">
        <v>3</v>
      </c>
      <c r="E588" s="58">
        <f>Valuation!V48</f>
        <v>0</v>
      </c>
    </row>
    <row r="589" spans="1:5">
      <c r="A589" s="58" t="s">
        <v>829</v>
      </c>
      <c r="B589" s="58" t="s">
        <v>3651</v>
      </c>
      <c r="C589" s="58" t="s">
        <v>1784</v>
      </c>
      <c r="D589" s="58">
        <v>4</v>
      </c>
      <c r="E589" s="58">
        <f>Valuation!W48</f>
        <v>0</v>
      </c>
    </row>
    <row r="590" spans="1:5">
      <c r="A590" s="58" t="s">
        <v>829</v>
      </c>
      <c r="B590" s="58" t="s">
        <v>3652</v>
      </c>
      <c r="C590" s="58" t="s">
        <v>1784</v>
      </c>
      <c r="D590" s="58">
        <v>5</v>
      </c>
      <c r="E590" s="58">
        <f>Valuation!X48</f>
        <v>0</v>
      </c>
    </row>
    <row r="591" spans="1:5">
      <c r="A591" s="58" t="s">
        <v>829</v>
      </c>
      <c r="B591" s="58" t="s">
        <v>3653</v>
      </c>
      <c r="C591" s="58" t="s">
        <v>1784</v>
      </c>
      <c r="D591" s="58">
        <v>6</v>
      </c>
      <c r="E591" s="58">
        <f>Valuation!Y48</f>
        <v>0</v>
      </c>
    </row>
    <row r="592" spans="1:5">
      <c r="A592" s="58" t="s">
        <v>829</v>
      </c>
      <c r="B592" s="58" t="s">
        <v>3654</v>
      </c>
      <c r="C592" s="58" t="s">
        <v>1784</v>
      </c>
      <c r="D592" s="58">
        <v>7</v>
      </c>
      <c r="E592" s="58">
        <f>Valuation!Z48</f>
        <v>0</v>
      </c>
    </row>
    <row r="593" spans="1:5">
      <c r="A593" s="58" t="s">
        <v>829</v>
      </c>
      <c r="B593" s="58" t="s">
        <v>3655</v>
      </c>
      <c r="C593" s="58" t="s">
        <v>1784</v>
      </c>
      <c r="D593" s="58">
        <v>8</v>
      </c>
      <c r="E593" s="58">
        <f>Valuation!AA48</f>
        <v>0</v>
      </c>
    </row>
    <row r="594" spans="1:5">
      <c r="A594" s="58" t="s">
        <v>829</v>
      </c>
      <c r="B594" s="58" t="s">
        <v>3656</v>
      </c>
      <c r="C594" s="58" t="s">
        <v>1784</v>
      </c>
      <c r="D594" s="58">
        <v>9</v>
      </c>
      <c r="E594" s="58">
        <f>Valuation!AB48</f>
        <v>0</v>
      </c>
    </row>
    <row r="595" spans="1:5">
      <c r="A595" s="58" t="s">
        <v>829</v>
      </c>
      <c r="B595" s="58" t="s">
        <v>1805</v>
      </c>
      <c r="C595" s="58" t="s">
        <v>1806</v>
      </c>
      <c r="D595" s="58">
        <v>-11</v>
      </c>
      <c r="E595" s="683" t="str">
        <f>Valuation!H50</f>
        <v/>
      </c>
    </row>
    <row r="596" spans="1:5">
      <c r="A596" s="58" t="s">
        <v>829</v>
      </c>
      <c r="B596" s="58" t="s">
        <v>1807</v>
      </c>
      <c r="C596" s="58" t="s">
        <v>1806</v>
      </c>
      <c r="D596" s="58">
        <v>-10</v>
      </c>
      <c r="E596" s="683" t="str">
        <f>Valuation!I50</f>
        <v/>
      </c>
    </row>
    <row r="597" spans="1:5">
      <c r="A597" s="58" t="s">
        <v>829</v>
      </c>
      <c r="B597" s="58" t="s">
        <v>1808</v>
      </c>
      <c r="C597" s="58" t="s">
        <v>1806</v>
      </c>
      <c r="D597" s="58">
        <v>-9</v>
      </c>
      <c r="E597" s="683" t="str">
        <f>Valuation!J50</f>
        <v/>
      </c>
    </row>
    <row r="598" spans="1:5">
      <c r="A598" s="58" t="s">
        <v>829</v>
      </c>
      <c r="B598" s="58" t="s">
        <v>1809</v>
      </c>
      <c r="C598" s="58" t="s">
        <v>1806</v>
      </c>
      <c r="D598" s="58">
        <v>-8</v>
      </c>
      <c r="E598" s="683" t="str">
        <f>Valuation!K50</f>
        <v/>
      </c>
    </row>
    <row r="599" spans="1:5">
      <c r="A599" s="58" t="s">
        <v>829</v>
      </c>
      <c r="B599" s="58" t="s">
        <v>1810</v>
      </c>
      <c r="C599" s="58" t="s">
        <v>1806</v>
      </c>
      <c r="D599" s="58">
        <v>-7</v>
      </c>
      <c r="E599" s="683" t="str">
        <f>Valuation!L50</f>
        <v/>
      </c>
    </row>
    <row r="600" spans="1:5">
      <c r="A600" s="58" t="s">
        <v>829</v>
      </c>
      <c r="B600" s="58" t="s">
        <v>1811</v>
      </c>
      <c r="C600" s="58" t="s">
        <v>1806</v>
      </c>
      <c r="D600" s="58">
        <v>-6</v>
      </c>
      <c r="E600" s="683">
        <f>Valuation!M50</f>
        <v>0</v>
      </c>
    </row>
    <row r="601" spans="1:5">
      <c r="A601" s="58" t="s">
        <v>829</v>
      </c>
      <c r="B601" s="58" t="s">
        <v>1812</v>
      </c>
      <c r="C601" s="58" t="s">
        <v>1806</v>
      </c>
      <c r="D601" s="58">
        <v>-5</v>
      </c>
      <c r="E601" s="683">
        <f>Valuation!N50</f>
        <v>0</v>
      </c>
    </row>
    <row r="602" spans="1:5">
      <c r="A602" s="58" t="s">
        <v>829</v>
      </c>
      <c r="B602" s="58" t="s">
        <v>1813</v>
      </c>
      <c r="C602" s="58" t="s">
        <v>1806</v>
      </c>
      <c r="D602" s="58">
        <v>-4</v>
      </c>
      <c r="E602" s="683">
        <f>Valuation!O50</f>
        <v>0</v>
      </c>
    </row>
    <row r="603" spans="1:5">
      <c r="A603" s="58" t="s">
        <v>829</v>
      </c>
      <c r="B603" s="58" t="s">
        <v>1814</v>
      </c>
      <c r="C603" s="58" t="s">
        <v>1806</v>
      </c>
      <c r="D603" s="58">
        <v>-3</v>
      </c>
      <c r="E603" s="683">
        <f>Valuation!P50</f>
        <v>0</v>
      </c>
    </row>
    <row r="604" spans="1:5">
      <c r="A604" s="58" t="s">
        <v>829</v>
      </c>
      <c r="B604" s="58" t="s">
        <v>1815</v>
      </c>
      <c r="C604" s="58" t="s">
        <v>1806</v>
      </c>
      <c r="D604" s="58">
        <v>-2</v>
      </c>
      <c r="E604" s="683">
        <f>Valuation!Q50</f>
        <v>0</v>
      </c>
    </row>
    <row r="605" spans="1:5">
      <c r="A605" s="58" t="s">
        <v>829</v>
      </c>
      <c r="B605" s="58" t="s">
        <v>1816</v>
      </c>
      <c r="C605" s="58" t="s">
        <v>1806</v>
      </c>
      <c r="D605" s="58">
        <v>-1</v>
      </c>
      <c r="E605" s="683">
        <f>Valuation!R50</f>
        <v>0</v>
      </c>
    </row>
    <row r="606" spans="1:5">
      <c r="A606" s="58" t="s">
        <v>829</v>
      </c>
      <c r="B606" s="58" t="s">
        <v>1817</v>
      </c>
      <c r="C606" s="58" t="s">
        <v>1806</v>
      </c>
      <c r="D606" s="58">
        <v>1</v>
      </c>
      <c r="E606" s="683" t="str">
        <f ca="1">Valuation!T50</f>
        <v/>
      </c>
    </row>
    <row r="607" spans="1:5">
      <c r="A607" s="58" t="s">
        <v>829</v>
      </c>
      <c r="B607" s="58" t="s">
        <v>1818</v>
      </c>
      <c r="C607" s="58" t="s">
        <v>1806</v>
      </c>
      <c r="D607" s="58">
        <v>2</v>
      </c>
      <c r="E607" s="683" t="str">
        <f ca="1">Valuation!U50</f>
        <v/>
      </c>
    </row>
    <row r="608" spans="1:5">
      <c r="A608" s="58" t="s">
        <v>829</v>
      </c>
      <c r="B608" s="58" t="s">
        <v>1819</v>
      </c>
      <c r="C608" s="58" t="s">
        <v>1806</v>
      </c>
      <c r="D608" s="58">
        <v>3</v>
      </c>
      <c r="E608" s="683" t="str">
        <f ca="1">Valuation!V50</f>
        <v/>
      </c>
    </row>
    <row r="609" spans="1:5">
      <c r="A609" s="58" t="s">
        <v>829</v>
      </c>
      <c r="B609" s="58" t="s">
        <v>1820</v>
      </c>
      <c r="C609" s="58" t="s">
        <v>1806</v>
      </c>
      <c r="D609" s="58">
        <v>4</v>
      </c>
      <c r="E609" s="683" t="str">
        <f ca="1">Valuation!W50</f>
        <v/>
      </c>
    </row>
    <row r="610" spans="1:5">
      <c r="A610" s="58" t="s">
        <v>829</v>
      </c>
      <c r="B610" s="58" t="s">
        <v>1821</v>
      </c>
      <c r="C610" s="58" t="s">
        <v>1806</v>
      </c>
      <c r="D610" s="58">
        <v>5</v>
      </c>
      <c r="E610" s="683" t="str">
        <f ca="1">Valuation!X50</f>
        <v/>
      </c>
    </row>
    <row r="611" spans="1:5">
      <c r="A611" s="58" t="s">
        <v>829</v>
      </c>
      <c r="B611" s="58" t="s">
        <v>1822</v>
      </c>
      <c r="C611" s="58" t="s">
        <v>1806</v>
      </c>
      <c r="D611" s="58">
        <v>6</v>
      </c>
      <c r="E611" s="683" t="str">
        <f ca="1">Valuation!Y50</f>
        <v/>
      </c>
    </row>
    <row r="612" spans="1:5">
      <c r="A612" s="58" t="s">
        <v>829</v>
      </c>
      <c r="B612" s="58" t="s">
        <v>1823</v>
      </c>
      <c r="C612" s="58" t="s">
        <v>1806</v>
      </c>
      <c r="D612" s="58">
        <v>7</v>
      </c>
      <c r="E612" s="683" t="str">
        <f ca="1">Valuation!Z50</f>
        <v/>
      </c>
    </row>
    <row r="613" spans="1:5">
      <c r="A613" s="58" t="s">
        <v>829</v>
      </c>
      <c r="B613" s="58" t="s">
        <v>1824</v>
      </c>
      <c r="C613" s="58" t="s">
        <v>1806</v>
      </c>
      <c r="D613" s="58">
        <v>8</v>
      </c>
      <c r="E613" s="683" t="str">
        <f ca="1">Valuation!AA50</f>
        <v/>
      </c>
    </row>
    <row r="614" spans="1:5">
      <c r="A614" s="58" t="s">
        <v>829</v>
      </c>
      <c r="B614" s="58" t="s">
        <v>1825</v>
      </c>
      <c r="C614" s="58" t="s">
        <v>1806</v>
      </c>
      <c r="D614" s="58">
        <v>9</v>
      </c>
      <c r="E614" s="683" t="str">
        <f ca="1">Valuation!AB50</f>
        <v/>
      </c>
    </row>
    <row r="615" spans="1:5">
      <c r="A615" s="58" t="s">
        <v>829</v>
      </c>
      <c r="B615" s="58" t="s">
        <v>1826</v>
      </c>
      <c r="C615" s="58" t="s">
        <v>1806</v>
      </c>
      <c r="D615" s="58">
        <v>0</v>
      </c>
      <c r="E615" s="683" t="str">
        <f>Valuation!S50</f>
        <v/>
      </c>
    </row>
    <row r="616" spans="1:5">
      <c r="A616" s="58" t="s">
        <v>829</v>
      </c>
      <c r="B616" s="58" t="s">
        <v>1827</v>
      </c>
      <c r="C616" s="58" t="s">
        <v>1828</v>
      </c>
      <c r="D616" s="58">
        <v>-11</v>
      </c>
      <c r="E616" s="58">
        <f>Valuation!H192</f>
        <v>0</v>
      </c>
    </row>
    <row r="617" spans="1:5">
      <c r="A617" s="58" t="s">
        <v>829</v>
      </c>
      <c r="B617" s="58" t="s">
        <v>1829</v>
      </c>
      <c r="C617" s="58" t="s">
        <v>1828</v>
      </c>
      <c r="D617" s="58">
        <v>-10</v>
      </c>
      <c r="E617" s="58">
        <f>Valuation!I192</f>
        <v>0</v>
      </c>
    </row>
    <row r="618" spans="1:5">
      <c r="A618" s="58" t="s">
        <v>829</v>
      </c>
      <c r="B618" s="58" t="s">
        <v>1830</v>
      </c>
      <c r="C618" s="58" t="s">
        <v>1828</v>
      </c>
      <c r="D618" s="58">
        <v>-9</v>
      </c>
      <c r="E618" s="58">
        <f>Valuation!J192</f>
        <v>0</v>
      </c>
    </row>
    <row r="619" spans="1:5">
      <c r="A619" s="58" t="s">
        <v>829</v>
      </c>
      <c r="B619" s="58" t="s">
        <v>1831</v>
      </c>
      <c r="C619" s="58" t="s">
        <v>1828</v>
      </c>
      <c r="D619" s="58">
        <v>-8</v>
      </c>
      <c r="E619" s="58">
        <f>Valuation!K192</f>
        <v>0</v>
      </c>
    </row>
    <row r="620" spans="1:5">
      <c r="A620" s="58" t="s">
        <v>829</v>
      </c>
      <c r="B620" s="58" t="s">
        <v>1832</v>
      </c>
      <c r="C620" s="58" t="s">
        <v>1828</v>
      </c>
      <c r="D620" s="58">
        <v>-7</v>
      </c>
      <c r="E620" s="58">
        <f>Valuation!L192</f>
        <v>0</v>
      </c>
    </row>
    <row r="621" spans="1:5">
      <c r="A621" s="58" t="s">
        <v>829</v>
      </c>
      <c r="B621" s="58" t="s">
        <v>1833</v>
      </c>
      <c r="C621" s="58" t="s">
        <v>1828</v>
      </c>
      <c r="D621" s="58">
        <v>-6</v>
      </c>
      <c r="E621" s="58">
        <f>Valuation!M192</f>
        <v>0</v>
      </c>
    </row>
    <row r="622" spans="1:5">
      <c r="A622" s="58" t="s">
        <v>829</v>
      </c>
      <c r="B622" s="58" t="s">
        <v>1834</v>
      </c>
      <c r="C622" s="58" t="s">
        <v>1828</v>
      </c>
      <c r="D622" s="58">
        <v>-5</v>
      </c>
      <c r="E622" s="58">
        <f>Valuation!N192</f>
        <v>0</v>
      </c>
    </row>
    <row r="623" spans="1:5">
      <c r="A623" s="58" t="s">
        <v>829</v>
      </c>
      <c r="B623" s="58" t="s">
        <v>1835</v>
      </c>
      <c r="C623" s="58" t="s">
        <v>1828</v>
      </c>
      <c r="D623" s="58">
        <v>-4</v>
      </c>
      <c r="E623" s="58">
        <f>Valuation!O192</f>
        <v>0</v>
      </c>
    </row>
    <row r="624" spans="1:5">
      <c r="A624" s="58" t="s">
        <v>829</v>
      </c>
      <c r="B624" s="58" t="s">
        <v>1836</v>
      </c>
      <c r="C624" s="58" t="s">
        <v>1828</v>
      </c>
      <c r="D624" s="58">
        <v>-3</v>
      </c>
      <c r="E624" s="58">
        <f>Valuation!P192</f>
        <v>0</v>
      </c>
    </row>
    <row r="625" spans="1:5">
      <c r="A625" s="58" t="s">
        <v>829</v>
      </c>
      <c r="B625" s="58" t="s">
        <v>1837</v>
      </c>
      <c r="C625" s="58" t="s">
        <v>1828</v>
      </c>
      <c r="D625" s="58">
        <v>-2</v>
      </c>
      <c r="E625" s="58">
        <f>Valuation!Q192</f>
        <v>0</v>
      </c>
    </row>
    <row r="626" spans="1:5">
      <c r="A626" s="58" t="s">
        <v>829</v>
      </c>
      <c r="B626" s="58" t="s">
        <v>1838</v>
      </c>
      <c r="C626" s="58" t="s">
        <v>1828</v>
      </c>
      <c r="D626" s="58">
        <v>-1</v>
      </c>
      <c r="E626" s="58">
        <f>Valuation!R192</f>
        <v>0</v>
      </c>
    </row>
    <row r="627" spans="1:5">
      <c r="A627" s="58" t="s">
        <v>829</v>
      </c>
      <c r="B627" s="58" t="s">
        <v>1839</v>
      </c>
      <c r="C627" s="58" t="s">
        <v>1828</v>
      </c>
      <c r="D627" s="58">
        <v>1</v>
      </c>
      <c r="E627" s="58">
        <f>Valuation!T192</f>
        <v>0</v>
      </c>
    </row>
    <row r="628" spans="1:5">
      <c r="A628" s="58" t="s">
        <v>829</v>
      </c>
      <c r="B628" s="58" t="s">
        <v>1840</v>
      </c>
      <c r="C628" s="58" t="s">
        <v>1828</v>
      </c>
      <c r="D628" s="58">
        <v>2</v>
      </c>
      <c r="E628" s="58">
        <f>Valuation!U192</f>
        <v>0</v>
      </c>
    </row>
    <row r="629" spans="1:5">
      <c r="A629" s="58" t="s">
        <v>829</v>
      </c>
      <c r="B629" s="58" t="s">
        <v>1841</v>
      </c>
      <c r="C629" s="58" t="s">
        <v>1828</v>
      </c>
      <c r="D629" s="58">
        <v>3</v>
      </c>
      <c r="E629" s="58">
        <f>Valuation!V192</f>
        <v>0</v>
      </c>
    </row>
    <row r="630" spans="1:5">
      <c r="A630" s="58" t="s">
        <v>829</v>
      </c>
      <c r="B630" s="58" t="s">
        <v>1842</v>
      </c>
      <c r="C630" s="58" t="s">
        <v>1828</v>
      </c>
      <c r="D630" s="58">
        <v>4</v>
      </c>
      <c r="E630" s="58">
        <f>Valuation!W192</f>
        <v>0</v>
      </c>
    </row>
    <row r="631" spans="1:5">
      <c r="A631" s="58" t="s">
        <v>829</v>
      </c>
      <c r="B631" s="58" t="s">
        <v>1843</v>
      </c>
      <c r="C631" s="58" t="s">
        <v>1828</v>
      </c>
      <c r="D631" s="58">
        <v>5</v>
      </c>
      <c r="E631" s="58">
        <f>Valuation!X192</f>
        <v>0</v>
      </c>
    </row>
    <row r="632" spans="1:5">
      <c r="A632" s="58" t="s">
        <v>829</v>
      </c>
      <c r="B632" s="58" t="s">
        <v>1844</v>
      </c>
      <c r="C632" s="58" t="s">
        <v>1828</v>
      </c>
      <c r="D632" s="58">
        <v>6</v>
      </c>
      <c r="E632" s="58">
        <f>Valuation!Y192</f>
        <v>0</v>
      </c>
    </row>
    <row r="633" spans="1:5">
      <c r="A633" s="58" t="s">
        <v>829</v>
      </c>
      <c r="B633" s="58" t="s">
        <v>1845</v>
      </c>
      <c r="C633" s="58" t="s">
        <v>1828</v>
      </c>
      <c r="D633" s="58">
        <v>7</v>
      </c>
      <c r="E633" s="58">
        <f>Valuation!Z192</f>
        <v>0</v>
      </c>
    </row>
    <row r="634" spans="1:5">
      <c r="A634" s="58" t="s">
        <v>829</v>
      </c>
      <c r="B634" s="58" t="s">
        <v>1846</v>
      </c>
      <c r="C634" s="58" t="s">
        <v>1828</v>
      </c>
      <c r="D634" s="58">
        <v>8</v>
      </c>
      <c r="E634" s="58">
        <f>Valuation!AA192</f>
        <v>0</v>
      </c>
    </row>
    <row r="635" spans="1:5">
      <c r="A635" s="58" t="s">
        <v>829</v>
      </c>
      <c r="B635" s="58" t="s">
        <v>1847</v>
      </c>
      <c r="C635" s="58" t="s">
        <v>1828</v>
      </c>
      <c r="D635" s="58">
        <v>9</v>
      </c>
      <c r="E635" s="58">
        <f>Valuation!AB192</f>
        <v>0</v>
      </c>
    </row>
    <row r="636" spans="1:5">
      <c r="A636" s="58" t="s">
        <v>829</v>
      </c>
      <c r="B636" s="58" t="s">
        <v>1848</v>
      </c>
      <c r="C636" s="58" t="s">
        <v>1828</v>
      </c>
      <c r="D636" s="58">
        <v>0</v>
      </c>
      <c r="E636" s="58">
        <f>Valuation!S192</f>
        <v>0</v>
      </c>
    </row>
    <row r="637" spans="1:5">
      <c r="A637" s="58" t="s">
        <v>829</v>
      </c>
      <c r="B637" s="58" t="s">
        <v>1849</v>
      </c>
      <c r="C637" s="58" t="s">
        <v>1009</v>
      </c>
      <c r="D637" s="58">
        <v>-11</v>
      </c>
      <c r="E637" s="58">
        <f>Valuation!H46</f>
        <v>0</v>
      </c>
    </row>
    <row r="638" spans="1:5">
      <c r="A638" s="58" t="s">
        <v>829</v>
      </c>
      <c r="B638" s="58" t="s">
        <v>1850</v>
      </c>
      <c r="C638" s="58" t="s">
        <v>1009</v>
      </c>
      <c r="D638" s="58">
        <v>-10</v>
      </c>
      <c r="E638" s="58">
        <f>Valuation!I46</f>
        <v>0</v>
      </c>
    </row>
    <row r="639" spans="1:5">
      <c r="A639" s="58" t="s">
        <v>829</v>
      </c>
      <c r="B639" s="58" t="s">
        <v>1851</v>
      </c>
      <c r="C639" s="58" t="s">
        <v>1009</v>
      </c>
      <c r="D639" s="58">
        <v>-9</v>
      </c>
      <c r="E639" s="58">
        <f>Valuation!J46</f>
        <v>0</v>
      </c>
    </row>
    <row r="640" spans="1:5">
      <c r="A640" s="58" t="s">
        <v>829</v>
      </c>
      <c r="B640" s="58" t="s">
        <v>1852</v>
      </c>
      <c r="C640" s="58" t="s">
        <v>1009</v>
      </c>
      <c r="D640" s="58">
        <v>-8</v>
      </c>
      <c r="E640" s="58">
        <f>Valuation!K46</f>
        <v>0</v>
      </c>
    </row>
    <row r="641" spans="1:5">
      <c r="A641" s="58" t="s">
        <v>829</v>
      </c>
      <c r="B641" s="58" t="s">
        <v>1853</v>
      </c>
      <c r="C641" s="58" t="s">
        <v>1009</v>
      </c>
      <c r="D641" s="58">
        <v>-7</v>
      </c>
      <c r="E641" s="58">
        <f>Valuation!L46</f>
        <v>0</v>
      </c>
    </row>
    <row r="642" spans="1:5">
      <c r="A642" s="58" t="s">
        <v>829</v>
      </c>
      <c r="B642" s="58" t="s">
        <v>1854</v>
      </c>
      <c r="C642" s="58" t="s">
        <v>1009</v>
      </c>
      <c r="D642" s="58">
        <v>-6</v>
      </c>
      <c r="E642" s="58">
        <f>Valuation!M46</f>
        <v>0</v>
      </c>
    </row>
    <row r="643" spans="1:5">
      <c r="A643" s="58" t="s">
        <v>829</v>
      </c>
      <c r="B643" s="58" t="s">
        <v>1855</v>
      </c>
      <c r="C643" s="58" t="s">
        <v>1009</v>
      </c>
      <c r="D643" s="58">
        <v>-5</v>
      </c>
      <c r="E643" s="58">
        <f>Valuation!N46</f>
        <v>0</v>
      </c>
    </row>
    <row r="644" spans="1:5">
      <c r="A644" s="58" t="s">
        <v>829</v>
      </c>
      <c r="B644" s="58" t="s">
        <v>1856</v>
      </c>
      <c r="C644" s="58" t="s">
        <v>1009</v>
      </c>
      <c r="D644" s="58">
        <v>-4</v>
      </c>
      <c r="E644" s="58">
        <f>Valuation!O46</f>
        <v>0</v>
      </c>
    </row>
    <row r="645" spans="1:5">
      <c r="A645" s="58" t="s">
        <v>829</v>
      </c>
      <c r="B645" s="58" t="s">
        <v>1857</v>
      </c>
      <c r="C645" s="58" t="s">
        <v>1009</v>
      </c>
      <c r="D645" s="58">
        <v>-3</v>
      </c>
      <c r="E645" s="58">
        <f>Valuation!P46</f>
        <v>0</v>
      </c>
    </row>
    <row r="646" spans="1:5">
      <c r="A646" s="58" t="s">
        <v>829</v>
      </c>
      <c r="B646" s="58" t="s">
        <v>1858</v>
      </c>
      <c r="C646" s="58" t="s">
        <v>1009</v>
      </c>
      <c r="D646" s="58">
        <v>-2</v>
      </c>
      <c r="E646" s="58">
        <f>Valuation!Q46</f>
        <v>0</v>
      </c>
    </row>
    <row r="647" spans="1:5">
      <c r="A647" s="58" t="s">
        <v>829</v>
      </c>
      <c r="B647" s="58" t="s">
        <v>1859</v>
      </c>
      <c r="C647" s="58" t="s">
        <v>1009</v>
      </c>
      <c r="D647" s="58">
        <v>-1</v>
      </c>
      <c r="E647" s="58">
        <f>Valuation!R46</f>
        <v>0</v>
      </c>
    </row>
    <row r="648" spans="1:5">
      <c r="A648" s="58" t="s">
        <v>829</v>
      </c>
      <c r="B648" s="58" t="s">
        <v>1860</v>
      </c>
      <c r="C648" s="58" t="s">
        <v>1009</v>
      </c>
      <c r="D648" s="58">
        <v>1</v>
      </c>
      <c r="E648" s="58">
        <f>Valuation!T46</f>
        <v>0</v>
      </c>
    </row>
    <row r="649" spans="1:5">
      <c r="A649" s="58" t="s">
        <v>829</v>
      </c>
      <c r="B649" s="58" t="s">
        <v>1861</v>
      </c>
      <c r="C649" s="58" t="s">
        <v>1009</v>
      </c>
      <c r="D649" s="58">
        <v>2</v>
      </c>
      <c r="E649" s="58">
        <f>Valuation!U46</f>
        <v>0</v>
      </c>
    </row>
    <row r="650" spans="1:5">
      <c r="A650" s="58" t="s">
        <v>829</v>
      </c>
      <c r="B650" s="58" t="s">
        <v>1862</v>
      </c>
      <c r="C650" s="58" t="s">
        <v>1009</v>
      </c>
      <c r="D650" s="58">
        <v>3</v>
      </c>
      <c r="E650" s="58">
        <f>Valuation!V46</f>
        <v>0</v>
      </c>
    </row>
    <row r="651" spans="1:5">
      <c r="A651" s="58" t="s">
        <v>829</v>
      </c>
      <c r="B651" s="58" t="s">
        <v>1863</v>
      </c>
      <c r="C651" s="58" t="s">
        <v>1009</v>
      </c>
      <c r="D651" s="58">
        <v>4</v>
      </c>
      <c r="E651" s="58">
        <f>Valuation!W46</f>
        <v>0</v>
      </c>
    </row>
    <row r="652" spans="1:5">
      <c r="A652" s="58" t="s">
        <v>829</v>
      </c>
      <c r="B652" s="58" t="s">
        <v>1864</v>
      </c>
      <c r="C652" s="58" t="s">
        <v>1009</v>
      </c>
      <c r="D652" s="58">
        <v>5</v>
      </c>
      <c r="E652" s="58">
        <f>Valuation!X46</f>
        <v>0</v>
      </c>
    </row>
    <row r="653" spans="1:5">
      <c r="A653" s="58" t="s">
        <v>829</v>
      </c>
      <c r="B653" s="58" t="s">
        <v>1865</v>
      </c>
      <c r="C653" s="58" t="s">
        <v>1009</v>
      </c>
      <c r="D653" s="58">
        <v>6</v>
      </c>
      <c r="E653" s="58">
        <f>Valuation!Y46</f>
        <v>0</v>
      </c>
    </row>
    <row r="654" spans="1:5">
      <c r="A654" s="58" t="s">
        <v>829</v>
      </c>
      <c r="B654" s="58" t="s">
        <v>1866</v>
      </c>
      <c r="C654" s="58" t="s">
        <v>1009</v>
      </c>
      <c r="D654" s="58">
        <v>7</v>
      </c>
      <c r="E654" s="58">
        <f>Valuation!Z46</f>
        <v>0</v>
      </c>
    </row>
    <row r="655" spans="1:5">
      <c r="A655" s="58" t="s">
        <v>829</v>
      </c>
      <c r="B655" s="58" t="s">
        <v>1867</v>
      </c>
      <c r="C655" s="58" t="s">
        <v>1009</v>
      </c>
      <c r="D655" s="58">
        <v>8</v>
      </c>
      <c r="E655" s="58">
        <f>Valuation!AA46</f>
        <v>0</v>
      </c>
    </row>
    <row r="656" spans="1:5">
      <c r="A656" s="58" t="s">
        <v>829</v>
      </c>
      <c r="B656" s="58" t="s">
        <v>1868</v>
      </c>
      <c r="C656" s="58" t="s">
        <v>1009</v>
      </c>
      <c r="D656" s="58">
        <v>9</v>
      </c>
      <c r="E656" s="58">
        <f>Valuation!AB46</f>
        <v>0</v>
      </c>
    </row>
    <row r="657" spans="1:5">
      <c r="A657" s="58" t="s">
        <v>829</v>
      </c>
      <c r="B657" s="58" t="s">
        <v>1869</v>
      </c>
      <c r="C657" s="58" t="s">
        <v>1009</v>
      </c>
      <c r="D657" s="58">
        <v>0</v>
      </c>
      <c r="E657" s="58">
        <f>Valuation!S46</f>
        <v>0</v>
      </c>
    </row>
    <row r="658" spans="1:5">
      <c r="A658" s="58" t="s">
        <v>829</v>
      </c>
      <c r="B658" s="58" t="s">
        <v>1870</v>
      </c>
      <c r="C658" s="58" t="s">
        <v>1871</v>
      </c>
      <c r="D658" s="58">
        <v>-11</v>
      </c>
      <c r="E658" s="58">
        <f>Valuation!H24</f>
        <v>0</v>
      </c>
    </row>
    <row r="659" spans="1:5">
      <c r="A659" s="58" t="s">
        <v>829</v>
      </c>
      <c r="B659" s="58" t="s">
        <v>1872</v>
      </c>
      <c r="C659" s="58" t="s">
        <v>1871</v>
      </c>
      <c r="D659" s="58">
        <v>-10</v>
      </c>
      <c r="E659" s="58">
        <f>Valuation!I24</f>
        <v>0</v>
      </c>
    </row>
    <row r="660" spans="1:5">
      <c r="A660" s="58" t="s">
        <v>829</v>
      </c>
      <c r="B660" s="58" t="s">
        <v>1873</v>
      </c>
      <c r="C660" s="58" t="s">
        <v>1871</v>
      </c>
      <c r="D660" s="58">
        <v>-9</v>
      </c>
      <c r="E660" s="58">
        <f>Valuation!J24</f>
        <v>0</v>
      </c>
    </row>
    <row r="661" spans="1:5">
      <c r="A661" s="58" t="s">
        <v>829</v>
      </c>
      <c r="B661" s="58" t="s">
        <v>1874</v>
      </c>
      <c r="C661" s="58" t="s">
        <v>1871</v>
      </c>
      <c r="D661" s="58">
        <v>-8</v>
      </c>
      <c r="E661" s="58">
        <f>Valuation!K24</f>
        <v>0</v>
      </c>
    </row>
    <row r="662" spans="1:5">
      <c r="A662" s="58" t="s">
        <v>829</v>
      </c>
      <c r="B662" s="58" t="s">
        <v>1875</v>
      </c>
      <c r="C662" s="58" t="s">
        <v>1871</v>
      </c>
      <c r="D662" s="58">
        <v>-7</v>
      </c>
      <c r="E662" s="58">
        <f>Valuation!L24</f>
        <v>0</v>
      </c>
    </row>
    <row r="663" spans="1:5">
      <c r="A663" s="58" t="s">
        <v>829</v>
      </c>
      <c r="B663" s="58" t="s">
        <v>1876</v>
      </c>
      <c r="C663" s="58" t="s">
        <v>1871</v>
      </c>
      <c r="D663" s="58">
        <v>-6</v>
      </c>
      <c r="E663" s="58">
        <f>Valuation!M24</f>
        <v>408951</v>
      </c>
    </row>
    <row r="664" spans="1:5">
      <c r="A664" s="58" t="s">
        <v>829</v>
      </c>
      <c r="B664" s="58" t="s">
        <v>1877</v>
      </c>
      <c r="C664" s="58" t="s">
        <v>1871</v>
      </c>
      <c r="D664" s="58">
        <v>-5</v>
      </c>
      <c r="E664" s="58">
        <f>Valuation!N24</f>
        <v>3076570</v>
      </c>
    </row>
    <row r="665" spans="1:5">
      <c r="A665" s="58" t="s">
        <v>829</v>
      </c>
      <c r="B665" s="58" t="s">
        <v>1878</v>
      </c>
      <c r="C665" s="58" t="s">
        <v>1871</v>
      </c>
      <c r="D665" s="58">
        <v>-4</v>
      </c>
      <c r="E665" s="58">
        <f>Valuation!O24</f>
        <v>-2710208</v>
      </c>
    </row>
    <row r="666" spans="1:5">
      <c r="A666" s="58" t="s">
        <v>829</v>
      </c>
      <c r="B666" s="58" t="s">
        <v>1879</v>
      </c>
      <c r="C666" s="58" t="s">
        <v>1871</v>
      </c>
      <c r="D666" s="58">
        <v>-3</v>
      </c>
      <c r="E666" s="58">
        <f>Valuation!P24</f>
        <v>-161662</v>
      </c>
    </row>
    <row r="667" spans="1:5">
      <c r="A667" s="58" t="s">
        <v>829</v>
      </c>
      <c r="B667" s="58" t="s">
        <v>1880</v>
      </c>
      <c r="C667" s="58" t="s">
        <v>1871</v>
      </c>
      <c r="D667" s="58">
        <v>-2</v>
      </c>
      <c r="E667" s="58">
        <f>Valuation!Q24</f>
        <v>2307160</v>
      </c>
    </row>
    <row r="668" spans="1:5">
      <c r="A668" s="58" t="s">
        <v>829</v>
      </c>
      <c r="B668" s="58" t="s">
        <v>1881</v>
      </c>
      <c r="C668" s="58" t="s">
        <v>1871</v>
      </c>
      <c r="D668" s="58">
        <v>-1</v>
      </c>
      <c r="E668" s="58">
        <f>Valuation!R24</f>
        <v>1435441</v>
      </c>
    </row>
    <row r="669" spans="1:5">
      <c r="A669" s="58" t="s">
        <v>829</v>
      </c>
      <c r="B669" s="58" t="s">
        <v>1882</v>
      </c>
      <c r="C669" s="58" t="s">
        <v>1871</v>
      </c>
      <c r="D669" s="58">
        <v>1</v>
      </c>
      <c r="E669" s="58" t="e">
        <f ca="1">Valuation!T24</f>
        <v>#NAME?</v>
      </c>
    </row>
    <row r="670" spans="1:5">
      <c r="A670" s="58" t="s">
        <v>829</v>
      </c>
      <c r="B670" s="58" t="s">
        <v>1883</v>
      </c>
      <c r="C670" s="58" t="s">
        <v>1871</v>
      </c>
      <c r="D670" s="58">
        <v>2</v>
      </c>
      <c r="E670" s="58" t="e">
        <f ca="1">Valuation!U24</f>
        <v>#NAME?</v>
      </c>
    </row>
    <row r="671" spans="1:5">
      <c r="A671" s="58" t="s">
        <v>829</v>
      </c>
      <c r="B671" s="58" t="s">
        <v>1884</v>
      </c>
      <c r="C671" s="58" t="s">
        <v>1871</v>
      </c>
      <c r="D671" s="58">
        <v>3</v>
      </c>
      <c r="E671" s="58" t="e">
        <f ca="1">Valuation!V24</f>
        <v>#NAME?</v>
      </c>
    </row>
    <row r="672" spans="1:5">
      <c r="A672" s="58" t="s">
        <v>829</v>
      </c>
      <c r="B672" s="58" t="s">
        <v>1885</v>
      </c>
      <c r="C672" s="58" t="s">
        <v>1871</v>
      </c>
      <c r="D672" s="58">
        <v>4</v>
      </c>
      <c r="E672" s="58" t="e">
        <f ca="1">Valuation!W24</f>
        <v>#NAME?</v>
      </c>
    </row>
    <row r="673" spans="1:5">
      <c r="A673" s="58" t="s">
        <v>829</v>
      </c>
      <c r="B673" s="58" t="s">
        <v>1886</v>
      </c>
      <c r="C673" s="58" t="s">
        <v>1871</v>
      </c>
      <c r="D673" s="58">
        <v>5</v>
      </c>
      <c r="E673" s="58" t="e">
        <f ca="1">Valuation!X24</f>
        <v>#NAME?</v>
      </c>
    </row>
    <row r="674" spans="1:5">
      <c r="A674" s="58" t="s">
        <v>829</v>
      </c>
      <c r="B674" s="58" t="s">
        <v>1887</v>
      </c>
      <c r="C674" s="58" t="s">
        <v>1871</v>
      </c>
      <c r="D674" s="58">
        <v>6</v>
      </c>
      <c r="E674" s="58" t="e">
        <f ca="1">Valuation!Y24</f>
        <v>#NAME?</v>
      </c>
    </row>
    <row r="675" spans="1:5">
      <c r="A675" s="58" t="s">
        <v>829</v>
      </c>
      <c r="B675" s="58" t="s">
        <v>1888</v>
      </c>
      <c r="C675" s="58" t="s">
        <v>1871</v>
      </c>
      <c r="D675" s="58">
        <v>7</v>
      </c>
      <c r="E675" s="58" t="e">
        <f ca="1">Valuation!Z24</f>
        <v>#NAME?</v>
      </c>
    </row>
    <row r="676" spans="1:5">
      <c r="A676" s="58" t="s">
        <v>829</v>
      </c>
      <c r="B676" s="58" t="s">
        <v>1889</v>
      </c>
      <c r="C676" s="58" t="s">
        <v>1871</v>
      </c>
      <c r="D676" s="58">
        <v>8</v>
      </c>
      <c r="E676" s="58" t="e">
        <f ca="1">Valuation!AA24</f>
        <v>#NAME?</v>
      </c>
    </row>
    <row r="677" spans="1:5">
      <c r="A677" s="58" t="s">
        <v>829</v>
      </c>
      <c r="B677" s="58" t="s">
        <v>1890</v>
      </c>
      <c r="C677" s="58" t="s">
        <v>1871</v>
      </c>
      <c r="D677" s="58">
        <v>9</v>
      </c>
      <c r="E677" s="58" t="e">
        <f ca="1">Valuation!AB24</f>
        <v>#NAME?</v>
      </c>
    </row>
    <row r="678" spans="1:5">
      <c r="A678" s="58" t="s">
        <v>829</v>
      </c>
      <c r="B678" s="58" t="s">
        <v>1891</v>
      </c>
      <c r="C678" s="58" t="s">
        <v>1871</v>
      </c>
      <c r="D678" s="58">
        <v>0</v>
      </c>
      <c r="E678" s="58">
        <f ca="1">Valuation!S24</f>
        <v>867577.59048379795</v>
      </c>
    </row>
    <row r="679" spans="1:5">
      <c r="A679" s="58" t="s">
        <v>829</v>
      </c>
      <c r="B679" s="58" t="s">
        <v>1892</v>
      </c>
      <c r="C679" s="58" t="s">
        <v>1893</v>
      </c>
      <c r="D679" s="58">
        <v>-11</v>
      </c>
      <c r="E679" s="58">
        <f>Valuation!H25</f>
        <v>0</v>
      </c>
    </row>
    <row r="680" spans="1:5">
      <c r="A680" s="58" t="s">
        <v>829</v>
      </c>
      <c r="B680" s="58" t="s">
        <v>1894</v>
      </c>
      <c r="C680" s="58" t="s">
        <v>1893</v>
      </c>
      <c r="D680" s="58">
        <v>-10</v>
      </c>
      <c r="E680" s="58">
        <f>Valuation!I25</f>
        <v>0</v>
      </c>
    </row>
    <row r="681" spans="1:5">
      <c r="A681" s="58" t="s">
        <v>829</v>
      </c>
      <c r="B681" s="58" t="s">
        <v>1895</v>
      </c>
      <c r="C681" s="58" t="s">
        <v>1893</v>
      </c>
      <c r="D681" s="58">
        <v>-9</v>
      </c>
      <c r="E681" s="58">
        <f>Valuation!J25</f>
        <v>0</v>
      </c>
    </row>
    <row r="682" spans="1:5">
      <c r="A682" s="58" t="s">
        <v>829</v>
      </c>
      <c r="B682" s="58" t="s">
        <v>1896</v>
      </c>
      <c r="C682" s="58" t="s">
        <v>1893</v>
      </c>
      <c r="D682" s="58">
        <v>-8</v>
      </c>
      <c r="E682" s="58">
        <f>Valuation!K25</f>
        <v>0</v>
      </c>
    </row>
    <row r="683" spans="1:5">
      <c r="A683" s="58" t="s">
        <v>829</v>
      </c>
      <c r="B683" s="58" t="s">
        <v>1897</v>
      </c>
      <c r="C683" s="58" t="s">
        <v>1893</v>
      </c>
      <c r="D683" s="58">
        <v>-7</v>
      </c>
      <c r="E683" s="58">
        <f>Valuation!L25</f>
        <v>0</v>
      </c>
    </row>
    <row r="684" spans="1:5">
      <c r="A684" s="58" t="s">
        <v>829</v>
      </c>
      <c r="B684" s="58" t="s">
        <v>1898</v>
      </c>
      <c r="C684" s="58" t="s">
        <v>1893</v>
      </c>
      <c r="D684" s="58">
        <v>-6</v>
      </c>
      <c r="E684" s="58">
        <f>Valuation!M25</f>
        <v>0.32012296073287977</v>
      </c>
    </row>
    <row r="685" spans="1:5">
      <c r="A685" s="58" t="s">
        <v>829</v>
      </c>
      <c r="B685" s="58" t="s">
        <v>1899</v>
      </c>
      <c r="C685" s="58" t="s">
        <v>1893</v>
      </c>
      <c r="D685" s="58">
        <v>-5</v>
      </c>
      <c r="E685" s="58">
        <f>Valuation!N25</f>
        <v>0.3924474745913103</v>
      </c>
    </row>
    <row r="686" spans="1:5">
      <c r="A686" s="58" t="s">
        <v>829</v>
      </c>
      <c r="B686" s="58" t="s">
        <v>1900</v>
      </c>
      <c r="C686" s="58" t="s">
        <v>1893</v>
      </c>
      <c r="D686" s="58">
        <v>-4</v>
      </c>
      <c r="E686" s="58">
        <f>Valuation!O25</f>
        <v>-0.84847574109137536</v>
      </c>
    </row>
    <row r="687" spans="1:5">
      <c r="A687" s="58" t="s">
        <v>829</v>
      </c>
      <c r="B687" s="58" t="s">
        <v>1901</v>
      </c>
      <c r="C687" s="58" t="s">
        <v>1893</v>
      </c>
      <c r="D687" s="58">
        <v>-3</v>
      </c>
      <c r="E687" s="58">
        <f>Valuation!P25</f>
        <v>-5.20083915013047E-2</v>
      </c>
    </row>
    <row r="688" spans="1:5">
      <c r="A688" s="58" t="s">
        <v>829</v>
      </c>
      <c r="B688" s="58" t="s">
        <v>1902</v>
      </c>
      <c r="C688" s="58" t="s">
        <v>1893</v>
      </c>
      <c r="D688" s="58">
        <v>-2</v>
      </c>
      <c r="E688" s="58">
        <f>Valuation!Q25</f>
        <v>0.35148539890445318</v>
      </c>
    </row>
    <row r="689" spans="1:5">
      <c r="A689" s="58" t="s">
        <v>829</v>
      </c>
      <c r="B689" s="58" t="s">
        <v>1903</v>
      </c>
      <c r="C689" s="58" t="s">
        <v>1893</v>
      </c>
      <c r="D689" s="58">
        <v>-1</v>
      </c>
      <c r="E689" s="58">
        <f>Valuation!R25</f>
        <v>0.19988525794334611</v>
      </c>
    </row>
    <row r="690" spans="1:5">
      <c r="A690" s="58" t="s">
        <v>829</v>
      </c>
      <c r="B690" s="58" t="s">
        <v>1904</v>
      </c>
      <c r="C690" s="58" t="s">
        <v>1893</v>
      </c>
      <c r="D690" s="58">
        <v>1</v>
      </c>
      <c r="E690" s="58" t="e">
        <f ca="1">Valuation!T25</f>
        <v>#NAME?</v>
      </c>
    </row>
    <row r="691" spans="1:5">
      <c r="A691" s="58" t="s">
        <v>829</v>
      </c>
      <c r="B691" s="58" t="s">
        <v>1905</v>
      </c>
      <c r="C691" s="58" t="s">
        <v>1893</v>
      </c>
      <c r="D691" s="58">
        <v>2</v>
      </c>
      <c r="E691" s="58" t="e">
        <f ca="1">Valuation!U25</f>
        <v>#NAME?</v>
      </c>
    </row>
    <row r="692" spans="1:5">
      <c r="A692" s="58" t="s">
        <v>829</v>
      </c>
      <c r="B692" s="58" t="s">
        <v>1906</v>
      </c>
      <c r="C692" s="58" t="s">
        <v>1893</v>
      </c>
      <c r="D692" s="58">
        <v>3</v>
      </c>
      <c r="E692" s="58" t="e">
        <f ca="1">Valuation!V25</f>
        <v>#NAME?</v>
      </c>
    </row>
    <row r="693" spans="1:5">
      <c r="A693" s="58" t="s">
        <v>829</v>
      </c>
      <c r="B693" s="58" t="s">
        <v>1907</v>
      </c>
      <c r="C693" s="58" t="s">
        <v>1893</v>
      </c>
      <c r="D693" s="58">
        <v>4</v>
      </c>
      <c r="E693" s="58" t="e">
        <f ca="1">Valuation!W25</f>
        <v>#NAME?</v>
      </c>
    </row>
    <row r="694" spans="1:5">
      <c r="A694" s="58" t="s">
        <v>829</v>
      </c>
      <c r="B694" s="58" t="s">
        <v>1908</v>
      </c>
      <c r="C694" s="58" t="s">
        <v>1893</v>
      </c>
      <c r="D694" s="58">
        <v>5</v>
      </c>
      <c r="E694" s="58" t="e">
        <f ca="1">Valuation!X25</f>
        <v>#NAME?</v>
      </c>
    </row>
    <row r="695" spans="1:5">
      <c r="A695" s="58" t="s">
        <v>829</v>
      </c>
      <c r="B695" s="58" t="s">
        <v>1909</v>
      </c>
      <c r="C695" s="58" t="s">
        <v>1893</v>
      </c>
      <c r="D695" s="58">
        <v>6</v>
      </c>
      <c r="E695" s="58" t="e">
        <f ca="1">Valuation!Y25</f>
        <v>#NAME?</v>
      </c>
    </row>
    <row r="696" spans="1:5">
      <c r="A696" s="58" t="s">
        <v>829</v>
      </c>
      <c r="B696" s="58" t="s">
        <v>1910</v>
      </c>
      <c r="C696" s="58" t="s">
        <v>1893</v>
      </c>
      <c r="D696" s="58">
        <v>7</v>
      </c>
      <c r="E696" s="58" t="e">
        <f ca="1">Valuation!Z25</f>
        <v>#NAME?</v>
      </c>
    </row>
    <row r="697" spans="1:5">
      <c r="A697" s="58" t="s">
        <v>829</v>
      </c>
      <c r="B697" s="58" t="s">
        <v>1911</v>
      </c>
      <c r="C697" s="58" t="s">
        <v>1893</v>
      </c>
      <c r="D697" s="58">
        <v>8</v>
      </c>
      <c r="E697" s="58" t="e">
        <f ca="1">Valuation!AA25</f>
        <v>#NAME?</v>
      </c>
    </row>
    <row r="698" spans="1:5">
      <c r="A698" s="58" t="s">
        <v>829</v>
      </c>
      <c r="B698" s="58" t="s">
        <v>1912</v>
      </c>
      <c r="C698" s="58" t="s">
        <v>1893</v>
      </c>
      <c r="D698" s="58">
        <v>9</v>
      </c>
      <c r="E698" s="58" t="e">
        <f ca="1">Valuation!AB25</f>
        <v>#NAME?</v>
      </c>
    </row>
    <row r="699" spans="1:5">
      <c r="A699" s="58" t="s">
        <v>829</v>
      </c>
      <c r="B699" s="58" t="s">
        <v>1913</v>
      </c>
      <c r="C699" s="58" t="s">
        <v>1893</v>
      </c>
      <c r="D699" s="58">
        <v>0</v>
      </c>
      <c r="E699" s="58">
        <f ca="1">Valuation!S25</f>
        <v>0.12752398069360274</v>
      </c>
    </row>
    <row r="700" spans="1:5">
      <c r="A700" s="58" t="s">
        <v>829</v>
      </c>
      <c r="B700" s="58" t="s">
        <v>1870</v>
      </c>
      <c r="C700" s="58" t="s">
        <v>1914</v>
      </c>
      <c r="D700" s="58">
        <v>-11</v>
      </c>
      <c r="E700" s="58">
        <f>Valuation!H24</f>
        <v>0</v>
      </c>
    </row>
    <row r="701" spans="1:5">
      <c r="A701" s="58" t="s">
        <v>829</v>
      </c>
      <c r="B701" s="58" t="s">
        <v>1872</v>
      </c>
      <c r="C701" s="58" t="s">
        <v>1914</v>
      </c>
      <c r="D701" s="58">
        <v>-10</v>
      </c>
      <c r="E701" s="58">
        <f>Valuation!I24</f>
        <v>0</v>
      </c>
    </row>
    <row r="702" spans="1:5">
      <c r="A702" s="58" t="s">
        <v>829</v>
      </c>
      <c r="B702" s="58" t="s">
        <v>1873</v>
      </c>
      <c r="C702" s="58" t="s">
        <v>1914</v>
      </c>
      <c r="D702" s="58">
        <v>-9</v>
      </c>
      <c r="E702" s="58">
        <f>Valuation!J24</f>
        <v>0</v>
      </c>
    </row>
    <row r="703" spans="1:5">
      <c r="A703" s="58" t="s">
        <v>829</v>
      </c>
      <c r="B703" s="58" t="s">
        <v>1874</v>
      </c>
      <c r="C703" s="58" t="s">
        <v>1914</v>
      </c>
      <c r="D703" s="58">
        <v>-8</v>
      </c>
      <c r="E703" s="58">
        <f>Valuation!K24</f>
        <v>0</v>
      </c>
    </row>
    <row r="704" spans="1:5">
      <c r="A704" s="58" t="s">
        <v>829</v>
      </c>
      <c r="B704" s="58" t="s">
        <v>1875</v>
      </c>
      <c r="C704" s="58" t="s">
        <v>1914</v>
      </c>
      <c r="D704" s="58">
        <v>-7</v>
      </c>
      <c r="E704" s="58">
        <f>Valuation!L24</f>
        <v>0</v>
      </c>
    </row>
    <row r="705" spans="1:5">
      <c r="A705" s="58" t="s">
        <v>829</v>
      </c>
      <c r="B705" s="58" t="s">
        <v>1876</v>
      </c>
      <c r="C705" s="58" t="s">
        <v>1914</v>
      </c>
      <c r="D705" s="58">
        <v>-6</v>
      </c>
      <c r="E705" s="58">
        <f>Valuation!M24</f>
        <v>408951</v>
      </c>
    </row>
    <row r="706" spans="1:5">
      <c r="A706" s="58" t="s">
        <v>829</v>
      </c>
      <c r="B706" s="58" t="s">
        <v>1877</v>
      </c>
      <c r="C706" s="58" t="s">
        <v>1914</v>
      </c>
      <c r="D706" s="58">
        <v>-5</v>
      </c>
      <c r="E706" s="58">
        <f>Valuation!N24</f>
        <v>3076570</v>
      </c>
    </row>
    <row r="707" spans="1:5">
      <c r="A707" s="58" t="s">
        <v>829</v>
      </c>
      <c r="B707" s="58" t="s">
        <v>1878</v>
      </c>
      <c r="C707" s="58" t="s">
        <v>1914</v>
      </c>
      <c r="D707" s="58">
        <v>-4</v>
      </c>
      <c r="E707" s="58">
        <f>Valuation!O24</f>
        <v>-2710208</v>
      </c>
    </row>
    <row r="708" spans="1:5">
      <c r="A708" s="58" t="s">
        <v>829</v>
      </c>
      <c r="B708" s="58" t="s">
        <v>1879</v>
      </c>
      <c r="C708" s="58" t="s">
        <v>1914</v>
      </c>
      <c r="D708" s="58">
        <v>-3</v>
      </c>
      <c r="E708" s="58">
        <f>Valuation!P24</f>
        <v>-161662</v>
      </c>
    </row>
    <row r="709" spans="1:5">
      <c r="A709" s="58" t="s">
        <v>829</v>
      </c>
      <c r="B709" s="58" t="s">
        <v>1880</v>
      </c>
      <c r="C709" s="58" t="s">
        <v>1914</v>
      </c>
      <c r="D709" s="58">
        <v>-2</v>
      </c>
      <c r="E709" s="58">
        <f>Valuation!Q24</f>
        <v>2307160</v>
      </c>
    </row>
    <row r="710" spans="1:5">
      <c r="A710" s="58" t="s">
        <v>829</v>
      </c>
      <c r="B710" s="58" t="s">
        <v>1881</v>
      </c>
      <c r="C710" s="58" t="s">
        <v>1914</v>
      </c>
      <c r="D710" s="58">
        <v>-1</v>
      </c>
      <c r="E710" s="58">
        <f>Valuation!R24</f>
        <v>1435441</v>
      </c>
    </row>
    <row r="711" spans="1:5">
      <c r="A711" s="58" t="s">
        <v>829</v>
      </c>
      <c r="B711" s="58" t="s">
        <v>1882</v>
      </c>
      <c r="C711" s="58" t="s">
        <v>1914</v>
      </c>
      <c r="D711" s="58">
        <v>1</v>
      </c>
      <c r="E711" s="58" t="e">
        <f ca="1">Valuation!T24</f>
        <v>#NAME?</v>
      </c>
    </row>
    <row r="712" spans="1:5">
      <c r="A712" s="58" t="s">
        <v>829</v>
      </c>
      <c r="B712" s="58" t="s">
        <v>1883</v>
      </c>
      <c r="C712" s="58" t="s">
        <v>1914</v>
      </c>
      <c r="D712" s="58">
        <v>2</v>
      </c>
      <c r="E712" s="58" t="e">
        <f ca="1">Valuation!U24</f>
        <v>#NAME?</v>
      </c>
    </row>
    <row r="713" spans="1:5">
      <c r="A713" s="58" t="s">
        <v>829</v>
      </c>
      <c r="B713" s="58" t="s">
        <v>1884</v>
      </c>
      <c r="C713" s="58" t="s">
        <v>1914</v>
      </c>
      <c r="D713" s="58">
        <v>3</v>
      </c>
      <c r="E713" s="58" t="e">
        <f ca="1">Valuation!V24</f>
        <v>#NAME?</v>
      </c>
    </row>
    <row r="714" spans="1:5">
      <c r="A714" s="58" t="s">
        <v>829</v>
      </c>
      <c r="B714" s="58" t="s">
        <v>1885</v>
      </c>
      <c r="C714" s="58" t="s">
        <v>1914</v>
      </c>
      <c r="D714" s="58">
        <v>4</v>
      </c>
      <c r="E714" s="58" t="e">
        <f ca="1">Valuation!W24</f>
        <v>#NAME?</v>
      </c>
    </row>
    <row r="715" spans="1:5">
      <c r="A715" s="58" t="s">
        <v>829</v>
      </c>
      <c r="B715" s="58" t="s">
        <v>1886</v>
      </c>
      <c r="C715" s="58" t="s">
        <v>1914</v>
      </c>
      <c r="D715" s="58">
        <v>5</v>
      </c>
      <c r="E715" s="58" t="e">
        <f ca="1">Valuation!X24</f>
        <v>#NAME?</v>
      </c>
    </row>
    <row r="716" spans="1:5">
      <c r="A716" s="58" t="s">
        <v>829</v>
      </c>
      <c r="B716" s="58" t="s">
        <v>1887</v>
      </c>
      <c r="C716" s="58" t="s">
        <v>1914</v>
      </c>
      <c r="D716" s="58">
        <v>6</v>
      </c>
      <c r="E716" s="58" t="e">
        <f ca="1">Valuation!Y24</f>
        <v>#NAME?</v>
      </c>
    </row>
    <row r="717" spans="1:5">
      <c r="A717" s="58" t="s">
        <v>829</v>
      </c>
      <c r="B717" s="58" t="s">
        <v>1888</v>
      </c>
      <c r="C717" s="58" t="s">
        <v>1914</v>
      </c>
      <c r="D717" s="58">
        <v>7</v>
      </c>
      <c r="E717" s="58" t="e">
        <f ca="1">Valuation!Z24</f>
        <v>#NAME?</v>
      </c>
    </row>
    <row r="718" spans="1:5">
      <c r="A718" s="58" t="s">
        <v>829</v>
      </c>
      <c r="B718" s="58" t="s">
        <v>1889</v>
      </c>
      <c r="C718" s="58" t="s">
        <v>1914</v>
      </c>
      <c r="D718" s="58">
        <v>8</v>
      </c>
      <c r="E718" s="58" t="e">
        <f ca="1">Valuation!AA24</f>
        <v>#NAME?</v>
      </c>
    </row>
    <row r="719" spans="1:5">
      <c r="A719" s="58" t="s">
        <v>829</v>
      </c>
      <c r="B719" s="58" t="s">
        <v>1890</v>
      </c>
      <c r="C719" s="58" t="s">
        <v>1914</v>
      </c>
      <c r="D719" s="58">
        <v>9</v>
      </c>
      <c r="E719" s="58" t="e">
        <f ca="1">Valuation!AB24</f>
        <v>#NAME?</v>
      </c>
    </row>
    <row r="720" spans="1:5">
      <c r="A720" s="58" t="s">
        <v>829</v>
      </c>
      <c r="B720" s="58" t="s">
        <v>1891</v>
      </c>
      <c r="C720" s="58" t="s">
        <v>1914</v>
      </c>
      <c r="D720" s="58">
        <v>0</v>
      </c>
      <c r="E720" s="58">
        <f ca="1">Valuation!S24</f>
        <v>867577.59048379795</v>
      </c>
    </row>
    <row r="721" spans="1:5">
      <c r="A721" s="58" t="s">
        <v>829</v>
      </c>
      <c r="B721" s="58" t="s">
        <v>1915</v>
      </c>
      <c r="C721" s="58" t="s">
        <v>7</v>
      </c>
      <c r="D721" s="58">
        <v>-11</v>
      </c>
      <c r="E721" s="58">
        <f>Valuation!H52</f>
        <v>0</v>
      </c>
    </row>
    <row r="722" spans="1:5">
      <c r="A722" s="58" t="s">
        <v>829</v>
      </c>
      <c r="B722" s="58" t="s">
        <v>1916</v>
      </c>
      <c r="C722" s="58" t="s">
        <v>7</v>
      </c>
      <c r="D722" s="58">
        <v>-10</v>
      </c>
      <c r="E722" s="58">
        <f>Valuation!I52</f>
        <v>0</v>
      </c>
    </row>
    <row r="723" spans="1:5">
      <c r="A723" s="58" t="s">
        <v>829</v>
      </c>
      <c r="B723" s="58" t="s">
        <v>1917</v>
      </c>
      <c r="C723" s="58" t="s">
        <v>7</v>
      </c>
      <c r="D723" s="58">
        <v>-9</v>
      </c>
      <c r="E723" s="58">
        <f>Valuation!J52</f>
        <v>0</v>
      </c>
    </row>
    <row r="724" spans="1:5">
      <c r="A724" s="58" t="s">
        <v>829</v>
      </c>
      <c r="B724" s="58" t="s">
        <v>1918</v>
      </c>
      <c r="C724" s="58" t="s">
        <v>7</v>
      </c>
      <c r="D724" s="58">
        <v>-8</v>
      </c>
      <c r="E724" s="58">
        <f>Valuation!K52</f>
        <v>0</v>
      </c>
    </row>
    <row r="725" spans="1:5">
      <c r="A725" s="58" t="s">
        <v>829</v>
      </c>
      <c r="B725" s="58" t="s">
        <v>1919</v>
      </c>
      <c r="C725" s="58" t="s">
        <v>7</v>
      </c>
      <c r="D725" s="58">
        <v>-7</v>
      </c>
      <c r="E725" s="58">
        <f>Valuation!L52</f>
        <v>0</v>
      </c>
    </row>
    <row r="726" spans="1:5">
      <c r="A726" s="58" t="s">
        <v>829</v>
      </c>
      <c r="B726" s="58" t="s">
        <v>1920</v>
      </c>
      <c r="C726" s="58" t="s">
        <v>7</v>
      </c>
      <c r="D726" s="58">
        <v>-6</v>
      </c>
      <c r="E726" s="58">
        <f>Valuation!M52</f>
        <v>406069</v>
      </c>
    </row>
    <row r="727" spans="1:5">
      <c r="A727" s="58" t="s">
        <v>829</v>
      </c>
      <c r="B727" s="58" t="s">
        <v>1921</v>
      </c>
      <c r="C727" s="58" t="s">
        <v>7</v>
      </c>
      <c r="D727" s="58">
        <v>-5</v>
      </c>
      <c r="E727" s="58">
        <f>Valuation!N52</f>
        <v>3103058</v>
      </c>
    </row>
    <row r="728" spans="1:5">
      <c r="A728" s="58" t="s">
        <v>829</v>
      </c>
      <c r="B728" s="58" t="s">
        <v>1922</v>
      </c>
      <c r="C728" s="58" t="s">
        <v>7</v>
      </c>
      <c r="D728" s="58">
        <v>-4</v>
      </c>
      <c r="E728" s="58">
        <f>Valuation!O52</f>
        <v>-2821612</v>
      </c>
    </row>
    <row r="729" spans="1:5">
      <c r="A729" s="58" t="s">
        <v>829</v>
      </c>
      <c r="B729" s="58" t="s">
        <v>1923</v>
      </c>
      <c r="C729" s="58" t="s">
        <v>7</v>
      </c>
      <c r="D729" s="58">
        <v>-3</v>
      </c>
      <c r="E729" s="58">
        <f>Valuation!P52</f>
        <v>145563</v>
      </c>
    </row>
    <row r="730" spans="1:5">
      <c r="A730" s="58" t="s">
        <v>829</v>
      </c>
      <c r="B730" s="58" t="s">
        <v>1924</v>
      </c>
      <c r="C730" s="58" t="s">
        <v>7</v>
      </c>
      <c r="D730" s="58">
        <v>-2</v>
      </c>
      <c r="E730" s="58">
        <f>Valuation!Q52</f>
        <v>3150807</v>
      </c>
    </row>
    <row r="731" spans="1:5">
      <c r="A731" s="58" t="s">
        <v>829</v>
      </c>
      <c r="B731" s="58" t="s">
        <v>1925</v>
      </c>
      <c r="C731" s="58" t="s">
        <v>7</v>
      </c>
      <c r="D731" s="58">
        <v>-1</v>
      </c>
      <c r="E731" s="58">
        <f>Valuation!R52</f>
        <v>1795906</v>
      </c>
    </row>
    <row r="732" spans="1:5">
      <c r="A732" s="58" t="s">
        <v>829</v>
      </c>
      <c r="B732" s="58" t="s">
        <v>1926</v>
      </c>
      <c r="C732" s="58" t="s">
        <v>7</v>
      </c>
      <c r="D732" s="58">
        <v>1</v>
      </c>
      <c r="E732" s="58" t="e">
        <f ca="1">Valuation!T52</f>
        <v>#NAME?</v>
      </c>
    </row>
    <row r="733" spans="1:5">
      <c r="A733" s="58" t="s">
        <v>829</v>
      </c>
      <c r="B733" s="58" t="s">
        <v>1927</v>
      </c>
      <c r="C733" s="58" t="s">
        <v>7</v>
      </c>
      <c r="D733" s="58">
        <v>2</v>
      </c>
      <c r="E733" s="58" t="e">
        <f ca="1">Valuation!U52</f>
        <v>#NAME?</v>
      </c>
    </row>
    <row r="734" spans="1:5">
      <c r="A734" s="58" t="s">
        <v>829</v>
      </c>
      <c r="B734" s="58" t="s">
        <v>1928</v>
      </c>
      <c r="C734" s="58" t="s">
        <v>7</v>
      </c>
      <c r="D734" s="58">
        <v>3</v>
      </c>
      <c r="E734" s="58" t="e">
        <f ca="1">Valuation!V52</f>
        <v>#NAME?</v>
      </c>
    </row>
    <row r="735" spans="1:5">
      <c r="A735" s="58" t="s">
        <v>829</v>
      </c>
      <c r="B735" s="58" t="s">
        <v>1929</v>
      </c>
      <c r="C735" s="58" t="s">
        <v>7</v>
      </c>
      <c r="D735" s="58">
        <v>4</v>
      </c>
      <c r="E735" s="58" t="e">
        <f ca="1">Valuation!W52</f>
        <v>#NAME?</v>
      </c>
    </row>
    <row r="736" spans="1:5">
      <c r="A736" s="58" t="s">
        <v>829</v>
      </c>
      <c r="B736" s="58" t="s">
        <v>1930</v>
      </c>
      <c r="C736" s="58" t="s">
        <v>7</v>
      </c>
      <c r="D736" s="58">
        <v>5</v>
      </c>
      <c r="E736" s="58" t="e">
        <f ca="1">Valuation!X52</f>
        <v>#NAME?</v>
      </c>
    </row>
    <row r="737" spans="1:5">
      <c r="A737" s="58" t="s">
        <v>829</v>
      </c>
      <c r="B737" s="58" t="s">
        <v>1931</v>
      </c>
      <c r="C737" s="58" t="s">
        <v>7</v>
      </c>
      <c r="D737" s="58">
        <v>6</v>
      </c>
      <c r="E737" s="58" t="e">
        <f ca="1">Valuation!Y52</f>
        <v>#NAME?</v>
      </c>
    </row>
    <row r="738" spans="1:5">
      <c r="A738" s="58" t="s">
        <v>829</v>
      </c>
      <c r="B738" s="58" t="s">
        <v>1932</v>
      </c>
      <c r="C738" s="58" t="s">
        <v>7</v>
      </c>
      <c r="D738" s="58">
        <v>7</v>
      </c>
      <c r="E738" s="58" t="e">
        <f ca="1">Valuation!Z52</f>
        <v>#NAME?</v>
      </c>
    </row>
    <row r="739" spans="1:5">
      <c r="A739" s="58" t="s">
        <v>829</v>
      </c>
      <c r="B739" s="58" t="s">
        <v>1933</v>
      </c>
      <c r="C739" s="58" t="s">
        <v>7</v>
      </c>
      <c r="D739" s="58">
        <v>8</v>
      </c>
      <c r="E739" s="58" t="e">
        <f ca="1">Valuation!AA52</f>
        <v>#NAME?</v>
      </c>
    </row>
    <row r="740" spans="1:5">
      <c r="A740" s="58" t="s">
        <v>829</v>
      </c>
      <c r="B740" s="58" t="s">
        <v>1934</v>
      </c>
      <c r="C740" s="58" t="s">
        <v>7</v>
      </c>
      <c r="D740" s="58">
        <v>9</v>
      </c>
      <c r="E740" s="58" t="e">
        <f ca="1">Valuation!AB52</f>
        <v>#NAME?</v>
      </c>
    </row>
    <row r="741" spans="1:5">
      <c r="A741" s="58" t="s">
        <v>829</v>
      </c>
      <c r="B741" s="58" t="s">
        <v>1935</v>
      </c>
      <c r="C741" s="58" t="s">
        <v>7</v>
      </c>
      <c r="D741" s="58">
        <v>0</v>
      </c>
      <c r="E741" s="58">
        <f ca="1">Valuation!S52</f>
        <v>1120724.4168768078</v>
      </c>
    </row>
    <row r="742" spans="1:5">
      <c r="A742" s="58" t="s">
        <v>829</v>
      </c>
      <c r="B742" s="58" t="s">
        <v>1936</v>
      </c>
      <c r="C742" s="58" t="s">
        <v>84</v>
      </c>
      <c r="D742" s="58">
        <v>-11</v>
      </c>
      <c r="E742" s="58" t="str">
        <f>Valuation!H53</f>
        <v/>
      </c>
    </row>
    <row r="743" spans="1:5">
      <c r="A743" s="58" t="s">
        <v>829</v>
      </c>
      <c r="B743" s="58" t="s">
        <v>1937</v>
      </c>
      <c r="C743" s="58" t="s">
        <v>84</v>
      </c>
      <c r="D743" s="58">
        <v>-10</v>
      </c>
      <c r="E743" s="58" t="str">
        <f>Valuation!I53</f>
        <v/>
      </c>
    </row>
    <row r="744" spans="1:5">
      <c r="A744" s="58" t="s">
        <v>829</v>
      </c>
      <c r="B744" s="58" t="s">
        <v>1938</v>
      </c>
      <c r="C744" s="58" t="s">
        <v>84</v>
      </c>
      <c r="D744" s="58">
        <v>-9</v>
      </c>
      <c r="E744" s="58" t="str">
        <f>Valuation!J53</f>
        <v/>
      </c>
    </row>
    <row r="745" spans="1:5">
      <c r="A745" s="58" t="s">
        <v>829</v>
      </c>
      <c r="B745" s="58" t="s">
        <v>1939</v>
      </c>
      <c r="C745" s="58" t="s">
        <v>84</v>
      </c>
      <c r="D745" s="58">
        <v>-8</v>
      </c>
      <c r="E745" s="58" t="str">
        <f>Valuation!K53</f>
        <v/>
      </c>
    </row>
    <row r="746" spans="1:5">
      <c r="A746" s="58" t="s">
        <v>829</v>
      </c>
      <c r="B746" s="58" t="s">
        <v>1940</v>
      </c>
      <c r="C746" s="58" t="s">
        <v>84</v>
      </c>
      <c r="D746" s="58">
        <v>-7</v>
      </c>
      <c r="E746" s="58" t="str">
        <f>Valuation!L53</f>
        <v/>
      </c>
    </row>
    <row r="747" spans="1:5">
      <c r="A747" s="58" t="s">
        <v>829</v>
      </c>
      <c r="B747" s="58" t="s">
        <v>1941</v>
      </c>
      <c r="C747" s="58" t="s">
        <v>84</v>
      </c>
      <c r="D747" s="58">
        <v>-6</v>
      </c>
      <c r="E747" s="58">
        <f>Valuation!M53</f>
        <v>0.3178669584909678</v>
      </c>
    </row>
    <row r="748" spans="1:5">
      <c r="A748" s="58" t="s">
        <v>829</v>
      </c>
      <c r="B748" s="58" t="s">
        <v>1942</v>
      </c>
      <c r="C748" s="58" t="s">
        <v>84</v>
      </c>
      <c r="D748" s="58">
        <v>-5</v>
      </c>
      <c r="E748" s="58">
        <f>Valuation!N53</f>
        <v>0.39582628563964484</v>
      </c>
    </row>
    <row r="749" spans="1:5">
      <c r="A749" s="58" t="s">
        <v>829</v>
      </c>
      <c r="B749" s="58" t="s">
        <v>1943</v>
      </c>
      <c r="C749" s="58" t="s">
        <v>84</v>
      </c>
      <c r="D749" s="58">
        <v>-4</v>
      </c>
      <c r="E749" s="58">
        <f>Valuation!O53</f>
        <v>-0.88335261823901257</v>
      </c>
    </row>
    <row r="750" spans="1:5">
      <c r="A750" s="58" t="s">
        <v>829</v>
      </c>
      <c r="B750" s="58" t="s">
        <v>1944</v>
      </c>
      <c r="C750" s="58" t="s">
        <v>84</v>
      </c>
      <c r="D750" s="58">
        <v>-3</v>
      </c>
      <c r="E750" s="58">
        <f>Valuation!P53</f>
        <v>4.6829171308683644E-2</v>
      </c>
    </row>
    <row r="751" spans="1:5">
      <c r="A751" s="58" t="s">
        <v>829</v>
      </c>
      <c r="B751" s="58" t="s">
        <v>1945</v>
      </c>
      <c r="C751" s="58" t="s">
        <v>84</v>
      </c>
      <c r="D751" s="58">
        <v>-2</v>
      </c>
      <c r="E751" s="58">
        <f>Valuation!Q53</f>
        <v>0.48001120653354923</v>
      </c>
    </row>
    <row r="752" spans="1:5">
      <c r="A752" s="58" t="s">
        <v>829</v>
      </c>
      <c r="B752" s="58" t="s">
        <v>1946</v>
      </c>
      <c r="C752" s="58" t="s">
        <v>84</v>
      </c>
      <c r="D752" s="58">
        <v>-1</v>
      </c>
      <c r="E752" s="58">
        <f>Valuation!R53</f>
        <v>0.25008003397701678</v>
      </c>
    </row>
    <row r="753" spans="1:5">
      <c r="A753" s="58" t="s">
        <v>829</v>
      </c>
      <c r="B753" s="58" t="s">
        <v>1947</v>
      </c>
      <c r="C753" s="58" t="s">
        <v>84</v>
      </c>
      <c r="D753" s="58">
        <v>1</v>
      </c>
      <c r="E753" s="58" t="str">
        <f ca="1">Valuation!T53</f>
        <v/>
      </c>
    </row>
    <row r="754" spans="1:5">
      <c r="A754" s="58" t="s">
        <v>829</v>
      </c>
      <c r="B754" s="58" t="s">
        <v>1948</v>
      </c>
      <c r="C754" s="58" t="s">
        <v>84</v>
      </c>
      <c r="D754" s="58">
        <v>2</v>
      </c>
      <c r="E754" s="58" t="str">
        <f ca="1">Valuation!U53</f>
        <v/>
      </c>
    </row>
    <row r="755" spans="1:5">
      <c r="A755" s="58" t="s">
        <v>829</v>
      </c>
      <c r="B755" s="58" t="s">
        <v>1949</v>
      </c>
      <c r="C755" s="58" t="s">
        <v>84</v>
      </c>
      <c r="D755" s="58">
        <v>3</v>
      </c>
      <c r="E755" s="58" t="str">
        <f ca="1">Valuation!V53</f>
        <v/>
      </c>
    </row>
    <row r="756" spans="1:5">
      <c r="A756" s="58" t="s">
        <v>829</v>
      </c>
      <c r="B756" s="58" t="s">
        <v>1950</v>
      </c>
      <c r="C756" s="58" t="s">
        <v>84</v>
      </c>
      <c r="D756" s="58">
        <v>4</v>
      </c>
      <c r="E756" s="58" t="str">
        <f ca="1">Valuation!W53</f>
        <v/>
      </c>
    </row>
    <row r="757" spans="1:5">
      <c r="A757" s="58" t="s">
        <v>829</v>
      </c>
      <c r="B757" s="58" t="s">
        <v>1951</v>
      </c>
      <c r="C757" s="58" t="s">
        <v>84</v>
      </c>
      <c r="D757" s="58">
        <v>5</v>
      </c>
      <c r="E757" s="58" t="str">
        <f ca="1">Valuation!X53</f>
        <v/>
      </c>
    </row>
    <row r="758" spans="1:5">
      <c r="A758" s="58" t="s">
        <v>829</v>
      </c>
      <c r="B758" s="58" t="s">
        <v>1952</v>
      </c>
      <c r="C758" s="58" t="s">
        <v>84</v>
      </c>
      <c r="D758" s="58">
        <v>6</v>
      </c>
      <c r="E758" s="58" t="str">
        <f ca="1">Valuation!Y53</f>
        <v/>
      </c>
    </row>
    <row r="759" spans="1:5">
      <c r="A759" s="58" t="s">
        <v>829</v>
      </c>
      <c r="B759" s="58" t="s">
        <v>1953</v>
      </c>
      <c r="C759" s="58" t="s">
        <v>84</v>
      </c>
      <c r="D759" s="58">
        <v>7</v>
      </c>
      <c r="E759" s="58" t="str">
        <f ca="1">Valuation!Z53</f>
        <v/>
      </c>
    </row>
    <row r="760" spans="1:5">
      <c r="A760" s="58" t="s">
        <v>829</v>
      </c>
      <c r="B760" s="58" t="s">
        <v>1954</v>
      </c>
      <c r="C760" s="58" t="s">
        <v>84</v>
      </c>
      <c r="D760" s="58">
        <v>8</v>
      </c>
      <c r="E760" s="58" t="str">
        <f ca="1">Valuation!AA53</f>
        <v/>
      </c>
    </row>
    <row r="761" spans="1:5">
      <c r="A761" s="58" t="s">
        <v>829</v>
      </c>
      <c r="B761" s="58" t="s">
        <v>1955</v>
      </c>
      <c r="C761" s="58" t="s">
        <v>84</v>
      </c>
      <c r="D761" s="58">
        <v>9</v>
      </c>
      <c r="E761" s="58" t="str">
        <f ca="1">Valuation!AB53</f>
        <v/>
      </c>
    </row>
    <row r="762" spans="1:5">
      <c r="A762" s="58" t="s">
        <v>829</v>
      </c>
      <c r="B762" s="58" t="s">
        <v>1956</v>
      </c>
      <c r="C762" s="58" t="s">
        <v>84</v>
      </c>
      <c r="D762" s="58">
        <v>0</v>
      </c>
      <c r="E762" s="58">
        <f ca="1">Valuation!S53</f>
        <v>0.16473366816788043</v>
      </c>
    </row>
    <row r="763" spans="1:5">
      <c r="A763" s="58" t="s">
        <v>829</v>
      </c>
      <c r="B763" s="58" t="s">
        <v>1957</v>
      </c>
      <c r="C763" s="58" t="s">
        <v>1958</v>
      </c>
      <c r="D763" s="58">
        <v>-11</v>
      </c>
      <c r="E763" s="58">
        <f>Valuation!H31</f>
        <v>0</v>
      </c>
    </row>
    <row r="764" spans="1:5">
      <c r="A764" s="58" t="s">
        <v>829</v>
      </c>
      <c r="B764" s="58" t="s">
        <v>1959</v>
      </c>
      <c r="C764" s="58" t="s">
        <v>1958</v>
      </c>
      <c r="D764" s="58">
        <v>-10</v>
      </c>
      <c r="E764" s="58">
        <f>Valuation!I31</f>
        <v>0</v>
      </c>
    </row>
    <row r="765" spans="1:5">
      <c r="A765" s="58" t="s">
        <v>829</v>
      </c>
      <c r="B765" s="58" t="s">
        <v>1960</v>
      </c>
      <c r="C765" s="58" t="s">
        <v>1958</v>
      </c>
      <c r="D765" s="58">
        <v>-9</v>
      </c>
      <c r="E765" s="58">
        <f>Valuation!J31</f>
        <v>0</v>
      </c>
    </row>
    <row r="766" spans="1:5">
      <c r="A766" s="58" t="s">
        <v>829</v>
      </c>
      <c r="B766" s="58" t="s">
        <v>1961</v>
      </c>
      <c r="C766" s="58" t="s">
        <v>1958</v>
      </c>
      <c r="D766" s="58">
        <v>-8</v>
      </c>
      <c r="E766" s="58">
        <f>Valuation!K31</f>
        <v>0</v>
      </c>
    </row>
    <row r="767" spans="1:5">
      <c r="A767" s="58" t="s">
        <v>829</v>
      </c>
      <c r="B767" s="58" t="s">
        <v>1962</v>
      </c>
      <c r="C767" s="58" t="s">
        <v>1958</v>
      </c>
      <c r="D767" s="58">
        <v>-7</v>
      </c>
      <c r="E767" s="58">
        <f>Valuation!L31</f>
        <v>0</v>
      </c>
    </row>
    <row r="768" spans="1:5">
      <c r="A768" s="58" t="s">
        <v>829</v>
      </c>
      <c r="B768" s="58" t="s">
        <v>1963</v>
      </c>
      <c r="C768" s="58" t="s">
        <v>1958</v>
      </c>
      <c r="D768" s="58">
        <v>-6</v>
      </c>
      <c r="E768" s="58">
        <f>Valuation!M31</f>
        <v>0.21535563349734158</v>
      </c>
    </row>
    <row r="769" spans="1:5">
      <c r="A769" s="58" t="s">
        <v>829</v>
      </c>
      <c r="B769" s="58" t="s">
        <v>1964</v>
      </c>
      <c r="C769" s="58" t="s">
        <v>1958</v>
      </c>
      <c r="D769" s="58">
        <v>-5</v>
      </c>
      <c r="E769" s="58">
        <f>Valuation!N31</f>
        <v>-0.19728558180899763</v>
      </c>
    </row>
    <row r="770" spans="1:5">
      <c r="A770" s="58" t="s">
        <v>829</v>
      </c>
      <c r="B770" s="58" t="s">
        <v>1965</v>
      </c>
      <c r="C770" s="58" t="s">
        <v>1958</v>
      </c>
      <c r="D770" s="58">
        <v>-4</v>
      </c>
      <c r="E770" s="58">
        <f>Valuation!O31</f>
        <v>0.14345610592243901</v>
      </c>
    </row>
    <row r="771" spans="1:5">
      <c r="A771" s="58" t="s">
        <v>829</v>
      </c>
      <c r="B771" s="58" t="s">
        <v>1966</v>
      </c>
      <c r="C771" s="58" t="s">
        <v>1958</v>
      </c>
      <c r="D771" s="58">
        <v>-3</v>
      </c>
      <c r="E771" s="58">
        <f>Valuation!P31</f>
        <v>2.2345760947361573</v>
      </c>
    </row>
    <row r="772" spans="1:5">
      <c r="A772" s="58" t="s">
        <v>829</v>
      </c>
      <c r="B772" s="58" t="s">
        <v>1967</v>
      </c>
      <c r="C772" s="58" t="s">
        <v>1958</v>
      </c>
      <c r="D772" s="58">
        <v>-2</v>
      </c>
      <c r="E772" s="58">
        <f>Valuation!Q31</f>
        <v>0.12355487106153513</v>
      </c>
    </row>
    <row r="773" spans="1:5">
      <c r="A773" s="58" t="s">
        <v>829</v>
      </c>
      <c r="B773" s="58" t="s">
        <v>1968</v>
      </c>
      <c r="C773" s="58" t="s">
        <v>1958</v>
      </c>
      <c r="D773" s="58">
        <v>-1</v>
      </c>
      <c r="E773" s="58">
        <f>Valuation!R31</f>
        <v>0.17196243261621547</v>
      </c>
    </row>
    <row r="774" spans="1:5">
      <c r="A774" s="58" t="s">
        <v>829</v>
      </c>
      <c r="B774" s="58" t="s">
        <v>1969</v>
      </c>
      <c r="C774" s="58" t="s">
        <v>1958</v>
      </c>
      <c r="D774" s="58">
        <v>1</v>
      </c>
      <c r="E774" s="58" t="e">
        <f ca="1">Valuation!T31</f>
        <v>#NAME?</v>
      </c>
    </row>
    <row r="775" spans="1:5">
      <c r="A775" s="58" t="s">
        <v>829</v>
      </c>
      <c r="B775" s="58" t="s">
        <v>1970</v>
      </c>
      <c r="C775" s="58" t="s">
        <v>1958</v>
      </c>
      <c r="D775" s="58">
        <v>2</v>
      </c>
      <c r="E775" s="58" t="e">
        <f ca="1">Valuation!U31</f>
        <v>#NAME?</v>
      </c>
    </row>
    <row r="776" spans="1:5">
      <c r="A776" s="58" t="s">
        <v>829</v>
      </c>
      <c r="B776" s="58" t="s">
        <v>1971</v>
      </c>
      <c r="C776" s="58" t="s">
        <v>1958</v>
      </c>
      <c r="D776" s="58">
        <v>3</v>
      </c>
      <c r="E776" s="58" t="e">
        <f ca="1">Valuation!V31</f>
        <v>#NAME?</v>
      </c>
    </row>
    <row r="777" spans="1:5">
      <c r="A777" s="58" t="s">
        <v>829</v>
      </c>
      <c r="B777" s="58" t="s">
        <v>1972</v>
      </c>
      <c r="C777" s="58" t="s">
        <v>1958</v>
      </c>
      <c r="D777" s="58">
        <v>4</v>
      </c>
      <c r="E777" s="58" t="e">
        <f ca="1">Valuation!W31</f>
        <v>#NAME?</v>
      </c>
    </row>
    <row r="778" spans="1:5">
      <c r="A778" s="58" t="s">
        <v>829</v>
      </c>
      <c r="B778" s="58" t="s">
        <v>1973</v>
      </c>
      <c r="C778" s="58" t="s">
        <v>1958</v>
      </c>
      <c r="D778" s="58">
        <v>5</v>
      </c>
      <c r="E778" s="58" t="e">
        <f ca="1">Valuation!X31</f>
        <v>#NAME?</v>
      </c>
    </row>
    <row r="779" spans="1:5">
      <c r="A779" s="58" t="s">
        <v>829</v>
      </c>
      <c r="B779" s="58" t="s">
        <v>1974</v>
      </c>
      <c r="C779" s="58" t="s">
        <v>1958</v>
      </c>
      <c r="D779" s="58">
        <v>6</v>
      </c>
      <c r="E779" s="58" t="e">
        <f ca="1">Valuation!Y31</f>
        <v>#NAME?</v>
      </c>
    </row>
    <row r="780" spans="1:5">
      <c r="A780" s="58" t="s">
        <v>829</v>
      </c>
      <c r="B780" s="58" t="s">
        <v>1975</v>
      </c>
      <c r="C780" s="58" t="s">
        <v>1958</v>
      </c>
      <c r="D780" s="58">
        <v>7</v>
      </c>
      <c r="E780" s="58" t="e">
        <f ca="1">Valuation!Z31</f>
        <v>#NAME?</v>
      </c>
    </row>
    <row r="781" spans="1:5">
      <c r="A781" s="58" t="s">
        <v>829</v>
      </c>
      <c r="B781" s="58" t="s">
        <v>1976</v>
      </c>
      <c r="C781" s="58" t="s">
        <v>1958</v>
      </c>
      <c r="D781" s="58">
        <v>8</v>
      </c>
      <c r="E781" s="58" t="e">
        <f ca="1">Valuation!AA31</f>
        <v>#NAME?</v>
      </c>
    </row>
    <row r="782" spans="1:5">
      <c r="A782" s="58" t="s">
        <v>829</v>
      </c>
      <c r="B782" s="58" t="s">
        <v>1977</v>
      </c>
      <c r="C782" s="58" t="s">
        <v>1958</v>
      </c>
      <c r="D782" s="58">
        <v>9</v>
      </c>
      <c r="E782" s="58" t="e">
        <f ca="1">Valuation!AB31</f>
        <v>#NAME?</v>
      </c>
    </row>
    <row r="783" spans="1:5">
      <c r="A783" s="58" t="s">
        <v>829</v>
      </c>
      <c r="B783" s="58" t="s">
        <v>1978</v>
      </c>
      <c r="C783" s="58" t="s">
        <v>1958</v>
      </c>
      <c r="D783" s="58">
        <v>0</v>
      </c>
      <c r="E783" s="58">
        <f ca="1">Valuation!S31</f>
        <v>0.24279252304059365</v>
      </c>
    </row>
    <row r="784" spans="1:5">
      <c r="A784" s="58" t="s">
        <v>829</v>
      </c>
      <c r="B784" s="58" t="s">
        <v>1979</v>
      </c>
      <c r="C784" s="58" t="s">
        <v>1980</v>
      </c>
      <c r="D784" s="58">
        <v>-11</v>
      </c>
      <c r="E784" s="58">
        <f>Valuation!H73</f>
        <v>0</v>
      </c>
    </row>
    <row r="785" spans="1:5">
      <c r="A785" s="58" t="s">
        <v>829</v>
      </c>
      <c r="B785" s="58" t="s">
        <v>1981</v>
      </c>
      <c r="C785" s="58" t="s">
        <v>1980</v>
      </c>
      <c r="D785" s="58">
        <v>-10</v>
      </c>
      <c r="E785" s="58">
        <f>Valuation!I73</f>
        <v>0</v>
      </c>
    </row>
    <row r="786" spans="1:5">
      <c r="A786" s="58" t="s">
        <v>829</v>
      </c>
      <c r="B786" s="58" t="s">
        <v>1982</v>
      </c>
      <c r="C786" s="58" t="s">
        <v>1980</v>
      </c>
      <c r="D786" s="58">
        <v>-9</v>
      </c>
      <c r="E786" s="58">
        <f>Valuation!J73</f>
        <v>0</v>
      </c>
    </row>
    <row r="787" spans="1:5">
      <c r="A787" s="58" t="s">
        <v>829</v>
      </c>
      <c r="B787" s="58" t="s">
        <v>1983</v>
      </c>
      <c r="C787" s="58" t="s">
        <v>1980</v>
      </c>
      <c r="D787" s="58">
        <v>-8</v>
      </c>
      <c r="E787" s="58">
        <f>Valuation!K73</f>
        <v>0</v>
      </c>
    </row>
    <row r="788" spans="1:5">
      <c r="A788" s="58" t="s">
        <v>829</v>
      </c>
      <c r="B788" s="58" t="s">
        <v>1984</v>
      </c>
      <c r="C788" s="58" t="s">
        <v>1980</v>
      </c>
      <c r="D788" s="58">
        <v>-7</v>
      </c>
      <c r="E788" s="58">
        <f>Valuation!L73</f>
        <v>0</v>
      </c>
    </row>
    <row r="789" spans="1:5">
      <c r="A789" s="58" t="s">
        <v>829</v>
      </c>
      <c r="B789" s="58" t="s">
        <v>1985</v>
      </c>
      <c r="C789" s="58" t="s">
        <v>1980</v>
      </c>
      <c r="D789" s="58">
        <v>-6</v>
      </c>
      <c r="E789" s="58">
        <f>Valuation!M73</f>
        <v>522392.25326136802</v>
      </c>
    </row>
    <row r="790" spans="1:5">
      <c r="A790" s="58" t="s">
        <v>829</v>
      </c>
      <c r="B790" s="58" t="s">
        <v>1986</v>
      </c>
      <c r="C790" s="58" t="s">
        <v>1980</v>
      </c>
      <c r="D790" s="58">
        <v>-5</v>
      </c>
      <c r="E790" s="58">
        <f>Valuation!N73</f>
        <v>-2209525.6524344496</v>
      </c>
    </row>
    <row r="791" spans="1:5">
      <c r="A791" s="58" t="s">
        <v>829</v>
      </c>
      <c r="B791" s="58" t="s">
        <v>1987</v>
      </c>
      <c r="C791" s="58" t="s">
        <v>1980</v>
      </c>
      <c r="D791" s="58">
        <v>-4</v>
      </c>
      <c r="E791" s="58">
        <f>Valuation!O73</f>
        <v>5794455.0087273903</v>
      </c>
    </row>
    <row r="792" spans="1:5">
      <c r="A792" s="58" t="s">
        <v>829</v>
      </c>
      <c r="B792" s="58" t="s">
        <v>1988</v>
      </c>
      <c r="C792" s="58" t="s">
        <v>1980</v>
      </c>
      <c r="D792" s="58">
        <v>-3</v>
      </c>
      <c r="E792" s="58">
        <f>Valuation!P73</f>
        <v>874199.47494306671</v>
      </c>
    </row>
    <row r="793" spans="1:5">
      <c r="A793" s="58" t="s">
        <v>829</v>
      </c>
      <c r="B793" s="58" t="s">
        <v>1989</v>
      </c>
      <c r="C793" s="58" t="s">
        <v>1980</v>
      </c>
      <c r="D793" s="58">
        <v>-2</v>
      </c>
      <c r="E793" s="58">
        <f>Valuation!Q73</f>
        <v>1410021.1174232427</v>
      </c>
    </row>
    <row r="794" spans="1:5">
      <c r="A794" s="58" t="s">
        <v>829</v>
      </c>
      <c r="B794" s="58" t="s">
        <v>1990</v>
      </c>
      <c r="C794" s="58" t="s">
        <v>1980</v>
      </c>
      <c r="D794" s="58">
        <v>-1</v>
      </c>
      <c r="E794" s="58">
        <f>Valuation!R73</f>
        <v>649855.9227429512</v>
      </c>
    </row>
    <row r="795" spans="1:5">
      <c r="A795" s="58" t="s">
        <v>829</v>
      </c>
      <c r="B795" s="58" t="s">
        <v>1991</v>
      </c>
      <c r="C795" s="58" t="s">
        <v>1980</v>
      </c>
      <c r="D795" s="58">
        <v>1</v>
      </c>
      <c r="E795" s="58" t="e">
        <f ca="1">Valuation!T73</f>
        <v>#NAME?</v>
      </c>
    </row>
    <row r="796" spans="1:5">
      <c r="A796" s="58" t="s">
        <v>829</v>
      </c>
      <c r="B796" s="58" t="s">
        <v>1992</v>
      </c>
      <c r="C796" s="58" t="s">
        <v>1980</v>
      </c>
      <c r="D796" s="58">
        <v>2</v>
      </c>
      <c r="E796" s="58" t="e">
        <f ca="1">Valuation!U73</f>
        <v>#NAME?</v>
      </c>
    </row>
    <row r="797" spans="1:5">
      <c r="A797" s="58" t="s">
        <v>829</v>
      </c>
      <c r="B797" s="58" t="s">
        <v>1993</v>
      </c>
      <c r="C797" s="58" t="s">
        <v>1980</v>
      </c>
      <c r="D797" s="58">
        <v>3</v>
      </c>
      <c r="E797" s="58" t="e">
        <f ca="1">Valuation!V73</f>
        <v>#NAME?</v>
      </c>
    </row>
    <row r="798" spans="1:5">
      <c r="A798" s="58" t="s">
        <v>829</v>
      </c>
      <c r="B798" s="58" t="s">
        <v>1994</v>
      </c>
      <c r="C798" s="58" t="s">
        <v>1980</v>
      </c>
      <c r="D798" s="58">
        <v>4</v>
      </c>
      <c r="E798" s="58" t="e">
        <f ca="1">Valuation!W73</f>
        <v>#NAME?</v>
      </c>
    </row>
    <row r="799" spans="1:5">
      <c r="A799" s="58" t="s">
        <v>829</v>
      </c>
      <c r="B799" s="58" t="s">
        <v>1995</v>
      </c>
      <c r="C799" s="58" t="s">
        <v>1980</v>
      </c>
      <c r="D799" s="58">
        <v>5</v>
      </c>
      <c r="E799" s="58" t="e">
        <f ca="1">Valuation!X73</f>
        <v>#NAME?</v>
      </c>
    </row>
    <row r="800" spans="1:5">
      <c r="A800" s="58" t="s">
        <v>829</v>
      </c>
      <c r="B800" s="58" t="s">
        <v>1996</v>
      </c>
      <c r="C800" s="58" t="s">
        <v>1980</v>
      </c>
      <c r="D800" s="58">
        <v>6</v>
      </c>
      <c r="E800" s="58" t="e">
        <f ca="1">Valuation!Y73</f>
        <v>#NAME?</v>
      </c>
    </row>
    <row r="801" spans="1:5">
      <c r="A801" s="58" t="s">
        <v>829</v>
      </c>
      <c r="B801" s="58" t="s">
        <v>1997</v>
      </c>
      <c r="C801" s="58" t="s">
        <v>1980</v>
      </c>
      <c r="D801" s="58">
        <v>7</v>
      </c>
      <c r="E801" s="58" t="e">
        <f ca="1">Valuation!Z73</f>
        <v>#NAME?</v>
      </c>
    </row>
    <row r="802" spans="1:5">
      <c r="A802" s="58" t="s">
        <v>829</v>
      </c>
      <c r="B802" s="58" t="s">
        <v>1998</v>
      </c>
      <c r="C802" s="58" t="s">
        <v>1980</v>
      </c>
      <c r="D802" s="58">
        <v>8</v>
      </c>
      <c r="E802" s="58" t="e">
        <f ca="1">Valuation!AA73</f>
        <v>#NAME?</v>
      </c>
    </row>
    <row r="803" spans="1:5">
      <c r="A803" s="58" t="s">
        <v>829</v>
      </c>
      <c r="B803" s="58" t="s">
        <v>1999</v>
      </c>
      <c r="C803" s="58" t="s">
        <v>1980</v>
      </c>
      <c r="D803" s="58">
        <v>9</v>
      </c>
      <c r="E803" s="58" t="e">
        <f ca="1">Valuation!AB73</f>
        <v>#NAME?</v>
      </c>
    </row>
    <row r="804" spans="1:5">
      <c r="A804" s="58" t="s">
        <v>829</v>
      </c>
      <c r="B804" s="58" t="s">
        <v>2000</v>
      </c>
      <c r="C804" s="58" t="s">
        <v>1980</v>
      </c>
      <c r="D804" s="58">
        <v>0</v>
      </c>
      <c r="E804" s="58">
        <f ca="1">Valuation!S73</f>
        <v>927746.55056567141</v>
      </c>
    </row>
    <row r="805" spans="1:5">
      <c r="A805" s="58" t="s">
        <v>829</v>
      </c>
      <c r="B805" s="58" t="s">
        <v>2001</v>
      </c>
      <c r="C805" s="58" t="s">
        <v>2002</v>
      </c>
      <c r="D805" s="58">
        <v>-11</v>
      </c>
      <c r="E805" s="58">
        <f>Valuation!H198</f>
        <v>0</v>
      </c>
    </row>
    <row r="806" spans="1:5">
      <c r="A806" s="58" t="s">
        <v>829</v>
      </c>
      <c r="B806" s="58" t="s">
        <v>2003</v>
      </c>
      <c r="C806" s="58" t="s">
        <v>2002</v>
      </c>
      <c r="D806" s="58">
        <v>-10</v>
      </c>
      <c r="E806" s="58">
        <f>Valuation!I198</f>
        <v>0</v>
      </c>
    </row>
    <row r="807" spans="1:5">
      <c r="A807" s="58" t="s">
        <v>829</v>
      </c>
      <c r="B807" s="58" t="s">
        <v>2004</v>
      </c>
      <c r="C807" s="58" t="s">
        <v>2002</v>
      </c>
      <c r="D807" s="58">
        <v>-9</v>
      </c>
      <c r="E807" s="58">
        <f>Valuation!J198</f>
        <v>0</v>
      </c>
    </row>
    <row r="808" spans="1:5">
      <c r="A808" s="58" t="s">
        <v>829</v>
      </c>
      <c r="B808" s="58" t="s">
        <v>2005</v>
      </c>
      <c r="C808" s="58" t="s">
        <v>2002</v>
      </c>
      <c r="D808" s="58">
        <v>-8</v>
      </c>
      <c r="E808" s="58">
        <f>Valuation!K198</f>
        <v>0</v>
      </c>
    </row>
    <row r="809" spans="1:5">
      <c r="A809" s="58" t="s">
        <v>829</v>
      </c>
      <c r="B809" s="58" t="s">
        <v>2006</v>
      </c>
      <c r="C809" s="58" t="s">
        <v>2002</v>
      </c>
      <c r="D809" s="58">
        <v>-7</v>
      </c>
      <c r="E809" s="58">
        <f>Valuation!L198</f>
        <v>0</v>
      </c>
    </row>
    <row r="810" spans="1:5">
      <c r="A810" s="58" t="s">
        <v>829</v>
      </c>
      <c r="B810" s="58" t="s">
        <v>2007</v>
      </c>
      <c r="C810" s="58" t="s">
        <v>2002</v>
      </c>
      <c r="D810" s="58">
        <v>-6</v>
      </c>
      <c r="E810" s="58">
        <f>Valuation!M198</f>
        <v>0</v>
      </c>
    </row>
    <row r="811" spans="1:5">
      <c r="A811" s="58" t="s">
        <v>829</v>
      </c>
      <c r="B811" s="58" t="s">
        <v>2008</v>
      </c>
      <c r="C811" s="58" t="s">
        <v>2002</v>
      </c>
      <c r="D811" s="58">
        <v>-5</v>
      </c>
      <c r="E811" s="58">
        <f>Valuation!N198</f>
        <v>0</v>
      </c>
    </row>
    <row r="812" spans="1:5">
      <c r="A812" s="58" t="s">
        <v>829</v>
      </c>
      <c r="B812" s="58" t="s">
        <v>2009</v>
      </c>
      <c r="C812" s="58" t="s">
        <v>2002</v>
      </c>
      <c r="D812" s="58">
        <v>-4</v>
      </c>
      <c r="E812" s="58">
        <f>Valuation!O198</f>
        <v>0</v>
      </c>
    </row>
    <row r="813" spans="1:5">
      <c r="A813" s="58" t="s">
        <v>829</v>
      </c>
      <c r="B813" s="58" t="s">
        <v>2010</v>
      </c>
      <c r="C813" s="58" t="s">
        <v>2002</v>
      </c>
      <c r="D813" s="58">
        <v>-3</v>
      </c>
      <c r="E813" s="58">
        <f>Valuation!P198</f>
        <v>0</v>
      </c>
    </row>
    <row r="814" spans="1:5">
      <c r="A814" s="58" t="s">
        <v>829</v>
      </c>
      <c r="B814" s="58" t="s">
        <v>2011</v>
      </c>
      <c r="C814" s="58" t="s">
        <v>2002</v>
      </c>
      <c r="D814" s="58">
        <v>-2</v>
      </c>
      <c r="E814" s="58">
        <f>Valuation!Q198</f>
        <v>0</v>
      </c>
    </row>
    <row r="815" spans="1:5">
      <c r="A815" s="58" t="s">
        <v>829</v>
      </c>
      <c r="B815" s="58" t="s">
        <v>2012</v>
      </c>
      <c r="C815" s="58" t="s">
        <v>2002</v>
      </c>
      <c r="D815" s="58">
        <v>-1</v>
      </c>
      <c r="E815" s="58">
        <f>Valuation!R198</f>
        <v>0</v>
      </c>
    </row>
    <row r="816" spans="1:5">
      <c r="A816" s="58" t="s">
        <v>829</v>
      </c>
      <c r="B816" s="58" t="s">
        <v>2013</v>
      </c>
      <c r="C816" s="58" t="s">
        <v>2002</v>
      </c>
      <c r="D816" s="58">
        <v>1</v>
      </c>
      <c r="E816" s="58">
        <f>Valuation!T198</f>
        <v>0</v>
      </c>
    </row>
    <row r="817" spans="1:5">
      <c r="A817" s="58" t="s">
        <v>829</v>
      </c>
      <c r="B817" s="58" t="s">
        <v>2014</v>
      </c>
      <c r="C817" s="58" t="s">
        <v>2002</v>
      </c>
      <c r="D817" s="58">
        <v>2</v>
      </c>
      <c r="E817" s="58">
        <f>Valuation!U198</f>
        <v>0</v>
      </c>
    </row>
    <row r="818" spans="1:5">
      <c r="A818" s="58" t="s">
        <v>829</v>
      </c>
      <c r="B818" s="58" t="s">
        <v>2015</v>
      </c>
      <c r="C818" s="58" t="s">
        <v>2002</v>
      </c>
      <c r="D818" s="58">
        <v>3</v>
      </c>
      <c r="E818" s="58">
        <f>Valuation!V198</f>
        <v>0</v>
      </c>
    </row>
    <row r="819" spans="1:5">
      <c r="A819" s="58" t="s">
        <v>829</v>
      </c>
      <c r="B819" s="58" t="s">
        <v>2016</v>
      </c>
      <c r="C819" s="58" t="s">
        <v>2002</v>
      </c>
      <c r="D819" s="58">
        <v>4</v>
      </c>
      <c r="E819" s="58">
        <f>Valuation!W198</f>
        <v>0</v>
      </c>
    </row>
    <row r="820" spans="1:5">
      <c r="A820" s="58" t="s">
        <v>829</v>
      </c>
      <c r="B820" s="58" t="s">
        <v>2017</v>
      </c>
      <c r="C820" s="58" t="s">
        <v>2002</v>
      </c>
      <c r="D820" s="58">
        <v>5</v>
      </c>
      <c r="E820" s="58">
        <f>Valuation!X198</f>
        <v>0</v>
      </c>
    </row>
    <row r="821" spans="1:5">
      <c r="A821" s="58" t="s">
        <v>829</v>
      </c>
      <c r="B821" s="58" t="s">
        <v>2018</v>
      </c>
      <c r="C821" s="58" t="s">
        <v>2002</v>
      </c>
      <c r="D821" s="58">
        <v>6</v>
      </c>
      <c r="E821" s="58">
        <f>Valuation!Y198</f>
        <v>0</v>
      </c>
    </row>
    <row r="822" spans="1:5">
      <c r="A822" s="58" t="s">
        <v>829</v>
      </c>
      <c r="B822" s="58" t="s">
        <v>2019</v>
      </c>
      <c r="C822" s="58" t="s">
        <v>2002</v>
      </c>
      <c r="D822" s="58">
        <v>7</v>
      </c>
      <c r="E822" s="58">
        <f>Valuation!Z198</f>
        <v>0</v>
      </c>
    </row>
    <row r="823" spans="1:5">
      <c r="A823" s="58" t="s">
        <v>829</v>
      </c>
      <c r="B823" s="58" t="s">
        <v>2020</v>
      </c>
      <c r="C823" s="58" t="s">
        <v>2002</v>
      </c>
      <c r="D823" s="58">
        <v>8</v>
      </c>
      <c r="E823" s="58">
        <f>Valuation!AA198</f>
        <v>0</v>
      </c>
    </row>
    <row r="824" spans="1:5">
      <c r="A824" s="58" t="s">
        <v>829</v>
      </c>
      <c r="B824" s="58" t="s">
        <v>2021</v>
      </c>
      <c r="C824" s="58" t="s">
        <v>2002</v>
      </c>
      <c r="D824" s="58">
        <v>9</v>
      </c>
      <c r="E824" s="58">
        <f>Valuation!AB198</f>
        <v>0</v>
      </c>
    </row>
    <row r="825" spans="1:5">
      <c r="A825" s="58" t="s">
        <v>829</v>
      </c>
      <c r="B825" s="58" t="s">
        <v>2022</v>
      </c>
      <c r="C825" s="58" t="s">
        <v>2002</v>
      </c>
      <c r="D825" s="58">
        <v>0</v>
      </c>
      <c r="E825" s="58">
        <f>Valuation!S198</f>
        <v>0</v>
      </c>
    </row>
    <row r="826" spans="1:5">
      <c r="A826" s="58" t="s">
        <v>829</v>
      </c>
      <c r="B826" s="58" t="s">
        <v>2023</v>
      </c>
      <c r="C826" s="58" t="s">
        <v>2024</v>
      </c>
      <c r="D826" s="58">
        <v>0</v>
      </c>
      <c r="E826" s="58">
        <f>Valuation!S195</f>
        <v>0</v>
      </c>
    </row>
    <row r="827" spans="1:5">
      <c r="A827" s="58" t="s">
        <v>829</v>
      </c>
      <c r="B827" s="58" t="s">
        <v>2025</v>
      </c>
      <c r="C827" s="58" t="s">
        <v>2024</v>
      </c>
      <c r="D827" s="58">
        <v>-11</v>
      </c>
      <c r="E827" s="58">
        <f>Valuation!H195</f>
        <v>0</v>
      </c>
    </row>
    <row r="828" spans="1:5">
      <c r="A828" s="58" t="s">
        <v>829</v>
      </c>
      <c r="B828" s="58" t="s">
        <v>2026</v>
      </c>
      <c r="C828" s="58" t="s">
        <v>2024</v>
      </c>
      <c r="D828" s="58">
        <v>-10</v>
      </c>
      <c r="E828" s="58">
        <f>Valuation!I195</f>
        <v>0</v>
      </c>
    </row>
    <row r="829" spans="1:5">
      <c r="A829" s="58" t="s">
        <v>829</v>
      </c>
      <c r="B829" s="58" t="s">
        <v>2027</v>
      </c>
      <c r="C829" s="58" t="s">
        <v>2024</v>
      </c>
      <c r="D829" s="58">
        <v>-9</v>
      </c>
      <c r="E829" s="58">
        <f>Valuation!J195</f>
        <v>0</v>
      </c>
    </row>
    <row r="830" spans="1:5">
      <c r="A830" s="58" t="s">
        <v>829</v>
      </c>
      <c r="B830" s="58" t="s">
        <v>2028</v>
      </c>
      <c r="C830" s="58" t="s">
        <v>2024</v>
      </c>
      <c r="D830" s="58">
        <v>-8</v>
      </c>
      <c r="E830" s="58">
        <f>Valuation!K195</f>
        <v>0</v>
      </c>
    </row>
    <row r="831" spans="1:5">
      <c r="A831" s="58" t="s">
        <v>829</v>
      </c>
      <c r="B831" s="58" t="s">
        <v>2029</v>
      </c>
      <c r="C831" s="58" t="s">
        <v>2024</v>
      </c>
      <c r="D831" s="58">
        <v>-7</v>
      </c>
      <c r="E831" s="58">
        <f>Valuation!L195</f>
        <v>0</v>
      </c>
    </row>
    <row r="832" spans="1:5">
      <c r="A832" s="58" t="s">
        <v>829</v>
      </c>
      <c r="B832" s="58" t="s">
        <v>2030</v>
      </c>
      <c r="C832" s="58" t="s">
        <v>2024</v>
      </c>
      <c r="D832" s="58">
        <v>-6</v>
      </c>
      <c r="E832" s="58">
        <f>Valuation!M195</f>
        <v>0</v>
      </c>
    </row>
    <row r="833" spans="1:5">
      <c r="A833" s="58" t="s">
        <v>829</v>
      </c>
      <c r="B833" s="58" t="s">
        <v>2031</v>
      </c>
      <c r="C833" s="58" t="s">
        <v>2024</v>
      </c>
      <c r="D833" s="58">
        <v>-5</v>
      </c>
      <c r="E833" s="58">
        <f>Valuation!N195</f>
        <v>0</v>
      </c>
    </row>
    <row r="834" spans="1:5">
      <c r="A834" s="58" t="s">
        <v>829</v>
      </c>
      <c r="B834" s="58" t="s">
        <v>2032</v>
      </c>
      <c r="C834" s="58" t="s">
        <v>2024</v>
      </c>
      <c r="D834" s="58">
        <v>-4</v>
      </c>
      <c r="E834" s="58">
        <f>Valuation!O195</f>
        <v>0</v>
      </c>
    </row>
    <row r="835" spans="1:5">
      <c r="A835" s="58" t="s">
        <v>829</v>
      </c>
      <c r="B835" s="58" t="s">
        <v>2033</v>
      </c>
      <c r="C835" s="58" t="s">
        <v>2024</v>
      </c>
      <c r="D835" s="58">
        <v>-3</v>
      </c>
      <c r="E835" s="58">
        <f>Valuation!P195</f>
        <v>0</v>
      </c>
    </row>
    <row r="836" spans="1:5">
      <c r="A836" s="58" t="s">
        <v>829</v>
      </c>
      <c r="B836" s="58" t="s">
        <v>2034</v>
      </c>
      <c r="C836" s="58" t="s">
        <v>2024</v>
      </c>
      <c r="D836" s="58">
        <v>-2</v>
      </c>
      <c r="E836" s="58">
        <f>Valuation!Q195</f>
        <v>0</v>
      </c>
    </row>
    <row r="837" spans="1:5">
      <c r="A837" s="58" t="s">
        <v>829</v>
      </c>
      <c r="B837" s="58" t="s">
        <v>2035</v>
      </c>
      <c r="C837" s="58" t="s">
        <v>2024</v>
      </c>
      <c r="D837" s="58">
        <v>-1</v>
      </c>
      <c r="E837" s="58">
        <f>Valuation!R195</f>
        <v>0</v>
      </c>
    </row>
    <row r="838" spans="1:5">
      <c r="A838" s="58" t="s">
        <v>829</v>
      </c>
      <c r="B838" s="58" t="s">
        <v>2036</v>
      </c>
      <c r="C838" s="58" t="s">
        <v>2024</v>
      </c>
      <c r="D838" s="58">
        <v>1</v>
      </c>
      <c r="E838" s="58">
        <f>Valuation!T195</f>
        <v>0</v>
      </c>
    </row>
    <row r="839" spans="1:5">
      <c r="A839" s="58" t="s">
        <v>829</v>
      </c>
      <c r="B839" s="58" t="s">
        <v>2037</v>
      </c>
      <c r="C839" s="58" t="s">
        <v>2024</v>
      </c>
      <c r="D839" s="58">
        <v>2</v>
      </c>
      <c r="E839" s="58">
        <f>Valuation!U195</f>
        <v>0</v>
      </c>
    </row>
    <row r="840" spans="1:5">
      <c r="A840" s="58" t="s">
        <v>829</v>
      </c>
      <c r="B840" s="58" t="s">
        <v>2038</v>
      </c>
      <c r="C840" s="58" t="s">
        <v>2024</v>
      </c>
      <c r="D840" s="58">
        <v>3</v>
      </c>
      <c r="E840" s="58">
        <f>Valuation!V195</f>
        <v>0</v>
      </c>
    </row>
    <row r="841" spans="1:5">
      <c r="A841" s="58" t="s">
        <v>829</v>
      </c>
      <c r="B841" s="58" t="s">
        <v>2039</v>
      </c>
      <c r="C841" s="58" t="s">
        <v>2024</v>
      </c>
      <c r="D841" s="58">
        <v>4</v>
      </c>
      <c r="E841" s="58">
        <f>Valuation!W195</f>
        <v>0</v>
      </c>
    </row>
    <row r="842" spans="1:5">
      <c r="A842" s="58" t="s">
        <v>829</v>
      </c>
      <c r="B842" s="58" t="s">
        <v>2040</v>
      </c>
      <c r="C842" s="58" t="s">
        <v>2024</v>
      </c>
      <c r="D842" s="58">
        <v>5</v>
      </c>
      <c r="E842" s="58">
        <f>Valuation!X195</f>
        <v>0</v>
      </c>
    </row>
    <row r="843" spans="1:5">
      <c r="A843" s="58" t="s">
        <v>829</v>
      </c>
      <c r="B843" s="58" t="s">
        <v>2041</v>
      </c>
      <c r="C843" s="58" t="s">
        <v>2024</v>
      </c>
      <c r="D843" s="58">
        <v>6</v>
      </c>
      <c r="E843" s="58">
        <f>Valuation!Y195</f>
        <v>0</v>
      </c>
    </row>
    <row r="844" spans="1:5">
      <c r="A844" s="58" t="s">
        <v>829</v>
      </c>
      <c r="B844" s="58" t="s">
        <v>2042</v>
      </c>
      <c r="C844" s="58" t="s">
        <v>2024</v>
      </c>
      <c r="D844" s="58">
        <v>7</v>
      </c>
      <c r="E844" s="58">
        <f>Valuation!Z195</f>
        <v>0</v>
      </c>
    </row>
    <row r="845" spans="1:5">
      <c r="A845" s="58" t="s">
        <v>829</v>
      </c>
      <c r="B845" s="58" t="s">
        <v>2043</v>
      </c>
      <c r="C845" s="58" t="s">
        <v>2024</v>
      </c>
      <c r="D845" s="58">
        <v>8</v>
      </c>
      <c r="E845" s="58">
        <f>Valuation!AA195</f>
        <v>0</v>
      </c>
    </row>
    <row r="846" spans="1:5">
      <c r="A846" s="58" t="s">
        <v>829</v>
      </c>
      <c r="B846" s="58" t="s">
        <v>2044</v>
      </c>
      <c r="C846" s="58" t="s">
        <v>2024</v>
      </c>
      <c r="D846" s="58">
        <v>9</v>
      </c>
      <c r="E846" s="58">
        <f>Valuation!AB195</f>
        <v>0</v>
      </c>
    </row>
    <row r="847" spans="1:5">
      <c r="A847" s="58" t="s">
        <v>829</v>
      </c>
      <c r="B847" s="58" t="s">
        <v>3311</v>
      </c>
      <c r="C847" s="58" t="s">
        <v>795</v>
      </c>
      <c r="D847" s="58" t="s">
        <v>1138</v>
      </c>
      <c r="E847" s="684">
        <f ca="1">Valuation!C7</f>
        <v>0</v>
      </c>
    </row>
    <row r="848" spans="1:5">
      <c r="A848" s="58" t="s">
        <v>829</v>
      </c>
      <c r="B848" s="58" t="s">
        <v>2045</v>
      </c>
      <c r="C848" s="58" t="s">
        <v>1061</v>
      </c>
      <c r="D848" s="58">
        <v>-11</v>
      </c>
      <c r="E848" s="58">
        <f>Valuation!H26</f>
        <v>0</v>
      </c>
    </row>
    <row r="849" spans="1:5">
      <c r="A849" s="58" t="s">
        <v>829</v>
      </c>
      <c r="B849" s="58" t="s">
        <v>2046</v>
      </c>
      <c r="C849" s="58" t="s">
        <v>1061</v>
      </c>
      <c r="D849" s="58">
        <v>-10</v>
      </c>
      <c r="E849" s="58">
        <f>Valuation!I26</f>
        <v>0</v>
      </c>
    </row>
    <row r="850" spans="1:5">
      <c r="A850" s="58" t="s">
        <v>829</v>
      </c>
      <c r="B850" s="58" t="s">
        <v>2047</v>
      </c>
      <c r="C850" s="58" t="s">
        <v>1061</v>
      </c>
      <c r="D850" s="58">
        <v>-9</v>
      </c>
      <c r="E850" s="58">
        <f>Valuation!J26</f>
        <v>0</v>
      </c>
    </row>
    <row r="851" spans="1:5">
      <c r="A851" s="58" t="s">
        <v>829</v>
      </c>
      <c r="B851" s="58" t="s">
        <v>2048</v>
      </c>
      <c r="C851" s="58" t="s">
        <v>1061</v>
      </c>
      <c r="D851" s="58">
        <v>-8</v>
      </c>
      <c r="E851" s="58">
        <f>Valuation!K26</f>
        <v>0</v>
      </c>
    </row>
    <row r="852" spans="1:5">
      <c r="A852" s="58" t="s">
        <v>829</v>
      </c>
      <c r="B852" s="58" t="s">
        <v>2049</v>
      </c>
      <c r="C852" s="58" t="s">
        <v>1061</v>
      </c>
      <c r="D852" s="58">
        <v>-7</v>
      </c>
      <c r="E852" s="58">
        <f>Valuation!L26</f>
        <v>0</v>
      </c>
    </row>
    <row r="853" spans="1:5">
      <c r="A853" s="58" t="s">
        <v>829</v>
      </c>
      <c r="B853" s="58" t="s">
        <v>2050</v>
      </c>
      <c r="C853" s="58" t="s">
        <v>1061</v>
      </c>
      <c r="D853" s="58">
        <v>-6</v>
      </c>
      <c r="E853" s="58">
        <f>Valuation!M26</f>
        <v>2882</v>
      </c>
    </row>
    <row r="854" spans="1:5">
      <c r="A854" s="58" t="s">
        <v>829</v>
      </c>
      <c r="B854" s="58" t="s">
        <v>2051</v>
      </c>
      <c r="C854" s="58" t="s">
        <v>1061</v>
      </c>
      <c r="D854" s="58">
        <v>-5</v>
      </c>
      <c r="E854" s="58">
        <f>Valuation!N26</f>
        <v>20463</v>
      </c>
    </row>
    <row r="855" spans="1:5">
      <c r="A855" s="58" t="s">
        <v>829</v>
      </c>
      <c r="B855" s="58" t="s">
        <v>2052</v>
      </c>
      <c r="C855" s="58" t="s">
        <v>1061</v>
      </c>
      <c r="D855" s="58">
        <v>-4</v>
      </c>
      <c r="E855" s="58">
        <f>Valuation!O26</f>
        <v>265473</v>
      </c>
    </row>
    <row r="856" spans="1:5">
      <c r="A856" s="58" t="s">
        <v>829</v>
      </c>
      <c r="B856" s="58" t="s">
        <v>2053</v>
      </c>
      <c r="C856" s="58" t="s">
        <v>1061</v>
      </c>
      <c r="D856" s="58">
        <v>-3</v>
      </c>
      <c r="E856" s="58">
        <f>Valuation!P26</f>
        <v>-167583</v>
      </c>
    </row>
    <row r="857" spans="1:5">
      <c r="A857" s="58" t="s">
        <v>829</v>
      </c>
      <c r="B857" s="58" t="s">
        <v>2054</v>
      </c>
      <c r="C857" s="58" t="s">
        <v>1061</v>
      </c>
      <c r="D857" s="58">
        <v>-2</v>
      </c>
      <c r="E857" s="58">
        <f>Valuation!Q26</f>
        <v>-716129</v>
      </c>
    </row>
    <row r="858" spans="1:5">
      <c r="A858" s="58" t="s">
        <v>829</v>
      </c>
      <c r="B858" s="58" t="s">
        <v>2055</v>
      </c>
      <c r="C858" s="58" t="s">
        <v>1061</v>
      </c>
      <c r="D858" s="58">
        <v>-1</v>
      </c>
      <c r="E858" s="58">
        <f>Valuation!R26</f>
        <v>-172037</v>
      </c>
    </row>
    <row r="859" spans="1:5">
      <c r="A859" s="58" t="s">
        <v>829</v>
      </c>
      <c r="B859" s="58" t="s">
        <v>2056</v>
      </c>
      <c r="C859" s="58" t="s">
        <v>1061</v>
      </c>
      <c r="D859" s="58">
        <v>1</v>
      </c>
      <c r="E859" s="58">
        <f>Valuation!T26</f>
        <v>0</v>
      </c>
    </row>
    <row r="860" spans="1:5">
      <c r="A860" s="58" t="s">
        <v>829</v>
      </c>
      <c r="B860" s="58" t="s">
        <v>2057</v>
      </c>
      <c r="C860" s="58" t="s">
        <v>1061</v>
      </c>
      <c r="D860" s="58">
        <v>2</v>
      </c>
      <c r="E860" s="58">
        <f>Valuation!U26</f>
        <v>0</v>
      </c>
    </row>
    <row r="861" spans="1:5">
      <c r="A861" s="58" t="s">
        <v>829</v>
      </c>
      <c r="B861" s="58" t="s">
        <v>2058</v>
      </c>
      <c r="C861" s="58" t="s">
        <v>1061</v>
      </c>
      <c r="D861" s="58">
        <v>3</v>
      </c>
      <c r="E861" s="58">
        <f>Valuation!V26</f>
        <v>0</v>
      </c>
    </row>
    <row r="862" spans="1:5">
      <c r="A862" s="58" t="s">
        <v>829</v>
      </c>
      <c r="B862" s="58" t="s">
        <v>2059</v>
      </c>
      <c r="C862" s="58" t="s">
        <v>1061</v>
      </c>
      <c r="D862" s="58">
        <v>4</v>
      </c>
      <c r="E862" s="58">
        <f>Valuation!W26</f>
        <v>0</v>
      </c>
    </row>
    <row r="863" spans="1:5">
      <c r="A863" s="58" t="s">
        <v>829</v>
      </c>
      <c r="B863" s="58" t="s">
        <v>2060</v>
      </c>
      <c r="C863" s="58" t="s">
        <v>1061</v>
      </c>
      <c r="D863" s="58">
        <v>5</v>
      </c>
      <c r="E863" s="58">
        <f>Valuation!X26</f>
        <v>0</v>
      </c>
    </row>
    <row r="864" spans="1:5">
      <c r="A864" s="58" t="s">
        <v>829</v>
      </c>
      <c r="B864" s="58" t="s">
        <v>2061</v>
      </c>
      <c r="C864" s="58" t="s">
        <v>1061</v>
      </c>
      <c r="D864" s="58">
        <v>6</v>
      </c>
      <c r="E864" s="58">
        <f>Valuation!Y26</f>
        <v>0</v>
      </c>
    </row>
    <row r="865" spans="1:5">
      <c r="A865" s="58" t="s">
        <v>829</v>
      </c>
      <c r="B865" s="58" t="s">
        <v>2062</v>
      </c>
      <c r="C865" s="58" t="s">
        <v>1061</v>
      </c>
      <c r="D865" s="58">
        <v>7</v>
      </c>
      <c r="E865" s="58">
        <f>Valuation!Z26</f>
        <v>0</v>
      </c>
    </row>
    <row r="866" spans="1:5">
      <c r="A866" s="58" t="s">
        <v>829</v>
      </c>
      <c r="B866" s="58" t="s">
        <v>2063</v>
      </c>
      <c r="C866" s="58" t="s">
        <v>1061</v>
      </c>
      <c r="D866" s="58">
        <v>8</v>
      </c>
      <c r="E866" s="58">
        <f>Valuation!AA26</f>
        <v>0</v>
      </c>
    </row>
    <row r="867" spans="1:5">
      <c r="A867" s="58" t="s">
        <v>829</v>
      </c>
      <c r="B867" s="58" t="s">
        <v>2064</v>
      </c>
      <c r="C867" s="58" t="s">
        <v>1061</v>
      </c>
      <c r="D867" s="58">
        <v>9</v>
      </c>
      <c r="E867" s="58">
        <f>Valuation!AB26</f>
        <v>0</v>
      </c>
    </row>
    <row r="868" spans="1:5">
      <c r="A868" s="58" t="s">
        <v>829</v>
      </c>
      <c r="B868" s="58" t="s">
        <v>2065</v>
      </c>
      <c r="C868" s="58" t="s">
        <v>1061</v>
      </c>
      <c r="D868" s="58">
        <v>0</v>
      </c>
      <c r="E868" s="58">
        <f>Valuation!S26</f>
        <v>0</v>
      </c>
    </row>
    <row r="869" spans="1:5">
      <c r="A869" s="58" t="s">
        <v>3238</v>
      </c>
      <c r="B869" s="58" t="s">
        <v>2066</v>
      </c>
      <c r="C869" s="58" t="s">
        <v>1141</v>
      </c>
      <c r="D869" s="58" t="s">
        <v>1138</v>
      </c>
      <c r="E869" s="58" t="str">
        <f>Ratios!Q69</f>
        <v>NM</v>
      </c>
    </row>
    <row r="870" spans="1:5">
      <c r="A870" s="58" t="s">
        <v>3238</v>
      </c>
      <c r="B870" s="58" t="s">
        <v>2067</v>
      </c>
      <c r="C870" s="58" t="s">
        <v>1142</v>
      </c>
      <c r="D870" s="58" t="s">
        <v>1138</v>
      </c>
      <c r="E870" s="58" t="e">
        <f ca="1">Ratios!R69</f>
        <v>#NAME?</v>
      </c>
    </row>
    <row r="871" spans="1:5">
      <c r="A871" s="58" t="s">
        <v>829</v>
      </c>
      <c r="B871" s="58" t="s">
        <v>2068</v>
      </c>
      <c r="C871" s="58" t="s">
        <v>47</v>
      </c>
      <c r="D871" s="58">
        <v>-11</v>
      </c>
      <c r="E871" s="58">
        <f>Valuation!H82</f>
        <v>0</v>
      </c>
    </row>
    <row r="872" spans="1:5">
      <c r="A872" s="58" t="s">
        <v>829</v>
      </c>
      <c r="B872" s="58" t="s">
        <v>2069</v>
      </c>
      <c r="C872" s="58" t="s">
        <v>47</v>
      </c>
      <c r="D872" s="58">
        <v>-10</v>
      </c>
      <c r="E872" s="58">
        <f>Valuation!I82</f>
        <v>0</v>
      </c>
    </row>
    <row r="873" spans="1:5">
      <c r="A873" s="58" t="s">
        <v>829</v>
      </c>
      <c r="B873" s="58" t="s">
        <v>2070</v>
      </c>
      <c r="C873" s="58" t="s">
        <v>47</v>
      </c>
      <c r="D873" s="58">
        <v>-9</v>
      </c>
      <c r="E873" s="58">
        <f>Valuation!J82</f>
        <v>0</v>
      </c>
    </row>
    <row r="874" spans="1:5">
      <c r="A874" s="58" t="s">
        <v>829</v>
      </c>
      <c r="B874" s="58" t="s">
        <v>2071</v>
      </c>
      <c r="C874" s="58" t="s">
        <v>47</v>
      </c>
      <c r="D874" s="58">
        <v>-8</v>
      </c>
      <c r="E874" s="58">
        <f>Valuation!K82</f>
        <v>0</v>
      </c>
    </row>
    <row r="875" spans="1:5">
      <c r="A875" s="58" t="s">
        <v>829</v>
      </c>
      <c r="B875" s="58" t="s">
        <v>2072</v>
      </c>
      <c r="C875" s="58" t="s">
        <v>47</v>
      </c>
      <c r="D875" s="58">
        <v>-7</v>
      </c>
      <c r="E875" s="58">
        <f>Valuation!L82</f>
        <v>0</v>
      </c>
    </row>
    <row r="876" spans="1:5">
      <c r="A876" s="58" t="s">
        <v>829</v>
      </c>
      <c r="B876" s="58" t="s">
        <v>2073</v>
      </c>
      <c r="C876" s="58" t="s">
        <v>47</v>
      </c>
      <c r="D876" s="58">
        <v>-6</v>
      </c>
      <c r="E876" s="58">
        <f>Valuation!M82</f>
        <v>77212</v>
      </c>
    </row>
    <row r="877" spans="1:5">
      <c r="A877" s="58" t="s">
        <v>829</v>
      </c>
      <c r="B877" s="58" t="s">
        <v>2074</v>
      </c>
      <c r="C877" s="58" t="s">
        <v>47</v>
      </c>
      <c r="D877" s="58">
        <v>-5</v>
      </c>
      <c r="E877" s="58">
        <f>Valuation!N82</f>
        <v>625758</v>
      </c>
    </row>
    <row r="878" spans="1:5">
      <c r="A878" s="58" t="s">
        <v>829</v>
      </c>
      <c r="B878" s="58" t="s">
        <v>2075</v>
      </c>
      <c r="C878" s="58" t="s">
        <v>47</v>
      </c>
      <c r="D878" s="58">
        <v>-4</v>
      </c>
      <c r="E878" s="58">
        <f>Valuation!O82</f>
        <v>1073906</v>
      </c>
    </row>
    <row r="879" spans="1:5">
      <c r="A879" s="58" t="s">
        <v>829</v>
      </c>
      <c r="B879" s="58" t="s">
        <v>2076</v>
      </c>
      <c r="C879" s="58" t="s">
        <v>47</v>
      </c>
      <c r="D879" s="58">
        <v>-3</v>
      </c>
      <c r="E879" s="58">
        <f>Valuation!P82</f>
        <v>1139670</v>
      </c>
    </row>
    <row r="880" spans="1:5">
      <c r="A880" s="58" t="s">
        <v>829</v>
      </c>
      <c r="B880" s="58" t="s">
        <v>2077</v>
      </c>
      <c r="C880" s="58" t="s">
        <v>47</v>
      </c>
      <c r="D880" s="58">
        <v>-2</v>
      </c>
      <c r="E880" s="58">
        <f>Valuation!Q82</f>
        <v>1139670</v>
      </c>
    </row>
    <row r="881" spans="1:5">
      <c r="A881" s="58" t="s">
        <v>829</v>
      </c>
      <c r="B881" s="58" t="s">
        <v>2078</v>
      </c>
      <c r="C881" s="58" t="s">
        <v>47</v>
      </c>
      <c r="D881" s="58">
        <v>-1</v>
      </c>
      <c r="E881" s="58">
        <f>Valuation!R82</f>
        <v>4168967</v>
      </c>
    </row>
    <row r="882" spans="1:5">
      <c r="A882" s="58" t="s">
        <v>829</v>
      </c>
      <c r="B882" s="58" t="s">
        <v>2079</v>
      </c>
      <c r="C882" s="58" t="s">
        <v>47</v>
      </c>
      <c r="D882" s="58">
        <v>1</v>
      </c>
      <c r="E882" s="58">
        <f>Valuation!T82</f>
        <v>4168967</v>
      </c>
    </row>
    <row r="883" spans="1:5">
      <c r="A883" s="58" t="s">
        <v>829</v>
      </c>
      <c r="B883" s="58" t="s">
        <v>2080</v>
      </c>
      <c r="C883" s="58" t="s">
        <v>47</v>
      </c>
      <c r="D883" s="58">
        <v>2</v>
      </c>
      <c r="E883" s="58">
        <f>Valuation!U82</f>
        <v>4168967</v>
      </c>
    </row>
    <row r="884" spans="1:5">
      <c r="A884" s="58" t="s">
        <v>829</v>
      </c>
      <c r="B884" s="58" t="s">
        <v>2081</v>
      </c>
      <c r="C884" s="58" t="s">
        <v>47</v>
      </c>
      <c r="D884" s="58">
        <v>3</v>
      </c>
      <c r="E884" s="58">
        <f>Valuation!V82</f>
        <v>4168967</v>
      </c>
    </row>
    <row r="885" spans="1:5">
      <c r="A885" s="58" t="s">
        <v>829</v>
      </c>
      <c r="B885" s="58" t="s">
        <v>2082</v>
      </c>
      <c r="C885" s="58" t="s">
        <v>47</v>
      </c>
      <c r="D885" s="58">
        <v>4</v>
      </c>
      <c r="E885" s="58">
        <f>Valuation!W82</f>
        <v>4168967</v>
      </c>
    </row>
    <row r="886" spans="1:5">
      <c r="A886" s="58" t="s">
        <v>829</v>
      </c>
      <c r="B886" s="58" t="s">
        <v>2083</v>
      </c>
      <c r="C886" s="58" t="s">
        <v>47</v>
      </c>
      <c r="D886" s="58">
        <v>5</v>
      </c>
      <c r="E886" s="58">
        <f>Valuation!X82</f>
        <v>4168967</v>
      </c>
    </row>
    <row r="887" spans="1:5">
      <c r="A887" s="58" t="s">
        <v>829</v>
      </c>
      <c r="B887" s="58" t="s">
        <v>2084</v>
      </c>
      <c r="C887" s="58" t="s">
        <v>47</v>
      </c>
      <c r="D887" s="58">
        <v>6</v>
      </c>
      <c r="E887" s="58">
        <f>Valuation!Y82</f>
        <v>4168967</v>
      </c>
    </row>
    <row r="888" spans="1:5">
      <c r="A888" s="58" t="s">
        <v>829</v>
      </c>
      <c r="B888" s="58" t="s">
        <v>2085</v>
      </c>
      <c r="C888" s="58" t="s">
        <v>47</v>
      </c>
      <c r="D888" s="58">
        <v>7</v>
      </c>
      <c r="E888" s="58">
        <f>Valuation!Z82</f>
        <v>4168967</v>
      </c>
    </row>
    <row r="889" spans="1:5">
      <c r="A889" s="58" t="s">
        <v>829</v>
      </c>
      <c r="B889" s="58" t="s">
        <v>2086</v>
      </c>
      <c r="C889" s="58" t="s">
        <v>47</v>
      </c>
      <c r="D889" s="58">
        <v>8</v>
      </c>
      <c r="E889" s="58">
        <f>Valuation!AA82</f>
        <v>4168967</v>
      </c>
    </row>
    <row r="890" spans="1:5">
      <c r="A890" s="58" t="s">
        <v>829</v>
      </c>
      <c r="B890" s="58" t="s">
        <v>2087</v>
      </c>
      <c r="C890" s="58" t="s">
        <v>47</v>
      </c>
      <c r="D890" s="58">
        <v>9</v>
      </c>
      <c r="E890" s="58">
        <f>Valuation!AB82</f>
        <v>4168967</v>
      </c>
    </row>
    <row r="891" spans="1:5">
      <c r="A891" s="58" t="s">
        <v>829</v>
      </c>
      <c r="B891" s="58" t="s">
        <v>2088</v>
      </c>
      <c r="C891" s="58" t="s">
        <v>47</v>
      </c>
      <c r="D891" s="58">
        <v>0</v>
      </c>
      <c r="E891" s="58">
        <f>Valuation!S82</f>
        <v>4168967</v>
      </c>
    </row>
    <row r="892" spans="1:5">
      <c r="A892" s="58" t="s">
        <v>829</v>
      </c>
      <c r="B892" s="58" t="s">
        <v>2089</v>
      </c>
      <c r="C892" s="58" t="s">
        <v>2090</v>
      </c>
      <c r="D892" s="58">
        <v>0</v>
      </c>
      <c r="E892" s="58">
        <f ca="1">Valuation!S15</f>
        <v>1</v>
      </c>
    </row>
    <row r="893" spans="1:5">
      <c r="A893" s="58" t="s">
        <v>829</v>
      </c>
      <c r="B893" s="58" t="s">
        <v>2091</v>
      </c>
      <c r="C893" s="58" t="s">
        <v>2090</v>
      </c>
      <c r="D893" s="58">
        <v>-11</v>
      </c>
      <c r="E893" s="58" t="str">
        <f>Valuation!H15</f>
        <v/>
      </c>
    </row>
    <row r="894" spans="1:5">
      <c r="A894" s="58" t="s">
        <v>829</v>
      </c>
      <c r="B894" s="58" t="s">
        <v>2092</v>
      </c>
      <c r="C894" s="58" t="s">
        <v>2090</v>
      </c>
      <c r="D894" s="58">
        <v>-10</v>
      </c>
      <c r="E894" s="58" t="str">
        <f>Valuation!I15</f>
        <v/>
      </c>
    </row>
    <row r="895" spans="1:5">
      <c r="A895" s="58" t="s">
        <v>829</v>
      </c>
      <c r="B895" s="58" t="s">
        <v>2093</v>
      </c>
      <c r="C895" s="58" t="s">
        <v>2090</v>
      </c>
      <c r="D895" s="58">
        <v>-9</v>
      </c>
      <c r="E895" s="58" t="str">
        <f>Valuation!J15</f>
        <v/>
      </c>
    </row>
    <row r="896" spans="1:5">
      <c r="A896" s="58" t="s">
        <v>829</v>
      </c>
      <c r="B896" s="58" t="s">
        <v>2094</v>
      </c>
      <c r="C896" s="58" t="s">
        <v>2090</v>
      </c>
      <c r="D896" s="58">
        <v>-8</v>
      </c>
      <c r="E896" s="58" t="str">
        <f>Valuation!K15</f>
        <v/>
      </c>
    </row>
    <row r="897" spans="1:5">
      <c r="A897" s="58" t="s">
        <v>829</v>
      </c>
      <c r="B897" s="58" t="s">
        <v>2095</v>
      </c>
      <c r="C897" s="58" t="s">
        <v>2090</v>
      </c>
      <c r="D897" s="58">
        <v>-7</v>
      </c>
      <c r="E897" s="58" t="str">
        <f>Valuation!L15</f>
        <v/>
      </c>
    </row>
    <row r="898" spans="1:5">
      <c r="A898" s="58" t="s">
        <v>829</v>
      </c>
      <c r="B898" s="58" t="s">
        <v>2096</v>
      </c>
      <c r="C898" s="58" t="s">
        <v>2090</v>
      </c>
      <c r="D898" s="58">
        <v>-6</v>
      </c>
      <c r="E898" s="58">
        <f>Valuation!M15</f>
        <v>1</v>
      </c>
    </row>
    <row r="899" spans="1:5">
      <c r="A899" s="58" t="s">
        <v>829</v>
      </c>
      <c r="B899" s="58" t="s">
        <v>2097</v>
      </c>
      <c r="C899" s="58" t="s">
        <v>2090</v>
      </c>
      <c r="D899" s="58">
        <v>-5</v>
      </c>
      <c r="E899" s="58">
        <f>Valuation!N15</f>
        <v>1</v>
      </c>
    </row>
    <row r="900" spans="1:5">
      <c r="A900" s="58" t="s">
        <v>829</v>
      </c>
      <c r="B900" s="58" t="s">
        <v>2098</v>
      </c>
      <c r="C900" s="58" t="s">
        <v>2090</v>
      </c>
      <c r="D900" s="58">
        <v>-4</v>
      </c>
      <c r="E900" s="58">
        <f>Valuation!O15</f>
        <v>1</v>
      </c>
    </row>
    <row r="901" spans="1:5">
      <c r="A901" s="58" t="s">
        <v>829</v>
      </c>
      <c r="B901" s="58" t="s">
        <v>2099</v>
      </c>
      <c r="C901" s="58" t="s">
        <v>2090</v>
      </c>
      <c r="D901" s="58">
        <v>-3</v>
      </c>
      <c r="E901" s="58">
        <f>Valuation!P15</f>
        <v>1</v>
      </c>
    </row>
    <row r="902" spans="1:5">
      <c r="A902" s="58" t="s">
        <v>829</v>
      </c>
      <c r="B902" s="58" t="s">
        <v>2100</v>
      </c>
      <c r="C902" s="58" t="s">
        <v>2090</v>
      </c>
      <c r="D902" s="58">
        <v>-2</v>
      </c>
      <c r="E902" s="58">
        <f>Valuation!Q15</f>
        <v>1</v>
      </c>
    </row>
    <row r="903" spans="1:5">
      <c r="A903" s="58" t="s">
        <v>829</v>
      </c>
      <c r="B903" s="58" t="s">
        <v>2101</v>
      </c>
      <c r="C903" s="58" t="s">
        <v>2090</v>
      </c>
      <c r="D903" s="58">
        <v>-1</v>
      </c>
      <c r="E903" s="58">
        <f>Valuation!R15</f>
        <v>1</v>
      </c>
    </row>
    <row r="904" spans="1:5">
      <c r="A904" s="58" t="s">
        <v>829</v>
      </c>
      <c r="B904" s="58" t="s">
        <v>2102</v>
      </c>
      <c r="C904" s="58" t="s">
        <v>2090</v>
      </c>
      <c r="D904" s="58">
        <v>1</v>
      </c>
      <c r="E904" s="58" t="str">
        <f ca="1">Valuation!T15</f>
        <v/>
      </c>
    </row>
    <row r="905" spans="1:5">
      <c r="A905" s="58" t="s">
        <v>829</v>
      </c>
      <c r="B905" s="58" t="s">
        <v>2103</v>
      </c>
      <c r="C905" s="58" t="s">
        <v>2090</v>
      </c>
      <c r="D905" s="58">
        <v>2</v>
      </c>
      <c r="E905" s="58" t="str">
        <f ca="1">Valuation!U15</f>
        <v/>
      </c>
    </row>
    <row r="906" spans="1:5">
      <c r="A906" s="58" t="s">
        <v>829</v>
      </c>
      <c r="B906" s="58" t="s">
        <v>2104</v>
      </c>
      <c r="C906" s="58" t="s">
        <v>2090</v>
      </c>
      <c r="D906" s="58">
        <v>3</v>
      </c>
      <c r="E906" s="58" t="str">
        <f ca="1">Valuation!V15</f>
        <v/>
      </c>
    </row>
    <row r="907" spans="1:5">
      <c r="A907" s="58" t="s">
        <v>829</v>
      </c>
      <c r="B907" s="58" t="s">
        <v>2105</v>
      </c>
      <c r="C907" s="58" t="s">
        <v>2090</v>
      </c>
      <c r="D907" s="58">
        <v>4</v>
      </c>
      <c r="E907" s="58" t="str">
        <f ca="1">Valuation!W15</f>
        <v/>
      </c>
    </row>
    <row r="908" spans="1:5">
      <c r="A908" s="58" t="s">
        <v>829</v>
      </c>
      <c r="B908" s="58" t="s">
        <v>2106</v>
      </c>
      <c r="C908" s="58" t="s">
        <v>2090</v>
      </c>
      <c r="D908" s="58">
        <v>5</v>
      </c>
      <c r="E908" s="58" t="str">
        <f ca="1">Valuation!X15</f>
        <v/>
      </c>
    </row>
    <row r="909" spans="1:5">
      <c r="A909" s="58" t="s">
        <v>829</v>
      </c>
      <c r="B909" s="58" t="s">
        <v>2107</v>
      </c>
      <c r="C909" s="58" t="s">
        <v>2090</v>
      </c>
      <c r="D909" s="58">
        <v>6</v>
      </c>
      <c r="E909" s="58" t="str">
        <f ca="1">Valuation!Y15</f>
        <v/>
      </c>
    </row>
    <row r="910" spans="1:5">
      <c r="A910" s="58" t="s">
        <v>829</v>
      </c>
      <c r="B910" s="58" t="s">
        <v>2108</v>
      </c>
      <c r="C910" s="58" t="s">
        <v>2090</v>
      </c>
      <c r="D910" s="58">
        <v>7</v>
      </c>
      <c r="E910" s="58" t="str">
        <f ca="1">Valuation!Z15</f>
        <v/>
      </c>
    </row>
    <row r="911" spans="1:5">
      <c r="A911" s="58" t="s">
        <v>829</v>
      </c>
      <c r="B911" s="58" t="s">
        <v>2109</v>
      </c>
      <c r="C911" s="58" t="s">
        <v>2090</v>
      </c>
      <c r="D911" s="58">
        <v>8</v>
      </c>
      <c r="E911" s="58" t="str">
        <f ca="1">Valuation!AA15</f>
        <v/>
      </c>
    </row>
    <row r="912" spans="1:5">
      <c r="A912" s="58" t="s">
        <v>829</v>
      </c>
      <c r="B912" s="58" t="s">
        <v>2110</v>
      </c>
      <c r="C912" s="58" t="s">
        <v>2090</v>
      </c>
      <c r="D912" s="58">
        <v>9</v>
      </c>
      <c r="E912" s="58" t="str">
        <f ca="1">Valuation!AB15</f>
        <v/>
      </c>
    </row>
    <row r="913" spans="1:5">
      <c r="A913" s="58" t="s">
        <v>829</v>
      </c>
      <c r="B913" s="58" t="s">
        <v>2111</v>
      </c>
      <c r="C913" s="58" t="s">
        <v>6</v>
      </c>
      <c r="D913" s="58">
        <v>0</v>
      </c>
      <c r="E913" s="58">
        <f ca="1">Valuation!S14</f>
        <v>6803250.5397419743</v>
      </c>
    </row>
    <row r="914" spans="1:5">
      <c r="A914" s="58" t="s">
        <v>829</v>
      </c>
      <c r="B914" s="58" t="s">
        <v>2112</v>
      </c>
      <c r="C914" s="58" t="s">
        <v>6</v>
      </c>
      <c r="D914" s="58">
        <v>-11</v>
      </c>
      <c r="E914" s="58">
        <f>Valuation!H14</f>
        <v>0</v>
      </c>
    </row>
    <row r="915" spans="1:5">
      <c r="A915" s="58" t="s">
        <v>829</v>
      </c>
      <c r="B915" s="58" t="s">
        <v>2113</v>
      </c>
      <c r="C915" s="58" t="s">
        <v>6</v>
      </c>
      <c r="D915" s="58">
        <v>-10</v>
      </c>
      <c r="E915" s="58">
        <f>Valuation!I14</f>
        <v>0</v>
      </c>
    </row>
    <row r="916" spans="1:5">
      <c r="A916" s="58" t="s">
        <v>829</v>
      </c>
      <c r="B916" s="58" t="s">
        <v>2114</v>
      </c>
      <c r="C916" s="58" t="s">
        <v>6</v>
      </c>
      <c r="D916" s="58">
        <v>-9</v>
      </c>
      <c r="E916" s="58">
        <f>Valuation!J14</f>
        <v>0</v>
      </c>
    </row>
    <row r="917" spans="1:5">
      <c r="A917" s="58" t="s">
        <v>829</v>
      </c>
      <c r="B917" s="58" t="s">
        <v>2115</v>
      </c>
      <c r="C917" s="58" t="s">
        <v>6</v>
      </c>
      <c r="D917" s="58">
        <v>-8</v>
      </c>
      <c r="E917" s="58">
        <f>Valuation!K14</f>
        <v>0</v>
      </c>
    </row>
    <row r="918" spans="1:5">
      <c r="A918" s="58" t="s">
        <v>829</v>
      </c>
      <c r="B918" s="58" t="s">
        <v>2116</v>
      </c>
      <c r="C918" s="58" t="s">
        <v>6</v>
      </c>
      <c r="D918" s="58">
        <v>-7</v>
      </c>
      <c r="E918" s="58">
        <f>Valuation!L14</f>
        <v>0</v>
      </c>
    </row>
    <row r="919" spans="1:5">
      <c r="A919" s="58" t="s">
        <v>829</v>
      </c>
      <c r="B919" s="58" t="s">
        <v>2117</v>
      </c>
      <c r="C919" s="58" t="s">
        <v>6</v>
      </c>
      <c r="D919" s="58">
        <v>-6</v>
      </c>
      <c r="E919" s="58">
        <f>Valuation!M14</f>
        <v>1277481</v>
      </c>
    </row>
    <row r="920" spans="1:5">
      <c r="A920" s="58" t="s">
        <v>829</v>
      </c>
      <c r="B920" s="58" t="s">
        <v>2118</v>
      </c>
      <c r="C920" s="58" t="s">
        <v>6</v>
      </c>
      <c r="D920" s="58">
        <v>-5</v>
      </c>
      <c r="E920" s="58">
        <f>Valuation!N14</f>
        <v>7839444</v>
      </c>
    </row>
    <row r="921" spans="1:5">
      <c r="A921" s="58" t="s">
        <v>829</v>
      </c>
      <c r="B921" s="58" t="s">
        <v>2119</v>
      </c>
      <c r="C921" s="58" t="s">
        <v>6</v>
      </c>
      <c r="D921" s="58">
        <v>-4</v>
      </c>
      <c r="E921" s="58">
        <f>Valuation!O14</f>
        <v>3194208</v>
      </c>
    </row>
    <row r="922" spans="1:5">
      <c r="A922" s="58" t="s">
        <v>829</v>
      </c>
      <c r="B922" s="58" t="s">
        <v>2120</v>
      </c>
      <c r="C922" s="58" t="s">
        <v>6</v>
      </c>
      <c r="D922" s="58">
        <v>-3</v>
      </c>
      <c r="E922" s="58">
        <f>Valuation!P14</f>
        <v>3108383</v>
      </c>
    </row>
    <row r="923" spans="1:5">
      <c r="A923" s="58" t="s">
        <v>829</v>
      </c>
      <c r="B923" s="58" t="s">
        <v>2121</v>
      </c>
      <c r="C923" s="58" t="s">
        <v>6</v>
      </c>
      <c r="D923" s="58">
        <v>-2</v>
      </c>
      <c r="E923" s="58">
        <f>Valuation!Q14</f>
        <v>6564028</v>
      </c>
    </row>
    <row r="924" spans="1:5">
      <c r="A924" s="58" t="s">
        <v>829</v>
      </c>
      <c r="B924" s="58" t="s">
        <v>2122</v>
      </c>
      <c r="C924" s="58" t="s">
        <v>6</v>
      </c>
      <c r="D924" s="58">
        <v>-1</v>
      </c>
      <c r="E924" s="58">
        <f>Valuation!R14</f>
        <v>7181325</v>
      </c>
    </row>
    <row r="925" spans="1:5">
      <c r="A925" s="58" t="s">
        <v>829</v>
      </c>
      <c r="B925" s="58" t="s">
        <v>2123</v>
      </c>
      <c r="C925" s="58" t="s">
        <v>6</v>
      </c>
      <c r="D925" s="58">
        <v>1</v>
      </c>
      <c r="E925" s="58" t="e">
        <f ca="1">Valuation!T14</f>
        <v>#NAME?</v>
      </c>
    </row>
    <row r="926" spans="1:5">
      <c r="A926" s="58" t="s">
        <v>829</v>
      </c>
      <c r="B926" s="58" t="s">
        <v>2124</v>
      </c>
      <c r="C926" s="58" t="s">
        <v>6</v>
      </c>
      <c r="D926" s="58">
        <v>2</v>
      </c>
      <c r="E926" s="58" t="e">
        <f ca="1">Valuation!U14</f>
        <v>#NAME?</v>
      </c>
    </row>
    <row r="927" spans="1:5">
      <c r="A927" s="58" t="s">
        <v>829</v>
      </c>
      <c r="B927" s="58" t="s">
        <v>2125</v>
      </c>
      <c r="C927" s="58" t="s">
        <v>6</v>
      </c>
      <c r="D927" s="58">
        <v>3</v>
      </c>
      <c r="E927" s="58" t="e">
        <f ca="1">Valuation!V14</f>
        <v>#NAME?</v>
      </c>
    </row>
    <row r="928" spans="1:5">
      <c r="A928" s="58" t="s">
        <v>829</v>
      </c>
      <c r="B928" s="58" t="s">
        <v>2126</v>
      </c>
      <c r="C928" s="58" t="s">
        <v>6</v>
      </c>
      <c r="D928" s="58">
        <v>4</v>
      </c>
      <c r="E928" s="58" t="e">
        <f ca="1">Valuation!W14</f>
        <v>#NAME?</v>
      </c>
    </row>
    <row r="929" spans="1:5">
      <c r="A929" s="58" t="s">
        <v>829</v>
      </c>
      <c r="B929" s="58" t="s">
        <v>2127</v>
      </c>
      <c r="C929" s="58" t="s">
        <v>6</v>
      </c>
      <c r="D929" s="58">
        <v>5</v>
      </c>
      <c r="E929" s="58" t="e">
        <f ca="1">Valuation!X14</f>
        <v>#NAME?</v>
      </c>
    </row>
    <row r="930" spans="1:5">
      <c r="A930" s="58" t="s">
        <v>829</v>
      </c>
      <c r="B930" s="58" t="s">
        <v>2128</v>
      </c>
      <c r="C930" s="58" t="s">
        <v>6</v>
      </c>
      <c r="D930" s="58">
        <v>6</v>
      </c>
      <c r="E930" s="58" t="e">
        <f ca="1">Valuation!Y14</f>
        <v>#NAME?</v>
      </c>
    </row>
    <row r="931" spans="1:5">
      <c r="A931" s="58" t="s">
        <v>829</v>
      </c>
      <c r="B931" s="58" t="s">
        <v>2129</v>
      </c>
      <c r="C931" s="58" t="s">
        <v>6</v>
      </c>
      <c r="D931" s="58">
        <v>7</v>
      </c>
      <c r="E931" s="58" t="e">
        <f ca="1">Valuation!Z14</f>
        <v>#NAME?</v>
      </c>
    </row>
    <row r="932" spans="1:5">
      <c r="A932" s="58" t="s">
        <v>829</v>
      </c>
      <c r="B932" s="58" t="s">
        <v>2130</v>
      </c>
      <c r="C932" s="58" t="s">
        <v>6</v>
      </c>
      <c r="D932" s="58">
        <v>8</v>
      </c>
      <c r="E932" s="58" t="e">
        <f ca="1">Valuation!AA14</f>
        <v>#NAME?</v>
      </c>
    </row>
    <row r="933" spans="1:5">
      <c r="A933" s="58" t="s">
        <v>829</v>
      </c>
      <c r="B933" s="58" t="s">
        <v>2131</v>
      </c>
      <c r="C933" s="58" t="s">
        <v>6</v>
      </c>
      <c r="D933" s="58">
        <v>9</v>
      </c>
      <c r="E933" s="58" t="e">
        <f ca="1">Valuation!AB14</f>
        <v>#NAME?</v>
      </c>
    </row>
    <row r="934" spans="1:5">
      <c r="A934" s="58" t="s">
        <v>829</v>
      </c>
      <c r="B934" s="58" t="s">
        <v>1221</v>
      </c>
      <c r="C934" s="58" t="s">
        <v>2132</v>
      </c>
      <c r="D934" s="58">
        <v>-11</v>
      </c>
      <c r="E934" s="58">
        <f>Valuation!H61</f>
        <v>0</v>
      </c>
    </row>
    <row r="935" spans="1:5">
      <c r="A935" s="58" t="s">
        <v>829</v>
      </c>
      <c r="B935" s="58" t="s">
        <v>1222</v>
      </c>
      <c r="C935" s="58" t="s">
        <v>2132</v>
      </c>
      <c r="D935" s="58">
        <v>-10</v>
      </c>
      <c r="E935" s="58">
        <f>Valuation!I61</f>
        <v>0</v>
      </c>
    </row>
    <row r="936" spans="1:5">
      <c r="A936" s="58" t="s">
        <v>829</v>
      </c>
      <c r="B936" s="58" t="s">
        <v>1223</v>
      </c>
      <c r="C936" s="58" t="s">
        <v>2132</v>
      </c>
      <c r="D936" s="58">
        <v>-9</v>
      </c>
      <c r="E936" s="58">
        <f>Valuation!J61</f>
        <v>0</v>
      </c>
    </row>
    <row r="937" spans="1:5">
      <c r="A937" s="58" t="s">
        <v>829</v>
      </c>
      <c r="B937" s="58" t="s">
        <v>1224</v>
      </c>
      <c r="C937" s="58" t="s">
        <v>2132</v>
      </c>
      <c r="D937" s="58">
        <v>-8</v>
      </c>
      <c r="E937" s="58">
        <f>Valuation!K61</f>
        <v>0</v>
      </c>
    </row>
    <row r="938" spans="1:5">
      <c r="A938" s="58" t="s">
        <v>829</v>
      </c>
      <c r="B938" s="58" t="s">
        <v>1225</v>
      </c>
      <c r="C938" s="58" t="s">
        <v>2132</v>
      </c>
      <c r="D938" s="58">
        <v>-7</v>
      </c>
      <c r="E938" s="58">
        <f>Valuation!L61</f>
        <v>0</v>
      </c>
    </row>
    <row r="939" spans="1:5">
      <c r="A939" s="58" t="s">
        <v>829</v>
      </c>
      <c r="B939" s="58" t="s">
        <v>1226</v>
      </c>
      <c r="C939" s="58" t="s">
        <v>2132</v>
      </c>
      <c r="D939" s="58">
        <v>-6</v>
      </c>
      <c r="E939" s="58">
        <f>Valuation!M61</f>
        <v>0</v>
      </c>
    </row>
    <row r="940" spans="1:5">
      <c r="A940" s="58" t="s">
        <v>829</v>
      </c>
      <c r="B940" s="58" t="s">
        <v>1227</v>
      </c>
      <c r="C940" s="58" t="s">
        <v>2132</v>
      </c>
      <c r="D940" s="58">
        <v>-5</v>
      </c>
      <c r="E940" s="58">
        <f>Valuation!N61</f>
        <v>-18802</v>
      </c>
    </row>
    <row r="941" spans="1:5">
      <c r="A941" s="58" t="s">
        <v>829</v>
      </c>
      <c r="B941" s="58" t="s">
        <v>1228</v>
      </c>
      <c r="C941" s="58" t="s">
        <v>2132</v>
      </c>
      <c r="D941" s="58">
        <v>-4</v>
      </c>
      <c r="E941" s="58">
        <f>Valuation!O61</f>
        <v>-24952</v>
      </c>
    </row>
    <row r="942" spans="1:5">
      <c r="A942" s="58" t="s">
        <v>829</v>
      </c>
      <c r="B942" s="58" t="s">
        <v>1229</v>
      </c>
      <c r="C942" s="58" t="s">
        <v>2132</v>
      </c>
      <c r="D942" s="58">
        <v>-3</v>
      </c>
      <c r="E942" s="58">
        <f>Valuation!P61</f>
        <v>-70000</v>
      </c>
    </row>
    <row r="943" spans="1:5">
      <c r="A943" s="58" t="s">
        <v>829</v>
      </c>
      <c r="B943" s="58" t="s">
        <v>1230</v>
      </c>
      <c r="C943" s="58" t="s">
        <v>2132</v>
      </c>
      <c r="D943" s="58">
        <v>-2</v>
      </c>
      <c r="E943" s="58">
        <f>Valuation!Q61</f>
        <v>-110500</v>
      </c>
    </row>
    <row r="944" spans="1:5">
      <c r="A944" s="58" t="s">
        <v>829</v>
      </c>
      <c r="B944" s="58" t="s">
        <v>1231</v>
      </c>
      <c r="C944" s="58" t="s">
        <v>2132</v>
      </c>
      <c r="D944" s="58">
        <v>-1</v>
      </c>
      <c r="E944" s="58">
        <f>Valuation!R61</f>
        <v>-138300</v>
      </c>
    </row>
    <row r="945" spans="1:5">
      <c r="A945" s="58" t="s">
        <v>829</v>
      </c>
      <c r="B945" s="58" t="s">
        <v>1232</v>
      </c>
      <c r="C945" s="58" t="s">
        <v>2132</v>
      </c>
      <c r="D945" s="58">
        <v>1</v>
      </c>
      <c r="E945" s="58" t="e">
        <f ca="1">Valuation!T61</f>
        <v>#NAME?</v>
      </c>
    </row>
    <row r="946" spans="1:5">
      <c r="A946" s="58" t="s">
        <v>829</v>
      </c>
      <c r="B946" s="58" t="s">
        <v>1233</v>
      </c>
      <c r="C946" s="58" t="s">
        <v>2132</v>
      </c>
      <c r="D946" s="58">
        <v>2</v>
      </c>
      <c r="E946" s="58" t="e">
        <f ca="1">Valuation!U61</f>
        <v>#NAME?</v>
      </c>
    </row>
    <row r="947" spans="1:5">
      <c r="A947" s="58" t="s">
        <v>829</v>
      </c>
      <c r="B947" s="58" t="s">
        <v>1234</v>
      </c>
      <c r="C947" s="58" t="s">
        <v>2132</v>
      </c>
      <c r="D947" s="58">
        <v>3</v>
      </c>
      <c r="E947" s="58" t="e">
        <f ca="1">Valuation!V61</f>
        <v>#NAME?</v>
      </c>
    </row>
    <row r="948" spans="1:5">
      <c r="A948" s="58" t="s">
        <v>829</v>
      </c>
      <c r="B948" s="58" t="s">
        <v>1235</v>
      </c>
      <c r="C948" s="58" t="s">
        <v>2132</v>
      </c>
      <c r="D948" s="58">
        <v>4</v>
      </c>
      <c r="E948" s="58" t="e">
        <f ca="1">Valuation!W61</f>
        <v>#NAME?</v>
      </c>
    </row>
    <row r="949" spans="1:5">
      <c r="A949" s="58" t="s">
        <v>829</v>
      </c>
      <c r="B949" s="58" t="s">
        <v>1236</v>
      </c>
      <c r="C949" s="58" t="s">
        <v>2132</v>
      </c>
      <c r="D949" s="58">
        <v>5</v>
      </c>
      <c r="E949" s="58" t="e">
        <f ca="1">Valuation!X61</f>
        <v>#NAME?</v>
      </c>
    </row>
    <row r="950" spans="1:5">
      <c r="A950" s="58" t="s">
        <v>829</v>
      </c>
      <c r="B950" s="58" t="s">
        <v>1237</v>
      </c>
      <c r="C950" s="58" t="s">
        <v>2132</v>
      </c>
      <c r="D950" s="58">
        <v>6</v>
      </c>
      <c r="E950" s="58" t="e">
        <f ca="1">Valuation!Y61</f>
        <v>#NAME?</v>
      </c>
    </row>
    <row r="951" spans="1:5">
      <c r="A951" s="58" t="s">
        <v>829</v>
      </c>
      <c r="B951" s="58" t="s">
        <v>1238</v>
      </c>
      <c r="C951" s="58" t="s">
        <v>2132</v>
      </c>
      <c r="D951" s="58">
        <v>7</v>
      </c>
      <c r="E951" s="58" t="e">
        <f ca="1">Valuation!Z61</f>
        <v>#NAME?</v>
      </c>
    </row>
    <row r="952" spans="1:5">
      <c r="A952" s="58" t="s">
        <v>829</v>
      </c>
      <c r="B952" s="58" t="s">
        <v>1239</v>
      </c>
      <c r="C952" s="58" t="s">
        <v>2132</v>
      </c>
      <c r="D952" s="58">
        <v>8</v>
      </c>
      <c r="E952" s="58" t="e">
        <f ca="1">Valuation!AA61</f>
        <v>#NAME?</v>
      </c>
    </row>
    <row r="953" spans="1:5">
      <c r="A953" s="58" t="s">
        <v>829</v>
      </c>
      <c r="B953" s="58" t="s">
        <v>1240</v>
      </c>
      <c r="C953" s="58" t="s">
        <v>2132</v>
      </c>
      <c r="D953" s="58">
        <v>9</v>
      </c>
      <c r="E953" s="58" t="e">
        <f ca="1">Valuation!AB61</f>
        <v>#NAME?</v>
      </c>
    </row>
    <row r="954" spans="1:5">
      <c r="A954" s="58" t="s">
        <v>829</v>
      </c>
      <c r="B954" s="58" t="s">
        <v>1241</v>
      </c>
      <c r="C954" s="58" t="s">
        <v>2132</v>
      </c>
      <c r="D954" s="58">
        <v>0</v>
      </c>
      <c r="E954" s="58">
        <f ca="1">Valuation!S61</f>
        <v>-142868.26133458148</v>
      </c>
    </row>
    <row r="955" spans="1:5">
      <c r="A955" s="58" t="s">
        <v>829</v>
      </c>
      <c r="B955" s="58" t="s">
        <v>1242</v>
      </c>
      <c r="C955" s="58" t="s">
        <v>2133</v>
      </c>
      <c r="D955" s="58">
        <v>-11</v>
      </c>
      <c r="E955" s="58">
        <f>Valuation!H33</f>
        <v>0</v>
      </c>
    </row>
    <row r="956" spans="1:5">
      <c r="A956" s="58" t="s">
        <v>829</v>
      </c>
      <c r="B956" s="58" t="s">
        <v>1243</v>
      </c>
      <c r="C956" s="58" t="s">
        <v>2133</v>
      </c>
      <c r="D956" s="58">
        <v>-10</v>
      </c>
      <c r="E956" s="58">
        <f>Valuation!I33</f>
        <v>0</v>
      </c>
    </row>
    <row r="957" spans="1:5">
      <c r="A957" s="58" t="s">
        <v>829</v>
      </c>
      <c r="B957" s="58" t="s">
        <v>1244</v>
      </c>
      <c r="C957" s="58" t="s">
        <v>2133</v>
      </c>
      <c r="D957" s="58">
        <v>-9</v>
      </c>
      <c r="E957" s="58">
        <f>Valuation!J33</f>
        <v>0</v>
      </c>
    </row>
    <row r="958" spans="1:5">
      <c r="A958" s="58" t="s">
        <v>829</v>
      </c>
      <c r="B958" s="58" t="s">
        <v>1245</v>
      </c>
      <c r="C958" s="58" t="s">
        <v>2133</v>
      </c>
      <c r="D958" s="58">
        <v>-8</v>
      </c>
      <c r="E958" s="58">
        <f>Valuation!K33</f>
        <v>0</v>
      </c>
    </row>
    <row r="959" spans="1:5">
      <c r="A959" s="58" t="s">
        <v>829</v>
      </c>
      <c r="B959" s="58" t="s">
        <v>1246</v>
      </c>
      <c r="C959" s="58" t="s">
        <v>2133</v>
      </c>
      <c r="D959" s="58">
        <v>-7</v>
      </c>
      <c r="E959" s="58">
        <f>Valuation!L33</f>
        <v>0</v>
      </c>
    </row>
    <row r="960" spans="1:5">
      <c r="A960" s="58" t="s">
        <v>829</v>
      </c>
      <c r="B960" s="58" t="s">
        <v>1247</v>
      </c>
      <c r="C960" s="58" t="s">
        <v>2133</v>
      </c>
      <c r="D960" s="58">
        <v>-6</v>
      </c>
      <c r="E960" s="58">
        <f>Valuation!M33</f>
        <v>0</v>
      </c>
    </row>
    <row r="961" spans="1:5">
      <c r="A961" s="58" t="s">
        <v>829</v>
      </c>
      <c r="B961" s="58" t="s">
        <v>1248</v>
      </c>
      <c r="C961" s="58" t="s">
        <v>2133</v>
      </c>
      <c r="D961" s="58">
        <v>-5</v>
      </c>
      <c r="E961" s="58">
        <f>Valuation!N33</f>
        <v>0</v>
      </c>
    </row>
    <row r="962" spans="1:5">
      <c r="A962" s="58" t="s">
        <v>829</v>
      </c>
      <c r="B962" s="58" t="s">
        <v>1249</v>
      </c>
      <c r="C962" s="58" t="s">
        <v>2133</v>
      </c>
      <c r="D962" s="58">
        <v>-4</v>
      </c>
      <c r="E962" s="58">
        <f>Valuation!O33</f>
        <v>0</v>
      </c>
    </row>
    <row r="963" spans="1:5">
      <c r="A963" s="58" t="s">
        <v>829</v>
      </c>
      <c r="B963" s="58" t="s">
        <v>1250</v>
      </c>
      <c r="C963" s="58" t="s">
        <v>2133</v>
      </c>
      <c r="D963" s="58">
        <v>-3</v>
      </c>
      <c r="E963" s="58">
        <f>Valuation!P33</f>
        <v>0</v>
      </c>
    </row>
    <row r="964" spans="1:5">
      <c r="A964" s="58" t="s">
        <v>829</v>
      </c>
      <c r="B964" s="58" t="s">
        <v>1251</v>
      </c>
      <c r="C964" s="58" t="s">
        <v>2133</v>
      </c>
      <c r="D964" s="58">
        <v>-2</v>
      </c>
      <c r="E964" s="58">
        <f>Valuation!Q33</f>
        <v>0</v>
      </c>
    </row>
    <row r="965" spans="1:5">
      <c r="A965" s="58" t="s">
        <v>829</v>
      </c>
      <c r="B965" s="58" t="s">
        <v>1252</v>
      </c>
      <c r="C965" s="58" t="s">
        <v>2133</v>
      </c>
      <c r="D965" s="58">
        <v>-1</v>
      </c>
      <c r="E965" s="58">
        <f>Valuation!R33</f>
        <v>0</v>
      </c>
    </row>
    <row r="966" spans="1:5">
      <c r="A966" s="58" t="s">
        <v>829</v>
      </c>
      <c r="B966" s="58" t="s">
        <v>1253</v>
      </c>
      <c r="C966" s="58" t="s">
        <v>2133</v>
      </c>
      <c r="D966" s="58">
        <v>1</v>
      </c>
      <c r="E966" s="58">
        <f>Valuation!T33</f>
        <v>0</v>
      </c>
    </row>
    <row r="967" spans="1:5">
      <c r="A967" s="58" t="s">
        <v>829</v>
      </c>
      <c r="B967" s="58" t="s">
        <v>1254</v>
      </c>
      <c r="C967" s="58" t="s">
        <v>2133</v>
      </c>
      <c r="D967" s="58">
        <v>2</v>
      </c>
      <c r="E967" s="58">
        <f>Valuation!U33</f>
        <v>0</v>
      </c>
    </row>
    <row r="968" spans="1:5">
      <c r="A968" s="58" t="s">
        <v>829</v>
      </c>
      <c r="B968" s="58" t="s">
        <v>1255</v>
      </c>
      <c r="C968" s="58" t="s">
        <v>2133</v>
      </c>
      <c r="D968" s="58">
        <v>3</v>
      </c>
      <c r="E968" s="58">
        <f>Valuation!V33</f>
        <v>0</v>
      </c>
    </row>
    <row r="969" spans="1:5">
      <c r="A969" s="58" t="s">
        <v>829</v>
      </c>
      <c r="B969" s="58" t="s">
        <v>1256</v>
      </c>
      <c r="C969" s="58" t="s">
        <v>2133</v>
      </c>
      <c r="D969" s="58">
        <v>4</v>
      </c>
      <c r="E969" s="58">
        <f>Valuation!W33</f>
        <v>0</v>
      </c>
    </row>
    <row r="970" spans="1:5">
      <c r="A970" s="58" t="s">
        <v>829</v>
      </c>
      <c r="B970" s="58" t="s">
        <v>1257</v>
      </c>
      <c r="C970" s="58" t="s">
        <v>2133</v>
      </c>
      <c r="D970" s="58">
        <v>5</v>
      </c>
      <c r="E970" s="58">
        <f>Valuation!X33</f>
        <v>0</v>
      </c>
    </row>
    <row r="971" spans="1:5">
      <c r="A971" s="58" t="s">
        <v>829</v>
      </c>
      <c r="B971" s="58" t="s">
        <v>1258</v>
      </c>
      <c r="C971" s="58" t="s">
        <v>2133</v>
      </c>
      <c r="D971" s="58">
        <v>6</v>
      </c>
      <c r="E971" s="58">
        <f>Valuation!Y33</f>
        <v>0</v>
      </c>
    </row>
    <row r="972" spans="1:5">
      <c r="A972" s="58" t="s">
        <v>829</v>
      </c>
      <c r="B972" s="58" t="s">
        <v>1259</v>
      </c>
      <c r="C972" s="58" t="s">
        <v>2133</v>
      </c>
      <c r="D972" s="58">
        <v>7</v>
      </c>
      <c r="E972" s="58">
        <f>Valuation!Z33</f>
        <v>0</v>
      </c>
    </row>
    <row r="973" spans="1:5">
      <c r="A973" s="58" t="s">
        <v>829</v>
      </c>
      <c r="B973" s="58" t="s">
        <v>1260</v>
      </c>
      <c r="C973" s="58" t="s">
        <v>2133</v>
      </c>
      <c r="D973" s="58">
        <v>8</v>
      </c>
      <c r="E973" s="58">
        <f>Valuation!AA33</f>
        <v>0</v>
      </c>
    </row>
    <row r="974" spans="1:5">
      <c r="A974" s="58" t="s">
        <v>829</v>
      </c>
      <c r="B974" s="58" t="s">
        <v>1261</v>
      </c>
      <c r="C974" s="58" t="s">
        <v>2133</v>
      </c>
      <c r="D974" s="58">
        <v>9</v>
      </c>
      <c r="E974" s="58">
        <f>Valuation!AB33</f>
        <v>0</v>
      </c>
    </row>
    <row r="975" spans="1:5">
      <c r="A975" s="58" t="s">
        <v>829</v>
      </c>
      <c r="B975" s="58" t="s">
        <v>1262</v>
      </c>
      <c r="C975" s="58" t="s">
        <v>2133</v>
      </c>
      <c r="D975" s="58">
        <v>0</v>
      </c>
      <c r="E975" s="58">
        <f>Valuation!S33</f>
        <v>0</v>
      </c>
    </row>
    <row r="976" spans="1:5">
      <c r="A976" s="58" t="s">
        <v>829</v>
      </c>
      <c r="B976" s="58" t="s">
        <v>1263</v>
      </c>
      <c r="C976" s="58" t="s">
        <v>2134</v>
      </c>
      <c r="D976" s="58">
        <v>-11</v>
      </c>
      <c r="E976" s="58">
        <f>Valuation!H87</f>
        <v>0</v>
      </c>
    </row>
    <row r="977" spans="1:5">
      <c r="A977" s="58" t="s">
        <v>829</v>
      </c>
      <c r="B977" s="58" t="s">
        <v>1264</v>
      </c>
      <c r="C977" s="58" t="s">
        <v>2134</v>
      </c>
      <c r="D977" s="58">
        <v>-10</v>
      </c>
      <c r="E977" s="58">
        <f>Valuation!I87</f>
        <v>0</v>
      </c>
    </row>
    <row r="978" spans="1:5">
      <c r="A978" s="58" t="s">
        <v>829</v>
      </c>
      <c r="B978" s="58" t="s">
        <v>1265</v>
      </c>
      <c r="C978" s="58" t="s">
        <v>2134</v>
      </c>
      <c r="D978" s="58">
        <v>-9</v>
      </c>
      <c r="E978" s="58">
        <f>Valuation!J87</f>
        <v>0</v>
      </c>
    </row>
    <row r="979" spans="1:5">
      <c r="A979" s="58" t="s">
        <v>829</v>
      </c>
      <c r="B979" s="58" t="s">
        <v>1266</v>
      </c>
      <c r="C979" s="58" t="s">
        <v>2134</v>
      </c>
      <c r="D979" s="58">
        <v>-8</v>
      </c>
      <c r="E979" s="58">
        <f>Valuation!K87</f>
        <v>0</v>
      </c>
    </row>
    <row r="980" spans="1:5">
      <c r="A980" s="58" t="s">
        <v>829</v>
      </c>
      <c r="B980" s="58" t="s">
        <v>1267</v>
      </c>
      <c r="C980" s="58" t="s">
        <v>2134</v>
      </c>
      <c r="D980" s="58">
        <v>-7</v>
      </c>
      <c r="E980" s="58">
        <f>Valuation!L87</f>
        <v>0</v>
      </c>
    </row>
    <row r="981" spans="1:5">
      <c r="A981" s="58" t="s">
        <v>829</v>
      </c>
      <c r="B981" s="58" t="s">
        <v>1268</v>
      </c>
      <c r="C981" s="58" t="s">
        <v>2134</v>
      </c>
      <c r="D981" s="58">
        <v>-6</v>
      </c>
      <c r="E981" s="58">
        <f>Valuation!M87</f>
        <v>85111</v>
      </c>
    </row>
    <row r="982" spans="1:5">
      <c r="A982" s="58" t="s">
        <v>829</v>
      </c>
      <c r="B982" s="58" t="s">
        <v>1269</v>
      </c>
      <c r="C982" s="58" t="s">
        <v>2134</v>
      </c>
      <c r="D982" s="58">
        <v>-5</v>
      </c>
      <c r="E982" s="58">
        <f>Valuation!N87</f>
        <v>39833</v>
      </c>
    </row>
    <row r="983" spans="1:5">
      <c r="A983" s="58" t="s">
        <v>829</v>
      </c>
      <c r="B983" s="58" t="s">
        <v>1270</v>
      </c>
      <c r="C983" s="58" t="s">
        <v>2134</v>
      </c>
      <c r="D983" s="58">
        <v>-4</v>
      </c>
      <c r="E983" s="58">
        <f>Valuation!O87</f>
        <v>56043</v>
      </c>
    </row>
    <row r="984" spans="1:5">
      <c r="A984" s="58" t="s">
        <v>829</v>
      </c>
      <c r="B984" s="58" t="s">
        <v>1271</v>
      </c>
      <c r="C984" s="58" t="s">
        <v>2134</v>
      </c>
      <c r="D984" s="58">
        <v>-3</v>
      </c>
      <c r="E984" s="58">
        <f>Valuation!P87</f>
        <v>39294</v>
      </c>
    </row>
    <row r="985" spans="1:5">
      <c r="A985" s="58" t="s">
        <v>829</v>
      </c>
      <c r="B985" s="58" t="s">
        <v>1272</v>
      </c>
      <c r="C985" s="58" t="s">
        <v>2134</v>
      </c>
      <c r="D985" s="58">
        <v>-2</v>
      </c>
      <c r="E985" s="58">
        <f>Valuation!Q87</f>
        <v>63316</v>
      </c>
    </row>
    <row r="986" spans="1:5">
      <c r="A986" s="58" t="s">
        <v>829</v>
      </c>
      <c r="B986" s="58" t="s">
        <v>1273</v>
      </c>
      <c r="C986" s="58" t="s">
        <v>2134</v>
      </c>
      <c r="D986" s="58">
        <v>-1</v>
      </c>
      <c r="E986" s="58">
        <f>Valuation!R87</f>
        <v>117605</v>
      </c>
    </row>
    <row r="987" spans="1:5">
      <c r="A987" s="58" t="s">
        <v>829</v>
      </c>
      <c r="B987" s="58" t="s">
        <v>1274</v>
      </c>
      <c r="C987" s="58" t="s">
        <v>2134</v>
      </c>
      <c r="D987" s="58">
        <v>1</v>
      </c>
      <c r="E987" s="58">
        <f ca="1">Valuation!T87</f>
        <v>0</v>
      </c>
    </row>
    <row r="988" spans="1:5">
      <c r="A988" s="58" t="s">
        <v>829</v>
      </c>
      <c r="B988" s="58" t="s">
        <v>1275</v>
      </c>
      <c r="C988" s="58" t="s">
        <v>2134</v>
      </c>
      <c r="D988" s="58">
        <v>2</v>
      </c>
      <c r="E988" s="58">
        <f ca="1">Valuation!U87</f>
        <v>0</v>
      </c>
    </row>
    <row r="989" spans="1:5">
      <c r="A989" s="58" t="s">
        <v>829</v>
      </c>
      <c r="B989" s="58" t="s">
        <v>1276</v>
      </c>
      <c r="C989" s="58" t="s">
        <v>2134</v>
      </c>
      <c r="D989" s="58">
        <v>3</v>
      </c>
      <c r="E989" s="58">
        <f ca="1">Valuation!V87</f>
        <v>0</v>
      </c>
    </row>
    <row r="990" spans="1:5">
      <c r="A990" s="58" t="s">
        <v>829</v>
      </c>
      <c r="B990" s="58" t="s">
        <v>1277</v>
      </c>
      <c r="C990" s="58" t="s">
        <v>2134</v>
      </c>
      <c r="D990" s="58">
        <v>4</v>
      </c>
      <c r="E990" s="58">
        <f ca="1">Valuation!W87</f>
        <v>0</v>
      </c>
    </row>
    <row r="991" spans="1:5">
      <c r="A991" s="58" t="s">
        <v>829</v>
      </c>
      <c r="B991" s="58" t="s">
        <v>1278</v>
      </c>
      <c r="C991" s="58" t="s">
        <v>2134</v>
      </c>
      <c r="D991" s="58">
        <v>5</v>
      </c>
      <c r="E991" s="58">
        <f ca="1">Valuation!X87</f>
        <v>0</v>
      </c>
    </row>
    <row r="992" spans="1:5">
      <c r="A992" s="58" t="s">
        <v>829</v>
      </c>
      <c r="B992" s="58" t="s">
        <v>1279</v>
      </c>
      <c r="C992" s="58" t="s">
        <v>2134</v>
      </c>
      <c r="D992" s="58">
        <v>6</v>
      </c>
      <c r="E992" s="58">
        <f ca="1">Valuation!Y87</f>
        <v>0</v>
      </c>
    </row>
    <row r="993" spans="1:5">
      <c r="A993" s="58" t="s">
        <v>829</v>
      </c>
      <c r="B993" s="58" t="s">
        <v>1280</v>
      </c>
      <c r="C993" s="58" t="s">
        <v>2134</v>
      </c>
      <c r="D993" s="58">
        <v>7</v>
      </c>
      <c r="E993" s="58">
        <f ca="1">Valuation!Z87</f>
        <v>0</v>
      </c>
    </row>
    <row r="994" spans="1:5">
      <c r="A994" s="58" t="s">
        <v>829</v>
      </c>
      <c r="B994" s="58" t="s">
        <v>1281</v>
      </c>
      <c r="C994" s="58" t="s">
        <v>2134</v>
      </c>
      <c r="D994" s="58">
        <v>8</v>
      </c>
      <c r="E994" s="58">
        <f ca="1">Valuation!AA87</f>
        <v>0</v>
      </c>
    </row>
    <row r="995" spans="1:5">
      <c r="A995" s="58" t="s">
        <v>829</v>
      </c>
      <c r="B995" s="58" t="s">
        <v>1282</v>
      </c>
      <c r="C995" s="58" t="s">
        <v>2134</v>
      </c>
      <c r="D995" s="58">
        <v>9</v>
      </c>
      <c r="E995" s="58">
        <f>Valuation!AB87</f>
        <v>0</v>
      </c>
    </row>
    <row r="996" spans="1:5">
      <c r="A996" s="58" t="s">
        <v>829</v>
      </c>
      <c r="B996" s="58" t="s">
        <v>1283</v>
      </c>
      <c r="C996" s="58" t="s">
        <v>2134</v>
      </c>
      <c r="D996" s="58">
        <v>0</v>
      </c>
      <c r="E996" s="58">
        <f ca="1">Valuation!S87</f>
        <v>93195.212873177734</v>
      </c>
    </row>
    <row r="997" spans="1:5">
      <c r="A997" s="58" t="s">
        <v>829</v>
      </c>
      <c r="B997" s="58" t="s">
        <v>1284</v>
      </c>
      <c r="C997" s="58" t="s">
        <v>2135</v>
      </c>
      <c r="D997" s="58">
        <v>-11</v>
      </c>
      <c r="E997" s="58">
        <f>Valuation!H79</f>
        <v>0</v>
      </c>
    </row>
    <row r="998" spans="1:5">
      <c r="A998" s="58" t="s">
        <v>829</v>
      </c>
      <c r="B998" s="58" t="s">
        <v>1285</v>
      </c>
      <c r="C998" s="58" t="s">
        <v>2135</v>
      </c>
      <c r="D998" s="58">
        <v>-10</v>
      </c>
      <c r="E998" s="58">
        <f>Valuation!I79</f>
        <v>0</v>
      </c>
    </row>
    <row r="999" spans="1:5">
      <c r="A999" s="58" t="s">
        <v>829</v>
      </c>
      <c r="B999" s="58" t="s">
        <v>1286</v>
      </c>
      <c r="C999" s="58" t="s">
        <v>2135</v>
      </c>
      <c r="D999" s="58">
        <v>-9</v>
      </c>
      <c r="E999" s="58">
        <f>Valuation!J79</f>
        <v>0</v>
      </c>
    </row>
    <row r="1000" spans="1:5">
      <c r="A1000" s="58" t="s">
        <v>829</v>
      </c>
      <c r="B1000" s="58" t="s">
        <v>1287</v>
      </c>
      <c r="C1000" s="58" t="s">
        <v>2135</v>
      </c>
      <c r="D1000" s="58">
        <v>-8</v>
      </c>
      <c r="E1000" s="58">
        <f>Valuation!K79</f>
        <v>0</v>
      </c>
    </row>
    <row r="1001" spans="1:5">
      <c r="A1001" s="58" t="s">
        <v>829</v>
      </c>
      <c r="B1001" s="58" t="s">
        <v>1288</v>
      </c>
      <c r="C1001" s="58" t="s">
        <v>2135</v>
      </c>
      <c r="D1001" s="58">
        <v>-7</v>
      </c>
      <c r="E1001" s="58">
        <f>Valuation!L79</f>
        <v>0</v>
      </c>
    </row>
    <row r="1002" spans="1:5">
      <c r="A1002" s="58" t="s">
        <v>829</v>
      </c>
      <c r="B1002" s="58" t="s">
        <v>1289</v>
      </c>
      <c r="C1002" s="58" t="s">
        <v>2135</v>
      </c>
      <c r="D1002" s="58">
        <v>-6</v>
      </c>
      <c r="E1002" s="58">
        <f>Valuation!M79</f>
        <v>189471</v>
      </c>
    </row>
    <row r="1003" spans="1:5">
      <c r="A1003" s="58" t="s">
        <v>829</v>
      </c>
      <c r="B1003" s="58" t="s">
        <v>1290</v>
      </c>
      <c r="C1003" s="58" t="s">
        <v>2135</v>
      </c>
      <c r="D1003" s="58">
        <v>-5</v>
      </c>
      <c r="E1003" s="58">
        <f>Valuation!N79</f>
        <v>457256</v>
      </c>
    </row>
    <row r="1004" spans="1:5">
      <c r="A1004" s="58" t="s">
        <v>829</v>
      </c>
      <c r="B1004" s="58" t="s">
        <v>1291</v>
      </c>
      <c r="C1004" s="58" t="s">
        <v>2135</v>
      </c>
      <c r="D1004" s="58">
        <v>-4</v>
      </c>
      <c r="E1004" s="58">
        <f>Valuation!O79</f>
        <v>464817</v>
      </c>
    </row>
    <row r="1005" spans="1:5">
      <c r="A1005" s="58" t="s">
        <v>829</v>
      </c>
      <c r="B1005" s="58" t="s">
        <v>1292</v>
      </c>
      <c r="C1005" s="58" t="s">
        <v>2135</v>
      </c>
      <c r="D1005" s="58">
        <v>-3</v>
      </c>
      <c r="E1005" s="58">
        <f>Valuation!P79</f>
        <v>425441</v>
      </c>
    </row>
    <row r="1006" spans="1:5">
      <c r="A1006" s="58" t="s">
        <v>829</v>
      </c>
      <c r="B1006" s="58" t="s">
        <v>1293</v>
      </c>
      <c r="C1006" s="58" t="s">
        <v>2135</v>
      </c>
      <c r="D1006" s="58">
        <v>-2</v>
      </c>
      <c r="E1006" s="58">
        <f>Valuation!Q79</f>
        <v>740621</v>
      </c>
    </row>
    <row r="1007" spans="1:5">
      <c r="A1007" s="58" t="s">
        <v>829</v>
      </c>
      <c r="B1007" s="58" t="s">
        <v>1294</v>
      </c>
      <c r="C1007" s="58" t="s">
        <v>2135</v>
      </c>
      <c r="D1007" s="58">
        <v>-1</v>
      </c>
      <c r="E1007" s="58">
        <f>Valuation!R79</f>
        <v>1661811</v>
      </c>
    </row>
    <row r="1008" spans="1:5">
      <c r="A1008" s="58" t="s">
        <v>829</v>
      </c>
      <c r="B1008" s="58" t="s">
        <v>1295</v>
      </c>
      <c r="C1008" s="58" t="s">
        <v>2135</v>
      </c>
      <c r="D1008" s="58">
        <v>1</v>
      </c>
      <c r="E1008" s="58">
        <f ca="1">Valuation!T79</f>
        <v>0</v>
      </c>
    </row>
    <row r="1009" spans="1:5">
      <c r="A1009" s="58" t="s">
        <v>829</v>
      </c>
      <c r="B1009" s="58" t="s">
        <v>1296</v>
      </c>
      <c r="C1009" s="58" t="s">
        <v>2135</v>
      </c>
      <c r="D1009" s="58">
        <v>2</v>
      </c>
      <c r="E1009" s="58">
        <f ca="1">Valuation!U79</f>
        <v>0</v>
      </c>
    </row>
    <row r="1010" spans="1:5">
      <c r="A1010" s="58" t="s">
        <v>829</v>
      </c>
      <c r="B1010" s="58" t="s">
        <v>1297</v>
      </c>
      <c r="C1010" s="58" t="s">
        <v>2135</v>
      </c>
      <c r="D1010" s="58">
        <v>3</v>
      </c>
      <c r="E1010" s="58">
        <f ca="1">Valuation!V79</f>
        <v>0</v>
      </c>
    </row>
    <row r="1011" spans="1:5">
      <c r="A1011" s="58" t="s">
        <v>829</v>
      </c>
      <c r="B1011" s="58" t="s">
        <v>1298</v>
      </c>
      <c r="C1011" s="58" t="s">
        <v>2135</v>
      </c>
      <c r="D1011" s="58">
        <v>4</v>
      </c>
      <c r="E1011" s="58">
        <f ca="1">Valuation!W79</f>
        <v>0</v>
      </c>
    </row>
    <row r="1012" spans="1:5">
      <c r="A1012" s="58" t="s">
        <v>829</v>
      </c>
      <c r="B1012" s="58" t="s">
        <v>1299</v>
      </c>
      <c r="C1012" s="58" t="s">
        <v>2135</v>
      </c>
      <c r="D1012" s="58">
        <v>5</v>
      </c>
      <c r="E1012" s="58">
        <f ca="1">Valuation!X79</f>
        <v>0</v>
      </c>
    </row>
    <row r="1013" spans="1:5">
      <c r="A1013" s="58" t="s">
        <v>829</v>
      </c>
      <c r="B1013" s="58" t="s">
        <v>1300</v>
      </c>
      <c r="C1013" s="58" t="s">
        <v>2135</v>
      </c>
      <c r="D1013" s="58">
        <v>6</v>
      </c>
      <c r="E1013" s="58">
        <f ca="1">Valuation!Y79</f>
        <v>0</v>
      </c>
    </row>
    <row r="1014" spans="1:5">
      <c r="A1014" s="58" t="s">
        <v>829</v>
      </c>
      <c r="B1014" s="58" t="s">
        <v>1301</v>
      </c>
      <c r="C1014" s="58" t="s">
        <v>2135</v>
      </c>
      <c r="D1014" s="58">
        <v>7</v>
      </c>
      <c r="E1014" s="58">
        <f ca="1">Valuation!Z79</f>
        <v>0</v>
      </c>
    </row>
    <row r="1015" spans="1:5">
      <c r="A1015" s="58" t="s">
        <v>829</v>
      </c>
      <c r="B1015" s="58" t="s">
        <v>1302</v>
      </c>
      <c r="C1015" s="58" t="s">
        <v>2135</v>
      </c>
      <c r="D1015" s="58">
        <v>8</v>
      </c>
      <c r="E1015" s="58">
        <f ca="1">Valuation!AA79</f>
        <v>0</v>
      </c>
    </row>
    <row r="1016" spans="1:5">
      <c r="A1016" s="58" t="s">
        <v>829</v>
      </c>
      <c r="B1016" s="58" t="s">
        <v>1303</v>
      </c>
      <c r="C1016" s="58" t="s">
        <v>2135</v>
      </c>
      <c r="D1016" s="58">
        <v>9</v>
      </c>
      <c r="E1016" s="58">
        <f ca="1">Valuation!AB79</f>
        <v>0</v>
      </c>
    </row>
    <row r="1017" spans="1:5">
      <c r="A1017" s="58" t="s">
        <v>829</v>
      </c>
      <c r="B1017" s="58" t="s">
        <v>1304</v>
      </c>
      <c r="C1017" s="58" t="s">
        <v>2135</v>
      </c>
      <c r="D1017" s="58">
        <v>0</v>
      </c>
      <c r="E1017" s="58">
        <f ca="1">Valuation!S79</f>
        <v>1574321.8114622512</v>
      </c>
    </row>
    <row r="1018" spans="1:5">
      <c r="A1018" s="58" t="s">
        <v>829</v>
      </c>
      <c r="B1018" s="58" t="s">
        <v>1760</v>
      </c>
      <c r="C1018" s="58" t="s">
        <v>2136</v>
      </c>
      <c r="D1018" s="58">
        <v>-11</v>
      </c>
      <c r="E1018" s="58">
        <f>Valuation!H42</f>
        <v>0</v>
      </c>
    </row>
    <row r="1019" spans="1:5">
      <c r="A1019" s="58" t="s">
        <v>829</v>
      </c>
      <c r="B1019" s="58" t="s">
        <v>1762</v>
      </c>
      <c r="C1019" s="58" t="s">
        <v>2136</v>
      </c>
      <c r="D1019" s="58">
        <v>-10</v>
      </c>
      <c r="E1019" s="58">
        <f>Valuation!I42</f>
        <v>0</v>
      </c>
    </row>
    <row r="1020" spans="1:5">
      <c r="A1020" s="58" t="s">
        <v>829</v>
      </c>
      <c r="B1020" s="58" t="s">
        <v>1763</v>
      </c>
      <c r="C1020" s="58" t="s">
        <v>2136</v>
      </c>
      <c r="D1020" s="58">
        <v>-9</v>
      </c>
      <c r="E1020" s="58">
        <f>Valuation!J42</f>
        <v>0</v>
      </c>
    </row>
    <row r="1021" spans="1:5">
      <c r="A1021" s="58" t="s">
        <v>829</v>
      </c>
      <c r="B1021" s="58" t="s">
        <v>1764</v>
      </c>
      <c r="C1021" s="58" t="s">
        <v>2136</v>
      </c>
      <c r="D1021" s="58">
        <v>-8</v>
      </c>
      <c r="E1021" s="58">
        <f>Valuation!K42</f>
        <v>0</v>
      </c>
    </row>
    <row r="1022" spans="1:5">
      <c r="A1022" s="58" t="s">
        <v>829</v>
      </c>
      <c r="B1022" s="58" t="s">
        <v>1765</v>
      </c>
      <c r="C1022" s="58" t="s">
        <v>2136</v>
      </c>
      <c r="D1022" s="58">
        <v>-7</v>
      </c>
      <c r="E1022" s="58">
        <f>Valuation!L42</f>
        <v>0</v>
      </c>
    </row>
    <row r="1023" spans="1:5">
      <c r="A1023" s="58" t="s">
        <v>829</v>
      </c>
      <c r="B1023" s="58" t="s">
        <v>1766</v>
      </c>
      <c r="C1023" s="58" t="s">
        <v>2136</v>
      </c>
      <c r="D1023" s="58">
        <v>-6</v>
      </c>
      <c r="E1023" s="58">
        <f>Valuation!M42</f>
        <v>3.4706333804778038</v>
      </c>
    </row>
    <row r="1024" spans="1:5">
      <c r="A1024" s="58" t="s">
        <v>829</v>
      </c>
      <c r="B1024" s="58" t="s">
        <v>1767</v>
      </c>
      <c r="C1024" s="58" t="s">
        <v>2136</v>
      </c>
      <c r="D1024" s="58">
        <v>-5</v>
      </c>
      <c r="E1024" s="58">
        <f>Valuation!N42</f>
        <v>16.475893892210124</v>
      </c>
    </row>
    <row r="1025" spans="1:5">
      <c r="A1025" s="58" t="s">
        <v>829</v>
      </c>
      <c r="B1025" s="58" t="s">
        <v>1768</v>
      </c>
      <c r="C1025" s="58" t="s">
        <v>2136</v>
      </c>
      <c r="D1025" s="58">
        <v>-4</v>
      </c>
      <c r="E1025" s="58">
        <f>Valuation!O42</f>
        <v>-11.806119511734387</v>
      </c>
    </row>
    <row r="1026" spans="1:5">
      <c r="A1026" s="58" t="s">
        <v>829</v>
      </c>
      <c r="B1026" s="58" t="s">
        <v>1769</v>
      </c>
      <c r="C1026" s="58" t="s">
        <v>2136</v>
      </c>
      <c r="D1026" s="58">
        <v>-3</v>
      </c>
      <c r="E1026" s="58">
        <f>Valuation!P42</f>
        <v>0.37293379089669054</v>
      </c>
    </row>
    <row r="1027" spans="1:5">
      <c r="A1027" s="58" t="s">
        <v>829</v>
      </c>
      <c r="B1027" s="58" t="s">
        <v>1770</v>
      </c>
      <c r="C1027" s="58" t="s">
        <v>2136</v>
      </c>
      <c r="D1027" s="58">
        <v>-2</v>
      </c>
      <c r="E1027" s="58">
        <f>Valuation!Q42</f>
        <v>9.4341001620472831</v>
      </c>
    </row>
    <row r="1028" spans="1:5">
      <c r="A1028" s="58" t="s">
        <v>829</v>
      </c>
      <c r="B1028" s="58" t="s">
        <v>1771</v>
      </c>
      <c r="C1028" s="58" t="s">
        <v>2136</v>
      </c>
      <c r="D1028" s="58">
        <v>-1</v>
      </c>
      <c r="E1028" s="58">
        <f>Valuation!R42</f>
        <v>4.3881876960680204</v>
      </c>
    </row>
    <row r="1029" spans="1:5">
      <c r="A1029" s="58" t="s">
        <v>829</v>
      </c>
      <c r="B1029" s="58" t="s">
        <v>1772</v>
      </c>
      <c r="C1029" s="58" t="s">
        <v>2136</v>
      </c>
      <c r="D1029" s="58">
        <v>1</v>
      </c>
      <c r="E1029" s="58" t="e">
        <f ca="1">Valuation!T42</f>
        <v>#NAME?</v>
      </c>
    </row>
    <row r="1030" spans="1:5">
      <c r="A1030" s="58" t="s">
        <v>829</v>
      </c>
      <c r="B1030" s="58" t="s">
        <v>1773</v>
      </c>
      <c r="C1030" s="58" t="s">
        <v>2136</v>
      </c>
      <c r="D1030" s="58">
        <v>2</v>
      </c>
      <c r="E1030" s="58" t="e">
        <f ca="1">Valuation!U42</f>
        <v>#NAME?</v>
      </c>
    </row>
    <row r="1031" spans="1:5">
      <c r="A1031" s="58" t="s">
        <v>829</v>
      </c>
      <c r="B1031" s="58" t="s">
        <v>1774</v>
      </c>
      <c r="C1031" s="58" t="s">
        <v>2136</v>
      </c>
      <c r="D1031" s="58">
        <v>3</v>
      </c>
      <c r="E1031" s="58" t="e">
        <f ca="1">Valuation!V42</f>
        <v>#NAME?</v>
      </c>
    </row>
    <row r="1032" spans="1:5">
      <c r="A1032" s="58" t="s">
        <v>829</v>
      </c>
      <c r="B1032" s="58" t="s">
        <v>1775</v>
      </c>
      <c r="C1032" s="58" t="s">
        <v>2136</v>
      </c>
      <c r="D1032" s="58">
        <v>4</v>
      </c>
      <c r="E1032" s="58" t="e">
        <f ca="1">Valuation!W42</f>
        <v>#NAME?</v>
      </c>
    </row>
    <row r="1033" spans="1:5">
      <c r="A1033" s="58" t="s">
        <v>829</v>
      </c>
      <c r="B1033" s="58" t="s">
        <v>1776</v>
      </c>
      <c r="C1033" s="58" t="s">
        <v>2136</v>
      </c>
      <c r="D1033" s="58">
        <v>5</v>
      </c>
      <c r="E1033" s="58" t="e">
        <f ca="1">Valuation!X42</f>
        <v>#NAME?</v>
      </c>
    </row>
    <row r="1034" spans="1:5">
      <c r="A1034" s="58" t="s">
        <v>829</v>
      </c>
      <c r="B1034" s="58" t="s">
        <v>1777</v>
      </c>
      <c r="C1034" s="58" t="s">
        <v>2136</v>
      </c>
      <c r="D1034" s="58">
        <v>6</v>
      </c>
      <c r="E1034" s="58" t="e">
        <f ca="1">Valuation!Y42</f>
        <v>#NAME?</v>
      </c>
    </row>
    <row r="1035" spans="1:5">
      <c r="A1035" s="58" t="s">
        <v>829</v>
      </c>
      <c r="B1035" s="58" t="s">
        <v>1778</v>
      </c>
      <c r="C1035" s="58" t="s">
        <v>2136</v>
      </c>
      <c r="D1035" s="58">
        <v>7</v>
      </c>
      <c r="E1035" s="58" t="e">
        <f ca="1">Valuation!Z42</f>
        <v>#NAME?</v>
      </c>
    </row>
    <row r="1036" spans="1:5">
      <c r="A1036" s="58" t="s">
        <v>829</v>
      </c>
      <c r="B1036" s="58" t="s">
        <v>1779</v>
      </c>
      <c r="C1036" s="58" t="s">
        <v>2136</v>
      </c>
      <c r="D1036" s="58">
        <v>8</v>
      </c>
      <c r="E1036" s="58" t="e">
        <f ca="1">Valuation!AA42</f>
        <v>#NAME?</v>
      </c>
    </row>
    <row r="1037" spans="1:5">
      <c r="A1037" s="58" t="s">
        <v>829</v>
      </c>
      <c r="B1037" s="58" t="s">
        <v>1780</v>
      </c>
      <c r="C1037" s="58" t="s">
        <v>2136</v>
      </c>
      <c r="D1037" s="58">
        <v>9</v>
      </c>
      <c r="E1037" s="58" t="e">
        <f ca="1">Valuation!AB42</f>
        <v>#NAME?</v>
      </c>
    </row>
    <row r="1038" spans="1:5">
      <c r="A1038" s="58" t="s">
        <v>829</v>
      </c>
      <c r="B1038" s="58" t="s">
        <v>1781</v>
      </c>
      <c r="C1038" s="58" t="s">
        <v>2136</v>
      </c>
      <c r="D1038" s="58">
        <v>0</v>
      </c>
      <c r="E1038" s="58" t="e">
        <f>Valuation!S42</f>
        <v>#NAME?</v>
      </c>
    </row>
    <row r="1039" spans="1:5">
      <c r="A1039" s="58" t="s">
        <v>829</v>
      </c>
      <c r="B1039" s="58" t="s">
        <v>1327</v>
      </c>
      <c r="C1039" s="58" t="s">
        <v>2137</v>
      </c>
      <c r="D1039" s="58">
        <v>-11</v>
      </c>
      <c r="E1039" s="58">
        <f>Valuation!H55</f>
        <v>0</v>
      </c>
    </row>
    <row r="1040" spans="1:5">
      <c r="A1040" s="58" t="s">
        <v>829</v>
      </c>
      <c r="B1040" s="58" t="s">
        <v>1328</v>
      </c>
      <c r="C1040" s="58" t="s">
        <v>2137</v>
      </c>
      <c r="D1040" s="58">
        <v>-10</v>
      </c>
      <c r="E1040" s="58">
        <f>Valuation!I55</f>
        <v>0</v>
      </c>
    </row>
    <row r="1041" spans="1:5">
      <c r="A1041" s="58" t="s">
        <v>829</v>
      </c>
      <c r="B1041" s="58" t="s">
        <v>1329</v>
      </c>
      <c r="C1041" s="58" t="s">
        <v>2137</v>
      </c>
      <c r="D1041" s="58">
        <v>-9</v>
      </c>
      <c r="E1041" s="58">
        <f>Valuation!J55</f>
        <v>0</v>
      </c>
    </row>
    <row r="1042" spans="1:5">
      <c r="A1042" s="58" t="s">
        <v>829</v>
      </c>
      <c r="B1042" s="58" t="s">
        <v>1330</v>
      </c>
      <c r="C1042" s="58" t="s">
        <v>2137</v>
      </c>
      <c r="D1042" s="58">
        <v>-8</v>
      </c>
      <c r="E1042" s="58">
        <f>Valuation!K55</f>
        <v>0</v>
      </c>
    </row>
    <row r="1043" spans="1:5">
      <c r="A1043" s="58" t="s">
        <v>829</v>
      </c>
      <c r="B1043" s="58" t="s">
        <v>1331</v>
      </c>
      <c r="C1043" s="58" t="s">
        <v>2137</v>
      </c>
      <c r="D1043" s="58">
        <v>-7</v>
      </c>
      <c r="E1043" s="58">
        <f>Valuation!L55</f>
        <v>0</v>
      </c>
    </row>
    <row r="1044" spans="1:5">
      <c r="A1044" s="58" t="s">
        <v>829</v>
      </c>
      <c r="B1044" s="58" t="s">
        <v>1332</v>
      </c>
      <c r="C1044" s="58" t="s">
        <v>2137</v>
      </c>
      <c r="D1044" s="58">
        <v>-6</v>
      </c>
      <c r="E1044" s="58">
        <f>Valuation!M55</f>
        <v>406069</v>
      </c>
    </row>
    <row r="1045" spans="1:5">
      <c r="A1045" s="58" t="s">
        <v>829</v>
      </c>
      <c r="B1045" s="58" t="s">
        <v>1333</v>
      </c>
      <c r="C1045" s="58" t="s">
        <v>2137</v>
      </c>
      <c r="D1045" s="58">
        <v>-5</v>
      </c>
      <c r="E1045" s="58">
        <f>Valuation!N55</f>
        <v>3103058</v>
      </c>
    </row>
    <row r="1046" spans="1:5">
      <c r="A1046" s="58" t="s">
        <v>829</v>
      </c>
      <c r="B1046" s="58" t="s">
        <v>1334</v>
      </c>
      <c r="C1046" s="58" t="s">
        <v>2137</v>
      </c>
      <c r="D1046" s="58">
        <v>-4</v>
      </c>
      <c r="E1046" s="58">
        <f>Valuation!O55</f>
        <v>-2821612</v>
      </c>
    </row>
    <row r="1047" spans="1:5">
      <c r="A1047" s="58" t="s">
        <v>829</v>
      </c>
      <c r="B1047" s="58" t="s">
        <v>1335</v>
      </c>
      <c r="C1047" s="58" t="s">
        <v>2137</v>
      </c>
      <c r="D1047" s="58">
        <v>-3</v>
      </c>
      <c r="E1047" s="58">
        <f>Valuation!P55</f>
        <v>145563</v>
      </c>
    </row>
    <row r="1048" spans="1:5">
      <c r="A1048" s="58" t="s">
        <v>829</v>
      </c>
      <c r="B1048" s="58" t="s">
        <v>1336</v>
      </c>
      <c r="C1048" s="58" t="s">
        <v>2137</v>
      </c>
      <c r="D1048" s="58">
        <v>-2</v>
      </c>
      <c r="E1048" s="58">
        <f>Valuation!Q55</f>
        <v>3150807</v>
      </c>
    </row>
    <row r="1049" spans="1:5">
      <c r="A1049" s="58" t="s">
        <v>829</v>
      </c>
      <c r="B1049" s="58" t="s">
        <v>1337</v>
      </c>
      <c r="C1049" s="58" t="s">
        <v>2137</v>
      </c>
      <c r="D1049" s="58">
        <v>-1</v>
      </c>
      <c r="E1049" s="58">
        <f>Valuation!R55</f>
        <v>1795906</v>
      </c>
    </row>
    <row r="1050" spans="1:5">
      <c r="A1050" s="58" t="s">
        <v>829</v>
      </c>
      <c r="B1050" s="58" t="s">
        <v>1338</v>
      </c>
      <c r="C1050" s="58" t="s">
        <v>2137</v>
      </c>
      <c r="D1050" s="58">
        <v>1</v>
      </c>
      <c r="E1050" s="58" t="e">
        <f ca="1">Valuation!T55</f>
        <v>#NAME?</v>
      </c>
    </row>
    <row r="1051" spans="1:5">
      <c r="A1051" s="58" t="s">
        <v>829</v>
      </c>
      <c r="B1051" s="58" t="s">
        <v>1339</v>
      </c>
      <c r="C1051" s="58" t="s">
        <v>2137</v>
      </c>
      <c r="D1051" s="58">
        <v>2</v>
      </c>
      <c r="E1051" s="58" t="e">
        <f ca="1">Valuation!U55</f>
        <v>#NAME?</v>
      </c>
    </row>
    <row r="1052" spans="1:5">
      <c r="A1052" s="58" t="s">
        <v>829</v>
      </c>
      <c r="B1052" s="58" t="s">
        <v>1340</v>
      </c>
      <c r="C1052" s="58" t="s">
        <v>2137</v>
      </c>
      <c r="D1052" s="58">
        <v>3</v>
      </c>
      <c r="E1052" s="58" t="e">
        <f ca="1">Valuation!V55</f>
        <v>#NAME?</v>
      </c>
    </row>
    <row r="1053" spans="1:5">
      <c r="A1053" s="58" t="s">
        <v>829</v>
      </c>
      <c r="B1053" s="58" t="s">
        <v>1341</v>
      </c>
      <c r="C1053" s="58" t="s">
        <v>2137</v>
      </c>
      <c r="D1053" s="58">
        <v>4</v>
      </c>
      <c r="E1053" s="58" t="e">
        <f ca="1">Valuation!W55</f>
        <v>#NAME?</v>
      </c>
    </row>
    <row r="1054" spans="1:5">
      <c r="A1054" s="58" t="s">
        <v>829</v>
      </c>
      <c r="B1054" s="58" t="s">
        <v>1342</v>
      </c>
      <c r="C1054" s="58" t="s">
        <v>2137</v>
      </c>
      <c r="D1054" s="58">
        <v>5</v>
      </c>
      <c r="E1054" s="58" t="e">
        <f ca="1">Valuation!X55</f>
        <v>#NAME?</v>
      </c>
    </row>
    <row r="1055" spans="1:5">
      <c r="A1055" s="58" t="s">
        <v>829</v>
      </c>
      <c r="B1055" s="58" t="s">
        <v>1343</v>
      </c>
      <c r="C1055" s="58" t="s">
        <v>2137</v>
      </c>
      <c r="D1055" s="58">
        <v>6</v>
      </c>
      <c r="E1055" s="58" t="e">
        <f ca="1">Valuation!Y55</f>
        <v>#NAME?</v>
      </c>
    </row>
    <row r="1056" spans="1:5">
      <c r="A1056" s="58" t="s">
        <v>829</v>
      </c>
      <c r="B1056" s="58" t="s">
        <v>1344</v>
      </c>
      <c r="C1056" s="58" t="s">
        <v>2137</v>
      </c>
      <c r="D1056" s="58">
        <v>7</v>
      </c>
      <c r="E1056" s="58" t="e">
        <f ca="1">Valuation!Z55</f>
        <v>#NAME?</v>
      </c>
    </row>
    <row r="1057" spans="1:5">
      <c r="A1057" s="58" t="s">
        <v>829</v>
      </c>
      <c r="B1057" s="58" t="s">
        <v>1345</v>
      </c>
      <c r="C1057" s="58" t="s">
        <v>2137</v>
      </c>
      <c r="D1057" s="58">
        <v>8</v>
      </c>
      <c r="E1057" s="58" t="e">
        <f ca="1">Valuation!AA55</f>
        <v>#NAME?</v>
      </c>
    </row>
    <row r="1058" spans="1:5">
      <c r="A1058" s="58" t="s">
        <v>829</v>
      </c>
      <c r="B1058" s="58" t="s">
        <v>1346</v>
      </c>
      <c r="C1058" s="58" t="s">
        <v>2137</v>
      </c>
      <c r="D1058" s="58">
        <v>9</v>
      </c>
      <c r="E1058" s="58" t="e">
        <f ca="1">Valuation!AB55</f>
        <v>#NAME?</v>
      </c>
    </row>
    <row r="1059" spans="1:5">
      <c r="A1059" s="58" t="s">
        <v>829</v>
      </c>
      <c r="B1059" s="58" t="s">
        <v>1347</v>
      </c>
      <c r="C1059" s="58" t="s">
        <v>2137</v>
      </c>
      <c r="D1059" s="58">
        <v>0</v>
      </c>
      <c r="E1059" s="58">
        <f ca="1">Valuation!S55</f>
        <v>1120724.4168768078</v>
      </c>
    </row>
    <row r="1060" spans="1:5">
      <c r="A1060" s="58" t="s">
        <v>829</v>
      </c>
      <c r="B1060" s="58" t="s">
        <v>1348</v>
      </c>
      <c r="C1060" s="58" t="s">
        <v>2138</v>
      </c>
      <c r="D1060" s="58">
        <v>-11</v>
      </c>
      <c r="E1060" s="58" t="str">
        <f>Valuation!H56</f>
        <v/>
      </c>
    </row>
    <row r="1061" spans="1:5">
      <c r="A1061" s="58" t="s">
        <v>829</v>
      </c>
      <c r="B1061" s="58" t="s">
        <v>1349</v>
      </c>
      <c r="C1061" s="58" t="s">
        <v>2138</v>
      </c>
      <c r="D1061" s="58">
        <v>-10</v>
      </c>
      <c r="E1061" s="58" t="str">
        <f>Valuation!I56</f>
        <v/>
      </c>
    </row>
    <row r="1062" spans="1:5">
      <c r="A1062" s="58" t="s">
        <v>829</v>
      </c>
      <c r="B1062" s="58" t="s">
        <v>1350</v>
      </c>
      <c r="C1062" s="58" t="s">
        <v>2138</v>
      </c>
      <c r="D1062" s="58">
        <v>-9</v>
      </c>
      <c r="E1062" s="58" t="str">
        <f>Valuation!J56</f>
        <v/>
      </c>
    </row>
    <row r="1063" spans="1:5">
      <c r="A1063" s="58" t="s">
        <v>829</v>
      </c>
      <c r="B1063" s="58" t="s">
        <v>1351</v>
      </c>
      <c r="C1063" s="58" t="s">
        <v>2138</v>
      </c>
      <c r="D1063" s="58">
        <v>-8</v>
      </c>
      <c r="E1063" s="58" t="str">
        <f>Valuation!K56</f>
        <v/>
      </c>
    </row>
    <row r="1064" spans="1:5">
      <c r="A1064" s="58" t="s">
        <v>829</v>
      </c>
      <c r="B1064" s="58" t="s">
        <v>1352</v>
      </c>
      <c r="C1064" s="58" t="s">
        <v>2138</v>
      </c>
      <c r="D1064" s="58">
        <v>-7</v>
      </c>
      <c r="E1064" s="58" t="str">
        <f>Valuation!L56</f>
        <v/>
      </c>
    </row>
    <row r="1065" spans="1:5">
      <c r="A1065" s="58" t="s">
        <v>829</v>
      </c>
      <c r="B1065" s="58" t="s">
        <v>1353</v>
      </c>
      <c r="C1065" s="58" t="s">
        <v>2138</v>
      </c>
      <c r="D1065" s="58">
        <v>-6</v>
      </c>
      <c r="E1065" s="58">
        <f>Valuation!M56</f>
        <v>0.3178669584909678</v>
      </c>
    </row>
    <row r="1066" spans="1:5">
      <c r="A1066" s="58" t="s">
        <v>829</v>
      </c>
      <c r="B1066" s="58" t="s">
        <v>1354</v>
      </c>
      <c r="C1066" s="58" t="s">
        <v>2138</v>
      </c>
      <c r="D1066" s="58">
        <v>-5</v>
      </c>
      <c r="E1066" s="58">
        <f>Valuation!N56</f>
        <v>0.39582628563964484</v>
      </c>
    </row>
    <row r="1067" spans="1:5">
      <c r="A1067" s="58" t="s">
        <v>829</v>
      </c>
      <c r="B1067" s="58" t="s">
        <v>1355</v>
      </c>
      <c r="C1067" s="58" t="s">
        <v>2138</v>
      </c>
      <c r="D1067" s="58">
        <v>-4</v>
      </c>
      <c r="E1067" s="58">
        <f>Valuation!O56</f>
        <v>-0.88335261823901257</v>
      </c>
    </row>
    <row r="1068" spans="1:5">
      <c r="A1068" s="58" t="s">
        <v>829</v>
      </c>
      <c r="B1068" s="58" t="s">
        <v>1356</v>
      </c>
      <c r="C1068" s="58" t="s">
        <v>2138</v>
      </c>
      <c r="D1068" s="58">
        <v>-3</v>
      </c>
      <c r="E1068" s="58">
        <f>Valuation!P56</f>
        <v>4.6829171308683644E-2</v>
      </c>
    </row>
    <row r="1069" spans="1:5">
      <c r="A1069" s="58" t="s">
        <v>829</v>
      </c>
      <c r="B1069" s="58" t="s">
        <v>1357</v>
      </c>
      <c r="C1069" s="58" t="s">
        <v>2138</v>
      </c>
      <c r="D1069" s="58">
        <v>-2</v>
      </c>
      <c r="E1069" s="58">
        <f>Valuation!Q56</f>
        <v>0.48001120653354923</v>
      </c>
    </row>
    <row r="1070" spans="1:5">
      <c r="A1070" s="58" t="s">
        <v>829</v>
      </c>
      <c r="B1070" s="58" t="s">
        <v>1358</v>
      </c>
      <c r="C1070" s="58" t="s">
        <v>2138</v>
      </c>
      <c r="D1070" s="58">
        <v>-1</v>
      </c>
      <c r="E1070" s="58">
        <f>Valuation!R56</f>
        <v>0.25008003397701678</v>
      </c>
    </row>
    <row r="1071" spans="1:5">
      <c r="A1071" s="58" t="s">
        <v>829</v>
      </c>
      <c r="B1071" s="58" t="s">
        <v>1359</v>
      </c>
      <c r="C1071" s="58" t="s">
        <v>2138</v>
      </c>
      <c r="D1071" s="58">
        <v>1</v>
      </c>
      <c r="E1071" s="58" t="str">
        <f ca="1">Valuation!T56</f>
        <v/>
      </c>
    </row>
    <row r="1072" spans="1:5">
      <c r="A1072" s="58" t="s">
        <v>829</v>
      </c>
      <c r="B1072" s="58" t="s">
        <v>1360</v>
      </c>
      <c r="C1072" s="58" t="s">
        <v>2138</v>
      </c>
      <c r="D1072" s="58">
        <v>2</v>
      </c>
      <c r="E1072" s="58" t="str">
        <f ca="1">Valuation!U56</f>
        <v/>
      </c>
    </row>
    <row r="1073" spans="1:5">
      <c r="A1073" s="58" t="s">
        <v>829</v>
      </c>
      <c r="B1073" s="58" t="s">
        <v>1361</v>
      </c>
      <c r="C1073" s="58" t="s">
        <v>2138</v>
      </c>
      <c r="D1073" s="58">
        <v>3</v>
      </c>
      <c r="E1073" s="58" t="str">
        <f ca="1">Valuation!V56</f>
        <v/>
      </c>
    </row>
    <row r="1074" spans="1:5">
      <c r="A1074" s="58" t="s">
        <v>829</v>
      </c>
      <c r="B1074" s="58" t="s">
        <v>1362</v>
      </c>
      <c r="C1074" s="58" t="s">
        <v>2138</v>
      </c>
      <c r="D1074" s="58">
        <v>4</v>
      </c>
      <c r="E1074" s="58" t="str">
        <f ca="1">Valuation!W56</f>
        <v/>
      </c>
    </row>
    <row r="1075" spans="1:5">
      <c r="A1075" s="58" t="s">
        <v>829</v>
      </c>
      <c r="B1075" s="58" t="s">
        <v>1363</v>
      </c>
      <c r="C1075" s="58" t="s">
        <v>2138</v>
      </c>
      <c r="D1075" s="58">
        <v>5</v>
      </c>
      <c r="E1075" s="58" t="str">
        <f ca="1">Valuation!X56</f>
        <v/>
      </c>
    </row>
    <row r="1076" spans="1:5">
      <c r="A1076" s="58" t="s">
        <v>829</v>
      </c>
      <c r="B1076" s="58" t="s">
        <v>1364</v>
      </c>
      <c r="C1076" s="58" t="s">
        <v>2138</v>
      </c>
      <c r="D1076" s="58">
        <v>6</v>
      </c>
      <c r="E1076" s="58" t="str">
        <f ca="1">Valuation!Y56</f>
        <v/>
      </c>
    </row>
    <row r="1077" spans="1:5">
      <c r="A1077" s="58" t="s">
        <v>829</v>
      </c>
      <c r="B1077" s="58" t="s">
        <v>1365</v>
      </c>
      <c r="C1077" s="58" t="s">
        <v>2138</v>
      </c>
      <c r="D1077" s="58">
        <v>7</v>
      </c>
      <c r="E1077" s="58" t="str">
        <f ca="1">Valuation!Z56</f>
        <v/>
      </c>
    </row>
    <row r="1078" spans="1:5">
      <c r="A1078" s="58" t="s">
        <v>829</v>
      </c>
      <c r="B1078" s="58" t="s">
        <v>1366</v>
      </c>
      <c r="C1078" s="58" t="s">
        <v>2138</v>
      </c>
      <c r="D1078" s="58">
        <v>8</v>
      </c>
      <c r="E1078" s="58" t="str">
        <f ca="1">Valuation!AA56</f>
        <v/>
      </c>
    </row>
    <row r="1079" spans="1:5">
      <c r="A1079" s="58" t="s">
        <v>829</v>
      </c>
      <c r="B1079" s="58" t="s">
        <v>1367</v>
      </c>
      <c r="C1079" s="58" t="s">
        <v>2138</v>
      </c>
      <c r="D1079" s="58">
        <v>9</v>
      </c>
      <c r="E1079" s="58" t="str">
        <f ca="1">Valuation!AB56</f>
        <v/>
      </c>
    </row>
    <row r="1080" spans="1:5">
      <c r="A1080" s="58" t="s">
        <v>829</v>
      </c>
      <c r="B1080" s="58" t="s">
        <v>1368</v>
      </c>
      <c r="C1080" s="58" t="s">
        <v>2138</v>
      </c>
      <c r="D1080" s="58">
        <v>0</v>
      </c>
      <c r="E1080" s="58">
        <f ca="1">Valuation!S56</f>
        <v>0.16473366816788043</v>
      </c>
    </row>
    <row r="1081" spans="1:5">
      <c r="A1081" s="58" t="s">
        <v>829</v>
      </c>
      <c r="B1081" s="58" t="s">
        <v>1369</v>
      </c>
      <c r="C1081" s="58" t="s">
        <v>2139</v>
      </c>
      <c r="D1081" s="58">
        <v>-11</v>
      </c>
      <c r="E1081" s="58">
        <f>Valuation!H36</f>
        <v>0</v>
      </c>
    </row>
    <row r="1082" spans="1:5">
      <c r="A1082" s="58" t="s">
        <v>829</v>
      </c>
      <c r="B1082" s="58" t="s">
        <v>1370</v>
      </c>
      <c r="C1082" s="58" t="s">
        <v>2139</v>
      </c>
      <c r="D1082" s="58">
        <v>-10</v>
      </c>
      <c r="E1082" s="58">
        <f>Valuation!I36</f>
        <v>0</v>
      </c>
    </row>
    <row r="1083" spans="1:5">
      <c r="A1083" s="58" t="s">
        <v>829</v>
      </c>
      <c r="B1083" s="58" t="s">
        <v>1371</v>
      </c>
      <c r="C1083" s="58" t="s">
        <v>2139</v>
      </c>
      <c r="D1083" s="58">
        <v>-9</v>
      </c>
      <c r="E1083" s="58">
        <f>Valuation!J36</f>
        <v>0</v>
      </c>
    </row>
    <row r="1084" spans="1:5">
      <c r="A1084" s="58" t="s">
        <v>829</v>
      </c>
      <c r="B1084" s="58" t="s">
        <v>1372</v>
      </c>
      <c r="C1084" s="58" t="s">
        <v>2139</v>
      </c>
      <c r="D1084" s="58">
        <v>-8</v>
      </c>
      <c r="E1084" s="58">
        <f>Valuation!K36</f>
        <v>0</v>
      </c>
    </row>
    <row r="1085" spans="1:5">
      <c r="A1085" s="58" t="s">
        <v>829</v>
      </c>
      <c r="B1085" s="58" t="s">
        <v>1373</v>
      </c>
      <c r="C1085" s="58" t="s">
        <v>2139</v>
      </c>
      <c r="D1085" s="58">
        <v>-7</v>
      </c>
      <c r="E1085" s="58">
        <f>Valuation!L36</f>
        <v>0</v>
      </c>
    </row>
    <row r="1086" spans="1:5">
      <c r="A1086" s="58" t="s">
        <v>829</v>
      </c>
      <c r="B1086" s="58" t="s">
        <v>1374</v>
      </c>
      <c r="C1086" s="58" t="s">
        <v>2139</v>
      </c>
      <c r="D1086" s="58">
        <v>-6</v>
      </c>
      <c r="E1086" s="58">
        <f>Valuation!M36</f>
        <v>316553</v>
      </c>
    </row>
    <row r="1087" spans="1:5">
      <c r="A1087" s="58" t="s">
        <v>829</v>
      </c>
      <c r="B1087" s="58" t="s">
        <v>1375</v>
      </c>
      <c r="C1087" s="58" t="s">
        <v>2139</v>
      </c>
      <c r="D1087" s="58">
        <v>-5</v>
      </c>
      <c r="E1087" s="58">
        <f>Valuation!N36</f>
        <v>3624120</v>
      </c>
    </row>
    <row r="1088" spans="1:5">
      <c r="A1088" s="58" t="s">
        <v>829</v>
      </c>
      <c r="B1088" s="58" t="s">
        <v>1376</v>
      </c>
      <c r="C1088" s="58" t="s">
        <v>2139</v>
      </c>
      <c r="D1088" s="58">
        <v>-4</v>
      </c>
      <c r="E1088" s="58">
        <f>Valuation!O36</f>
        <v>-2624949</v>
      </c>
    </row>
    <row r="1089" spans="1:5">
      <c r="A1089" s="58" t="s">
        <v>829</v>
      </c>
      <c r="B1089" s="58" t="s">
        <v>1377</v>
      </c>
      <c r="C1089" s="58" t="s">
        <v>2139</v>
      </c>
      <c r="D1089" s="58">
        <v>-3</v>
      </c>
      <c r="E1089" s="58">
        <f>Valuation!P36</f>
        <v>94871</v>
      </c>
    </row>
    <row r="1090" spans="1:5">
      <c r="A1090" s="58" t="s">
        <v>829</v>
      </c>
      <c r="B1090" s="58" t="s">
        <v>1378</v>
      </c>
      <c r="C1090" s="58" t="s">
        <v>2139</v>
      </c>
      <c r="D1090" s="58">
        <v>-2</v>
      </c>
      <c r="E1090" s="58">
        <f>Valuation!Q36</f>
        <v>2579066</v>
      </c>
    </row>
    <row r="1091" spans="1:5">
      <c r="A1091" s="58" t="s">
        <v>829</v>
      </c>
      <c r="B1091" s="58" t="s">
        <v>1379</v>
      </c>
      <c r="C1091" s="58" t="s">
        <v>2139</v>
      </c>
      <c r="D1091" s="58">
        <v>-1</v>
      </c>
      <c r="E1091" s="58">
        <f>Valuation!R36</f>
        <v>1260327</v>
      </c>
    </row>
    <row r="1092" spans="1:5">
      <c r="A1092" s="58" t="s">
        <v>829</v>
      </c>
      <c r="B1092" s="58" t="s">
        <v>1380</v>
      </c>
      <c r="C1092" s="58" t="s">
        <v>2139</v>
      </c>
      <c r="D1092" s="58">
        <v>1</v>
      </c>
      <c r="E1092" s="58" t="e">
        <f ca="1">Valuation!T36</f>
        <v>#NAME?</v>
      </c>
    </row>
    <row r="1093" spans="1:5">
      <c r="A1093" s="58" t="s">
        <v>829</v>
      </c>
      <c r="B1093" s="58" t="s">
        <v>1381</v>
      </c>
      <c r="C1093" s="58" t="s">
        <v>2139</v>
      </c>
      <c r="D1093" s="58">
        <v>2</v>
      </c>
      <c r="E1093" s="58" t="e">
        <f ca="1">Valuation!U36</f>
        <v>#NAME?</v>
      </c>
    </row>
    <row r="1094" spans="1:5">
      <c r="A1094" s="58" t="s">
        <v>829</v>
      </c>
      <c r="B1094" s="58" t="s">
        <v>1382</v>
      </c>
      <c r="C1094" s="58" t="s">
        <v>2139</v>
      </c>
      <c r="D1094" s="58">
        <v>3</v>
      </c>
      <c r="E1094" s="58" t="e">
        <f ca="1">Valuation!V36</f>
        <v>#NAME?</v>
      </c>
    </row>
    <row r="1095" spans="1:5">
      <c r="A1095" s="58" t="s">
        <v>829</v>
      </c>
      <c r="B1095" s="58" t="s">
        <v>1383</v>
      </c>
      <c r="C1095" s="58" t="s">
        <v>2139</v>
      </c>
      <c r="D1095" s="58">
        <v>4</v>
      </c>
      <c r="E1095" s="58" t="e">
        <f ca="1">Valuation!W36</f>
        <v>#NAME?</v>
      </c>
    </row>
    <row r="1096" spans="1:5">
      <c r="A1096" s="58" t="s">
        <v>829</v>
      </c>
      <c r="B1096" s="58" t="s">
        <v>1384</v>
      </c>
      <c r="C1096" s="58" t="s">
        <v>2139</v>
      </c>
      <c r="D1096" s="58">
        <v>5</v>
      </c>
      <c r="E1096" s="58" t="e">
        <f ca="1">Valuation!X36</f>
        <v>#NAME?</v>
      </c>
    </row>
    <row r="1097" spans="1:5">
      <c r="A1097" s="58" t="s">
        <v>829</v>
      </c>
      <c r="B1097" s="58" t="s">
        <v>1385</v>
      </c>
      <c r="C1097" s="58" t="s">
        <v>2139</v>
      </c>
      <c r="D1097" s="58">
        <v>6</v>
      </c>
      <c r="E1097" s="58" t="e">
        <f ca="1">Valuation!Y36</f>
        <v>#NAME?</v>
      </c>
    </row>
    <row r="1098" spans="1:5">
      <c r="A1098" s="58" t="s">
        <v>829</v>
      </c>
      <c r="B1098" s="58" t="s">
        <v>1386</v>
      </c>
      <c r="C1098" s="58" t="s">
        <v>2139</v>
      </c>
      <c r="D1098" s="58">
        <v>7</v>
      </c>
      <c r="E1098" s="58" t="e">
        <f ca="1">Valuation!Z36</f>
        <v>#NAME?</v>
      </c>
    </row>
    <row r="1099" spans="1:5">
      <c r="A1099" s="58" t="s">
        <v>829</v>
      </c>
      <c r="B1099" s="58" t="s">
        <v>1387</v>
      </c>
      <c r="C1099" s="58" t="s">
        <v>2139</v>
      </c>
      <c r="D1099" s="58">
        <v>8</v>
      </c>
      <c r="E1099" s="58" t="e">
        <f ca="1">Valuation!AA36</f>
        <v>#NAME?</v>
      </c>
    </row>
    <row r="1100" spans="1:5">
      <c r="A1100" s="58" t="s">
        <v>829</v>
      </c>
      <c r="B1100" s="58" t="s">
        <v>1388</v>
      </c>
      <c r="C1100" s="58" t="s">
        <v>2139</v>
      </c>
      <c r="D1100" s="58">
        <v>9</v>
      </c>
      <c r="E1100" s="58" t="e">
        <f ca="1">Valuation!AB36</f>
        <v>#NAME?</v>
      </c>
    </row>
    <row r="1101" spans="1:5">
      <c r="A1101" s="58" t="s">
        <v>829</v>
      </c>
      <c r="B1101" s="58" t="s">
        <v>1389</v>
      </c>
      <c r="C1101" s="58" t="s">
        <v>2139</v>
      </c>
      <c r="D1101" s="58">
        <v>0</v>
      </c>
      <c r="E1101" s="58">
        <f ca="1">Valuation!S36</f>
        <v>568207.81928220042</v>
      </c>
    </row>
    <row r="1102" spans="1:5">
      <c r="A1102" s="58" t="s">
        <v>829</v>
      </c>
      <c r="B1102" s="58" t="s">
        <v>2140</v>
      </c>
      <c r="C1102" s="58" t="s">
        <v>1143</v>
      </c>
      <c r="D1102" s="58" t="s">
        <v>1138</v>
      </c>
      <c r="E1102" s="58">
        <f>Valuation!V118</f>
        <v>1</v>
      </c>
    </row>
    <row r="1103" spans="1:5">
      <c r="A1103" s="58" t="s">
        <v>829</v>
      </c>
      <c r="B1103" s="58" t="s">
        <v>1434</v>
      </c>
      <c r="C1103" s="58" t="s">
        <v>2141</v>
      </c>
      <c r="D1103" s="58">
        <v>-11</v>
      </c>
      <c r="E1103" s="58">
        <f>Valuation!H64</f>
        <v>0</v>
      </c>
    </row>
    <row r="1104" spans="1:5">
      <c r="A1104" s="58" t="s">
        <v>829</v>
      </c>
      <c r="B1104" s="58" t="s">
        <v>1435</v>
      </c>
      <c r="C1104" s="58" t="s">
        <v>2141</v>
      </c>
      <c r="D1104" s="58">
        <v>-10</v>
      </c>
      <c r="E1104" s="58">
        <f>Valuation!I64</f>
        <v>0</v>
      </c>
    </row>
    <row r="1105" spans="1:5">
      <c r="A1105" s="58" t="s">
        <v>829</v>
      </c>
      <c r="B1105" s="58" t="s">
        <v>1436</v>
      </c>
      <c r="C1105" s="58" t="s">
        <v>2141</v>
      </c>
      <c r="D1105" s="58">
        <v>-9</v>
      </c>
      <c r="E1105" s="58">
        <f>Valuation!J64</f>
        <v>0</v>
      </c>
    </row>
    <row r="1106" spans="1:5">
      <c r="A1106" s="58" t="s">
        <v>829</v>
      </c>
      <c r="B1106" s="58" t="s">
        <v>1437</v>
      </c>
      <c r="C1106" s="58" t="s">
        <v>2141</v>
      </c>
      <c r="D1106" s="58">
        <v>-8</v>
      </c>
      <c r="E1106" s="58">
        <f>Valuation!K64</f>
        <v>0</v>
      </c>
    </row>
    <row r="1107" spans="1:5">
      <c r="A1107" s="58" t="s">
        <v>829</v>
      </c>
      <c r="B1107" s="58" t="s">
        <v>1438</v>
      </c>
      <c r="C1107" s="58" t="s">
        <v>2141</v>
      </c>
      <c r="D1107" s="58">
        <v>-7</v>
      </c>
      <c r="E1107" s="58">
        <f>Valuation!L64</f>
        <v>0</v>
      </c>
    </row>
    <row r="1108" spans="1:5">
      <c r="A1108" s="58" t="s">
        <v>829</v>
      </c>
      <c r="B1108" s="58" t="s">
        <v>1439</v>
      </c>
      <c r="C1108" s="58" t="s">
        <v>2141</v>
      </c>
      <c r="D1108" s="58">
        <v>-6</v>
      </c>
      <c r="E1108" s="58">
        <f>Valuation!M64</f>
        <v>0</v>
      </c>
    </row>
    <row r="1109" spans="1:5">
      <c r="A1109" s="58" t="s">
        <v>829</v>
      </c>
      <c r="B1109" s="58" t="s">
        <v>1440</v>
      </c>
      <c r="C1109" s="58" t="s">
        <v>2141</v>
      </c>
      <c r="D1109" s="58">
        <v>-5</v>
      </c>
      <c r="E1109" s="58">
        <f>Valuation!N64</f>
        <v>0</v>
      </c>
    </row>
    <row r="1110" spans="1:5">
      <c r="A1110" s="58" t="s">
        <v>829</v>
      </c>
      <c r="B1110" s="58" t="s">
        <v>1441</v>
      </c>
      <c r="C1110" s="58" t="s">
        <v>2141</v>
      </c>
      <c r="D1110" s="58">
        <v>-4</v>
      </c>
      <c r="E1110" s="58">
        <f>Valuation!O64</f>
        <v>45300</v>
      </c>
    </row>
    <row r="1111" spans="1:5">
      <c r="A1111" s="58" t="s">
        <v>829</v>
      </c>
      <c r="B1111" s="58" t="s">
        <v>1442</v>
      </c>
      <c r="C1111" s="58" t="s">
        <v>2141</v>
      </c>
      <c r="D1111" s="58">
        <v>-3</v>
      </c>
      <c r="E1111" s="58">
        <f>Valuation!P64</f>
        <v>106100</v>
      </c>
    </row>
    <row r="1112" spans="1:5">
      <c r="A1112" s="58" t="s">
        <v>829</v>
      </c>
      <c r="B1112" s="58" t="s">
        <v>1443</v>
      </c>
      <c r="C1112" s="58" t="s">
        <v>2141</v>
      </c>
      <c r="D1112" s="58">
        <v>-2</v>
      </c>
      <c r="E1112" s="58">
        <f>Valuation!Q64</f>
        <v>69600</v>
      </c>
    </row>
    <row r="1113" spans="1:5">
      <c r="A1113" s="58" t="s">
        <v>829</v>
      </c>
      <c r="B1113" s="58" t="s">
        <v>1444</v>
      </c>
      <c r="C1113" s="58" t="s">
        <v>2141</v>
      </c>
      <c r="D1113" s="58">
        <v>-1</v>
      </c>
      <c r="E1113" s="58">
        <f>Valuation!R64</f>
        <v>67126</v>
      </c>
    </row>
    <row r="1114" spans="1:5">
      <c r="A1114" s="58" t="s">
        <v>829</v>
      </c>
      <c r="B1114" s="58" t="s">
        <v>1445</v>
      </c>
      <c r="C1114" s="58" t="s">
        <v>2141</v>
      </c>
      <c r="D1114" s="58">
        <v>1</v>
      </c>
      <c r="E1114" s="58">
        <f>Valuation!T64</f>
        <v>130341</v>
      </c>
    </row>
    <row r="1115" spans="1:5">
      <c r="A1115" s="58" t="s">
        <v>829</v>
      </c>
      <c r="B1115" s="58" t="s">
        <v>1446</v>
      </c>
      <c r="C1115" s="58" t="s">
        <v>2141</v>
      </c>
      <c r="D1115" s="58">
        <v>2</v>
      </c>
      <c r="E1115" s="58">
        <f>Valuation!U64</f>
        <v>127481</v>
      </c>
    </row>
    <row r="1116" spans="1:5">
      <c r="A1116" s="58" t="s">
        <v>829</v>
      </c>
      <c r="B1116" s="58" t="s">
        <v>1447</v>
      </c>
      <c r="C1116" s="58" t="s">
        <v>2141</v>
      </c>
      <c r="D1116" s="58">
        <v>3</v>
      </c>
      <c r="E1116" s="58">
        <f>Valuation!V64</f>
        <v>124043</v>
      </c>
    </row>
    <row r="1117" spans="1:5">
      <c r="A1117" s="58" t="s">
        <v>829</v>
      </c>
      <c r="B1117" s="58" t="s">
        <v>1448</v>
      </c>
      <c r="C1117" s="58" t="s">
        <v>2141</v>
      </c>
      <c r="D1117" s="58">
        <v>4</v>
      </c>
      <c r="E1117" s="58">
        <f>Valuation!W64</f>
        <v>123524</v>
      </c>
    </row>
    <row r="1118" spans="1:5">
      <c r="A1118" s="58" t="s">
        <v>829</v>
      </c>
      <c r="B1118" s="58" t="s">
        <v>1449</v>
      </c>
      <c r="C1118" s="58" t="s">
        <v>2141</v>
      </c>
      <c r="D1118" s="58">
        <v>5</v>
      </c>
      <c r="E1118" s="58">
        <f>Valuation!X64</f>
        <v>117347.79999999999</v>
      </c>
    </row>
    <row r="1119" spans="1:5">
      <c r="A1119" s="58" t="s">
        <v>829</v>
      </c>
      <c r="B1119" s="58" t="s">
        <v>1450</v>
      </c>
      <c r="C1119" s="58" t="s">
        <v>2141</v>
      </c>
      <c r="D1119" s="58">
        <v>6</v>
      </c>
      <c r="E1119" s="58">
        <f>Valuation!Y64</f>
        <v>111480.40999999999</v>
      </c>
    </row>
    <row r="1120" spans="1:5">
      <c r="A1120" s="58" t="s">
        <v>829</v>
      </c>
      <c r="B1120" s="58" t="s">
        <v>1451</v>
      </c>
      <c r="C1120" s="58" t="s">
        <v>2141</v>
      </c>
      <c r="D1120" s="58">
        <v>7</v>
      </c>
      <c r="E1120" s="58">
        <f>Valuation!Z64</f>
        <v>105906.38949999999</v>
      </c>
    </row>
    <row r="1121" spans="1:5">
      <c r="A1121" s="58" t="s">
        <v>829</v>
      </c>
      <c r="B1121" s="58" t="s">
        <v>1452</v>
      </c>
      <c r="C1121" s="58" t="s">
        <v>2141</v>
      </c>
      <c r="D1121" s="58">
        <v>8</v>
      </c>
      <c r="E1121" s="58">
        <f>Valuation!AA64</f>
        <v>100611.07002499998</v>
      </c>
    </row>
    <row r="1122" spans="1:5">
      <c r="A1122" s="58" t="s">
        <v>829</v>
      </c>
      <c r="B1122" s="58" t="s">
        <v>1453</v>
      </c>
      <c r="C1122" s="58" t="s">
        <v>2141</v>
      </c>
      <c r="D1122" s="58">
        <v>9</v>
      </c>
      <c r="E1122" s="58">
        <f>Valuation!AB64</f>
        <v>95580.516523749975</v>
      </c>
    </row>
    <row r="1123" spans="1:5">
      <c r="A1123" s="58" t="s">
        <v>829</v>
      </c>
      <c r="B1123" s="58" t="s">
        <v>1454</v>
      </c>
      <c r="C1123" s="58" t="s">
        <v>2141</v>
      </c>
      <c r="D1123" s="58">
        <v>0</v>
      </c>
      <c r="E1123" s="58">
        <f>Valuation!S64</f>
        <v>138231</v>
      </c>
    </row>
    <row r="1124" spans="1:5">
      <c r="A1124" s="58" t="s">
        <v>829</v>
      </c>
      <c r="B1124" s="58" t="s">
        <v>1455</v>
      </c>
      <c r="C1124" s="58" t="s">
        <v>2142</v>
      </c>
      <c r="D1124" s="58">
        <v>-11</v>
      </c>
      <c r="E1124" s="58">
        <f>Valuation!H76</f>
        <v>0</v>
      </c>
    </row>
    <row r="1125" spans="1:5">
      <c r="A1125" s="58" t="s">
        <v>829</v>
      </c>
      <c r="B1125" s="58" t="s">
        <v>1457</v>
      </c>
      <c r="C1125" s="58" t="s">
        <v>2142</v>
      </c>
      <c r="D1125" s="58">
        <v>-10</v>
      </c>
      <c r="E1125" s="58">
        <f>Valuation!I76</f>
        <v>0</v>
      </c>
    </row>
    <row r="1126" spans="1:5">
      <c r="A1126" s="58" t="s">
        <v>829</v>
      </c>
      <c r="B1126" s="58" t="s">
        <v>1458</v>
      </c>
      <c r="C1126" s="58" t="s">
        <v>2142</v>
      </c>
      <c r="D1126" s="58">
        <v>-9</v>
      </c>
      <c r="E1126" s="58">
        <f>Valuation!J76</f>
        <v>0</v>
      </c>
    </row>
    <row r="1127" spans="1:5">
      <c r="A1127" s="58" t="s">
        <v>829</v>
      </c>
      <c r="B1127" s="58" t="s">
        <v>1459</v>
      </c>
      <c r="C1127" s="58" t="s">
        <v>2142</v>
      </c>
      <c r="D1127" s="58">
        <v>-8</v>
      </c>
      <c r="E1127" s="58">
        <f>Valuation!K76</f>
        <v>0</v>
      </c>
    </row>
    <row r="1128" spans="1:5">
      <c r="A1128" s="58" t="s">
        <v>829</v>
      </c>
      <c r="B1128" s="58" t="s">
        <v>1460</v>
      </c>
      <c r="C1128" s="58" t="s">
        <v>2142</v>
      </c>
      <c r="D1128" s="58">
        <v>-7</v>
      </c>
      <c r="E1128" s="58">
        <f>Valuation!L76</f>
        <v>0</v>
      </c>
    </row>
    <row r="1129" spans="1:5">
      <c r="A1129" s="58" t="s">
        <v>829</v>
      </c>
      <c r="B1129" s="58" t="s">
        <v>1461</v>
      </c>
      <c r="C1129" s="58" t="s">
        <v>2142</v>
      </c>
      <c r="D1129" s="58">
        <v>-6</v>
      </c>
      <c r="E1129" s="58">
        <f>Valuation!M76</f>
        <v>1141575</v>
      </c>
    </row>
    <row r="1130" spans="1:5">
      <c r="A1130" s="58" t="s">
        <v>829</v>
      </c>
      <c r="B1130" s="58" t="s">
        <v>1462</v>
      </c>
      <c r="C1130" s="58" t="s">
        <v>2142</v>
      </c>
      <c r="D1130" s="58">
        <v>-5</v>
      </c>
      <c r="E1130" s="58">
        <f>Valuation!N76</f>
        <v>7254525</v>
      </c>
    </row>
    <row r="1131" spans="1:5">
      <c r="A1131" s="58" t="s">
        <v>829</v>
      </c>
      <c r="B1131" s="58" t="s">
        <v>1463</v>
      </c>
      <c r="C1131" s="58" t="s">
        <v>2142</v>
      </c>
      <c r="D1131" s="58">
        <v>-4</v>
      </c>
      <c r="E1131" s="58">
        <f>Valuation!O76</f>
        <v>5312043</v>
      </c>
    </row>
    <row r="1132" spans="1:5">
      <c r="A1132" s="58" t="s">
        <v>829</v>
      </c>
      <c r="B1132" s="58" t="s">
        <v>1464</v>
      </c>
      <c r="C1132" s="58" t="s">
        <v>2142</v>
      </c>
      <c r="D1132" s="58">
        <v>-3</v>
      </c>
      <c r="E1132" s="58">
        <f>Valuation!P76</f>
        <v>5738371</v>
      </c>
    </row>
    <row r="1133" spans="1:5">
      <c r="A1133" s="58" t="s">
        <v>829</v>
      </c>
      <c r="B1133" s="58" t="s">
        <v>1465</v>
      </c>
      <c r="C1133" s="58" t="s">
        <v>2142</v>
      </c>
      <c r="D1133" s="58">
        <v>-2</v>
      </c>
      <c r="E1133" s="58">
        <f>Valuation!Q76</f>
        <v>9824230</v>
      </c>
    </row>
    <row r="1134" spans="1:5">
      <c r="A1134" s="58" t="s">
        <v>829</v>
      </c>
      <c r="B1134" s="58" t="s">
        <v>1466</v>
      </c>
      <c r="C1134" s="58" t="s">
        <v>2142</v>
      </c>
      <c r="D1134" s="58">
        <v>-1</v>
      </c>
      <c r="E1134" s="58">
        <f>Valuation!R76</f>
        <v>11929535</v>
      </c>
    </row>
    <row r="1135" spans="1:5">
      <c r="A1135" s="58" t="s">
        <v>829</v>
      </c>
      <c r="B1135" s="58" t="s">
        <v>1467</v>
      </c>
      <c r="C1135" s="58" t="s">
        <v>2142</v>
      </c>
      <c r="D1135" s="58">
        <v>1</v>
      </c>
      <c r="E1135" s="58" t="e">
        <f ca="1">Valuation!T76</f>
        <v>#NAME?</v>
      </c>
    </row>
    <row r="1136" spans="1:5">
      <c r="A1136" s="58" t="s">
        <v>829</v>
      </c>
      <c r="B1136" s="58" t="s">
        <v>1468</v>
      </c>
      <c r="C1136" s="58" t="s">
        <v>2142</v>
      </c>
      <c r="D1136" s="58">
        <v>2</v>
      </c>
      <c r="E1136" s="58" t="e">
        <f ca="1">Valuation!U76</f>
        <v>#NAME?</v>
      </c>
    </row>
    <row r="1137" spans="1:5">
      <c r="A1137" s="58" t="s">
        <v>829</v>
      </c>
      <c r="B1137" s="58" t="s">
        <v>1469</v>
      </c>
      <c r="C1137" s="58" t="s">
        <v>2142</v>
      </c>
      <c r="D1137" s="58">
        <v>3</v>
      </c>
      <c r="E1137" s="58" t="e">
        <f ca="1">Valuation!V76</f>
        <v>#NAME?</v>
      </c>
    </row>
    <row r="1138" spans="1:5">
      <c r="A1138" s="58" t="s">
        <v>829</v>
      </c>
      <c r="B1138" s="58" t="s">
        <v>1470</v>
      </c>
      <c r="C1138" s="58" t="s">
        <v>2142</v>
      </c>
      <c r="D1138" s="58">
        <v>4</v>
      </c>
      <c r="E1138" s="58" t="e">
        <f ca="1">Valuation!W76</f>
        <v>#NAME?</v>
      </c>
    </row>
    <row r="1139" spans="1:5">
      <c r="A1139" s="58" t="s">
        <v>829</v>
      </c>
      <c r="B1139" s="58" t="s">
        <v>1471</v>
      </c>
      <c r="C1139" s="58" t="s">
        <v>2142</v>
      </c>
      <c r="D1139" s="58">
        <v>5</v>
      </c>
      <c r="E1139" s="58" t="e">
        <f ca="1">Valuation!X76</f>
        <v>#NAME?</v>
      </c>
    </row>
    <row r="1140" spans="1:5">
      <c r="A1140" s="58" t="s">
        <v>829</v>
      </c>
      <c r="B1140" s="58" t="s">
        <v>1472</v>
      </c>
      <c r="C1140" s="58" t="s">
        <v>2142</v>
      </c>
      <c r="D1140" s="58">
        <v>6</v>
      </c>
      <c r="E1140" s="58" t="e">
        <f ca="1">Valuation!Y76</f>
        <v>#NAME?</v>
      </c>
    </row>
    <row r="1141" spans="1:5">
      <c r="A1141" s="58" t="s">
        <v>829</v>
      </c>
      <c r="B1141" s="58" t="s">
        <v>1473</v>
      </c>
      <c r="C1141" s="58" t="s">
        <v>2142</v>
      </c>
      <c r="D1141" s="58">
        <v>7</v>
      </c>
      <c r="E1141" s="58" t="e">
        <f ca="1">Valuation!Z76</f>
        <v>#NAME?</v>
      </c>
    </row>
    <row r="1142" spans="1:5">
      <c r="A1142" s="58" t="s">
        <v>829</v>
      </c>
      <c r="B1142" s="58" t="s">
        <v>1474</v>
      </c>
      <c r="C1142" s="58" t="s">
        <v>2142</v>
      </c>
      <c r="D1142" s="58">
        <v>8</v>
      </c>
      <c r="E1142" s="58" t="e">
        <f ca="1">Valuation!AA76</f>
        <v>#NAME?</v>
      </c>
    </row>
    <row r="1143" spans="1:5">
      <c r="A1143" s="58" t="s">
        <v>829</v>
      </c>
      <c r="B1143" s="58" t="s">
        <v>1475</v>
      </c>
      <c r="C1143" s="58" t="s">
        <v>2142</v>
      </c>
      <c r="D1143" s="58">
        <v>9</v>
      </c>
      <c r="E1143" s="58" t="e">
        <f ca="1">Valuation!AB76</f>
        <v>#NAME?</v>
      </c>
    </row>
    <row r="1144" spans="1:5">
      <c r="A1144" s="58" t="s">
        <v>829</v>
      </c>
      <c r="B1144" s="58" t="s">
        <v>1476</v>
      </c>
      <c r="C1144" s="58" t="s">
        <v>2142</v>
      </c>
      <c r="D1144" s="58">
        <v>0</v>
      </c>
      <c r="E1144" s="58" t="e">
        <f ca="1">Valuation!S76</f>
        <v>#NAME?</v>
      </c>
    </row>
    <row r="1145" spans="1:5">
      <c r="A1145" s="58" t="s">
        <v>829</v>
      </c>
      <c r="B1145" s="58" t="s">
        <v>1477</v>
      </c>
      <c r="C1145" s="58" t="s">
        <v>1144</v>
      </c>
      <c r="D1145" s="58" t="s">
        <v>1138</v>
      </c>
      <c r="E1145" s="58">
        <f>Valuation!Q110</f>
        <v>10140104.75</v>
      </c>
    </row>
    <row r="1146" spans="1:5">
      <c r="A1146" s="58" t="s">
        <v>829</v>
      </c>
      <c r="B1146" s="58" t="s">
        <v>1478</v>
      </c>
      <c r="C1146" s="58" t="s">
        <v>2143</v>
      </c>
      <c r="D1146" s="58">
        <v>-11</v>
      </c>
      <c r="E1146" s="58">
        <f>Valuation!H37</f>
        <v>0</v>
      </c>
    </row>
    <row r="1147" spans="1:5">
      <c r="A1147" s="58" t="s">
        <v>829</v>
      </c>
      <c r="B1147" s="58" t="s">
        <v>1480</v>
      </c>
      <c r="C1147" s="58" t="s">
        <v>2143</v>
      </c>
      <c r="D1147" s="58">
        <v>-10</v>
      </c>
      <c r="E1147" s="58">
        <f>Valuation!I37</f>
        <v>0</v>
      </c>
    </row>
    <row r="1148" spans="1:5">
      <c r="A1148" s="58" t="s">
        <v>829</v>
      </c>
      <c r="B1148" s="58" t="s">
        <v>1481</v>
      </c>
      <c r="C1148" s="58" t="s">
        <v>2143</v>
      </c>
      <c r="D1148" s="58">
        <v>-9</v>
      </c>
      <c r="E1148" s="58">
        <f>Valuation!J37</f>
        <v>0</v>
      </c>
    </row>
    <row r="1149" spans="1:5">
      <c r="A1149" s="58" t="s">
        <v>829</v>
      </c>
      <c r="B1149" s="58" t="s">
        <v>1482</v>
      </c>
      <c r="C1149" s="58" t="s">
        <v>2143</v>
      </c>
      <c r="D1149" s="58">
        <v>-8</v>
      </c>
      <c r="E1149" s="58">
        <f>Valuation!K37</f>
        <v>0</v>
      </c>
    </row>
    <row r="1150" spans="1:5">
      <c r="A1150" s="58" t="s">
        <v>829</v>
      </c>
      <c r="B1150" s="58" t="s">
        <v>1483</v>
      </c>
      <c r="C1150" s="58" t="s">
        <v>2143</v>
      </c>
      <c r="D1150" s="58">
        <v>-7</v>
      </c>
      <c r="E1150" s="58">
        <f>Valuation!L37</f>
        <v>0</v>
      </c>
    </row>
    <row r="1151" spans="1:5">
      <c r="A1151" s="58" t="s">
        <v>829</v>
      </c>
      <c r="B1151" s="58" t="s">
        <v>1484</v>
      </c>
      <c r="C1151" s="58" t="s">
        <v>2143</v>
      </c>
      <c r="D1151" s="58">
        <v>-6</v>
      </c>
      <c r="E1151" s="58">
        <f>Valuation!M37</f>
        <v>0</v>
      </c>
    </row>
    <row r="1152" spans="1:5">
      <c r="A1152" s="58" t="s">
        <v>829</v>
      </c>
      <c r="B1152" s="58" t="s">
        <v>1485</v>
      </c>
      <c r="C1152" s="58" t="s">
        <v>2143</v>
      </c>
      <c r="D1152" s="58">
        <v>-5</v>
      </c>
      <c r="E1152" s="58">
        <f>Valuation!N37</f>
        <v>0</v>
      </c>
    </row>
    <row r="1153" spans="1:5">
      <c r="A1153" s="58" t="s">
        <v>829</v>
      </c>
      <c r="B1153" s="58" t="s">
        <v>1486</v>
      </c>
      <c r="C1153" s="58" t="s">
        <v>2143</v>
      </c>
      <c r="D1153" s="58">
        <v>-4</v>
      </c>
      <c r="E1153" s="58">
        <f>Valuation!O37</f>
        <v>0</v>
      </c>
    </row>
    <row r="1154" spans="1:5">
      <c r="A1154" s="58" t="s">
        <v>829</v>
      </c>
      <c r="B1154" s="58" t="s">
        <v>1487</v>
      </c>
      <c r="C1154" s="58" t="s">
        <v>2143</v>
      </c>
      <c r="D1154" s="58">
        <v>-3</v>
      </c>
      <c r="E1154" s="58">
        <f>Valuation!P37</f>
        <v>0</v>
      </c>
    </row>
    <row r="1155" spans="1:5">
      <c r="A1155" s="58" t="s">
        <v>829</v>
      </c>
      <c r="B1155" s="58" t="s">
        <v>1488</v>
      </c>
      <c r="C1155" s="58" t="s">
        <v>2143</v>
      </c>
      <c r="D1155" s="58">
        <v>-2</v>
      </c>
      <c r="E1155" s="58">
        <f>Valuation!Q37</f>
        <v>0</v>
      </c>
    </row>
    <row r="1156" spans="1:5">
      <c r="A1156" s="58" t="s">
        <v>829</v>
      </c>
      <c r="B1156" s="58" t="s">
        <v>1489</v>
      </c>
      <c r="C1156" s="58" t="s">
        <v>2143</v>
      </c>
      <c r="D1156" s="58">
        <v>-1</v>
      </c>
      <c r="E1156" s="58">
        <f>Valuation!R37</f>
        <v>0</v>
      </c>
    </row>
    <row r="1157" spans="1:5">
      <c r="A1157" s="58" t="s">
        <v>829</v>
      </c>
      <c r="B1157" s="58" t="s">
        <v>1490</v>
      </c>
      <c r="C1157" s="58" t="s">
        <v>2143</v>
      </c>
      <c r="D1157" s="58">
        <v>1</v>
      </c>
      <c r="E1157" s="58">
        <f>Valuation!T37</f>
        <v>-1300000</v>
      </c>
    </row>
    <row r="1158" spans="1:5">
      <c r="A1158" s="58" t="s">
        <v>829</v>
      </c>
      <c r="B1158" s="58" t="s">
        <v>1491</v>
      </c>
      <c r="C1158" s="58" t="s">
        <v>2143</v>
      </c>
      <c r="D1158" s="58">
        <v>2</v>
      </c>
      <c r="E1158" s="58">
        <f>Valuation!U37</f>
        <v>0</v>
      </c>
    </row>
    <row r="1159" spans="1:5">
      <c r="A1159" s="58" t="s">
        <v>829</v>
      </c>
      <c r="B1159" s="58" t="s">
        <v>1492</v>
      </c>
      <c r="C1159" s="58" t="s">
        <v>2143</v>
      </c>
      <c r="D1159" s="58">
        <v>3</v>
      </c>
      <c r="E1159" s="58">
        <f>Valuation!V37</f>
        <v>0</v>
      </c>
    </row>
    <row r="1160" spans="1:5">
      <c r="A1160" s="58" t="s">
        <v>829</v>
      </c>
      <c r="B1160" s="58" t="s">
        <v>1493</v>
      </c>
      <c r="C1160" s="58" t="s">
        <v>2143</v>
      </c>
      <c r="D1160" s="58">
        <v>4</v>
      </c>
      <c r="E1160" s="58">
        <f>Valuation!W37</f>
        <v>0</v>
      </c>
    </row>
    <row r="1161" spans="1:5">
      <c r="A1161" s="58" t="s">
        <v>829</v>
      </c>
      <c r="B1161" s="58" t="s">
        <v>1494</v>
      </c>
      <c r="C1161" s="58" t="s">
        <v>2143</v>
      </c>
      <c r="D1161" s="58">
        <v>5</v>
      </c>
      <c r="E1161" s="58">
        <f>Valuation!X37</f>
        <v>0</v>
      </c>
    </row>
    <row r="1162" spans="1:5">
      <c r="A1162" s="58" t="s">
        <v>829</v>
      </c>
      <c r="B1162" s="58" t="s">
        <v>1495</v>
      </c>
      <c r="C1162" s="58" t="s">
        <v>2143</v>
      </c>
      <c r="D1162" s="58">
        <v>6</v>
      </c>
      <c r="E1162" s="58">
        <f>Valuation!Y37</f>
        <v>0</v>
      </c>
    </row>
    <row r="1163" spans="1:5">
      <c r="A1163" s="58" t="s">
        <v>829</v>
      </c>
      <c r="B1163" s="58" t="s">
        <v>1496</v>
      </c>
      <c r="C1163" s="58" t="s">
        <v>2143</v>
      </c>
      <c r="D1163" s="58">
        <v>7</v>
      </c>
      <c r="E1163" s="58">
        <f>Valuation!Z37</f>
        <v>0</v>
      </c>
    </row>
    <row r="1164" spans="1:5">
      <c r="A1164" s="58" t="s">
        <v>829</v>
      </c>
      <c r="B1164" s="58" t="s">
        <v>1497</v>
      </c>
      <c r="C1164" s="58" t="s">
        <v>2143</v>
      </c>
      <c r="D1164" s="58">
        <v>8</v>
      </c>
      <c r="E1164" s="58">
        <f>Valuation!AA37</f>
        <v>0</v>
      </c>
    </row>
    <row r="1165" spans="1:5">
      <c r="A1165" s="58" t="s">
        <v>829</v>
      </c>
      <c r="B1165" s="58" t="s">
        <v>1498</v>
      </c>
      <c r="C1165" s="58" t="s">
        <v>2143</v>
      </c>
      <c r="D1165" s="58">
        <v>9</v>
      </c>
      <c r="E1165" s="58">
        <f>Valuation!AB37</f>
        <v>0</v>
      </c>
    </row>
    <row r="1166" spans="1:5">
      <c r="A1166" s="58" t="s">
        <v>829</v>
      </c>
      <c r="B1166" s="58" t="s">
        <v>1499</v>
      </c>
      <c r="C1166" s="58" t="s">
        <v>2143</v>
      </c>
      <c r="D1166" s="58">
        <v>0</v>
      </c>
      <c r="E1166" s="58">
        <f>Valuation!S37</f>
        <v>-2000000</v>
      </c>
    </row>
    <row r="1167" spans="1:5">
      <c r="A1167" s="58" t="s">
        <v>829</v>
      </c>
      <c r="B1167" s="58" t="s">
        <v>1605</v>
      </c>
      <c r="C1167" s="58" t="s">
        <v>1145</v>
      </c>
      <c r="D1167" s="58" t="s">
        <v>1138</v>
      </c>
      <c r="E1167" s="58">
        <f>Valuation!Y104</f>
        <v>0.09</v>
      </c>
    </row>
    <row r="1168" spans="1:5">
      <c r="A1168" s="58" t="s">
        <v>829</v>
      </c>
      <c r="B1168" s="58" t="s">
        <v>1606</v>
      </c>
      <c r="C1168" s="58" t="s">
        <v>2144</v>
      </c>
      <c r="D1168" s="58">
        <v>0</v>
      </c>
      <c r="E1168" s="58">
        <f>Valuation!S13</f>
        <v>0</v>
      </c>
    </row>
    <row r="1169" spans="1:5">
      <c r="A1169" s="58" t="s">
        <v>829</v>
      </c>
      <c r="B1169" s="58" t="s">
        <v>1607</v>
      </c>
      <c r="C1169" s="58" t="s">
        <v>2144</v>
      </c>
      <c r="D1169" s="58">
        <v>-11</v>
      </c>
      <c r="E1169" s="58">
        <f>Valuation!H13</f>
        <v>0</v>
      </c>
    </row>
    <row r="1170" spans="1:5">
      <c r="A1170" s="58" t="s">
        <v>829</v>
      </c>
      <c r="B1170" s="58" t="s">
        <v>1608</v>
      </c>
      <c r="C1170" s="58" t="s">
        <v>2144</v>
      </c>
      <c r="D1170" s="58">
        <v>-10</v>
      </c>
      <c r="E1170" s="58">
        <f>Valuation!I13</f>
        <v>0</v>
      </c>
    </row>
    <row r="1171" spans="1:5">
      <c r="A1171" s="58" t="s">
        <v>829</v>
      </c>
      <c r="B1171" s="58" t="s">
        <v>1609</v>
      </c>
      <c r="C1171" s="58" t="s">
        <v>2144</v>
      </c>
      <c r="D1171" s="58">
        <v>-9</v>
      </c>
      <c r="E1171" s="58">
        <f>Valuation!J13</f>
        <v>0</v>
      </c>
    </row>
    <row r="1172" spans="1:5">
      <c r="A1172" s="58" t="s">
        <v>829</v>
      </c>
      <c r="B1172" s="58" t="s">
        <v>1610</v>
      </c>
      <c r="C1172" s="58" t="s">
        <v>2144</v>
      </c>
      <c r="D1172" s="58">
        <v>-8</v>
      </c>
      <c r="E1172" s="58">
        <f>Valuation!K13</f>
        <v>0</v>
      </c>
    </row>
    <row r="1173" spans="1:5">
      <c r="A1173" s="58" t="s">
        <v>829</v>
      </c>
      <c r="B1173" s="58" t="s">
        <v>1611</v>
      </c>
      <c r="C1173" s="58" t="s">
        <v>2144</v>
      </c>
      <c r="D1173" s="58">
        <v>-7</v>
      </c>
      <c r="E1173" s="58">
        <f>Valuation!L13</f>
        <v>0</v>
      </c>
    </row>
    <row r="1174" spans="1:5">
      <c r="A1174" s="58" t="s">
        <v>829</v>
      </c>
      <c r="B1174" s="58" t="s">
        <v>1612</v>
      </c>
      <c r="C1174" s="58" t="s">
        <v>2144</v>
      </c>
      <c r="D1174" s="58">
        <v>-6</v>
      </c>
      <c r="E1174" s="58">
        <f>Valuation!M13</f>
        <v>0</v>
      </c>
    </row>
    <row r="1175" spans="1:5">
      <c r="A1175" s="58" t="s">
        <v>829</v>
      </c>
      <c r="B1175" s="58" t="s">
        <v>1613</v>
      </c>
      <c r="C1175" s="58" t="s">
        <v>2144</v>
      </c>
      <c r="D1175" s="58">
        <v>-5</v>
      </c>
      <c r="E1175" s="58">
        <f>Valuation!N13</f>
        <v>0</v>
      </c>
    </row>
    <row r="1176" spans="1:5">
      <c r="A1176" s="58" t="s">
        <v>829</v>
      </c>
      <c r="B1176" s="58" t="s">
        <v>1614</v>
      </c>
      <c r="C1176" s="58" t="s">
        <v>2144</v>
      </c>
      <c r="D1176" s="58">
        <v>-4</v>
      </c>
      <c r="E1176" s="58">
        <f>Valuation!O13</f>
        <v>0</v>
      </c>
    </row>
    <row r="1177" spans="1:5">
      <c r="A1177" s="58" t="s">
        <v>829</v>
      </c>
      <c r="B1177" s="58" t="s">
        <v>1615</v>
      </c>
      <c r="C1177" s="58" t="s">
        <v>2144</v>
      </c>
      <c r="D1177" s="58">
        <v>-3</v>
      </c>
      <c r="E1177" s="58">
        <f>Valuation!P13</f>
        <v>0</v>
      </c>
    </row>
    <row r="1178" spans="1:5">
      <c r="A1178" s="58" t="s">
        <v>829</v>
      </c>
      <c r="B1178" s="58" t="s">
        <v>1616</v>
      </c>
      <c r="C1178" s="58" t="s">
        <v>2144</v>
      </c>
      <c r="D1178" s="58">
        <v>-2</v>
      </c>
      <c r="E1178" s="58">
        <f>Valuation!Q13</f>
        <v>0</v>
      </c>
    </row>
    <row r="1179" spans="1:5">
      <c r="A1179" s="58" t="s">
        <v>829</v>
      </c>
      <c r="B1179" s="58" t="s">
        <v>1617</v>
      </c>
      <c r="C1179" s="58" t="s">
        <v>2144</v>
      </c>
      <c r="D1179" s="58">
        <v>-1</v>
      </c>
      <c r="E1179" s="58">
        <f>Valuation!R13</f>
        <v>0</v>
      </c>
    </row>
    <row r="1180" spans="1:5">
      <c r="A1180" s="58" t="s">
        <v>829</v>
      </c>
      <c r="B1180" s="58" t="s">
        <v>1618</v>
      </c>
      <c r="C1180" s="58" t="s">
        <v>2144</v>
      </c>
      <c r="D1180" s="58">
        <v>1</v>
      </c>
      <c r="E1180" s="58">
        <f>Valuation!T13</f>
        <v>0</v>
      </c>
    </row>
    <row r="1181" spans="1:5">
      <c r="A1181" s="58" t="s">
        <v>829</v>
      </c>
      <c r="B1181" s="58" t="s">
        <v>1619</v>
      </c>
      <c r="C1181" s="58" t="s">
        <v>2144</v>
      </c>
      <c r="D1181" s="58">
        <v>2</v>
      </c>
      <c r="E1181" s="58">
        <f>Valuation!U13</f>
        <v>0</v>
      </c>
    </row>
    <row r="1182" spans="1:5">
      <c r="A1182" s="58" t="s">
        <v>829</v>
      </c>
      <c r="B1182" s="58" t="s">
        <v>1620</v>
      </c>
      <c r="C1182" s="58" t="s">
        <v>2144</v>
      </c>
      <c r="D1182" s="58">
        <v>3</v>
      </c>
      <c r="E1182" s="58">
        <f>Valuation!V13</f>
        <v>0</v>
      </c>
    </row>
    <row r="1183" spans="1:5">
      <c r="A1183" s="58" t="s">
        <v>829</v>
      </c>
      <c r="B1183" s="58" t="s">
        <v>1621</v>
      </c>
      <c r="C1183" s="58" t="s">
        <v>2144</v>
      </c>
      <c r="D1183" s="58">
        <v>4</v>
      </c>
      <c r="E1183" s="58">
        <f>Valuation!W13</f>
        <v>0</v>
      </c>
    </row>
    <row r="1184" spans="1:5">
      <c r="A1184" s="58" t="s">
        <v>829</v>
      </c>
      <c r="B1184" s="58" t="s">
        <v>1622</v>
      </c>
      <c r="C1184" s="58" t="s">
        <v>2144</v>
      </c>
      <c r="D1184" s="58">
        <v>5</v>
      </c>
      <c r="E1184" s="58">
        <f>Valuation!X13</f>
        <v>0</v>
      </c>
    </row>
    <row r="1185" spans="1:5">
      <c r="A1185" s="58" t="s">
        <v>829</v>
      </c>
      <c r="B1185" s="58" t="s">
        <v>1623</v>
      </c>
      <c r="C1185" s="58" t="s">
        <v>2144</v>
      </c>
      <c r="D1185" s="58">
        <v>6</v>
      </c>
      <c r="E1185" s="58">
        <f>Valuation!Y13</f>
        <v>0</v>
      </c>
    </row>
    <row r="1186" spans="1:5">
      <c r="A1186" s="58" t="s">
        <v>829</v>
      </c>
      <c r="B1186" s="58" t="s">
        <v>1624</v>
      </c>
      <c r="C1186" s="58" t="s">
        <v>2144</v>
      </c>
      <c r="D1186" s="58">
        <v>7</v>
      </c>
      <c r="E1186" s="58">
        <f>Valuation!Z13</f>
        <v>0</v>
      </c>
    </row>
    <row r="1187" spans="1:5">
      <c r="A1187" s="58" t="s">
        <v>829</v>
      </c>
      <c r="B1187" s="58" t="s">
        <v>1625</v>
      </c>
      <c r="C1187" s="58" t="s">
        <v>2144</v>
      </c>
      <c r="D1187" s="58">
        <v>8</v>
      </c>
      <c r="E1187" s="58">
        <f>Valuation!AA13</f>
        <v>0</v>
      </c>
    </row>
    <row r="1188" spans="1:5">
      <c r="A1188" s="58" t="s">
        <v>829</v>
      </c>
      <c r="B1188" s="58" t="s">
        <v>1626</v>
      </c>
      <c r="C1188" s="58" t="s">
        <v>2144</v>
      </c>
      <c r="D1188" s="58">
        <v>9</v>
      </c>
      <c r="E1188" s="58">
        <f>Valuation!AB13</f>
        <v>0</v>
      </c>
    </row>
    <row r="1189" spans="1:5">
      <c r="A1189" s="58" t="s">
        <v>829</v>
      </c>
      <c r="B1189" s="58" t="s">
        <v>3239</v>
      </c>
      <c r="C1189" s="58" t="s">
        <v>1146</v>
      </c>
      <c r="D1189" s="58" t="s">
        <v>1138</v>
      </c>
      <c r="E1189" s="58">
        <f>Valuation!Y105</f>
        <v>0</v>
      </c>
    </row>
    <row r="1190" spans="1:5">
      <c r="A1190" s="58" t="s">
        <v>829</v>
      </c>
      <c r="B1190" s="58" t="s">
        <v>3251</v>
      </c>
      <c r="C1190" s="58" t="s">
        <v>1147</v>
      </c>
      <c r="D1190" s="58" t="s">
        <v>1138</v>
      </c>
      <c r="E1190" s="58">
        <f>Valuation!S9</f>
        <v>2026</v>
      </c>
    </row>
    <row r="1191" spans="1:5">
      <c r="A1191" s="58" t="s">
        <v>829</v>
      </c>
      <c r="B1191" s="58" t="s">
        <v>1628</v>
      </c>
      <c r="C1191" s="58" t="s">
        <v>2145</v>
      </c>
      <c r="D1191" s="58">
        <v>-11</v>
      </c>
      <c r="E1191" s="58" t="str">
        <f>Valuation!H78</f>
        <v/>
      </c>
    </row>
    <row r="1192" spans="1:5">
      <c r="A1192" s="58" t="s">
        <v>829</v>
      </c>
      <c r="B1192" s="58" t="s">
        <v>1630</v>
      </c>
      <c r="C1192" s="58" t="s">
        <v>2145</v>
      </c>
      <c r="D1192" s="58">
        <v>-10</v>
      </c>
      <c r="E1192" s="58" t="str">
        <f>Valuation!I78</f>
        <v/>
      </c>
    </row>
    <row r="1193" spans="1:5">
      <c r="A1193" s="58" t="s">
        <v>829</v>
      </c>
      <c r="B1193" s="58" t="s">
        <v>1631</v>
      </c>
      <c r="C1193" s="58" t="s">
        <v>2145</v>
      </c>
      <c r="D1193" s="58">
        <v>-9</v>
      </c>
      <c r="E1193" s="58" t="str">
        <f>Valuation!J78</f>
        <v/>
      </c>
    </row>
    <row r="1194" spans="1:5">
      <c r="A1194" s="58" t="s">
        <v>829</v>
      </c>
      <c r="B1194" s="58" t="s">
        <v>1632</v>
      </c>
      <c r="C1194" s="58" t="s">
        <v>2145</v>
      </c>
      <c r="D1194" s="58">
        <v>-8</v>
      </c>
      <c r="E1194" s="58" t="str">
        <f>Valuation!K78</f>
        <v/>
      </c>
    </row>
    <row r="1195" spans="1:5">
      <c r="A1195" s="58" t="s">
        <v>829</v>
      </c>
      <c r="B1195" s="58" t="s">
        <v>1633</v>
      </c>
      <c r="C1195" s="58" t="s">
        <v>2145</v>
      </c>
      <c r="D1195" s="58">
        <v>-7</v>
      </c>
      <c r="E1195" s="58" t="str">
        <f>Valuation!L78</f>
        <v/>
      </c>
    </row>
    <row r="1196" spans="1:5">
      <c r="A1196" s="58" t="s">
        <v>829</v>
      </c>
      <c r="B1196" s="58" t="s">
        <v>1634</v>
      </c>
      <c r="C1196" s="58" t="s">
        <v>2145</v>
      </c>
      <c r="D1196" s="58">
        <v>-6</v>
      </c>
      <c r="E1196" s="58" t="str">
        <f>Valuation!M78</f>
        <v/>
      </c>
    </row>
    <row r="1197" spans="1:5">
      <c r="A1197" s="58" t="s">
        <v>829</v>
      </c>
      <c r="B1197" s="58" t="s">
        <v>1635</v>
      </c>
      <c r="C1197" s="58" t="s">
        <v>2145</v>
      </c>
      <c r="D1197" s="58">
        <v>-5</v>
      </c>
      <c r="E1197" s="58" t="str">
        <f>Valuation!N78</f>
        <v/>
      </c>
    </row>
    <row r="1198" spans="1:5">
      <c r="A1198" s="58" t="s">
        <v>829</v>
      </c>
      <c r="B1198" s="58" t="s">
        <v>1636</v>
      </c>
      <c r="C1198" s="58" t="s">
        <v>2145</v>
      </c>
      <c r="D1198" s="58">
        <v>-4</v>
      </c>
      <c r="E1198" s="58" t="str">
        <f>Valuation!O78</f>
        <v/>
      </c>
    </row>
    <row r="1199" spans="1:5">
      <c r="A1199" s="58" t="s">
        <v>829</v>
      </c>
      <c r="B1199" s="58" t="s">
        <v>1637</v>
      </c>
      <c r="C1199" s="58" t="s">
        <v>2145</v>
      </c>
      <c r="D1199" s="58">
        <v>-3</v>
      </c>
      <c r="E1199" s="58" t="str">
        <f>Valuation!P78</f>
        <v/>
      </c>
    </row>
    <row r="1200" spans="1:5">
      <c r="A1200" s="58" t="s">
        <v>829</v>
      </c>
      <c r="B1200" s="58" t="s">
        <v>1638</v>
      </c>
      <c r="C1200" s="58" t="s">
        <v>2145</v>
      </c>
      <c r="D1200" s="58">
        <v>-2</v>
      </c>
      <c r="E1200" s="58" t="str">
        <f>Valuation!Q78</f>
        <v/>
      </c>
    </row>
    <row r="1201" spans="1:5">
      <c r="A1201" s="58" t="s">
        <v>829</v>
      </c>
      <c r="B1201" s="58" t="s">
        <v>1639</v>
      </c>
      <c r="C1201" s="58" t="s">
        <v>2145</v>
      </c>
      <c r="D1201" s="58">
        <v>-1</v>
      </c>
      <c r="E1201" s="58" t="str">
        <f>Valuation!R78</f>
        <v/>
      </c>
    </row>
    <row r="1202" spans="1:5">
      <c r="A1202" s="58" t="s">
        <v>829</v>
      </c>
      <c r="B1202" s="58" t="s">
        <v>1640</v>
      </c>
      <c r="C1202" s="58" t="s">
        <v>2145</v>
      </c>
      <c r="D1202" s="58">
        <v>1</v>
      </c>
      <c r="E1202" s="58">
        <f>Valuation!T78</f>
        <v>0</v>
      </c>
    </row>
    <row r="1203" spans="1:5">
      <c r="A1203" s="58" t="s">
        <v>829</v>
      </c>
      <c r="B1203" s="58" t="s">
        <v>1641</v>
      </c>
      <c r="C1203" s="58" t="s">
        <v>2145</v>
      </c>
      <c r="D1203" s="58">
        <v>2</v>
      </c>
      <c r="E1203" s="58">
        <f>Valuation!U78</f>
        <v>0</v>
      </c>
    </row>
    <row r="1204" spans="1:5">
      <c r="A1204" s="58" t="s">
        <v>829</v>
      </c>
      <c r="B1204" s="58" t="s">
        <v>1642</v>
      </c>
      <c r="C1204" s="58" t="s">
        <v>2145</v>
      </c>
      <c r="D1204" s="58">
        <v>3</v>
      </c>
      <c r="E1204" s="58">
        <f>Valuation!V78</f>
        <v>0</v>
      </c>
    </row>
    <row r="1205" spans="1:5">
      <c r="A1205" s="58" t="s">
        <v>829</v>
      </c>
      <c r="B1205" s="58" t="s">
        <v>1643</v>
      </c>
      <c r="C1205" s="58" t="s">
        <v>2145</v>
      </c>
      <c r="D1205" s="58">
        <v>4</v>
      </c>
      <c r="E1205" s="58">
        <f>Valuation!W78</f>
        <v>0</v>
      </c>
    </row>
    <row r="1206" spans="1:5">
      <c r="A1206" s="58" t="s">
        <v>829</v>
      </c>
      <c r="B1206" s="58" t="s">
        <v>1644</v>
      </c>
      <c r="C1206" s="58" t="s">
        <v>2145</v>
      </c>
      <c r="D1206" s="58">
        <v>5</v>
      </c>
      <c r="E1206" s="58">
        <f>Valuation!X78</f>
        <v>0</v>
      </c>
    </row>
    <row r="1207" spans="1:5">
      <c r="A1207" s="58" t="s">
        <v>829</v>
      </c>
      <c r="B1207" s="58" t="s">
        <v>1645</v>
      </c>
      <c r="C1207" s="58" t="s">
        <v>2145</v>
      </c>
      <c r="D1207" s="58">
        <v>6</v>
      </c>
      <c r="E1207" s="58">
        <f>Valuation!Y78</f>
        <v>0</v>
      </c>
    </row>
    <row r="1208" spans="1:5">
      <c r="A1208" s="58" t="s">
        <v>829</v>
      </c>
      <c r="B1208" s="58" t="s">
        <v>1646</v>
      </c>
      <c r="C1208" s="58" t="s">
        <v>2145</v>
      </c>
      <c r="D1208" s="58">
        <v>7</v>
      </c>
      <c r="E1208" s="58">
        <f>Valuation!Z78</f>
        <v>0</v>
      </c>
    </row>
    <row r="1209" spans="1:5">
      <c r="A1209" s="58" t="s">
        <v>829</v>
      </c>
      <c r="B1209" s="58" t="s">
        <v>1647</v>
      </c>
      <c r="C1209" s="58" t="s">
        <v>2145</v>
      </c>
      <c r="D1209" s="58">
        <v>8</v>
      </c>
      <c r="E1209" s="58">
        <f>Valuation!AA78</f>
        <v>0</v>
      </c>
    </row>
    <row r="1210" spans="1:5">
      <c r="A1210" s="58" t="s">
        <v>829</v>
      </c>
      <c r="B1210" s="58" t="s">
        <v>1648</v>
      </c>
      <c r="C1210" s="58" t="s">
        <v>2145</v>
      </c>
      <c r="D1210" s="58">
        <v>9</v>
      </c>
      <c r="E1210" s="58">
        <f>Valuation!AB78</f>
        <v>0</v>
      </c>
    </row>
    <row r="1211" spans="1:5">
      <c r="A1211" s="58" t="s">
        <v>829</v>
      </c>
      <c r="B1211" s="58" t="s">
        <v>1649</v>
      </c>
      <c r="C1211" s="58" t="s">
        <v>2145</v>
      </c>
      <c r="D1211" s="58">
        <v>0</v>
      </c>
      <c r="E1211" s="58">
        <f>Valuation!S78</f>
        <v>0</v>
      </c>
    </row>
    <row r="1212" spans="1:5">
      <c r="A1212" s="58" t="s">
        <v>829</v>
      </c>
      <c r="B1212" s="58" t="s">
        <v>1672</v>
      </c>
      <c r="C1212" s="58" t="s">
        <v>2146</v>
      </c>
      <c r="D1212" s="58">
        <v>-11</v>
      </c>
      <c r="E1212" s="58" t="str">
        <f>Valuation!H88</f>
        <v/>
      </c>
    </row>
    <row r="1213" spans="1:5">
      <c r="A1213" s="58" t="s">
        <v>829</v>
      </c>
      <c r="B1213" s="58" t="s">
        <v>1674</v>
      </c>
      <c r="C1213" s="58" t="s">
        <v>2146</v>
      </c>
      <c r="D1213" s="58">
        <v>-10</v>
      </c>
      <c r="E1213" s="58" t="str">
        <f>Valuation!I88</f>
        <v/>
      </c>
    </row>
    <row r="1214" spans="1:5">
      <c r="A1214" s="58" t="s">
        <v>829</v>
      </c>
      <c r="B1214" s="58" t="s">
        <v>1675</v>
      </c>
      <c r="C1214" s="58" t="s">
        <v>2146</v>
      </c>
      <c r="D1214" s="58">
        <v>-9</v>
      </c>
      <c r="E1214" s="58" t="str">
        <f>Valuation!J88</f>
        <v/>
      </c>
    </row>
    <row r="1215" spans="1:5">
      <c r="A1215" s="58" t="s">
        <v>829</v>
      </c>
      <c r="B1215" s="58" t="s">
        <v>1676</v>
      </c>
      <c r="C1215" s="58" t="s">
        <v>2146</v>
      </c>
      <c r="D1215" s="58">
        <v>-8</v>
      </c>
      <c r="E1215" s="58" t="str">
        <f>Valuation!K88</f>
        <v/>
      </c>
    </row>
    <row r="1216" spans="1:5">
      <c r="A1216" s="58" t="s">
        <v>829</v>
      </c>
      <c r="B1216" s="58" t="s">
        <v>1677</v>
      </c>
      <c r="C1216" s="58" t="s">
        <v>2146</v>
      </c>
      <c r="D1216" s="58">
        <v>-7</v>
      </c>
      <c r="E1216" s="58" t="str">
        <f>Valuation!L88</f>
        <v/>
      </c>
    </row>
    <row r="1217" spans="1:5">
      <c r="A1217" s="58" t="s">
        <v>829</v>
      </c>
      <c r="B1217" s="58" t="s">
        <v>1678</v>
      </c>
      <c r="C1217" s="58" t="s">
        <v>2146</v>
      </c>
      <c r="D1217" s="58">
        <v>-6</v>
      </c>
      <c r="E1217" s="58" t="str">
        <f>Valuation!M88</f>
        <v/>
      </c>
    </row>
    <row r="1218" spans="1:5">
      <c r="A1218" s="58" t="s">
        <v>829</v>
      </c>
      <c r="B1218" s="58" t="s">
        <v>1679</v>
      </c>
      <c r="C1218" s="58" t="s">
        <v>2146</v>
      </c>
      <c r="D1218" s="58">
        <v>-5</v>
      </c>
      <c r="E1218" s="58" t="str">
        <f>Valuation!N88</f>
        <v/>
      </c>
    </row>
    <row r="1219" spans="1:5">
      <c r="A1219" s="58" t="s">
        <v>829</v>
      </c>
      <c r="B1219" s="58" t="s">
        <v>1680</v>
      </c>
      <c r="C1219" s="58" t="s">
        <v>2146</v>
      </c>
      <c r="D1219" s="58">
        <v>-4</v>
      </c>
      <c r="E1219" s="58" t="str">
        <f>Valuation!O88</f>
        <v/>
      </c>
    </row>
    <row r="1220" spans="1:5">
      <c r="A1220" s="58" t="s">
        <v>829</v>
      </c>
      <c r="B1220" s="58" t="s">
        <v>1681</v>
      </c>
      <c r="C1220" s="58" t="s">
        <v>2146</v>
      </c>
      <c r="D1220" s="58">
        <v>-3</v>
      </c>
      <c r="E1220" s="58" t="str">
        <f>Valuation!P88</f>
        <v/>
      </c>
    </row>
    <row r="1221" spans="1:5">
      <c r="A1221" s="58" t="s">
        <v>829</v>
      </c>
      <c r="B1221" s="58" t="s">
        <v>1682</v>
      </c>
      <c r="C1221" s="58" t="s">
        <v>2146</v>
      </c>
      <c r="D1221" s="58">
        <v>-2</v>
      </c>
      <c r="E1221" s="58" t="str">
        <f>Valuation!Q88</f>
        <v/>
      </c>
    </row>
    <row r="1222" spans="1:5">
      <c r="A1222" s="58" t="s">
        <v>829</v>
      </c>
      <c r="B1222" s="58" t="s">
        <v>1683</v>
      </c>
      <c r="C1222" s="58" t="s">
        <v>2146</v>
      </c>
      <c r="D1222" s="58">
        <v>-1</v>
      </c>
      <c r="E1222" s="58" t="str">
        <f>Valuation!R88</f>
        <v/>
      </c>
    </row>
    <row r="1223" spans="1:5">
      <c r="A1223" s="58" t="s">
        <v>829</v>
      </c>
      <c r="B1223" s="58" t="s">
        <v>1684</v>
      </c>
      <c r="C1223" s="58" t="s">
        <v>2146</v>
      </c>
      <c r="D1223" s="58">
        <v>1</v>
      </c>
      <c r="E1223" s="58">
        <f>Valuation!T88</f>
        <v>5</v>
      </c>
    </row>
    <row r="1224" spans="1:5">
      <c r="A1224" s="58" t="s">
        <v>829</v>
      </c>
      <c r="B1224" s="58" t="s">
        <v>1685</v>
      </c>
      <c r="C1224" s="58" t="s">
        <v>2146</v>
      </c>
      <c r="D1224" s="58">
        <v>2</v>
      </c>
      <c r="E1224" s="58">
        <f>Valuation!U88</f>
        <v>5</v>
      </c>
    </row>
    <row r="1225" spans="1:5">
      <c r="A1225" s="58" t="s">
        <v>829</v>
      </c>
      <c r="B1225" s="58" t="s">
        <v>1686</v>
      </c>
      <c r="C1225" s="58" t="s">
        <v>2146</v>
      </c>
      <c r="D1225" s="58">
        <v>3</v>
      </c>
      <c r="E1225" s="58">
        <f>Valuation!V88</f>
        <v>5</v>
      </c>
    </row>
    <row r="1226" spans="1:5">
      <c r="A1226" s="58" t="s">
        <v>829</v>
      </c>
      <c r="B1226" s="58" t="s">
        <v>1687</v>
      </c>
      <c r="C1226" s="58" t="s">
        <v>2146</v>
      </c>
      <c r="D1226" s="58">
        <v>4</v>
      </c>
      <c r="E1226" s="58">
        <f>Valuation!W88</f>
        <v>5</v>
      </c>
    </row>
    <row r="1227" spans="1:5">
      <c r="A1227" s="58" t="s">
        <v>829</v>
      </c>
      <c r="B1227" s="58" t="s">
        <v>1688</v>
      </c>
      <c r="C1227" s="58" t="s">
        <v>2146</v>
      </c>
      <c r="D1227" s="58">
        <v>5</v>
      </c>
      <c r="E1227" s="58">
        <f>Valuation!X88</f>
        <v>5</v>
      </c>
    </row>
    <row r="1228" spans="1:5">
      <c r="A1228" s="58" t="s">
        <v>829</v>
      </c>
      <c r="B1228" s="58" t="s">
        <v>1689</v>
      </c>
      <c r="C1228" s="58" t="s">
        <v>2146</v>
      </c>
      <c r="D1228" s="58">
        <v>6</v>
      </c>
      <c r="E1228" s="58">
        <f>Valuation!Y88</f>
        <v>5</v>
      </c>
    </row>
    <row r="1229" spans="1:5">
      <c r="A1229" s="58" t="s">
        <v>829</v>
      </c>
      <c r="B1229" s="58" t="s">
        <v>1690</v>
      </c>
      <c r="C1229" s="58" t="s">
        <v>2146</v>
      </c>
      <c r="D1229" s="58">
        <v>7</v>
      </c>
      <c r="E1229" s="58">
        <f>Valuation!Z88</f>
        <v>5</v>
      </c>
    </row>
    <row r="1230" spans="1:5">
      <c r="A1230" s="58" t="s">
        <v>829</v>
      </c>
      <c r="B1230" s="58" t="s">
        <v>1691</v>
      </c>
      <c r="C1230" s="58" t="s">
        <v>2146</v>
      </c>
      <c r="D1230" s="58">
        <v>8</v>
      </c>
      <c r="E1230" s="58">
        <f>Valuation!AA88</f>
        <v>5</v>
      </c>
    </row>
    <row r="1231" spans="1:5">
      <c r="A1231" s="58" t="s">
        <v>829</v>
      </c>
      <c r="B1231" s="58" t="s">
        <v>1692</v>
      </c>
      <c r="C1231" s="58" t="s">
        <v>2146</v>
      </c>
      <c r="D1231" s="58">
        <v>9</v>
      </c>
      <c r="E1231" s="58">
        <f>Valuation!AB88</f>
        <v>0</v>
      </c>
    </row>
    <row r="1232" spans="1:5">
      <c r="A1232" s="58" t="s">
        <v>829</v>
      </c>
      <c r="B1232" s="58" t="s">
        <v>1693</v>
      </c>
      <c r="C1232" s="58" t="s">
        <v>2146</v>
      </c>
      <c r="D1232" s="58">
        <v>0</v>
      </c>
      <c r="E1232" s="58">
        <f>Valuation!S88</f>
        <v>5</v>
      </c>
    </row>
    <row r="1233" spans="1:5">
      <c r="A1233" s="58" t="s">
        <v>829</v>
      </c>
      <c r="B1233" s="58" t="s">
        <v>1650</v>
      </c>
      <c r="C1233" s="58" t="s">
        <v>2147</v>
      </c>
      <c r="D1233" s="58">
        <v>-11</v>
      </c>
      <c r="E1233" s="58" t="str">
        <f>Valuation!H80</f>
        <v/>
      </c>
    </row>
    <row r="1234" spans="1:5">
      <c r="A1234" s="58" t="s">
        <v>829</v>
      </c>
      <c r="B1234" s="58" t="s">
        <v>1652</v>
      </c>
      <c r="C1234" s="58" t="s">
        <v>2147</v>
      </c>
      <c r="D1234" s="58">
        <v>-10</v>
      </c>
      <c r="E1234" s="58" t="str">
        <f>Valuation!I80</f>
        <v/>
      </c>
    </row>
    <row r="1235" spans="1:5">
      <c r="A1235" s="58" t="s">
        <v>829</v>
      </c>
      <c r="B1235" s="58" t="s">
        <v>1653</v>
      </c>
      <c r="C1235" s="58" t="s">
        <v>2147</v>
      </c>
      <c r="D1235" s="58">
        <v>-9</v>
      </c>
      <c r="E1235" s="58" t="str">
        <f>Valuation!J80</f>
        <v/>
      </c>
    </row>
    <row r="1236" spans="1:5">
      <c r="A1236" s="58" t="s">
        <v>829</v>
      </c>
      <c r="B1236" s="58" t="s">
        <v>1654</v>
      </c>
      <c r="C1236" s="58" t="s">
        <v>2147</v>
      </c>
      <c r="D1236" s="58">
        <v>-8</v>
      </c>
      <c r="E1236" s="58" t="str">
        <f>Valuation!K80</f>
        <v/>
      </c>
    </row>
    <row r="1237" spans="1:5">
      <c r="A1237" s="58" t="s">
        <v>829</v>
      </c>
      <c r="B1237" s="58" t="s">
        <v>1655</v>
      </c>
      <c r="C1237" s="58" t="s">
        <v>2147</v>
      </c>
      <c r="D1237" s="58">
        <v>-7</v>
      </c>
      <c r="E1237" s="58" t="str">
        <f>Valuation!L80</f>
        <v/>
      </c>
    </row>
    <row r="1238" spans="1:5">
      <c r="A1238" s="58" t="s">
        <v>829</v>
      </c>
      <c r="B1238" s="58" t="s">
        <v>1656</v>
      </c>
      <c r="C1238" s="58" t="s">
        <v>2147</v>
      </c>
      <c r="D1238" s="58">
        <v>-6</v>
      </c>
      <c r="E1238" s="58">
        <f>Valuation!M80</f>
        <v>54.13537657311538</v>
      </c>
    </row>
    <row r="1239" spans="1:5">
      <c r="A1239" s="58" t="s">
        <v>829</v>
      </c>
      <c r="B1239" s="58" t="s">
        <v>1657</v>
      </c>
      <c r="C1239" s="58" t="s">
        <v>2147</v>
      </c>
      <c r="D1239" s="58">
        <v>-5</v>
      </c>
      <c r="E1239" s="58">
        <f>Valuation!N80</f>
        <v>21.289576148512573</v>
      </c>
    </row>
    <row r="1240" spans="1:5">
      <c r="A1240" s="58" t="s">
        <v>829</v>
      </c>
      <c r="B1240" s="58" t="s">
        <v>1658</v>
      </c>
      <c r="C1240" s="58" t="s">
        <v>2147</v>
      </c>
      <c r="D1240" s="58">
        <v>-4</v>
      </c>
      <c r="E1240" s="58">
        <f>Valuation!O80</f>
        <v>53.114325992546512</v>
      </c>
    </row>
    <row r="1241" spans="1:5">
      <c r="A1241" s="58" t="s">
        <v>829</v>
      </c>
      <c r="B1241" s="58" t="s">
        <v>1659</v>
      </c>
      <c r="C1241" s="58" t="s">
        <v>2147</v>
      </c>
      <c r="D1241" s="58">
        <v>-3</v>
      </c>
      <c r="E1241" s="58">
        <f>Valuation!P80</f>
        <v>49.957152963453986</v>
      </c>
    </row>
    <row r="1242" spans="1:5">
      <c r="A1242" s="58" t="s">
        <v>829</v>
      </c>
      <c r="B1242" s="58" t="s">
        <v>1660</v>
      </c>
      <c r="C1242" s="58" t="s">
        <v>2147</v>
      </c>
      <c r="D1242" s="58">
        <v>-2</v>
      </c>
      <c r="E1242" s="58">
        <f>Valuation!Q80</f>
        <v>41.183045684753324</v>
      </c>
    </row>
    <row r="1243" spans="1:5">
      <c r="A1243" s="58" t="s">
        <v>829</v>
      </c>
      <c r="B1243" s="58" t="s">
        <v>1661</v>
      </c>
      <c r="C1243" s="58" t="s">
        <v>2147</v>
      </c>
      <c r="D1243" s="58">
        <v>-1</v>
      </c>
      <c r="E1243" s="58">
        <f>Valuation!R80</f>
        <v>84.463663042683635</v>
      </c>
    </row>
    <row r="1244" spans="1:5">
      <c r="A1244" s="58" t="s">
        <v>829</v>
      </c>
      <c r="B1244" s="58" t="s">
        <v>1662</v>
      </c>
      <c r="C1244" s="58" t="s">
        <v>2147</v>
      </c>
      <c r="D1244" s="58">
        <v>1</v>
      </c>
      <c r="E1244" s="58">
        <f>Valuation!T80</f>
        <v>84.463663042683635</v>
      </c>
    </row>
    <row r="1245" spans="1:5">
      <c r="A1245" s="58" t="s">
        <v>829</v>
      </c>
      <c r="B1245" s="58" t="s">
        <v>1663</v>
      </c>
      <c r="C1245" s="58" t="s">
        <v>2147</v>
      </c>
      <c r="D1245" s="58">
        <v>2</v>
      </c>
      <c r="E1245" s="58">
        <f>Valuation!U80</f>
        <v>84.463663042683635</v>
      </c>
    </row>
    <row r="1246" spans="1:5">
      <c r="A1246" s="58" t="s">
        <v>829</v>
      </c>
      <c r="B1246" s="58" t="s">
        <v>1664</v>
      </c>
      <c r="C1246" s="58" t="s">
        <v>2147</v>
      </c>
      <c r="D1246" s="58">
        <v>3</v>
      </c>
      <c r="E1246" s="58">
        <f>Valuation!V80</f>
        <v>84.463663042683635</v>
      </c>
    </row>
    <row r="1247" spans="1:5">
      <c r="A1247" s="58" t="s">
        <v>829</v>
      </c>
      <c r="B1247" s="58" t="s">
        <v>1665</v>
      </c>
      <c r="C1247" s="58" t="s">
        <v>2147</v>
      </c>
      <c r="D1247" s="58">
        <v>4</v>
      </c>
      <c r="E1247" s="58">
        <f>Valuation!W80</f>
        <v>84.463663042683635</v>
      </c>
    </row>
    <row r="1248" spans="1:5">
      <c r="A1248" s="58" t="s">
        <v>829</v>
      </c>
      <c r="B1248" s="58" t="s">
        <v>1666</v>
      </c>
      <c r="C1248" s="58" t="s">
        <v>2147</v>
      </c>
      <c r="D1248" s="58">
        <v>5</v>
      </c>
      <c r="E1248" s="58">
        <f>Valuation!X80</f>
        <v>84.463663042683635</v>
      </c>
    </row>
    <row r="1249" spans="1:5">
      <c r="A1249" s="58" t="s">
        <v>829</v>
      </c>
      <c r="B1249" s="58" t="s">
        <v>1667</v>
      </c>
      <c r="C1249" s="58" t="s">
        <v>2147</v>
      </c>
      <c r="D1249" s="58">
        <v>6</v>
      </c>
      <c r="E1249" s="58">
        <f>Valuation!Y80</f>
        <v>84.463663042683635</v>
      </c>
    </row>
    <row r="1250" spans="1:5">
      <c r="A1250" s="58" t="s">
        <v>829</v>
      </c>
      <c r="B1250" s="58" t="s">
        <v>1668</v>
      </c>
      <c r="C1250" s="58" t="s">
        <v>2147</v>
      </c>
      <c r="D1250" s="58">
        <v>7</v>
      </c>
      <c r="E1250" s="58">
        <f>Valuation!Z80</f>
        <v>84.463663042683635</v>
      </c>
    </row>
    <row r="1251" spans="1:5">
      <c r="A1251" s="58" t="s">
        <v>829</v>
      </c>
      <c r="B1251" s="58" t="s">
        <v>1669</v>
      </c>
      <c r="C1251" s="58" t="s">
        <v>2147</v>
      </c>
      <c r="D1251" s="58">
        <v>8</v>
      </c>
      <c r="E1251" s="58">
        <f>Valuation!AA80</f>
        <v>84.463663042683635</v>
      </c>
    </row>
    <row r="1252" spans="1:5">
      <c r="A1252" s="58" t="s">
        <v>829</v>
      </c>
      <c r="B1252" s="58" t="s">
        <v>1670</v>
      </c>
      <c r="C1252" s="58" t="s">
        <v>2147</v>
      </c>
      <c r="D1252" s="58">
        <v>9</v>
      </c>
      <c r="E1252" s="58">
        <f>Valuation!AB80</f>
        <v>84.463663042683635</v>
      </c>
    </row>
    <row r="1253" spans="1:5">
      <c r="A1253" s="58" t="s">
        <v>829</v>
      </c>
      <c r="B1253" s="58" t="s">
        <v>1671</v>
      </c>
      <c r="C1253" s="58" t="s">
        <v>2147</v>
      </c>
      <c r="D1253" s="58">
        <v>0</v>
      </c>
      <c r="E1253" s="58">
        <f>Valuation!S80</f>
        <v>84.463663042683635</v>
      </c>
    </row>
    <row r="1254" spans="1:5">
      <c r="A1254" s="58" t="s">
        <v>829</v>
      </c>
      <c r="B1254" s="58" t="s">
        <v>1694</v>
      </c>
      <c r="C1254" s="58" t="s">
        <v>1148</v>
      </c>
      <c r="D1254" s="58" t="s">
        <v>1138</v>
      </c>
      <c r="E1254" s="58">
        <f>Valuation!Q111</f>
        <v>7658724</v>
      </c>
    </row>
    <row r="1255" spans="1:5">
      <c r="A1255" s="58" t="s">
        <v>829</v>
      </c>
      <c r="B1255" s="58" t="s">
        <v>1717</v>
      </c>
      <c r="C1255" s="58" t="s">
        <v>2148</v>
      </c>
      <c r="D1255" s="58">
        <v>-11</v>
      </c>
      <c r="E1255" s="58">
        <f>Valuation!H63</f>
        <v>0</v>
      </c>
    </row>
    <row r="1256" spans="1:5">
      <c r="A1256" s="58" t="s">
        <v>829</v>
      </c>
      <c r="B1256" s="58" t="s">
        <v>1719</v>
      </c>
      <c r="C1256" s="58" t="s">
        <v>2148</v>
      </c>
      <c r="D1256" s="58">
        <v>-10</v>
      </c>
      <c r="E1256" s="58">
        <f>Valuation!I63</f>
        <v>0</v>
      </c>
    </row>
    <row r="1257" spans="1:5">
      <c r="A1257" s="58" t="s">
        <v>829</v>
      </c>
      <c r="B1257" s="58" t="s">
        <v>1720</v>
      </c>
      <c r="C1257" s="58" t="s">
        <v>2148</v>
      </c>
      <c r="D1257" s="58">
        <v>-9</v>
      </c>
      <c r="E1257" s="58">
        <f>Valuation!J63</f>
        <v>0</v>
      </c>
    </row>
    <row r="1258" spans="1:5">
      <c r="A1258" s="58" t="s">
        <v>829</v>
      </c>
      <c r="B1258" s="58" t="s">
        <v>1721</v>
      </c>
      <c r="C1258" s="58" t="s">
        <v>2148</v>
      </c>
      <c r="D1258" s="58">
        <v>-8</v>
      </c>
      <c r="E1258" s="58">
        <f>Valuation!K63</f>
        <v>0</v>
      </c>
    </row>
    <row r="1259" spans="1:5">
      <c r="A1259" s="58" t="s">
        <v>829</v>
      </c>
      <c r="B1259" s="58" t="s">
        <v>1722</v>
      </c>
      <c r="C1259" s="58" t="s">
        <v>2148</v>
      </c>
      <c r="D1259" s="58">
        <v>-7</v>
      </c>
      <c r="E1259" s="58">
        <f>Valuation!L63</f>
        <v>0</v>
      </c>
    </row>
    <row r="1260" spans="1:5">
      <c r="A1260" s="58" t="s">
        <v>829</v>
      </c>
      <c r="B1260" s="58" t="s">
        <v>1723</v>
      </c>
      <c r="C1260" s="58" t="s">
        <v>2148</v>
      </c>
      <c r="D1260" s="58">
        <v>-6</v>
      </c>
      <c r="E1260" s="58">
        <f>Valuation!M63</f>
        <v>0</v>
      </c>
    </row>
    <row r="1261" spans="1:5">
      <c r="A1261" s="58" t="s">
        <v>829</v>
      </c>
      <c r="B1261" s="58" t="s">
        <v>1724</v>
      </c>
      <c r="C1261" s="58" t="s">
        <v>2148</v>
      </c>
      <c r="D1261" s="58">
        <v>-5</v>
      </c>
      <c r="E1261" s="58">
        <f>Valuation!N63</f>
        <v>46951</v>
      </c>
    </row>
    <row r="1262" spans="1:5">
      <c r="A1262" s="58" t="s">
        <v>829</v>
      </c>
      <c r="B1262" s="58" t="s">
        <v>1725</v>
      </c>
      <c r="C1262" s="58" t="s">
        <v>2148</v>
      </c>
      <c r="D1262" s="58">
        <v>-4</v>
      </c>
      <c r="E1262" s="58">
        <f>Valuation!O63</f>
        <v>108769</v>
      </c>
    </row>
    <row r="1263" spans="1:5">
      <c r="A1263" s="58" t="s">
        <v>829</v>
      </c>
      <c r="B1263" s="58" t="s">
        <v>1726</v>
      </c>
      <c r="C1263" s="58" t="s">
        <v>2148</v>
      </c>
      <c r="D1263" s="58">
        <v>-3</v>
      </c>
      <c r="E1263" s="58">
        <f>Valuation!P63</f>
        <v>33542</v>
      </c>
    </row>
    <row r="1264" spans="1:5">
      <c r="A1264" s="58" t="s">
        <v>829</v>
      </c>
      <c r="B1264" s="58" t="s">
        <v>1727</v>
      </c>
      <c r="C1264" s="58" t="s">
        <v>2148</v>
      </c>
      <c r="D1264" s="58">
        <v>-2</v>
      </c>
      <c r="E1264" s="58">
        <f>Valuation!Q63</f>
        <v>57918</v>
      </c>
    </row>
    <row r="1265" spans="1:5">
      <c r="A1265" s="58" t="s">
        <v>829</v>
      </c>
      <c r="B1265" s="58" t="s">
        <v>1728</v>
      </c>
      <c r="C1265" s="58" t="s">
        <v>2148</v>
      </c>
      <c r="D1265" s="58">
        <v>-1</v>
      </c>
      <c r="E1265" s="58">
        <f>Valuation!R63</f>
        <v>121302</v>
      </c>
    </row>
    <row r="1266" spans="1:5">
      <c r="A1266" s="58" t="s">
        <v>829</v>
      </c>
      <c r="B1266" s="58" t="s">
        <v>1729</v>
      </c>
      <c r="C1266" s="58" t="s">
        <v>2148</v>
      </c>
      <c r="D1266" s="58">
        <v>1</v>
      </c>
      <c r="E1266" s="58" t="e">
        <f ca="1">Valuation!T63</f>
        <v>#NAME?</v>
      </c>
    </row>
    <row r="1267" spans="1:5">
      <c r="A1267" s="58" t="s">
        <v>829</v>
      </c>
      <c r="B1267" s="58" t="s">
        <v>1730</v>
      </c>
      <c r="C1267" s="58" t="s">
        <v>2148</v>
      </c>
      <c r="D1267" s="58">
        <v>2</v>
      </c>
      <c r="E1267" s="58" t="e">
        <f ca="1">Valuation!U63</f>
        <v>#NAME?</v>
      </c>
    </row>
    <row r="1268" spans="1:5">
      <c r="A1268" s="58" t="s">
        <v>829</v>
      </c>
      <c r="B1268" s="58" t="s">
        <v>1731</v>
      </c>
      <c r="C1268" s="58" t="s">
        <v>2148</v>
      </c>
      <c r="D1268" s="58">
        <v>3</v>
      </c>
      <c r="E1268" s="58" t="e">
        <f ca="1">Valuation!V63</f>
        <v>#NAME?</v>
      </c>
    </row>
    <row r="1269" spans="1:5">
      <c r="A1269" s="58" t="s">
        <v>829</v>
      </c>
      <c r="B1269" s="58" t="s">
        <v>1732</v>
      </c>
      <c r="C1269" s="58" t="s">
        <v>2148</v>
      </c>
      <c r="D1269" s="58">
        <v>4</v>
      </c>
      <c r="E1269" s="58" t="e">
        <f ca="1">Valuation!W63</f>
        <v>#NAME?</v>
      </c>
    </row>
    <row r="1270" spans="1:5">
      <c r="A1270" s="58" t="s">
        <v>829</v>
      </c>
      <c r="B1270" s="58" t="s">
        <v>1733</v>
      </c>
      <c r="C1270" s="58" t="s">
        <v>2148</v>
      </c>
      <c r="D1270" s="58">
        <v>5</v>
      </c>
      <c r="E1270" s="58" t="e">
        <f ca="1">Valuation!X63</f>
        <v>#NAME?</v>
      </c>
    </row>
    <row r="1271" spans="1:5">
      <c r="A1271" s="58" t="s">
        <v>829</v>
      </c>
      <c r="B1271" s="58" t="s">
        <v>1734</v>
      </c>
      <c r="C1271" s="58" t="s">
        <v>2148</v>
      </c>
      <c r="D1271" s="58">
        <v>6</v>
      </c>
      <c r="E1271" s="58" t="e">
        <f ca="1">Valuation!Y63</f>
        <v>#NAME?</v>
      </c>
    </row>
    <row r="1272" spans="1:5">
      <c r="A1272" s="58" t="s">
        <v>829</v>
      </c>
      <c r="B1272" s="58" t="s">
        <v>1735</v>
      </c>
      <c r="C1272" s="58" t="s">
        <v>2148</v>
      </c>
      <c r="D1272" s="58">
        <v>7</v>
      </c>
      <c r="E1272" s="58" t="e">
        <f ca="1">Valuation!Z63</f>
        <v>#NAME?</v>
      </c>
    </row>
    <row r="1273" spans="1:5">
      <c r="A1273" s="58" t="s">
        <v>829</v>
      </c>
      <c r="B1273" s="58" t="s">
        <v>1736</v>
      </c>
      <c r="C1273" s="58" t="s">
        <v>2148</v>
      </c>
      <c r="D1273" s="58">
        <v>8</v>
      </c>
      <c r="E1273" s="58" t="e">
        <f ca="1">Valuation!AA63</f>
        <v>#NAME?</v>
      </c>
    </row>
    <row r="1274" spans="1:5">
      <c r="A1274" s="58" t="s">
        <v>829</v>
      </c>
      <c r="B1274" s="58" t="s">
        <v>1737</v>
      </c>
      <c r="C1274" s="58" t="s">
        <v>2148</v>
      </c>
      <c r="D1274" s="58">
        <v>9</v>
      </c>
      <c r="E1274" s="58" t="e">
        <f ca="1">Valuation!AB63</f>
        <v>#NAME?</v>
      </c>
    </row>
    <row r="1275" spans="1:5">
      <c r="A1275" s="58" t="s">
        <v>829</v>
      </c>
      <c r="B1275" s="58" t="s">
        <v>1738</v>
      </c>
      <c r="C1275" s="58" t="s">
        <v>2148</v>
      </c>
      <c r="D1275" s="58">
        <v>0</v>
      </c>
      <c r="E1275" s="58">
        <f ca="1">Valuation!S63</f>
        <v>114915.82639300979</v>
      </c>
    </row>
    <row r="1276" spans="1:5">
      <c r="A1276" s="58" t="s">
        <v>829</v>
      </c>
      <c r="B1276" s="58" t="s">
        <v>1716</v>
      </c>
      <c r="C1276" s="58" t="s">
        <v>2149</v>
      </c>
      <c r="D1276" s="58">
        <v>0</v>
      </c>
      <c r="E1276" s="58">
        <f ca="1">Valuation!S22</f>
        <v>253146.8263930098</v>
      </c>
    </row>
    <row r="1277" spans="1:5">
      <c r="A1277" s="58" t="s">
        <v>829</v>
      </c>
      <c r="B1277" s="58" t="s">
        <v>1695</v>
      </c>
      <c r="C1277" s="58" t="s">
        <v>2149</v>
      </c>
      <c r="D1277" s="58">
        <v>-11</v>
      </c>
      <c r="E1277" s="58">
        <f>Valuation!H22</f>
        <v>0</v>
      </c>
    </row>
    <row r="1278" spans="1:5">
      <c r="A1278" s="58" t="s">
        <v>829</v>
      </c>
      <c r="B1278" s="58" t="s">
        <v>1697</v>
      </c>
      <c r="C1278" s="58" t="s">
        <v>2149</v>
      </c>
      <c r="D1278" s="58">
        <v>-10</v>
      </c>
      <c r="E1278" s="58">
        <f>Valuation!I22</f>
        <v>0</v>
      </c>
    </row>
    <row r="1279" spans="1:5">
      <c r="A1279" s="58" t="s">
        <v>829</v>
      </c>
      <c r="B1279" s="58" t="s">
        <v>1698</v>
      </c>
      <c r="C1279" s="58" t="s">
        <v>2149</v>
      </c>
      <c r="D1279" s="58">
        <v>-9</v>
      </c>
      <c r="E1279" s="58">
        <f>Valuation!J22</f>
        <v>0</v>
      </c>
    </row>
    <row r="1280" spans="1:5">
      <c r="A1280" s="58" t="s">
        <v>829</v>
      </c>
      <c r="B1280" s="58" t="s">
        <v>1699</v>
      </c>
      <c r="C1280" s="58" t="s">
        <v>2149</v>
      </c>
      <c r="D1280" s="58">
        <v>-8</v>
      </c>
      <c r="E1280" s="58">
        <f>Valuation!K22</f>
        <v>0</v>
      </c>
    </row>
    <row r="1281" spans="1:5">
      <c r="A1281" s="58" t="s">
        <v>829</v>
      </c>
      <c r="B1281" s="58" t="s">
        <v>1700</v>
      </c>
      <c r="C1281" s="58" t="s">
        <v>2149</v>
      </c>
      <c r="D1281" s="58">
        <v>-7</v>
      </c>
      <c r="E1281" s="58">
        <f>Valuation!L22</f>
        <v>0</v>
      </c>
    </row>
    <row r="1282" spans="1:5">
      <c r="A1282" s="58" t="s">
        <v>829</v>
      </c>
      <c r="B1282" s="58" t="s">
        <v>1701</v>
      </c>
      <c r="C1282" s="58" t="s">
        <v>2149</v>
      </c>
      <c r="D1282" s="58">
        <v>-6</v>
      </c>
      <c r="E1282" s="58">
        <f>Valuation!M22</f>
        <v>30962</v>
      </c>
    </row>
    <row r="1283" spans="1:5">
      <c r="A1283" s="58" t="s">
        <v>829</v>
      </c>
      <c r="B1283" s="58" t="s">
        <v>1702</v>
      </c>
      <c r="C1283" s="58" t="s">
        <v>2149</v>
      </c>
      <c r="D1283" s="58">
        <v>-5</v>
      </c>
      <c r="E1283" s="58">
        <f>Valuation!N22</f>
        <v>63651</v>
      </c>
    </row>
    <row r="1284" spans="1:5">
      <c r="A1284" s="58" t="s">
        <v>829</v>
      </c>
      <c r="B1284" s="58" t="s">
        <v>1703</v>
      </c>
      <c r="C1284" s="58" t="s">
        <v>2149</v>
      </c>
      <c r="D1284" s="58">
        <v>-4</v>
      </c>
      <c r="E1284" s="58">
        <f>Valuation!O22</f>
        <v>154069</v>
      </c>
    </row>
    <row r="1285" spans="1:5">
      <c r="A1285" s="58" t="s">
        <v>829</v>
      </c>
      <c r="B1285" s="58" t="s">
        <v>1704</v>
      </c>
      <c r="C1285" s="58" t="s">
        <v>2149</v>
      </c>
      <c r="D1285" s="58">
        <v>-3</v>
      </c>
      <c r="E1285" s="58">
        <f>Valuation!P22</f>
        <v>139642</v>
      </c>
    </row>
    <row r="1286" spans="1:5">
      <c r="A1286" s="58" t="s">
        <v>829</v>
      </c>
      <c r="B1286" s="58" t="s">
        <v>1705</v>
      </c>
      <c r="C1286" s="58" t="s">
        <v>2149</v>
      </c>
      <c r="D1286" s="58">
        <v>-2</v>
      </c>
      <c r="E1286" s="58">
        <f>Valuation!Q22</f>
        <v>127518</v>
      </c>
    </row>
    <row r="1287" spans="1:5">
      <c r="A1287" s="58" t="s">
        <v>829</v>
      </c>
      <c r="B1287" s="58" t="s">
        <v>1706</v>
      </c>
      <c r="C1287" s="58" t="s">
        <v>2149</v>
      </c>
      <c r="D1287" s="58">
        <v>-1</v>
      </c>
      <c r="E1287" s="58">
        <f>Valuation!R22</f>
        <v>188428</v>
      </c>
    </row>
    <row r="1288" spans="1:5">
      <c r="A1288" s="58" t="s">
        <v>829</v>
      </c>
      <c r="B1288" s="58" t="s">
        <v>1707</v>
      </c>
      <c r="C1288" s="58" t="s">
        <v>2149</v>
      </c>
      <c r="D1288" s="58">
        <v>1</v>
      </c>
      <c r="E1288" s="58" t="e">
        <f ca="1">Valuation!T22</f>
        <v>#NAME?</v>
      </c>
    </row>
    <row r="1289" spans="1:5">
      <c r="A1289" s="58" t="s">
        <v>829</v>
      </c>
      <c r="B1289" s="58" t="s">
        <v>1708</v>
      </c>
      <c r="C1289" s="58" t="s">
        <v>2149</v>
      </c>
      <c r="D1289" s="58">
        <v>2</v>
      </c>
      <c r="E1289" s="58" t="e">
        <f ca="1">Valuation!U22</f>
        <v>#NAME?</v>
      </c>
    </row>
    <row r="1290" spans="1:5">
      <c r="A1290" s="58" t="s">
        <v>829</v>
      </c>
      <c r="B1290" s="58" t="s">
        <v>1709</v>
      </c>
      <c r="C1290" s="58" t="s">
        <v>2149</v>
      </c>
      <c r="D1290" s="58">
        <v>3</v>
      </c>
      <c r="E1290" s="58" t="e">
        <f ca="1">Valuation!V22</f>
        <v>#NAME?</v>
      </c>
    </row>
    <row r="1291" spans="1:5">
      <c r="A1291" s="58" t="s">
        <v>829</v>
      </c>
      <c r="B1291" s="58" t="s">
        <v>1710</v>
      </c>
      <c r="C1291" s="58" t="s">
        <v>2149</v>
      </c>
      <c r="D1291" s="58">
        <v>4</v>
      </c>
      <c r="E1291" s="58" t="e">
        <f ca="1">Valuation!W22</f>
        <v>#NAME?</v>
      </c>
    </row>
    <row r="1292" spans="1:5">
      <c r="A1292" s="58" t="s">
        <v>829</v>
      </c>
      <c r="B1292" s="58" t="s">
        <v>1711</v>
      </c>
      <c r="C1292" s="58" t="s">
        <v>2149</v>
      </c>
      <c r="D1292" s="58">
        <v>5</v>
      </c>
      <c r="E1292" s="58" t="e">
        <f ca="1">Valuation!X22</f>
        <v>#NAME?</v>
      </c>
    </row>
    <row r="1293" spans="1:5">
      <c r="A1293" s="58" t="s">
        <v>829</v>
      </c>
      <c r="B1293" s="58" t="s">
        <v>1712</v>
      </c>
      <c r="C1293" s="58" t="s">
        <v>2149</v>
      </c>
      <c r="D1293" s="58">
        <v>6</v>
      </c>
      <c r="E1293" s="58" t="e">
        <f ca="1">Valuation!Y22</f>
        <v>#NAME?</v>
      </c>
    </row>
    <row r="1294" spans="1:5">
      <c r="A1294" s="58" t="s">
        <v>829</v>
      </c>
      <c r="B1294" s="58" t="s">
        <v>1713</v>
      </c>
      <c r="C1294" s="58" t="s">
        <v>2149</v>
      </c>
      <c r="D1294" s="58">
        <v>7</v>
      </c>
      <c r="E1294" s="58" t="e">
        <f ca="1">Valuation!Z22</f>
        <v>#NAME?</v>
      </c>
    </row>
    <row r="1295" spans="1:5">
      <c r="A1295" s="58" t="s">
        <v>829</v>
      </c>
      <c r="B1295" s="58" t="s">
        <v>1714</v>
      </c>
      <c r="C1295" s="58" t="s">
        <v>2149</v>
      </c>
      <c r="D1295" s="58">
        <v>8</v>
      </c>
      <c r="E1295" s="58" t="e">
        <f ca="1">Valuation!AA22</f>
        <v>#NAME?</v>
      </c>
    </row>
    <row r="1296" spans="1:5">
      <c r="A1296" s="58" t="s">
        <v>829</v>
      </c>
      <c r="B1296" s="58" t="s">
        <v>1715</v>
      </c>
      <c r="C1296" s="58" t="s">
        <v>2149</v>
      </c>
      <c r="D1296" s="58">
        <v>9</v>
      </c>
      <c r="E1296" s="58" t="e">
        <f ca="1">Valuation!AB22</f>
        <v>#NAME?</v>
      </c>
    </row>
    <row r="1297" spans="1:5">
      <c r="A1297" s="58" t="s">
        <v>829</v>
      </c>
      <c r="B1297" s="58" t="s">
        <v>1739</v>
      </c>
      <c r="C1297" s="58" t="s">
        <v>2150</v>
      </c>
      <c r="D1297" s="58">
        <v>-11</v>
      </c>
      <c r="E1297" s="58">
        <f>Valuation!H41</f>
        <v>0</v>
      </c>
    </row>
    <row r="1298" spans="1:5">
      <c r="A1298" s="58" t="s">
        <v>829</v>
      </c>
      <c r="B1298" s="58" t="s">
        <v>1740</v>
      </c>
      <c r="C1298" s="58" t="s">
        <v>2150</v>
      </c>
      <c r="D1298" s="58">
        <v>-10</v>
      </c>
      <c r="E1298" s="58">
        <f>Valuation!I41</f>
        <v>0</v>
      </c>
    </row>
    <row r="1299" spans="1:5">
      <c r="A1299" s="58" t="s">
        <v>829</v>
      </c>
      <c r="B1299" s="58" t="s">
        <v>1741</v>
      </c>
      <c r="C1299" s="58" t="s">
        <v>2150</v>
      </c>
      <c r="D1299" s="58">
        <v>-9</v>
      </c>
      <c r="E1299" s="58">
        <f>Valuation!J41</f>
        <v>0</v>
      </c>
    </row>
    <row r="1300" spans="1:5">
      <c r="A1300" s="58" t="s">
        <v>829</v>
      </c>
      <c r="B1300" s="58" t="s">
        <v>1742</v>
      </c>
      <c r="C1300" s="58" t="s">
        <v>2150</v>
      </c>
      <c r="D1300" s="58">
        <v>-8</v>
      </c>
      <c r="E1300" s="58">
        <f>Valuation!K41</f>
        <v>0</v>
      </c>
    </row>
    <row r="1301" spans="1:5">
      <c r="A1301" s="58" t="s">
        <v>829</v>
      </c>
      <c r="B1301" s="58" t="s">
        <v>1743</v>
      </c>
      <c r="C1301" s="58" t="s">
        <v>2150</v>
      </c>
      <c r="D1301" s="58">
        <v>-7</v>
      </c>
      <c r="E1301" s="58">
        <f>Valuation!L41</f>
        <v>0</v>
      </c>
    </row>
    <row r="1302" spans="1:5">
      <c r="A1302" s="58" t="s">
        <v>829</v>
      </c>
      <c r="B1302" s="58" t="s">
        <v>1744</v>
      </c>
      <c r="C1302" s="58" t="s">
        <v>2150</v>
      </c>
      <c r="D1302" s="58">
        <v>-6</v>
      </c>
      <c r="E1302" s="58">
        <f>Valuation!M41</f>
        <v>3.4706333804778038</v>
      </c>
    </row>
    <row r="1303" spans="1:5">
      <c r="A1303" s="58" t="s">
        <v>829</v>
      </c>
      <c r="B1303" s="58" t="s">
        <v>1745</v>
      </c>
      <c r="C1303" s="58" t="s">
        <v>2150</v>
      </c>
      <c r="D1303" s="58">
        <v>-5</v>
      </c>
      <c r="E1303" s="58">
        <f>Valuation!N41</f>
        <v>16.475893892210124</v>
      </c>
    </row>
    <row r="1304" spans="1:5">
      <c r="A1304" s="58" t="s">
        <v>829</v>
      </c>
      <c r="B1304" s="58" t="s">
        <v>1746</v>
      </c>
      <c r="C1304" s="58" t="s">
        <v>2150</v>
      </c>
      <c r="D1304" s="58">
        <v>-4</v>
      </c>
      <c r="E1304" s="58">
        <f>Valuation!O41</f>
        <v>-11.806119511734387</v>
      </c>
    </row>
    <row r="1305" spans="1:5">
      <c r="A1305" s="58" t="s">
        <v>829</v>
      </c>
      <c r="B1305" s="58" t="s">
        <v>1747</v>
      </c>
      <c r="C1305" s="58" t="s">
        <v>2150</v>
      </c>
      <c r="D1305" s="58">
        <v>-3</v>
      </c>
      <c r="E1305" s="58">
        <f>Valuation!P41</f>
        <v>0.37293379089669054</v>
      </c>
    </row>
    <row r="1306" spans="1:5">
      <c r="A1306" s="58" t="s">
        <v>829</v>
      </c>
      <c r="B1306" s="58" t="s">
        <v>1748</v>
      </c>
      <c r="C1306" s="58" t="s">
        <v>2150</v>
      </c>
      <c r="D1306" s="58">
        <v>-2</v>
      </c>
      <c r="E1306" s="58">
        <f>Valuation!Q41</f>
        <v>9.4341001620472831</v>
      </c>
    </row>
    <row r="1307" spans="1:5">
      <c r="A1307" s="58" t="s">
        <v>829</v>
      </c>
      <c r="B1307" s="58" t="s">
        <v>1749</v>
      </c>
      <c r="C1307" s="58" t="s">
        <v>2150</v>
      </c>
      <c r="D1307" s="58">
        <v>-1</v>
      </c>
      <c r="E1307" s="58">
        <f>Valuation!R41</f>
        <v>4.3881876960680204</v>
      </c>
    </row>
    <row r="1308" spans="1:5">
      <c r="A1308" s="58" t="s">
        <v>829</v>
      </c>
      <c r="B1308" s="58" t="s">
        <v>1750</v>
      </c>
      <c r="C1308" s="58" t="s">
        <v>2150</v>
      </c>
      <c r="D1308" s="58">
        <v>1</v>
      </c>
      <c r="E1308" s="58" t="e">
        <f ca="1">Valuation!T41</f>
        <v>#NAME?</v>
      </c>
    </row>
    <row r="1309" spans="1:5">
      <c r="A1309" s="58" t="s">
        <v>829</v>
      </c>
      <c r="B1309" s="58" t="s">
        <v>1751</v>
      </c>
      <c r="C1309" s="58" t="s">
        <v>2150</v>
      </c>
      <c r="D1309" s="58">
        <v>2</v>
      </c>
      <c r="E1309" s="58" t="e">
        <f ca="1">Valuation!U41</f>
        <v>#NAME?</v>
      </c>
    </row>
    <row r="1310" spans="1:5">
      <c r="A1310" s="58" t="s">
        <v>829</v>
      </c>
      <c r="B1310" s="58" t="s">
        <v>1752</v>
      </c>
      <c r="C1310" s="58" t="s">
        <v>2150</v>
      </c>
      <c r="D1310" s="58">
        <v>3</v>
      </c>
      <c r="E1310" s="58" t="e">
        <f ca="1">Valuation!V41</f>
        <v>#NAME?</v>
      </c>
    </row>
    <row r="1311" spans="1:5">
      <c r="A1311" s="58" t="s">
        <v>829</v>
      </c>
      <c r="B1311" s="58" t="s">
        <v>1753</v>
      </c>
      <c r="C1311" s="58" t="s">
        <v>2150</v>
      </c>
      <c r="D1311" s="58">
        <v>4</v>
      </c>
      <c r="E1311" s="58" t="e">
        <f ca="1">Valuation!W41</f>
        <v>#NAME?</v>
      </c>
    </row>
    <row r="1312" spans="1:5">
      <c r="A1312" s="58" t="s">
        <v>829</v>
      </c>
      <c r="B1312" s="58" t="s">
        <v>1754</v>
      </c>
      <c r="C1312" s="58" t="s">
        <v>2150</v>
      </c>
      <c r="D1312" s="58">
        <v>5</v>
      </c>
      <c r="E1312" s="58" t="e">
        <f ca="1">Valuation!X41</f>
        <v>#NAME?</v>
      </c>
    </row>
    <row r="1313" spans="1:5">
      <c r="A1313" s="58" t="s">
        <v>829</v>
      </c>
      <c r="B1313" s="58" t="s">
        <v>1755</v>
      </c>
      <c r="C1313" s="58" t="s">
        <v>2150</v>
      </c>
      <c r="D1313" s="58">
        <v>6</v>
      </c>
      <c r="E1313" s="58" t="e">
        <f ca="1">Valuation!Y41</f>
        <v>#NAME?</v>
      </c>
    </row>
    <row r="1314" spans="1:5">
      <c r="A1314" s="58" t="s">
        <v>829</v>
      </c>
      <c r="B1314" s="58" t="s">
        <v>1756</v>
      </c>
      <c r="C1314" s="58" t="s">
        <v>2150</v>
      </c>
      <c r="D1314" s="58">
        <v>7</v>
      </c>
      <c r="E1314" s="58" t="e">
        <f ca="1">Valuation!Z41</f>
        <v>#NAME?</v>
      </c>
    </row>
    <row r="1315" spans="1:5">
      <c r="A1315" s="58" t="s">
        <v>829</v>
      </c>
      <c r="B1315" s="58" t="s">
        <v>1757</v>
      </c>
      <c r="C1315" s="58" t="s">
        <v>2150</v>
      </c>
      <c r="D1315" s="58">
        <v>8</v>
      </c>
      <c r="E1315" s="58" t="e">
        <f ca="1">Valuation!AA41</f>
        <v>#NAME?</v>
      </c>
    </row>
    <row r="1316" spans="1:5">
      <c r="A1316" s="58" t="s">
        <v>829</v>
      </c>
      <c r="B1316" s="58" t="s">
        <v>1758</v>
      </c>
      <c r="C1316" s="58" t="s">
        <v>2150</v>
      </c>
      <c r="D1316" s="58">
        <v>9</v>
      </c>
      <c r="E1316" s="58" t="e">
        <f ca="1">Valuation!AB41</f>
        <v>#NAME?</v>
      </c>
    </row>
    <row r="1317" spans="1:5">
      <c r="A1317" s="58" t="s">
        <v>829</v>
      </c>
      <c r="B1317" s="58" t="s">
        <v>1759</v>
      </c>
      <c r="C1317" s="58" t="s">
        <v>2150</v>
      </c>
      <c r="D1317" s="58">
        <v>0</v>
      </c>
      <c r="E1317" s="58" t="e">
        <f>Valuation!S41</f>
        <v>#NAME?</v>
      </c>
    </row>
    <row r="1318" spans="1:5">
      <c r="A1318" s="58" t="s">
        <v>829</v>
      </c>
      <c r="B1318" s="58" t="s">
        <v>1782</v>
      </c>
      <c r="C1318" s="58" t="s">
        <v>1149</v>
      </c>
      <c r="D1318" s="58" t="s">
        <v>1138</v>
      </c>
      <c r="E1318" s="58">
        <f>Valuation!P122</f>
        <v>0</v>
      </c>
    </row>
    <row r="1319" spans="1:5">
      <c r="A1319" s="58" t="s">
        <v>829</v>
      </c>
      <c r="B1319" s="58" t="s">
        <v>2151</v>
      </c>
      <c r="C1319" s="58" t="s">
        <v>2152</v>
      </c>
      <c r="D1319" s="58">
        <v>1</v>
      </c>
      <c r="E1319" s="58" t="e">
        <f ca="1">Valuation!T74</f>
        <v>#NAME?</v>
      </c>
    </row>
    <row r="1320" spans="1:5">
      <c r="A1320" s="58" t="s">
        <v>829</v>
      </c>
      <c r="B1320" s="58" t="s">
        <v>2153</v>
      </c>
      <c r="C1320" s="58" t="s">
        <v>2152</v>
      </c>
      <c r="D1320" s="58">
        <v>2</v>
      </c>
      <c r="E1320" s="58" t="e">
        <f ca="1">Valuation!U74</f>
        <v>#NAME?</v>
      </c>
    </row>
    <row r="1321" spans="1:5">
      <c r="A1321" s="58" t="s">
        <v>829</v>
      </c>
      <c r="B1321" s="58" t="s">
        <v>2154</v>
      </c>
      <c r="C1321" s="58" t="s">
        <v>2152</v>
      </c>
      <c r="D1321" s="58">
        <v>3</v>
      </c>
      <c r="E1321" s="58" t="e">
        <f ca="1">Valuation!V74</f>
        <v>#NAME?</v>
      </c>
    </row>
    <row r="1322" spans="1:5">
      <c r="A1322" s="58" t="s">
        <v>829</v>
      </c>
      <c r="B1322" s="58" t="s">
        <v>2155</v>
      </c>
      <c r="C1322" s="58" t="s">
        <v>2152</v>
      </c>
      <c r="D1322" s="58">
        <v>4</v>
      </c>
      <c r="E1322" s="58" t="e">
        <f ca="1">Valuation!W74</f>
        <v>#NAME?</v>
      </c>
    </row>
    <row r="1323" spans="1:5">
      <c r="A1323" s="58" t="s">
        <v>829</v>
      </c>
      <c r="B1323" s="58" t="s">
        <v>2156</v>
      </c>
      <c r="C1323" s="58" t="s">
        <v>2152</v>
      </c>
      <c r="D1323" s="58">
        <v>5</v>
      </c>
      <c r="E1323" s="58" t="e">
        <f ca="1">Valuation!X74</f>
        <v>#NAME?</v>
      </c>
    </row>
    <row r="1324" spans="1:5">
      <c r="A1324" s="58" t="s">
        <v>829</v>
      </c>
      <c r="B1324" s="58" t="s">
        <v>2157</v>
      </c>
      <c r="C1324" s="58" t="s">
        <v>2152</v>
      </c>
      <c r="D1324" s="58">
        <v>6</v>
      </c>
      <c r="E1324" s="58" t="e">
        <f ca="1">Valuation!Y74</f>
        <v>#NAME?</v>
      </c>
    </row>
    <row r="1325" spans="1:5">
      <c r="A1325" s="58" t="s">
        <v>829</v>
      </c>
      <c r="B1325" s="58" t="s">
        <v>2158</v>
      </c>
      <c r="C1325" s="58" t="s">
        <v>2152</v>
      </c>
      <c r="D1325" s="58">
        <v>7</v>
      </c>
      <c r="E1325" s="58" t="e">
        <f ca="1">Valuation!Z74</f>
        <v>#NAME?</v>
      </c>
    </row>
    <row r="1326" spans="1:5">
      <c r="A1326" s="58" t="s">
        <v>829</v>
      </c>
      <c r="B1326" s="58" t="s">
        <v>2159</v>
      </c>
      <c r="C1326" s="58" t="s">
        <v>2152</v>
      </c>
      <c r="D1326" s="58">
        <v>8</v>
      </c>
      <c r="E1326" s="58" t="e">
        <f ca="1">Valuation!AA74</f>
        <v>#NAME?</v>
      </c>
    </row>
    <row r="1327" spans="1:5">
      <c r="A1327" s="58" t="s">
        <v>829</v>
      </c>
      <c r="B1327" s="58" t="s">
        <v>2160</v>
      </c>
      <c r="C1327" s="58" t="s">
        <v>2152</v>
      </c>
      <c r="D1327" s="58">
        <v>9</v>
      </c>
      <c r="E1327" s="58" t="e">
        <f ca="1">Valuation!AB74</f>
        <v>#NAME?</v>
      </c>
    </row>
    <row r="1328" spans="1:5">
      <c r="A1328" s="58" t="s">
        <v>829</v>
      </c>
      <c r="B1328" s="58" t="s">
        <v>2161</v>
      </c>
      <c r="C1328" s="58" t="s">
        <v>2152</v>
      </c>
      <c r="D1328" s="58">
        <v>0</v>
      </c>
      <c r="E1328" s="58" t="e">
        <f ca="1">Valuation!S74</f>
        <v>#NAME?</v>
      </c>
    </row>
    <row r="1329" spans="1:5">
      <c r="A1329" s="58" t="s">
        <v>829</v>
      </c>
      <c r="B1329" s="58" t="s">
        <v>1783</v>
      </c>
      <c r="C1329" s="58" t="s">
        <v>2162</v>
      </c>
      <c r="D1329" s="58">
        <v>0</v>
      </c>
      <c r="E1329" s="58">
        <f>Valuation!S172</f>
        <v>0</v>
      </c>
    </row>
    <row r="1330" spans="1:5">
      <c r="A1330" s="58" t="s">
        <v>829</v>
      </c>
      <c r="B1330" s="58" t="s">
        <v>1785</v>
      </c>
      <c r="C1330" s="58" t="s">
        <v>2162</v>
      </c>
      <c r="D1330" s="58">
        <v>-11</v>
      </c>
      <c r="E1330" s="58">
        <f>Valuation!H172</f>
        <v>0</v>
      </c>
    </row>
    <row r="1331" spans="1:5">
      <c r="A1331" s="58" t="s">
        <v>829</v>
      </c>
      <c r="B1331" s="58" t="s">
        <v>1786</v>
      </c>
      <c r="C1331" s="58" t="s">
        <v>2162</v>
      </c>
      <c r="D1331" s="58">
        <v>-10</v>
      </c>
      <c r="E1331" s="58">
        <f>Valuation!I172</f>
        <v>0</v>
      </c>
    </row>
    <row r="1332" spans="1:5">
      <c r="A1332" s="58" t="s">
        <v>829</v>
      </c>
      <c r="B1332" s="58" t="s">
        <v>1787</v>
      </c>
      <c r="C1332" s="58" t="s">
        <v>2162</v>
      </c>
      <c r="D1332" s="58">
        <v>-9</v>
      </c>
      <c r="E1332" s="58">
        <f>Valuation!J172</f>
        <v>0</v>
      </c>
    </row>
    <row r="1333" spans="1:5">
      <c r="A1333" s="58" t="s">
        <v>829</v>
      </c>
      <c r="B1333" s="58" t="s">
        <v>1788</v>
      </c>
      <c r="C1333" s="58" t="s">
        <v>2162</v>
      </c>
      <c r="D1333" s="58">
        <v>-8</v>
      </c>
      <c r="E1333" s="58">
        <f>Valuation!K172</f>
        <v>0</v>
      </c>
    </row>
    <row r="1334" spans="1:5">
      <c r="A1334" s="58" t="s">
        <v>829</v>
      </c>
      <c r="B1334" s="58" t="s">
        <v>1789</v>
      </c>
      <c r="C1334" s="58" t="s">
        <v>2162</v>
      </c>
      <c r="D1334" s="58">
        <v>-7</v>
      </c>
      <c r="E1334" s="58">
        <f>Valuation!L172</f>
        <v>0</v>
      </c>
    </row>
    <row r="1335" spans="1:5">
      <c r="A1335" s="58" t="s">
        <v>829</v>
      </c>
      <c r="B1335" s="58" t="s">
        <v>1790</v>
      </c>
      <c r="C1335" s="58" t="s">
        <v>2162</v>
      </c>
      <c r="D1335" s="58">
        <v>-6</v>
      </c>
      <c r="E1335" s="58">
        <f>Valuation!M172</f>
        <v>0</v>
      </c>
    </row>
    <row r="1336" spans="1:5">
      <c r="A1336" s="58" t="s">
        <v>829</v>
      </c>
      <c r="B1336" s="58" t="s">
        <v>1791</v>
      </c>
      <c r="C1336" s="58" t="s">
        <v>2162</v>
      </c>
      <c r="D1336" s="58">
        <v>-5</v>
      </c>
      <c r="E1336" s="58">
        <f>Valuation!N172</f>
        <v>0</v>
      </c>
    </row>
    <row r="1337" spans="1:5">
      <c r="A1337" s="58" t="s">
        <v>829</v>
      </c>
      <c r="B1337" s="58" t="s">
        <v>1792</v>
      </c>
      <c r="C1337" s="58" t="s">
        <v>2162</v>
      </c>
      <c r="D1337" s="58">
        <v>-4</v>
      </c>
      <c r="E1337" s="58">
        <f>Valuation!O172</f>
        <v>0</v>
      </c>
    </row>
    <row r="1338" spans="1:5">
      <c r="A1338" s="58" t="s">
        <v>829</v>
      </c>
      <c r="B1338" s="58" t="s">
        <v>1793</v>
      </c>
      <c r="C1338" s="58" t="s">
        <v>2162</v>
      </c>
      <c r="D1338" s="58">
        <v>-3</v>
      </c>
      <c r="E1338" s="58">
        <f>Valuation!P172</f>
        <v>0</v>
      </c>
    </row>
    <row r="1339" spans="1:5">
      <c r="A1339" s="58" t="s">
        <v>829</v>
      </c>
      <c r="B1339" s="58" t="s">
        <v>1794</v>
      </c>
      <c r="C1339" s="58" t="s">
        <v>2162</v>
      </c>
      <c r="D1339" s="58">
        <v>-2</v>
      </c>
      <c r="E1339" s="58">
        <f>Valuation!Q172</f>
        <v>0</v>
      </c>
    </row>
    <row r="1340" spans="1:5">
      <c r="A1340" s="58" t="s">
        <v>829</v>
      </c>
      <c r="B1340" s="58" t="s">
        <v>1795</v>
      </c>
      <c r="C1340" s="58" t="s">
        <v>2162</v>
      </c>
      <c r="D1340" s="58">
        <v>-1</v>
      </c>
      <c r="E1340" s="58">
        <f>Valuation!R172</f>
        <v>0</v>
      </c>
    </row>
    <row r="1341" spans="1:5">
      <c r="A1341" s="58" t="s">
        <v>829</v>
      </c>
      <c r="B1341" s="58" t="s">
        <v>1796</v>
      </c>
      <c r="C1341" s="58" t="s">
        <v>2162</v>
      </c>
      <c r="D1341" s="58">
        <v>1</v>
      </c>
      <c r="E1341" s="58">
        <f>Valuation!T172</f>
        <v>0</v>
      </c>
    </row>
    <row r="1342" spans="1:5">
      <c r="A1342" s="58" t="s">
        <v>829</v>
      </c>
      <c r="B1342" s="58" t="s">
        <v>1797</v>
      </c>
      <c r="C1342" s="58" t="s">
        <v>2162</v>
      </c>
      <c r="D1342" s="58">
        <v>2</v>
      </c>
      <c r="E1342" s="58">
        <f>Valuation!U172</f>
        <v>0</v>
      </c>
    </row>
    <row r="1343" spans="1:5">
      <c r="A1343" s="58" t="s">
        <v>829</v>
      </c>
      <c r="B1343" s="58" t="s">
        <v>1798</v>
      </c>
      <c r="C1343" s="58" t="s">
        <v>2162</v>
      </c>
      <c r="D1343" s="58">
        <v>3</v>
      </c>
      <c r="E1343" s="58">
        <f>Valuation!V172</f>
        <v>0</v>
      </c>
    </row>
    <row r="1344" spans="1:5">
      <c r="A1344" s="58" t="s">
        <v>829</v>
      </c>
      <c r="B1344" s="58" t="s">
        <v>1799</v>
      </c>
      <c r="C1344" s="58" t="s">
        <v>2162</v>
      </c>
      <c r="D1344" s="58">
        <v>4</v>
      </c>
      <c r="E1344" s="58">
        <f>Valuation!W172</f>
        <v>0</v>
      </c>
    </row>
    <row r="1345" spans="1:5">
      <c r="A1345" s="58" t="s">
        <v>829</v>
      </c>
      <c r="B1345" s="58" t="s">
        <v>1800</v>
      </c>
      <c r="C1345" s="58" t="s">
        <v>2162</v>
      </c>
      <c r="D1345" s="58">
        <v>5</v>
      </c>
      <c r="E1345" s="58">
        <f>Valuation!X172</f>
        <v>0</v>
      </c>
    </row>
    <row r="1346" spans="1:5">
      <c r="A1346" s="58" t="s">
        <v>829</v>
      </c>
      <c r="B1346" s="58" t="s">
        <v>1801</v>
      </c>
      <c r="C1346" s="58" t="s">
        <v>2162</v>
      </c>
      <c r="D1346" s="58">
        <v>6</v>
      </c>
      <c r="E1346" s="58">
        <f>Valuation!Y172</f>
        <v>0</v>
      </c>
    </row>
    <row r="1347" spans="1:5">
      <c r="A1347" s="58" t="s">
        <v>829</v>
      </c>
      <c r="B1347" s="58" t="s">
        <v>1802</v>
      </c>
      <c r="C1347" s="58" t="s">
        <v>2162</v>
      </c>
      <c r="D1347" s="58">
        <v>7</v>
      </c>
      <c r="E1347" s="58">
        <f>Valuation!Z172</f>
        <v>0</v>
      </c>
    </row>
    <row r="1348" spans="1:5">
      <c r="A1348" s="58" t="s">
        <v>829</v>
      </c>
      <c r="B1348" s="58" t="s">
        <v>1803</v>
      </c>
      <c r="C1348" s="58" t="s">
        <v>2162</v>
      </c>
      <c r="D1348" s="58">
        <v>8</v>
      </c>
      <c r="E1348" s="58">
        <f>Valuation!AA172</f>
        <v>0</v>
      </c>
    </row>
    <row r="1349" spans="1:5">
      <c r="A1349" s="58" t="s">
        <v>829</v>
      </c>
      <c r="B1349" s="58" t="s">
        <v>1804</v>
      </c>
      <c r="C1349" s="58" t="s">
        <v>2162</v>
      </c>
      <c r="D1349" s="58">
        <v>9</v>
      </c>
      <c r="E1349" s="58">
        <f>Valuation!AB172</f>
        <v>0</v>
      </c>
    </row>
    <row r="1350" spans="1:5">
      <c r="A1350" s="58" t="s">
        <v>829</v>
      </c>
      <c r="B1350" s="58" t="s">
        <v>1805</v>
      </c>
      <c r="C1350" s="58" t="s">
        <v>2163</v>
      </c>
      <c r="D1350" s="58">
        <v>-11</v>
      </c>
      <c r="E1350" s="683" t="str">
        <f>Valuation!H50</f>
        <v/>
      </c>
    </row>
    <row r="1351" spans="1:5">
      <c r="A1351" s="58" t="s">
        <v>829</v>
      </c>
      <c r="B1351" s="58" t="s">
        <v>1807</v>
      </c>
      <c r="C1351" s="58" t="s">
        <v>2163</v>
      </c>
      <c r="D1351" s="58">
        <v>-10</v>
      </c>
      <c r="E1351" s="683" t="str">
        <f>Valuation!I50</f>
        <v/>
      </c>
    </row>
    <row r="1352" spans="1:5">
      <c r="A1352" s="58" t="s">
        <v>829</v>
      </c>
      <c r="B1352" s="58" t="s">
        <v>1808</v>
      </c>
      <c r="C1352" s="58" t="s">
        <v>2163</v>
      </c>
      <c r="D1352" s="58">
        <v>-9</v>
      </c>
      <c r="E1352" s="683" t="str">
        <f>Valuation!J50</f>
        <v/>
      </c>
    </row>
    <row r="1353" spans="1:5">
      <c r="A1353" s="58" t="s">
        <v>829</v>
      </c>
      <c r="B1353" s="58" t="s">
        <v>1809</v>
      </c>
      <c r="C1353" s="58" t="s">
        <v>2163</v>
      </c>
      <c r="D1353" s="58">
        <v>-8</v>
      </c>
      <c r="E1353" s="683" t="str">
        <f>Valuation!K50</f>
        <v/>
      </c>
    </row>
    <row r="1354" spans="1:5">
      <c r="A1354" s="58" t="s">
        <v>829</v>
      </c>
      <c r="B1354" s="58" t="s">
        <v>1810</v>
      </c>
      <c r="C1354" s="58" t="s">
        <v>2163</v>
      </c>
      <c r="D1354" s="58">
        <v>-7</v>
      </c>
      <c r="E1354" s="683" t="str">
        <f>Valuation!L50</f>
        <v/>
      </c>
    </row>
    <row r="1355" spans="1:5">
      <c r="A1355" s="58" t="s">
        <v>829</v>
      </c>
      <c r="B1355" s="58" t="s">
        <v>1811</v>
      </c>
      <c r="C1355" s="58" t="s">
        <v>2163</v>
      </c>
      <c r="D1355" s="58">
        <v>-6</v>
      </c>
      <c r="E1355" s="683">
        <f>Valuation!M50</f>
        <v>0</v>
      </c>
    </row>
    <row r="1356" spans="1:5">
      <c r="A1356" s="58" t="s">
        <v>829</v>
      </c>
      <c r="B1356" s="58" t="s">
        <v>1812</v>
      </c>
      <c r="C1356" s="58" t="s">
        <v>2163</v>
      </c>
      <c r="D1356" s="58">
        <v>-5</v>
      </c>
      <c r="E1356" s="683">
        <f>Valuation!N50</f>
        <v>0</v>
      </c>
    </row>
    <row r="1357" spans="1:5">
      <c r="A1357" s="58" t="s">
        <v>829</v>
      </c>
      <c r="B1357" s="58" t="s">
        <v>1813</v>
      </c>
      <c r="C1357" s="58" t="s">
        <v>2163</v>
      </c>
      <c r="D1357" s="58">
        <v>-4</v>
      </c>
      <c r="E1357" s="683">
        <f>Valuation!O50</f>
        <v>0</v>
      </c>
    </row>
    <row r="1358" spans="1:5">
      <c r="A1358" s="58" t="s">
        <v>829</v>
      </c>
      <c r="B1358" s="58" t="s">
        <v>1814</v>
      </c>
      <c r="C1358" s="58" t="s">
        <v>2163</v>
      </c>
      <c r="D1358" s="58">
        <v>-3</v>
      </c>
      <c r="E1358" s="683">
        <f>Valuation!P50</f>
        <v>0</v>
      </c>
    </row>
    <row r="1359" spans="1:5">
      <c r="A1359" s="58" t="s">
        <v>829</v>
      </c>
      <c r="B1359" s="58" t="s">
        <v>1815</v>
      </c>
      <c r="C1359" s="58" t="s">
        <v>2163</v>
      </c>
      <c r="D1359" s="58">
        <v>-2</v>
      </c>
      <c r="E1359" s="683">
        <f>Valuation!Q50</f>
        <v>0</v>
      </c>
    </row>
    <row r="1360" spans="1:5">
      <c r="A1360" s="58" t="s">
        <v>829</v>
      </c>
      <c r="B1360" s="58" t="s">
        <v>1816</v>
      </c>
      <c r="C1360" s="58" t="s">
        <v>2163</v>
      </c>
      <c r="D1360" s="58">
        <v>-1</v>
      </c>
      <c r="E1360" s="683">
        <f>Valuation!R50</f>
        <v>0</v>
      </c>
    </row>
    <row r="1361" spans="1:5">
      <c r="A1361" s="58" t="s">
        <v>829</v>
      </c>
      <c r="B1361" s="58" t="s">
        <v>1817</v>
      </c>
      <c r="C1361" s="58" t="s">
        <v>2163</v>
      </c>
      <c r="D1361" s="58">
        <v>1</v>
      </c>
      <c r="E1361" s="683" t="str">
        <f ca="1">Valuation!T50</f>
        <v/>
      </c>
    </row>
    <row r="1362" spans="1:5">
      <c r="A1362" s="58" t="s">
        <v>829</v>
      </c>
      <c r="B1362" s="58" t="s">
        <v>1818</v>
      </c>
      <c r="C1362" s="58" t="s">
        <v>2163</v>
      </c>
      <c r="D1362" s="58">
        <v>2</v>
      </c>
      <c r="E1362" s="683" t="str">
        <f ca="1">Valuation!U50</f>
        <v/>
      </c>
    </row>
    <row r="1363" spans="1:5">
      <c r="A1363" s="58" t="s">
        <v>829</v>
      </c>
      <c r="B1363" s="58" t="s">
        <v>1819</v>
      </c>
      <c r="C1363" s="58" t="s">
        <v>2163</v>
      </c>
      <c r="D1363" s="58">
        <v>3</v>
      </c>
      <c r="E1363" s="683" t="str">
        <f ca="1">Valuation!V50</f>
        <v/>
      </c>
    </row>
    <row r="1364" spans="1:5">
      <c r="A1364" s="58" t="s">
        <v>829</v>
      </c>
      <c r="B1364" s="58" t="s">
        <v>1820</v>
      </c>
      <c r="C1364" s="58" t="s">
        <v>2163</v>
      </c>
      <c r="D1364" s="58">
        <v>4</v>
      </c>
      <c r="E1364" s="683" t="str">
        <f ca="1">Valuation!W50</f>
        <v/>
      </c>
    </row>
    <row r="1365" spans="1:5">
      <c r="A1365" s="58" t="s">
        <v>829</v>
      </c>
      <c r="B1365" s="58" t="s">
        <v>1821</v>
      </c>
      <c r="C1365" s="58" t="s">
        <v>2163</v>
      </c>
      <c r="D1365" s="58">
        <v>5</v>
      </c>
      <c r="E1365" s="683" t="str">
        <f ca="1">Valuation!X50</f>
        <v/>
      </c>
    </row>
    <row r="1366" spans="1:5">
      <c r="A1366" s="58" t="s">
        <v>829</v>
      </c>
      <c r="B1366" s="58" t="s">
        <v>1822</v>
      </c>
      <c r="C1366" s="58" t="s">
        <v>2163</v>
      </c>
      <c r="D1366" s="58">
        <v>6</v>
      </c>
      <c r="E1366" s="683" t="str">
        <f ca="1">Valuation!Y50</f>
        <v/>
      </c>
    </row>
    <row r="1367" spans="1:5">
      <c r="A1367" s="58" t="s">
        <v>829</v>
      </c>
      <c r="B1367" s="58" t="s">
        <v>1823</v>
      </c>
      <c r="C1367" s="58" t="s">
        <v>2163</v>
      </c>
      <c r="D1367" s="58">
        <v>7</v>
      </c>
      <c r="E1367" s="683" t="str">
        <f ca="1">Valuation!Z50</f>
        <v/>
      </c>
    </row>
    <row r="1368" spans="1:5">
      <c r="A1368" s="58" t="s">
        <v>829</v>
      </c>
      <c r="B1368" s="58" t="s">
        <v>1824</v>
      </c>
      <c r="C1368" s="58" t="s">
        <v>2163</v>
      </c>
      <c r="D1368" s="58">
        <v>8</v>
      </c>
      <c r="E1368" s="683" t="str">
        <f ca="1">Valuation!AA50</f>
        <v/>
      </c>
    </row>
    <row r="1369" spans="1:5">
      <c r="A1369" s="58" t="s">
        <v>829</v>
      </c>
      <c r="B1369" s="58" t="s">
        <v>1825</v>
      </c>
      <c r="C1369" s="58" t="s">
        <v>2163</v>
      </c>
      <c r="D1369" s="58">
        <v>9</v>
      </c>
      <c r="E1369" s="683" t="str">
        <f ca="1">Valuation!AB50</f>
        <v/>
      </c>
    </row>
    <row r="1370" spans="1:5">
      <c r="A1370" s="58" t="s">
        <v>829</v>
      </c>
      <c r="B1370" s="58" t="s">
        <v>1826</v>
      </c>
      <c r="C1370" s="58" t="s">
        <v>2163</v>
      </c>
      <c r="D1370" s="58">
        <v>0</v>
      </c>
      <c r="E1370" s="683" t="str">
        <f>Valuation!S50</f>
        <v/>
      </c>
    </row>
    <row r="1371" spans="1:5">
      <c r="A1371" s="58" t="s">
        <v>829</v>
      </c>
      <c r="B1371" s="58" t="s">
        <v>1849</v>
      </c>
      <c r="C1371" s="58" t="s">
        <v>2164</v>
      </c>
      <c r="D1371" s="58">
        <v>-11</v>
      </c>
      <c r="E1371" s="58">
        <f>Valuation!H46</f>
        <v>0</v>
      </c>
    </row>
    <row r="1372" spans="1:5">
      <c r="A1372" s="58" t="s">
        <v>829</v>
      </c>
      <c r="B1372" s="58" t="s">
        <v>1850</v>
      </c>
      <c r="C1372" s="58" t="s">
        <v>2164</v>
      </c>
      <c r="D1372" s="58">
        <v>-10</v>
      </c>
      <c r="E1372" s="58">
        <f>Valuation!I46</f>
        <v>0</v>
      </c>
    </row>
    <row r="1373" spans="1:5">
      <c r="A1373" s="58" t="s">
        <v>829</v>
      </c>
      <c r="B1373" s="58" t="s">
        <v>1851</v>
      </c>
      <c r="C1373" s="58" t="s">
        <v>2164</v>
      </c>
      <c r="D1373" s="58">
        <v>-9</v>
      </c>
      <c r="E1373" s="58">
        <f>Valuation!J46</f>
        <v>0</v>
      </c>
    </row>
    <row r="1374" spans="1:5">
      <c r="A1374" s="58" t="s">
        <v>829</v>
      </c>
      <c r="B1374" s="58" t="s">
        <v>1852</v>
      </c>
      <c r="C1374" s="58" t="s">
        <v>2164</v>
      </c>
      <c r="D1374" s="58">
        <v>-8</v>
      </c>
      <c r="E1374" s="58">
        <f>Valuation!K46</f>
        <v>0</v>
      </c>
    </row>
    <row r="1375" spans="1:5">
      <c r="A1375" s="58" t="s">
        <v>829</v>
      </c>
      <c r="B1375" s="58" t="s">
        <v>1853</v>
      </c>
      <c r="C1375" s="58" t="s">
        <v>2164</v>
      </c>
      <c r="D1375" s="58">
        <v>-7</v>
      </c>
      <c r="E1375" s="58">
        <f>Valuation!L46</f>
        <v>0</v>
      </c>
    </row>
    <row r="1376" spans="1:5">
      <c r="A1376" s="58" t="s">
        <v>829</v>
      </c>
      <c r="B1376" s="58" t="s">
        <v>1854</v>
      </c>
      <c r="C1376" s="58" t="s">
        <v>2164</v>
      </c>
      <c r="D1376" s="58">
        <v>-6</v>
      </c>
      <c r="E1376" s="58">
        <f>Valuation!M46</f>
        <v>0</v>
      </c>
    </row>
    <row r="1377" spans="1:5">
      <c r="A1377" s="58" t="s">
        <v>829</v>
      </c>
      <c r="B1377" s="58" t="s">
        <v>1855</v>
      </c>
      <c r="C1377" s="58" t="s">
        <v>2164</v>
      </c>
      <c r="D1377" s="58">
        <v>-5</v>
      </c>
      <c r="E1377" s="58">
        <f>Valuation!N46</f>
        <v>0</v>
      </c>
    </row>
    <row r="1378" spans="1:5">
      <c r="A1378" s="58" t="s">
        <v>829</v>
      </c>
      <c r="B1378" s="58" t="s">
        <v>1856</v>
      </c>
      <c r="C1378" s="58" t="s">
        <v>2164</v>
      </c>
      <c r="D1378" s="58">
        <v>-4</v>
      </c>
      <c r="E1378" s="58">
        <f>Valuation!O46</f>
        <v>0</v>
      </c>
    </row>
    <row r="1379" spans="1:5">
      <c r="A1379" s="58" t="s">
        <v>829</v>
      </c>
      <c r="B1379" s="58" t="s">
        <v>1857</v>
      </c>
      <c r="C1379" s="58" t="s">
        <v>2164</v>
      </c>
      <c r="D1379" s="58">
        <v>-3</v>
      </c>
      <c r="E1379" s="58">
        <f>Valuation!P46</f>
        <v>0</v>
      </c>
    </row>
    <row r="1380" spans="1:5">
      <c r="A1380" s="58" t="s">
        <v>829</v>
      </c>
      <c r="B1380" s="58" t="s">
        <v>1858</v>
      </c>
      <c r="C1380" s="58" t="s">
        <v>2164</v>
      </c>
      <c r="D1380" s="58">
        <v>-2</v>
      </c>
      <c r="E1380" s="58">
        <f>Valuation!Q46</f>
        <v>0</v>
      </c>
    </row>
    <row r="1381" spans="1:5">
      <c r="A1381" s="58" t="s">
        <v>829</v>
      </c>
      <c r="B1381" s="58" t="s">
        <v>1859</v>
      </c>
      <c r="C1381" s="58" t="s">
        <v>2164</v>
      </c>
      <c r="D1381" s="58">
        <v>-1</v>
      </c>
      <c r="E1381" s="58">
        <f>Valuation!R46</f>
        <v>0</v>
      </c>
    </row>
    <row r="1382" spans="1:5">
      <c r="A1382" s="58" t="s">
        <v>829</v>
      </c>
      <c r="B1382" s="58" t="s">
        <v>1860</v>
      </c>
      <c r="C1382" s="58" t="s">
        <v>2164</v>
      </c>
      <c r="D1382" s="58">
        <v>1</v>
      </c>
      <c r="E1382" s="58">
        <f>Valuation!T46</f>
        <v>0</v>
      </c>
    </row>
    <row r="1383" spans="1:5">
      <c r="A1383" s="58" t="s">
        <v>829</v>
      </c>
      <c r="B1383" s="58" t="s">
        <v>1861</v>
      </c>
      <c r="C1383" s="58" t="s">
        <v>2164</v>
      </c>
      <c r="D1383" s="58">
        <v>2</v>
      </c>
      <c r="E1383" s="58">
        <f>Valuation!U46</f>
        <v>0</v>
      </c>
    </row>
    <row r="1384" spans="1:5">
      <c r="A1384" s="58" t="s">
        <v>829</v>
      </c>
      <c r="B1384" s="58" t="s">
        <v>1862</v>
      </c>
      <c r="C1384" s="58" t="s">
        <v>2164</v>
      </c>
      <c r="D1384" s="58">
        <v>3</v>
      </c>
      <c r="E1384" s="58">
        <f>Valuation!V46</f>
        <v>0</v>
      </c>
    </row>
    <row r="1385" spans="1:5">
      <c r="A1385" s="58" t="s">
        <v>829</v>
      </c>
      <c r="B1385" s="58" t="s">
        <v>1863</v>
      </c>
      <c r="C1385" s="58" t="s">
        <v>2164</v>
      </c>
      <c r="D1385" s="58">
        <v>4</v>
      </c>
      <c r="E1385" s="58">
        <f>Valuation!W46</f>
        <v>0</v>
      </c>
    </row>
    <row r="1386" spans="1:5">
      <c r="A1386" s="58" t="s">
        <v>829</v>
      </c>
      <c r="B1386" s="58" t="s">
        <v>1864</v>
      </c>
      <c r="C1386" s="58" t="s">
        <v>2164</v>
      </c>
      <c r="D1386" s="58">
        <v>5</v>
      </c>
      <c r="E1386" s="58">
        <f>Valuation!X46</f>
        <v>0</v>
      </c>
    </row>
    <row r="1387" spans="1:5">
      <c r="A1387" s="58" t="s">
        <v>829</v>
      </c>
      <c r="B1387" s="58" t="s">
        <v>1865</v>
      </c>
      <c r="C1387" s="58" t="s">
        <v>2164</v>
      </c>
      <c r="D1387" s="58">
        <v>6</v>
      </c>
      <c r="E1387" s="58">
        <f>Valuation!Y46</f>
        <v>0</v>
      </c>
    </row>
    <row r="1388" spans="1:5">
      <c r="A1388" s="58" t="s">
        <v>829</v>
      </c>
      <c r="B1388" s="58" t="s">
        <v>1866</v>
      </c>
      <c r="C1388" s="58" t="s">
        <v>2164</v>
      </c>
      <c r="D1388" s="58">
        <v>7</v>
      </c>
      <c r="E1388" s="58">
        <f>Valuation!Z46</f>
        <v>0</v>
      </c>
    </row>
    <row r="1389" spans="1:5">
      <c r="A1389" s="58" t="s">
        <v>829</v>
      </c>
      <c r="B1389" s="58" t="s">
        <v>1867</v>
      </c>
      <c r="C1389" s="58" t="s">
        <v>2164</v>
      </c>
      <c r="D1389" s="58">
        <v>8</v>
      </c>
      <c r="E1389" s="58">
        <f>Valuation!AA46</f>
        <v>0</v>
      </c>
    </row>
    <row r="1390" spans="1:5">
      <c r="A1390" s="58" t="s">
        <v>829</v>
      </c>
      <c r="B1390" s="58" t="s">
        <v>1868</v>
      </c>
      <c r="C1390" s="58" t="s">
        <v>2164</v>
      </c>
      <c r="D1390" s="58">
        <v>9</v>
      </c>
      <c r="E1390" s="58">
        <f>Valuation!AB46</f>
        <v>0</v>
      </c>
    </row>
    <row r="1391" spans="1:5">
      <c r="A1391" s="58" t="s">
        <v>829</v>
      </c>
      <c r="B1391" s="58" t="s">
        <v>1869</v>
      </c>
      <c r="C1391" s="58" t="s">
        <v>2164</v>
      </c>
      <c r="D1391" s="58">
        <v>0</v>
      </c>
      <c r="E1391" s="58">
        <f>Valuation!S46</f>
        <v>0</v>
      </c>
    </row>
    <row r="1392" spans="1:5">
      <c r="A1392" s="58" t="s">
        <v>829</v>
      </c>
      <c r="B1392" s="58" t="s">
        <v>1913</v>
      </c>
      <c r="C1392" s="58" t="s">
        <v>2165</v>
      </c>
      <c r="D1392" s="58">
        <v>0</v>
      </c>
      <c r="E1392" s="58">
        <f ca="1">Valuation!S25</f>
        <v>0.12752398069360274</v>
      </c>
    </row>
    <row r="1393" spans="1:5">
      <c r="A1393" s="58" t="s">
        <v>829</v>
      </c>
      <c r="B1393" s="58" t="s">
        <v>1892</v>
      </c>
      <c r="C1393" s="58" t="s">
        <v>2165</v>
      </c>
      <c r="D1393" s="58">
        <v>-11</v>
      </c>
      <c r="E1393" s="58">
        <f>Valuation!H25</f>
        <v>0</v>
      </c>
    </row>
    <row r="1394" spans="1:5">
      <c r="A1394" s="58" t="s">
        <v>829</v>
      </c>
      <c r="B1394" s="58" t="s">
        <v>1894</v>
      </c>
      <c r="C1394" s="58" t="s">
        <v>2165</v>
      </c>
      <c r="D1394" s="58">
        <v>-10</v>
      </c>
      <c r="E1394" s="58">
        <f>Valuation!I25</f>
        <v>0</v>
      </c>
    </row>
    <row r="1395" spans="1:5">
      <c r="A1395" s="58" t="s">
        <v>829</v>
      </c>
      <c r="B1395" s="58" t="s">
        <v>1895</v>
      </c>
      <c r="C1395" s="58" t="s">
        <v>2165</v>
      </c>
      <c r="D1395" s="58">
        <v>-9</v>
      </c>
      <c r="E1395" s="58">
        <f>Valuation!J25</f>
        <v>0</v>
      </c>
    </row>
    <row r="1396" spans="1:5">
      <c r="A1396" s="58" t="s">
        <v>829</v>
      </c>
      <c r="B1396" s="58" t="s">
        <v>1896</v>
      </c>
      <c r="C1396" s="58" t="s">
        <v>2165</v>
      </c>
      <c r="D1396" s="58">
        <v>-8</v>
      </c>
      <c r="E1396" s="58">
        <f>Valuation!K25</f>
        <v>0</v>
      </c>
    </row>
    <row r="1397" spans="1:5">
      <c r="A1397" s="58" t="s">
        <v>829</v>
      </c>
      <c r="B1397" s="58" t="s">
        <v>1897</v>
      </c>
      <c r="C1397" s="58" t="s">
        <v>2165</v>
      </c>
      <c r="D1397" s="58">
        <v>-7</v>
      </c>
      <c r="E1397" s="58">
        <f>Valuation!L25</f>
        <v>0</v>
      </c>
    </row>
    <row r="1398" spans="1:5">
      <c r="A1398" s="58" t="s">
        <v>829</v>
      </c>
      <c r="B1398" s="58" t="s">
        <v>1898</v>
      </c>
      <c r="C1398" s="58" t="s">
        <v>2165</v>
      </c>
      <c r="D1398" s="58">
        <v>-6</v>
      </c>
      <c r="E1398" s="58">
        <f>Valuation!M25</f>
        <v>0.32012296073287977</v>
      </c>
    </row>
    <row r="1399" spans="1:5">
      <c r="A1399" s="58" t="s">
        <v>829</v>
      </c>
      <c r="B1399" s="58" t="s">
        <v>1899</v>
      </c>
      <c r="C1399" s="58" t="s">
        <v>2165</v>
      </c>
      <c r="D1399" s="58">
        <v>-5</v>
      </c>
      <c r="E1399" s="58">
        <f>Valuation!N25</f>
        <v>0.3924474745913103</v>
      </c>
    </row>
    <row r="1400" spans="1:5">
      <c r="A1400" s="58" t="s">
        <v>829</v>
      </c>
      <c r="B1400" s="58" t="s">
        <v>1900</v>
      </c>
      <c r="C1400" s="58" t="s">
        <v>2165</v>
      </c>
      <c r="D1400" s="58">
        <v>-4</v>
      </c>
      <c r="E1400" s="58">
        <f>Valuation!O25</f>
        <v>-0.84847574109137536</v>
      </c>
    </row>
    <row r="1401" spans="1:5">
      <c r="A1401" s="58" t="s">
        <v>829</v>
      </c>
      <c r="B1401" s="58" t="s">
        <v>1901</v>
      </c>
      <c r="C1401" s="58" t="s">
        <v>2165</v>
      </c>
      <c r="D1401" s="58">
        <v>-3</v>
      </c>
      <c r="E1401" s="58">
        <f>Valuation!P25</f>
        <v>-5.20083915013047E-2</v>
      </c>
    </row>
    <row r="1402" spans="1:5">
      <c r="A1402" s="58" t="s">
        <v>829</v>
      </c>
      <c r="B1402" s="58" t="s">
        <v>1902</v>
      </c>
      <c r="C1402" s="58" t="s">
        <v>2165</v>
      </c>
      <c r="D1402" s="58">
        <v>-2</v>
      </c>
      <c r="E1402" s="58">
        <f>Valuation!Q25</f>
        <v>0.35148539890445318</v>
      </c>
    </row>
    <row r="1403" spans="1:5">
      <c r="A1403" s="58" t="s">
        <v>829</v>
      </c>
      <c r="B1403" s="58" t="s">
        <v>1903</v>
      </c>
      <c r="C1403" s="58" t="s">
        <v>2165</v>
      </c>
      <c r="D1403" s="58">
        <v>-1</v>
      </c>
      <c r="E1403" s="58">
        <f>Valuation!R25</f>
        <v>0.19988525794334611</v>
      </c>
    </row>
    <row r="1404" spans="1:5">
      <c r="A1404" s="58" t="s">
        <v>829</v>
      </c>
      <c r="B1404" s="58" t="s">
        <v>1904</v>
      </c>
      <c r="C1404" s="58" t="s">
        <v>2165</v>
      </c>
      <c r="D1404" s="58">
        <v>1</v>
      </c>
      <c r="E1404" s="58" t="e">
        <f ca="1">Valuation!T25</f>
        <v>#NAME?</v>
      </c>
    </row>
    <row r="1405" spans="1:5">
      <c r="A1405" s="58" t="s">
        <v>829</v>
      </c>
      <c r="B1405" s="58" t="s">
        <v>1905</v>
      </c>
      <c r="C1405" s="58" t="s">
        <v>2165</v>
      </c>
      <c r="D1405" s="58">
        <v>2</v>
      </c>
      <c r="E1405" s="58" t="e">
        <f ca="1">Valuation!U25</f>
        <v>#NAME?</v>
      </c>
    </row>
    <row r="1406" spans="1:5">
      <c r="A1406" s="58" t="s">
        <v>829</v>
      </c>
      <c r="B1406" s="58" t="s">
        <v>1906</v>
      </c>
      <c r="C1406" s="58" t="s">
        <v>2165</v>
      </c>
      <c r="D1406" s="58">
        <v>3</v>
      </c>
      <c r="E1406" s="58" t="e">
        <f ca="1">Valuation!V25</f>
        <v>#NAME?</v>
      </c>
    </row>
    <row r="1407" spans="1:5">
      <c r="A1407" s="58" t="s">
        <v>829</v>
      </c>
      <c r="B1407" s="58" t="s">
        <v>1907</v>
      </c>
      <c r="C1407" s="58" t="s">
        <v>2165</v>
      </c>
      <c r="D1407" s="58">
        <v>4</v>
      </c>
      <c r="E1407" s="58" t="e">
        <f ca="1">Valuation!W25</f>
        <v>#NAME?</v>
      </c>
    </row>
    <row r="1408" spans="1:5">
      <c r="A1408" s="58" t="s">
        <v>829</v>
      </c>
      <c r="B1408" s="58" t="s">
        <v>1908</v>
      </c>
      <c r="C1408" s="58" t="s">
        <v>2165</v>
      </c>
      <c r="D1408" s="58">
        <v>5</v>
      </c>
      <c r="E1408" s="58" t="e">
        <f ca="1">Valuation!X25</f>
        <v>#NAME?</v>
      </c>
    </row>
    <row r="1409" spans="1:5">
      <c r="A1409" s="58" t="s">
        <v>829</v>
      </c>
      <c r="B1409" s="58" t="s">
        <v>1909</v>
      </c>
      <c r="C1409" s="58" t="s">
        <v>2165</v>
      </c>
      <c r="D1409" s="58">
        <v>6</v>
      </c>
      <c r="E1409" s="58" t="e">
        <f ca="1">Valuation!Y25</f>
        <v>#NAME?</v>
      </c>
    </row>
    <row r="1410" spans="1:5">
      <c r="A1410" s="58" t="s">
        <v>829</v>
      </c>
      <c r="B1410" s="58" t="s">
        <v>1910</v>
      </c>
      <c r="C1410" s="58" t="s">
        <v>2165</v>
      </c>
      <c r="D1410" s="58">
        <v>7</v>
      </c>
      <c r="E1410" s="58" t="e">
        <f ca="1">Valuation!Z25</f>
        <v>#NAME?</v>
      </c>
    </row>
    <row r="1411" spans="1:5">
      <c r="A1411" s="58" t="s">
        <v>829</v>
      </c>
      <c r="B1411" s="58" t="s">
        <v>1911</v>
      </c>
      <c r="C1411" s="58" t="s">
        <v>2165</v>
      </c>
      <c r="D1411" s="58">
        <v>8</v>
      </c>
      <c r="E1411" s="58" t="e">
        <f ca="1">Valuation!AA25</f>
        <v>#NAME?</v>
      </c>
    </row>
    <row r="1412" spans="1:5">
      <c r="A1412" s="58" t="s">
        <v>829</v>
      </c>
      <c r="B1412" s="58" t="s">
        <v>1912</v>
      </c>
      <c r="C1412" s="58" t="s">
        <v>2165</v>
      </c>
      <c r="D1412" s="58">
        <v>9</v>
      </c>
      <c r="E1412" s="58" t="e">
        <f ca="1">Valuation!AB25</f>
        <v>#NAME?</v>
      </c>
    </row>
    <row r="1413" spans="1:5">
      <c r="A1413" s="58" t="s">
        <v>829</v>
      </c>
      <c r="B1413" s="58" t="s">
        <v>1915</v>
      </c>
      <c r="C1413" s="58" t="s">
        <v>2166</v>
      </c>
      <c r="D1413" s="58">
        <v>-11</v>
      </c>
      <c r="E1413" s="58">
        <f>Valuation!H52</f>
        <v>0</v>
      </c>
    </row>
    <row r="1414" spans="1:5">
      <c r="A1414" s="58" t="s">
        <v>829</v>
      </c>
      <c r="B1414" s="58" t="s">
        <v>1916</v>
      </c>
      <c r="C1414" s="58" t="s">
        <v>2166</v>
      </c>
      <c r="D1414" s="58">
        <v>-10</v>
      </c>
      <c r="E1414" s="58">
        <f>Valuation!I52</f>
        <v>0</v>
      </c>
    </row>
    <row r="1415" spans="1:5">
      <c r="A1415" s="58" t="s">
        <v>829</v>
      </c>
      <c r="B1415" s="58" t="s">
        <v>1917</v>
      </c>
      <c r="C1415" s="58" t="s">
        <v>2166</v>
      </c>
      <c r="D1415" s="58">
        <v>-9</v>
      </c>
      <c r="E1415" s="58">
        <f>Valuation!J52</f>
        <v>0</v>
      </c>
    </row>
    <row r="1416" spans="1:5">
      <c r="A1416" s="58" t="s">
        <v>829</v>
      </c>
      <c r="B1416" s="58" t="s">
        <v>1918</v>
      </c>
      <c r="C1416" s="58" t="s">
        <v>2166</v>
      </c>
      <c r="D1416" s="58">
        <v>-8</v>
      </c>
      <c r="E1416" s="58">
        <f>Valuation!K52</f>
        <v>0</v>
      </c>
    </row>
    <row r="1417" spans="1:5">
      <c r="A1417" s="58" t="s">
        <v>829</v>
      </c>
      <c r="B1417" s="58" t="s">
        <v>1919</v>
      </c>
      <c r="C1417" s="58" t="s">
        <v>2166</v>
      </c>
      <c r="D1417" s="58">
        <v>-7</v>
      </c>
      <c r="E1417" s="58">
        <f>Valuation!L52</f>
        <v>0</v>
      </c>
    </row>
    <row r="1418" spans="1:5">
      <c r="A1418" s="58" t="s">
        <v>829</v>
      </c>
      <c r="B1418" s="58" t="s">
        <v>1920</v>
      </c>
      <c r="C1418" s="58" t="s">
        <v>2166</v>
      </c>
      <c r="D1418" s="58">
        <v>-6</v>
      </c>
      <c r="E1418" s="58">
        <f>Valuation!M52</f>
        <v>406069</v>
      </c>
    </row>
    <row r="1419" spans="1:5">
      <c r="A1419" s="58" t="s">
        <v>829</v>
      </c>
      <c r="B1419" s="58" t="s">
        <v>1921</v>
      </c>
      <c r="C1419" s="58" t="s">
        <v>2166</v>
      </c>
      <c r="D1419" s="58">
        <v>-5</v>
      </c>
      <c r="E1419" s="58">
        <f>Valuation!N52</f>
        <v>3103058</v>
      </c>
    </row>
    <row r="1420" spans="1:5">
      <c r="A1420" s="58" t="s">
        <v>829</v>
      </c>
      <c r="B1420" s="58" t="s">
        <v>1922</v>
      </c>
      <c r="C1420" s="58" t="s">
        <v>2166</v>
      </c>
      <c r="D1420" s="58">
        <v>-4</v>
      </c>
      <c r="E1420" s="58">
        <f>Valuation!O52</f>
        <v>-2821612</v>
      </c>
    </row>
    <row r="1421" spans="1:5">
      <c r="A1421" s="58" t="s">
        <v>829</v>
      </c>
      <c r="B1421" s="58" t="s">
        <v>1923</v>
      </c>
      <c r="C1421" s="58" t="s">
        <v>2166</v>
      </c>
      <c r="D1421" s="58">
        <v>-3</v>
      </c>
      <c r="E1421" s="58">
        <f>Valuation!P52</f>
        <v>145563</v>
      </c>
    </row>
    <row r="1422" spans="1:5">
      <c r="A1422" s="58" t="s">
        <v>829</v>
      </c>
      <c r="B1422" s="58" t="s">
        <v>1924</v>
      </c>
      <c r="C1422" s="58" t="s">
        <v>2166</v>
      </c>
      <c r="D1422" s="58">
        <v>-2</v>
      </c>
      <c r="E1422" s="58">
        <f>Valuation!Q52</f>
        <v>3150807</v>
      </c>
    </row>
    <row r="1423" spans="1:5">
      <c r="A1423" s="58" t="s">
        <v>829</v>
      </c>
      <c r="B1423" s="58" t="s">
        <v>1925</v>
      </c>
      <c r="C1423" s="58" t="s">
        <v>2166</v>
      </c>
      <c r="D1423" s="58">
        <v>-1</v>
      </c>
      <c r="E1423" s="58">
        <f>Valuation!R52</f>
        <v>1795906</v>
      </c>
    </row>
    <row r="1424" spans="1:5">
      <c r="A1424" s="58" t="s">
        <v>829</v>
      </c>
      <c r="B1424" s="58" t="s">
        <v>1926</v>
      </c>
      <c r="C1424" s="58" t="s">
        <v>2166</v>
      </c>
      <c r="D1424" s="58">
        <v>1</v>
      </c>
      <c r="E1424" s="58" t="e">
        <f ca="1">Valuation!T52</f>
        <v>#NAME?</v>
      </c>
    </row>
    <row r="1425" spans="1:5">
      <c r="A1425" s="58" t="s">
        <v>829</v>
      </c>
      <c r="B1425" s="58" t="s">
        <v>1927</v>
      </c>
      <c r="C1425" s="58" t="s">
        <v>2166</v>
      </c>
      <c r="D1425" s="58">
        <v>2</v>
      </c>
      <c r="E1425" s="58" t="e">
        <f ca="1">Valuation!U52</f>
        <v>#NAME?</v>
      </c>
    </row>
    <row r="1426" spans="1:5">
      <c r="A1426" s="58" t="s">
        <v>829</v>
      </c>
      <c r="B1426" s="58" t="s">
        <v>1928</v>
      </c>
      <c r="C1426" s="58" t="s">
        <v>2166</v>
      </c>
      <c r="D1426" s="58">
        <v>3</v>
      </c>
      <c r="E1426" s="58" t="e">
        <f ca="1">Valuation!V52</f>
        <v>#NAME?</v>
      </c>
    </row>
    <row r="1427" spans="1:5">
      <c r="A1427" s="58" t="s">
        <v>829</v>
      </c>
      <c r="B1427" s="58" t="s">
        <v>1929</v>
      </c>
      <c r="C1427" s="58" t="s">
        <v>2166</v>
      </c>
      <c r="D1427" s="58">
        <v>4</v>
      </c>
      <c r="E1427" s="58" t="e">
        <f ca="1">Valuation!W52</f>
        <v>#NAME?</v>
      </c>
    </row>
    <row r="1428" spans="1:5">
      <c r="A1428" s="58" t="s">
        <v>829</v>
      </c>
      <c r="B1428" s="58" t="s">
        <v>1930</v>
      </c>
      <c r="C1428" s="58" t="s">
        <v>2166</v>
      </c>
      <c r="D1428" s="58">
        <v>5</v>
      </c>
      <c r="E1428" s="58" t="e">
        <f ca="1">Valuation!X52</f>
        <v>#NAME?</v>
      </c>
    </row>
    <row r="1429" spans="1:5">
      <c r="A1429" s="58" t="s">
        <v>829</v>
      </c>
      <c r="B1429" s="58" t="s">
        <v>1931</v>
      </c>
      <c r="C1429" s="58" t="s">
        <v>2166</v>
      </c>
      <c r="D1429" s="58">
        <v>6</v>
      </c>
      <c r="E1429" s="58" t="e">
        <f ca="1">Valuation!Y52</f>
        <v>#NAME?</v>
      </c>
    </row>
    <row r="1430" spans="1:5">
      <c r="A1430" s="58" t="s">
        <v>829</v>
      </c>
      <c r="B1430" s="58" t="s">
        <v>1932</v>
      </c>
      <c r="C1430" s="58" t="s">
        <v>2166</v>
      </c>
      <c r="D1430" s="58">
        <v>7</v>
      </c>
      <c r="E1430" s="58" t="e">
        <f ca="1">Valuation!Z52</f>
        <v>#NAME?</v>
      </c>
    </row>
    <row r="1431" spans="1:5">
      <c r="A1431" s="58" t="s">
        <v>829</v>
      </c>
      <c r="B1431" s="58" t="s">
        <v>1933</v>
      </c>
      <c r="C1431" s="58" t="s">
        <v>2166</v>
      </c>
      <c r="D1431" s="58">
        <v>8</v>
      </c>
      <c r="E1431" s="58" t="e">
        <f ca="1">Valuation!AA52</f>
        <v>#NAME?</v>
      </c>
    </row>
    <row r="1432" spans="1:5">
      <c r="A1432" s="58" t="s">
        <v>829</v>
      </c>
      <c r="B1432" s="58" t="s">
        <v>1934</v>
      </c>
      <c r="C1432" s="58" t="s">
        <v>2166</v>
      </c>
      <c r="D1432" s="58">
        <v>9</v>
      </c>
      <c r="E1432" s="58" t="e">
        <f ca="1">Valuation!AB52</f>
        <v>#NAME?</v>
      </c>
    </row>
    <row r="1433" spans="1:5">
      <c r="A1433" s="58" t="s">
        <v>829</v>
      </c>
      <c r="B1433" s="58" t="s">
        <v>1935</v>
      </c>
      <c r="C1433" s="58" t="s">
        <v>2166</v>
      </c>
      <c r="D1433" s="58">
        <v>0</v>
      </c>
      <c r="E1433" s="58">
        <f ca="1">Valuation!S52</f>
        <v>1120724.4168768078</v>
      </c>
    </row>
    <row r="1434" spans="1:5">
      <c r="A1434" s="58" t="s">
        <v>829</v>
      </c>
      <c r="B1434" s="58" t="s">
        <v>1936</v>
      </c>
      <c r="C1434" s="58" t="s">
        <v>2167</v>
      </c>
      <c r="D1434" s="58">
        <v>-11</v>
      </c>
      <c r="E1434" s="58" t="str">
        <f>Valuation!H53</f>
        <v/>
      </c>
    </row>
    <row r="1435" spans="1:5">
      <c r="A1435" s="58" t="s">
        <v>829</v>
      </c>
      <c r="B1435" s="58" t="s">
        <v>1937</v>
      </c>
      <c r="C1435" s="58" t="s">
        <v>2167</v>
      </c>
      <c r="D1435" s="58">
        <v>-10</v>
      </c>
      <c r="E1435" s="58" t="str">
        <f>Valuation!I53</f>
        <v/>
      </c>
    </row>
    <row r="1436" spans="1:5">
      <c r="A1436" s="58" t="s">
        <v>829</v>
      </c>
      <c r="B1436" s="58" t="s">
        <v>1938</v>
      </c>
      <c r="C1436" s="58" t="s">
        <v>2167</v>
      </c>
      <c r="D1436" s="58">
        <v>-9</v>
      </c>
      <c r="E1436" s="58" t="str">
        <f>Valuation!J53</f>
        <v/>
      </c>
    </row>
    <row r="1437" spans="1:5">
      <c r="A1437" s="58" t="s">
        <v>829</v>
      </c>
      <c r="B1437" s="58" t="s">
        <v>1939</v>
      </c>
      <c r="C1437" s="58" t="s">
        <v>2167</v>
      </c>
      <c r="D1437" s="58">
        <v>-8</v>
      </c>
      <c r="E1437" s="58" t="str">
        <f>Valuation!K53</f>
        <v/>
      </c>
    </row>
    <row r="1438" spans="1:5">
      <c r="A1438" s="58" t="s">
        <v>829</v>
      </c>
      <c r="B1438" s="58" t="s">
        <v>1940</v>
      </c>
      <c r="C1438" s="58" t="s">
        <v>2167</v>
      </c>
      <c r="D1438" s="58">
        <v>-7</v>
      </c>
      <c r="E1438" s="58" t="str">
        <f>Valuation!L53</f>
        <v/>
      </c>
    </row>
    <row r="1439" spans="1:5">
      <c r="A1439" s="58" t="s">
        <v>829</v>
      </c>
      <c r="B1439" s="58" t="s">
        <v>1941</v>
      </c>
      <c r="C1439" s="58" t="s">
        <v>2167</v>
      </c>
      <c r="D1439" s="58">
        <v>-6</v>
      </c>
      <c r="E1439" s="58">
        <f>Valuation!M53</f>
        <v>0.3178669584909678</v>
      </c>
    </row>
    <row r="1440" spans="1:5">
      <c r="A1440" s="58" t="s">
        <v>829</v>
      </c>
      <c r="B1440" s="58" t="s">
        <v>1942</v>
      </c>
      <c r="C1440" s="58" t="s">
        <v>2167</v>
      </c>
      <c r="D1440" s="58">
        <v>-5</v>
      </c>
      <c r="E1440" s="58">
        <f>Valuation!N53</f>
        <v>0.39582628563964484</v>
      </c>
    </row>
    <row r="1441" spans="1:5">
      <c r="A1441" s="58" t="s">
        <v>829</v>
      </c>
      <c r="B1441" s="58" t="s">
        <v>1943</v>
      </c>
      <c r="C1441" s="58" t="s">
        <v>2167</v>
      </c>
      <c r="D1441" s="58">
        <v>-4</v>
      </c>
      <c r="E1441" s="58">
        <f>Valuation!O53</f>
        <v>-0.88335261823901257</v>
      </c>
    </row>
    <row r="1442" spans="1:5">
      <c r="A1442" s="58" t="s">
        <v>829</v>
      </c>
      <c r="B1442" s="58" t="s">
        <v>1944</v>
      </c>
      <c r="C1442" s="58" t="s">
        <v>2167</v>
      </c>
      <c r="D1442" s="58">
        <v>-3</v>
      </c>
      <c r="E1442" s="58">
        <f>Valuation!P53</f>
        <v>4.6829171308683644E-2</v>
      </c>
    </row>
    <row r="1443" spans="1:5">
      <c r="A1443" s="58" t="s">
        <v>829</v>
      </c>
      <c r="B1443" s="58" t="s">
        <v>1945</v>
      </c>
      <c r="C1443" s="58" t="s">
        <v>2167</v>
      </c>
      <c r="D1443" s="58">
        <v>-2</v>
      </c>
      <c r="E1443" s="58">
        <f>Valuation!Q53</f>
        <v>0.48001120653354923</v>
      </c>
    </row>
    <row r="1444" spans="1:5">
      <c r="A1444" s="58" t="s">
        <v>829</v>
      </c>
      <c r="B1444" s="58" t="s">
        <v>1946</v>
      </c>
      <c r="C1444" s="58" t="s">
        <v>2167</v>
      </c>
      <c r="D1444" s="58">
        <v>-1</v>
      </c>
      <c r="E1444" s="58">
        <f>Valuation!R53</f>
        <v>0.25008003397701678</v>
      </c>
    </row>
    <row r="1445" spans="1:5">
      <c r="A1445" s="58" t="s">
        <v>829</v>
      </c>
      <c r="B1445" s="58" t="s">
        <v>1947</v>
      </c>
      <c r="C1445" s="58" t="s">
        <v>2167</v>
      </c>
      <c r="D1445" s="58">
        <v>1</v>
      </c>
      <c r="E1445" s="58" t="str">
        <f ca="1">Valuation!T53</f>
        <v/>
      </c>
    </row>
    <row r="1446" spans="1:5">
      <c r="A1446" s="58" t="s">
        <v>829</v>
      </c>
      <c r="B1446" s="58" t="s">
        <v>1948</v>
      </c>
      <c r="C1446" s="58" t="s">
        <v>2167</v>
      </c>
      <c r="D1446" s="58">
        <v>2</v>
      </c>
      <c r="E1446" s="58" t="str">
        <f ca="1">Valuation!U53</f>
        <v/>
      </c>
    </row>
    <row r="1447" spans="1:5">
      <c r="A1447" s="58" t="s">
        <v>829</v>
      </c>
      <c r="B1447" s="58" t="s">
        <v>1949</v>
      </c>
      <c r="C1447" s="58" t="s">
        <v>2167</v>
      </c>
      <c r="D1447" s="58">
        <v>3</v>
      </c>
      <c r="E1447" s="58" t="str">
        <f ca="1">Valuation!V53</f>
        <v/>
      </c>
    </row>
    <row r="1448" spans="1:5">
      <c r="A1448" s="58" t="s">
        <v>829</v>
      </c>
      <c r="B1448" s="58" t="s">
        <v>1950</v>
      </c>
      <c r="C1448" s="58" t="s">
        <v>2167</v>
      </c>
      <c r="D1448" s="58">
        <v>4</v>
      </c>
      <c r="E1448" s="58" t="str">
        <f ca="1">Valuation!W53</f>
        <v/>
      </c>
    </row>
    <row r="1449" spans="1:5">
      <c r="A1449" s="58" t="s">
        <v>829</v>
      </c>
      <c r="B1449" s="58" t="s">
        <v>1951</v>
      </c>
      <c r="C1449" s="58" t="s">
        <v>2167</v>
      </c>
      <c r="D1449" s="58">
        <v>5</v>
      </c>
      <c r="E1449" s="58" t="str">
        <f ca="1">Valuation!X53</f>
        <v/>
      </c>
    </row>
    <row r="1450" spans="1:5">
      <c r="A1450" s="58" t="s">
        <v>829</v>
      </c>
      <c r="B1450" s="58" t="s">
        <v>1952</v>
      </c>
      <c r="C1450" s="58" t="s">
        <v>2167</v>
      </c>
      <c r="D1450" s="58">
        <v>6</v>
      </c>
      <c r="E1450" s="58" t="str">
        <f ca="1">Valuation!Y53</f>
        <v/>
      </c>
    </row>
    <row r="1451" spans="1:5">
      <c r="A1451" s="58" t="s">
        <v>829</v>
      </c>
      <c r="B1451" s="58" t="s">
        <v>1953</v>
      </c>
      <c r="C1451" s="58" t="s">
        <v>2167</v>
      </c>
      <c r="D1451" s="58">
        <v>7</v>
      </c>
      <c r="E1451" s="58" t="str">
        <f ca="1">Valuation!Z53</f>
        <v/>
      </c>
    </row>
    <row r="1452" spans="1:5">
      <c r="A1452" s="58" t="s">
        <v>829</v>
      </c>
      <c r="B1452" s="58" t="s">
        <v>1954</v>
      </c>
      <c r="C1452" s="58" t="s">
        <v>2167</v>
      </c>
      <c r="D1452" s="58">
        <v>8</v>
      </c>
      <c r="E1452" s="58" t="str">
        <f ca="1">Valuation!AA53</f>
        <v/>
      </c>
    </row>
    <row r="1453" spans="1:5">
      <c r="A1453" s="58" t="s">
        <v>829</v>
      </c>
      <c r="B1453" s="58" t="s">
        <v>1955</v>
      </c>
      <c r="C1453" s="58" t="s">
        <v>2167</v>
      </c>
      <c r="D1453" s="58">
        <v>9</v>
      </c>
      <c r="E1453" s="58" t="str">
        <f ca="1">Valuation!AB53</f>
        <v/>
      </c>
    </row>
    <row r="1454" spans="1:5">
      <c r="A1454" s="58" t="s">
        <v>829</v>
      </c>
      <c r="B1454" s="58" t="s">
        <v>1956</v>
      </c>
      <c r="C1454" s="58" t="s">
        <v>2167</v>
      </c>
      <c r="D1454" s="58">
        <v>0</v>
      </c>
      <c r="E1454" s="58">
        <f ca="1">Valuation!S53</f>
        <v>0.16473366816788043</v>
      </c>
    </row>
    <row r="1455" spans="1:5">
      <c r="A1455" s="58" t="s">
        <v>829</v>
      </c>
      <c r="B1455" s="58" t="s">
        <v>1957</v>
      </c>
      <c r="C1455" s="58" t="s">
        <v>2168</v>
      </c>
      <c r="D1455" s="58">
        <v>-11</v>
      </c>
      <c r="E1455" s="58">
        <f>Valuation!H31</f>
        <v>0</v>
      </c>
    </row>
    <row r="1456" spans="1:5">
      <c r="A1456" s="58" t="s">
        <v>829</v>
      </c>
      <c r="B1456" s="58" t="s">
        <v>1959</v>
      </c>
      <c r="C1456" s="58" t="s">
        <v>2168</v>
      </c>
      <c r="D1456" s="58">
        <v>-10</v>
      </c>
      <c r="E1456" s="58">
        <f>Valuation!I31</f>
        <v>0</v>
      </c>
    </row>
    <row r="1457" spans="1:5">
      <c r="A1457" s="58" t="s">
        <v>829</v>
      </c>
      <c r="B1457" s="58" t="s">
        <v>1960</v>
      </c>
      <c r="C1457" s="58" t="s">
        <v>2168</v>
      </c>
      <c r="D1457" s="58">
        <v>-9</v>
      </c>
      <c r="E1457" s="58">
        <f>Valuation!J31</f>
        <v>0</v>
      </c>
    </row>
    <row r="1458" spans="1:5">
      <c r="A1458" s="58" t="s">
        <v>829</v>
      </c>
      <c r="B1458" s="58" t="s">
        <v>1961</v>
      </c>
      <c r="C1458" s="58" t="s">
        <v>2168</v>
      </c>
      <c r="D1458" s="58">
        <v>-8</v>
      </c>
      <c r="E1458" s="58">
        <f>Valuation!K31</f>
        <v>0</v>
      </c>
    </row>
    <row r="1459" spans="1:5">
      <c r="A1459" s="58" t="s">
        <v>829</v>
      </c>
      <c r="B1459" s="58" t="s">
        <v>1962</v>
      </c>
      <c r="C1459" s="58" t="s">
        <v>2168</v>
      </c>
      <c r="D1459" s="58">
        <v>-7</v>
      </c>
      <c r="E1459" s="58">
        <f>Valuation!L31</f>
        <v>0</v>
      </c>
    </row>
    <row r="1460" spans="1:5">
      <c r="A1460" s="58" t="s">
        <v>829</v>
      </c>
      <c r="B1460" s="58" t="s">
        <v>1963</v>
      </c>
      <c r="C1460" s="58" t="s">
        <v>2168</v>
      </c>
      <c r="D1460" s="58">
        <v>-6</v>
      </c>
      <c r="E1460" s="58">
        <f>Valuation!M31</f>
        <v>0.21535563349734158</v>
      </c>
    </row>
    <row r="1461" spans="1:5">
      <c r="A1461" s="58" t="s">
        <v>829</v>
      </c>
      <c r="B1461" s="58" t="s">
        <v>1964</v>
      </c>
      <c r="C1461" s="58" t="s">
        <v>2168</v>
      </c>
      <c r="D1461" s="58">
        <v>-5</v>
      </c>
      <c r="E1461" s="58">
        <f>Valuation!N31</f>
        <v>-0.19728558180899763</v>
      </c>
    </row>
    <row r="1462" spans="1:5">
      <c r="A1462" s="58" t="s">
        <v>829</v>
      </c>
      <c r="B1462" s="58" t="s">
        <v>1965</v>
      </c>
      <c r="C1462" s="58" t="s">
        <v>2168</v>
      </c>
      <c r="D1462" s="58">
        <v>-4</v>
      </c>
      <c r="E1462" s="58">
        <f>Valuation!O31</f>
        <v>0.14345610592243901</v>
      </c>
    </row>
    <row r="1463" spans="1:5">
      <c r="A1463" s="58" t="s">
        <v>829</v>
      </c>
      <c r="B1463" s="58" t="s">
        <v>1966</v>
      </c>
      <c r="C1463" s="58" t="s">
        <v>2168</v>
      </c>
      <c r="D1463" s="58">
        <v>-3</v>
      </c>
      <c r="E1463" s="58">
        <f>Valuation!P31</f>
        <v>2.2345760947361573</v>
      </c>
    </row>
    <row r="1464" spans="1:5">
      <c r="A1464" s="58" t="s">
        <v>829</v>
      </c>
      <c r="B1464" s="58" t="s">
        <v>1967</v>
      </c>
      <c r="C1464" s="58" t="s">
        <v>2168</v>
      </c>
      <c r="D1464" s="58">
        <v>-2</v>
      </c>
      <c r="E1464" s="58">
        <f>Valuation!Q31</f>
        <v>0.12355487106153513</v>
      </c>
    </row>
    <row r="1465" spans="1:5">
      <c r="A1465" s="58" t="s">
        <v>829</v>
      </c>
      <c r="B1465" s="58" t="s">
        <v>1968</v>
      </c>
      <c r="C1465" s="58" t="s">
        <v>2168</v>
      </c>
      <c r="D1465" s="58">
        <v>-1</v>
      </c>
      <c r="E1465" s="58">
        <f>Valuation!R31</f>
        <v>0.17196243261621547</v>
      </c>
    </row>
    <row r="1466" spans="1:5">
      <c r="A1466" s="58" t="s">
        <v>829</v>
      </c>
      <c r="B1466" s="58" t="s">
        <v>1969</v>
      </c>
      <c r="C1466" s="58" t="s">
        <v>2168</v>
      </c>
      <c r="D1466" s="58">
        <v>1</v>
      </c>
      <c r="E1466" s="58" t="e">
        <f ca="1">Valuation!T31</f>
        <v>#NAME?</v>
      </c>
    </row>
    <row r="1467" spans="1:5">
      <c r="A1467" s="58" t="s">
        <v>829</v>
      </c>
      <c r="B1467" s="58" t="s">
        <v>1970</v>
      </c>
      <c r="C1467" s="58" t="s">
        <v>2168</v>
      </c>
      <c r="D1467" s="58">
        <v>2</v>
      </c>
      <c r="E1467" s="58" t="e">
        <f ca="1">Valuation!U31</f>
        <v>#NAME?</v>
      </c>
    </row>
    <row r="1468" spans="1:5">
      <c r="A1468" s="58" t="s">
        <v>829</v>
      </c>
      <c r="B1468" s="58" t="s">
        <v>1971</v>
      </c>
      <c r="C1468" s="58" t="s">
        <v>2168</v>
      </c>
      <c r="D1468" s="58">
        <v>3</v>
      </c>
      <c r="E1468" s="58" t="e">
        <f ca="1">Valuation!V31</f>
        <v>#NAME?</v>
      </c>
    </row>
    <row r="1469" spans="1:5">
      <c r="A1469" s="58" t="s">
        <v>829</v>
      </c>
      <c r="B1469" s="58" t="s">
        <v>1972</v>
      </c>
      <c r="C1469" s="58" t="s">
        <v>2168</v>
      </c>
      <c r="D1469" s="58">
        <v>4</v>
      </c>
      <c r="E1469" s="58" t="e">
        <f ca="1">Valuation!W31</f>
        <v>#NAME?</v>
      </c>
    </row>
    <row r="1470" spans="1:5">
      <c r="A1470" s="58" t="s">
        <v>829</v>
      </c>
      <c r="B1470" s="58" t="s">
        <v>1973</v>
      </c>
      <c r="C1470" s="58" t="s">
        <v>2168</v>
      </c>
      <c r="D1470" s="58">
        <v>5</v>
      </c>
      <c r="E1470" s="58" t="e">
        <f ca="1">Valuation!X31</f>
        <v>#NAME?</v>
      </c>
    </row>
    <row r="1471" spans="1:5">
      <c r="A1471" s="58" t="s">
        <v>829</v>
      </c>
      <c r="B1471" s="58" t="s">
        <v>1974</v>
      </c>
      <c r="C1471" s="58" t="s">
        <v>2168</v>
      </c>
      <c r="D1471" s="58">
        <v>6</v>
      </c>
      <c r="E1471" s="58" t="e">
        <f ca="1">Valuation!Y31</f>
        <v>#NAME?</v>
      </c>
    </row>
    <row r="1472" spans="1:5">
      <c r="A1472" s="58" t="s">
        <v>829</v>
      </c>
      <c r="B1472" s="58" t="s">
        <v>1975</v>
      </c>
      <c r="C1472" s="58" t="s">
        <v>2168</v>
      </c>
      <c r="D1472" s="58">
        <v>7</v>
      </c>
      <c r="E1472" s="58" t="e">
        <f ca="1">Valuation!Z31</f>
        <v>#NAME?</v>
      </c>
    </row>
    <row r="1473" spans="1:5">
      <c r="A1473" s="58" t="s">
        <v>829</v>
      </c>
      <c r="B1473" s="58" t="s">
        <v>1976</v>
      </c>
      <c r="C1473" s="58" t="s">
        <v>2168</v>
      </c>
      <c r="D1473" s="58">
        <v>8</v>
      </c>
      <c r="E1473" s="58" t="e">
        <f ca="1">Valuation!AA31</f>
        <v>#NAME?</v>
      </c>
    </row>
    <row r="1474" spans="1:5">
      <c r="A1474" s="58" t="s">
        <v>829</v>
      </c>
      <c r="B1474" s="58" t="s">
        <v>1977</v>
      </c>
      <c r="C1474" s="58" t="s">
        <v>2168</v>
      </c>
      <c r="D1474" s="58">
        <v>9</v>
      </c>
      <c r="E1474" s="58" t="e">
        <f ca="1">Valuation!AB31</f>
        <v>#NAME?</v>
      </c>
    </row>
    <row r="1475" spans="1:5">
      <c r="A1475" s="58" t="s">
        <v>829</v>
      </c>
      <c r="B1475" s="58" t="s">
        <v>1978</v>
      </c>
      <c r="C1475" s="58" t="s">
        <v>2168</v>
      </c>
      <c r="D1475" s="58">
        <v>0</v>
      </c>
      <c r="E1475" s="58">
        <f ca="1">Valuation!S31</f>
        <v>0.24279252304059365</v>
      </c>
    </row>
    <row r="1476" spans="1:5">
      <c r="A1476" s="58" t="s">
        <v>829</v>
      </c>
      <c r="B1476" s="58" t="s">
        <v>3240</v>
      </c>
      <c r="C1476" s="58" t="s">
        <v>1150</v>
      </c>
      <c r="D1476" s="58" t="s">
        <v>1138</v>
      </c>
      <c r="E1476" s="58" t="str">
        <f>Valuation!V116</f>
        <v>NAS:COIN</v>
      </c>
    </row>
    <row r="1477" spans="1:5">
      <c r="A1477" s="58" t="s">
        <v>829</v>
      </c>
      <c r="B1477" s="58" t="s">
        <v>2022</v>
      </c>
      <c r="C1477" s="58" t="s">
        <v>2169</v>
      </c>
      <c r="D1477" s="58">
        <v>0</v>
      </c>
      <c r="E1477" s="58">
        <f>Valuation!S198</f>
        <v>0</v>
      </c>
    </row>
    <row r="1478" spans="1:5">
      <c r="A1478" s="58" t="s">
        <v>829</v>
      </c>
      <c r="B1478" s="58" t="s">
        <v>2001</v>
      </c>
      <c r="C1478" s="58" t="s">
        <v>2169</v>
      </c>
      <c r="D1478" s="58">
        <v>-11</v>
      </c>
      <c r="E1478" s="58">
        <f>Valuation!H198</f>
        <v>0</v>
      </c>
    </row>
    <row r="1479" spans="1:5">
      <c r="A1479" s="58" t="s">
        <v>829</v>
      </c>
      <c r="B1479" s="58" t="s">
        <v>2003</v>
      </c>
      <c r="C1479" s="58" t="s">
        <v>2169</v>
      </c>
      <c r="D1479" s="58">
        <v>-10</v>
      </c>
      <c r="E1479" s="58">
        <f>Valuation!I198</f>
        <v>0</v>
      </c>
    </row>
    <row r="1480" spans="1:5">
      <c r="A1480" s="58" t="s">
        <v>829</v>
      </c>
      <c r="B1480" s="58" t="s">
        <v>2004</v>
      </c>
      <c r="C1480" s="58" t="s">
        <v>2169</v>
      </c>
      <c r="D1480" s="58">
        <v>-9</v>
      </c>
      <c r="E1480" s="58">
        <f>Valuation!J198</f>
        <v>0</v>
      </c>
    </row>
    <row r="1481" spans="1:5">
      <c r="A1481" s="58" t="s">
        <v>829</v>
      </c>
      <c r="B1481" s="58" t="s">
        <v>2005</v>
      </c>
      <c r="C1481" s="58" t="s">
        <v>2169</v>
      </c>
      <c r="D1481" s="58">
        <v>-8</v>
      </c>
      <c r="E1481" s="58">
        <f>Valuation!K198</f>
        <v>0</v>
      </c>
    </row>
    <row r="1482" spans="1:5">
      <c r="A1482" s="58" t="s">
        <v>829</v>
      </c>
      <c r="B1482" s="58" t="s">
        <v>2006</v>
      </c>
      <c r="C1482" s="58" t="s">
        <v>2169</v>
      </c>
      <c r="D1482" s="58">
        <v>-7</v>
      </c>
      <c r="E1482" s="58">
        <f>Valuation!L198</f>
        <v>0</v>
      </c>
    </row>
    <row r="1483" spans="1:5">
      <c r="A1483" s="58" t="s">
        <v>829</v>
      </c>
      <c r="B1483" s="58" t="s">
        <v>2007</v>
      </c>
      <c r="C1483" s="58" t="s">
        <v>2169</v>
      </c>
      <c r="D1483" s="58">
        <v>-6</v>
      </c>
      <c r="E1483" s="58">
        <f>Valuation!M198</f>
        <v>0</v>
      </c>
    </row>
    <row r="1484" spans="1:5">
      <c r="A1484" s="58" t="s">
        <v>829</v>
      </c>
      <c r="B1484" s="58" t="s">
        <v>2008</v>
      </c>
      <c r="C1484" s="58" t="s">
        <v>2169</v>
      </c>
      <c r="D1484" s="58">
        <v>-5</v>
      </c>
      <c r="E1484" s="58">
        <f>Valuation!N198</f>
        <v>0</v>
      </c>
    </row>
    <row r="1485" spans="1:5">
      <c r="A1485" s="58" t="s">
        <v>829</v>
      </c>
      <c r="B1485" s="58" t="s">
        <v>2009</v>
      </c>
      <c r="C1485" s="58" t="s">
        <v>2169</v>
      </c>
      <c r="D1485" s="58">
        <v>-4</v>
      </c>
      <c r="E1485" s="58">
        <f>Valuation!O198</f>
        <v>0</v>
      </c>
    </row>
    <row r="1486" spans="1:5">
      <c r="A1486" s="58" t="s">
        <v>829</v>
      </c>
      <c r="B1486" s="58" t="s">
        <v>2010</v>
      </c>
      <c r="C1486" s="58" t="s">
        <v>2169</v>
      </c>
      <c r="D1486" s="58">
        <v>-3</v>
      </c>
      <c r="E1486" s="58">
        <f>Valuation!P198</f>
        <v>0</v>
      </c>
    </row>
    <row r="1487" spans="1:5">
      <c r="A1487" s="58" t="s">
        <v>829</v>
      </c>
      <c r="B1487" s="58" t="s">
        <v>2011</v>
      </c>
      <c r="C1487" s="58" t="s">
        <v>2169</v>
      </c>
      <c r="D1487" s="58">
        <v>-2</v>
      </c>
      <c r="E1487" s="58">
        <f>Valuation!Q198</f>
        <v>0</v>
      </c>
    </row>
    <row r="1488" spans="1:5">
      <c r="A1488" s="58" t="s">
        <v>829</v>
      </c>
      <c r="B1488" s="58" t="s">
        <v>2012</v>
      </c>
      <c r="C1488" s="58" t="s">
        <v>2169</v>
      </c>
      <c r="D1488" s="58">
        <v>-1</v>
      </c>
      <c r="E1488" s="58">
        <f>Valuation!R198</f>
        <v>0</v>
      </c>
    </row>
    <row r="1489" spans="1:5">
      <c r="A1489" s="58" t="s">
        <v>829</v>
      </c>
      <c r="B1489" s="58" t="s">
        <v>2013</v>
      </c>
      <c r="C1489" s="58" t="s">
        <v>2169</v>
      </c>
      <c r="D1489" s="58">
        <v>1</v>
      </c>
      <c r="E1489" s="58">
        <f>Valuation!T198</f>
        <v>0</v>
      </c>
    </row>
    <row r="1490" spans="1:5">
      <c r="A1490" s="58" t="s">
        <v>829</v>
      </c>
      <c r="B1490" s="58" t="s">
        <v>2014</v>
      </c>
      <c r="C1490" s="58" t="s">
        <v>2169</v>
      </c>
      <c r="D1490" s="58">
        <v>2</v>
      </c>
      <c r="E1490" s="58">
        <f>Valuation!U198</f>
        <v>0</v>
      </c>
    </row>
    <row r="1491" spans="1:5">
      <c r="A1491" s="58" t="s">
        <v>829</v>
      </c>
      <c r="B1491" s="58" t="s">
        <v>2015</v>
      </c>
      <c r="C1491" s="58" t="s">
        <v>2169</v>
      </c>
      <c r="D1491" s="58">
        <v>3</v>
      </c>
      <c r="E1491" s="58">
        <f>Valuation!V198</f>
        <v>0</v>
      </c>
    </row>
    <row r="1492" spans="1:5">
      <c r="A1492" s="58" t="s">
        <v>829</v>
      </c>
      <c r="B1492" s="58" t="s">
        <v>2016</v>
      </c>
      <c r="C1492" s="58" t="s">
        <v>2169</v>
      </c>
      <c r="D1492" s="58">
        <v>4</v>
      </c>
      <c r="E1492" s="58">
        <f>Valuation!W198</f>
        <v>0</v>
      </c>
    </row>
    <row r="1493" spans="1:5">
      <c r="A1493" s="58" t="s">
        <v>829</v>
      </c>
      <c r="B1493" s="58" t="s">
        <v>2017</v>
      </c>
      <c r="C1493" s="58" t="s">
        <v>2169</v>
      </c>
      <c r="D1493" s="58">
        <v>5</v>
      </c>
      <c r="E1493" s="58">
        <f>Valuation!X198</f>
        <v>0</v>
      </c>
    </row>
    <row r="1494" spans="1:5">
      <c r="A1494" s="58" t="s">
        <v>829</v>
      </c>
      <c r="B1494" s="58" t="s">
        <v>2018</v>
      </c>
      <c r="C1494" s="58" t="s">
        <v>2169</v>
      </c>
      <c r="D1494" s="58">
        <v>6</v>
      </c>
      <c r="E1494" s="58">
        <f>Valuation!Y198</f>
        <v>0</v>
      </c>
    </row>
    <row r="1495" spans="1:5">
      <c r="A1495" s="58" t="s">
        <v>829</v>
      </c>
      <c r="B1495" s="58" t="s">
        <v>2019</v>
      </c>
      <c r="C1495" s="58" t="s">
        <v>2169</v>
      </c>
      <c r="D1495" s="58">
        <v>7</v>
      </c>
      <c r="E1495" s="58">
        <f>Valuation!Z198</f>
        <v>0</v>
      </c>
    </row>
    <row r="1496" spans="1:5">
      <c r="A1496" s="58" t="s">
        <v>829</v>
      </c>
      <c r="B1496" s="58" t="s">
        <v>2020</v>
      </c>
      <c r="C1496" s="58" t="s">
        <v>2169</v>
      </c>
      <c r="D1496" s="58">
        <v>8</v>
      </c>
      <c r="E1496" s="58">
        <f>Valuation!AA198</f>
        <v>0</v>
      </c>
    </row>
    <row r="1497" spans="1:5">
      <c r="A1497" s="58" t="s">
        <v>829</v>
      </c>
      <c r="B1497" s="58" t="s">
        <v>2021</v>
      </c>
      <c r="C1497" s="58" t="s">
        <v>2169</v>
      </c>
      <c r="D1497" s="58">
        <v>9</v>
      </c>
      <c r="E1497" s="58">
        <f>Valuation!AB198</f>
        <v>0</v>
      </c>
    </row>
    <row r="1498" spans="1:5">
      <c r="A1498" s="58" t="s">
        <v>829</v>
      </c>
      <c r="B1498" s="58" t="s">
        <v>3311</v>
      </c>
      <c r="C1498" s="58" t="s">
        <v>1151</v>
      </c>
      <c r="D1498" s="58" t="s">
        <v>1138</v>
      </c>
      <c r="E1498" s="684">
        <f ca="1">Valuation!C7</f>
        <v>0</v>
      </c>
    </row>
    <row r="1499" spans="1:5">
      <c r="A1499" s="58" t="s">
        <v>829</v>
      </c>
      <c r="B1499" s="58" t="s">
        <v>2065</v>
      </c>
      <c r="C1499" s="58" t="s">
        <v>2170</v>
      </c>
      <c r="D1499" s="58">
        <v>0</v>
      </c>
      <c r="E1499" s="58">
        <f>Valuation!S26</f>
        <v>0</v>
      </c>
    </row>
    <row r="1500" spans="1:5">
      <c r="A1500" s="58" t="s">
        <v>829</v>
      </c>
      <c r="B1500" s="58" t="s">
        <v>2045</v>
      </c>
      <c r="C1500" s="58" t="s">
        <v>2170</v>
      </c>
      <c r="D1500" s="58">
        <v>-11</v>
      </c>
      <c r="E1500" s="58">
        <f>Valuation!H26</f>
        <v>0</v>
      </c>
    </row>
    <row r="1501" spans="1:5">
      <c r="A1501" s="58" t="s">
        <v>829</v>
      </c>
      <c r="B1501" s="58" t="s">
        <v>2046</v>
      </c>
      <c r="C1501" s="58" t="s">
        <v>2170</v>
      </c>
      <c r="D1501" s="58">
        <v>-10</v>
      </c>
      <c r="E1501" s="58">
        <f>Valuation!I26</f>
        <v>0</v>
      </c>
    </row>
    <row r="1502" spans="1:5">
      <c r="A1502" s="58" t="s">
        <v>829</v>
      </c>
      <c r="B1502" s="58" t="s">
        <v>2047</v>
      </c>
      <c r="C1502" s="58" t="s">
        <v>2170</v>
      </c>
      <c r="D1502" s="58">
        <v>-9</v>
      </c>
      <c r="E1502" s="58">
        <f>Valuation!J26</f>
        <v>0</v>
      </c>
    </row>
    <row r="1503" spans="1:5">
      <c r="A1503" s="58" t="s">
        <v>829</v>
      </c>
      <c r="B1503" s="58" t="s">
        <v>2048</v>
      </c>
      <c r="C1503" s="58" t="s">
        <v>2170</v>
      </c>
      <c r="D1503" s="58">
        <v>-8</v>
      </c>
      <c r="E1503" s="58">
        <f>Valuation!K26</f>
        <v>0</v>
      </c>
    </row>
    <row r="1504" spans="1:5">
      <c r="A1504" s="58" t="s">
        <v>829</v>
      </c>
      <c r="B1504" s="58" t="s">
        <v>2049</v>
      </c>
      <c r="C1504" s="58" t="s">
        <v>2170</v>
      </c>
      <c r="D1504" s="58">
        <v>-7</v>
      </c>
      <c r="E1504" s="58">
        <f>Valuation!L26</f>
        <v>0</v>
      </c>
    </row>
    <row r="1505" spans="1:5">
      <c r="A1505" s="58" t="s">
        <v>829</v>
      </c>
      <c r="B1505" s="58" t="s">
        <v>2050</v>
      </c>
      <c r="C1505" s="58" t="s">
        <v>2170</v>
      </c>
      <c r="D1505" s="58">
        <v>-6</v>
      </c>
      <c r="E1505" s="58">
        <f>Valuation!M26</f>
        <v>2882</v>
      </c>
    </row>
    <row r="1506" spans="1:5">
      <c r="A1506" s="58" t="s">
        <v>829</v>
      </c>
      <c r="B1506" s="58" t="s">
        <v>2051</v>
      </c>
      <c r="C1506" s="58" t="s">
        <v>2170</v>
      </c>
      <c r="D1506" s="58">
        <v>-5</v>
      </c>
      <c r="E1506" s="58">
        <f>Valuation!N26</f>
        <v>20463</v>
      </c>
    </row>
    <row r="1507" spans="1:5">
      <c r="A1507" s="58" t="s">
        <v>829</v>
      </c>
      <c r="B1507" s="58" t="s">
        <v>2052</v>
      </c>
      <c r="C1507" s="58" t="s">
        <v>2170</v>
      </c>
      <c r="D1507" s="58">
        <v>-4</v>
      </c>
      <c r="E1507" s="58">
        <f>Valuation!O26</f>
        <v>265473</v>
      </c>
    </row>
    <row r="1508" spans="1:5">
      <c r="A1508" s="58" t="s">
        <v>829</v>
      </c>
      <c r="B1508" s="58" t="s">
        <v>2053</v>
      </c>
      <c r="C1508" s="58" t="s">
        <v>2170</v>
      </c>
      <c r="D1508" s="58">
        <v>-3</v>
      </c>
      <c r="E1508" s="58">
        <f>Valuation!P26</f>
        <v>-167583</v>
      </c>
    </row>
    <row r="1509" spans="1:5">
      <c r="A1509" s="58" t="s">
        <v>829</v>
      </c>
      <c r="B1509" s="58" t="s">
        <v>2054</v>
      </c>
      <c r="C1509" s="58" t="s">
        <v>2170</v>
      </c>
      <c r="D1509" s="58">
        <v>-2</v>
      </c>
      <c r="E1509" s="58">
        <f>Valuation!Q26</f>
        <v>-716129</v>
      </c>
    </row>
    <row r="1510" spans="1:5">
      <c r="A1510" s="58" t="s">
        <v>829</v>
      </c>
      <c r="B1510" s="58" t="s">
        <v>2055</v>
      </c>
      <c r="C1510" s="58" t="s">
        <v>2170</v>
      </c>
      <c r="D1510" s="58">
        <v>-1</v>
      </c>
      <c r="E1510" s="58">
        <f>Valuation!R26</f>
        <v>-172037</v>
      </c>
    </row>
    <row r="1511" spans="1:5">
      <c r="A1511" s="58" t="s">
        <v>829</v>
      </c>
      <c r="B1511" s="58" t="s">
        <v>2056</v>
      </c>
      <c r="C1511" s="58" t="s">
        <v>2170</v>
      </c>
      <c r="D1511" s="58">
        <v>1</v>
      </c>
      <c r="E1511" s="58">
        <f>Valuation!T26</f>
        <v>0</v>
      </c>
    </row>
    <row r="1512" spans="1:5">
      <c r="A1512" s="58" t="s">
        <v>829</v>
      </c>
      <c r="B1512" s="58" t="s">
        <v>2057</v>
      </c>
      <c r="C1512" s="58" t="s">
        <v>2170</v>
      </c>
      <c r="D1512" s="58">
        <v>2</v>
      </c>
      <c r="E1512" s="58">
        <f>Valuation!U26</f>
        <v>0</v>
      </c>
    </row>
    <row r="1513" spans="1:5">
      <c r="A1513" s="58" t="s">
        <v>829</v>
      </c>
      <c r="B1513" s="58" t="s">
        <v>2058</v>
      </c>
      <c r="C1513" s="58" t="s">
        <v>2170</v>
      </c>
      <c r="D1513" s="58">
        <v>3</v>
      </c>
      <c r="E1513" s="58">
        <f>Valuation!V26</f>
        <v>0</v>
      </c>
    </row>
    <row r="1514" spans="1:5">
      <c r="A1514" s="58" t="s">
        <v>829</v>
      </c>
      <c r="B1514" s="58" t="s">
        <v>2059</v>
      </c>
      <c r="C1514" s="58" t="s">
        <v>2170</v>
      </c>
      <c r="D1514" s="58">
        <v>4</v>
      </c>
      <c r="E1514" s="58">
        <f>Valuation!W26</f>
        <v>0</v>
      </c>
    </row>
    <row r="1515" spans="1:5">
      <c r="A1515" s="58" t="s">
        <v>829</v>
      </c>
      <c r="B1515" s="58" t="s">
        <v>2060</v>
      </c>
      <c r="C1515" s="58" t="s">
        <v>2170</v>
      </c>
      <c r="D1515" s="58">
        <v>5</v>
      </c>
      <c r="E1515" s="58">
        <f>Valuation!X26</f>
        <v>0</v>
      </c>
    </row>
    <row r="1516" spans="1:5">
      <c r="A1516" s="58" t="s">
        <v>829</v>
      </c>
      <c r="B1516" s="58" t="s">
        <v>2061</v>
      </c>
      <c r="C1516" s="58" t="s">
        <v>2170</v>
      </c>
      <c r="D1516" s="58">
        <v>6</v>
      </c>
      <c r="E1516" s="58">
        <f>Valuation!Y26</f>
        <v>0</v>
      </c>
    </row>
    <row r="1517" spans="1:5">
      <c r="A1517" s="58" t="s">
        <v>829</v>
      </c>
      <c r="B1517" s="58" t="s">
        <v>2062</v>
      </c>
      <c r="C1517" s="58" t="s">
        <v>2170</v>
      </c>
      <c r="D1517" s="58">
        <v>7</v>
      </c>
      <c r="E1517" s="58">
        <f>Valuation!Z26</f>
        <v>0</v>
      </c>
    </row>
    <row r="1518" spans="1:5">
      <c r="A1518" s="58" t="s">
        <v>829</v>
      </c>
      <c r="B1518" s="58" t="s">
        <v>2063</v>
      </c>
      <c r="C1518" s="58" t="s">
        <v>2170</v>
      </c>
      <c r="D1518" s="58">
        <v>8</v>
      </c>
      <c r="E1518" s="58">
        <f>Valuation!AA26</f>
        <v>0</v>
      </c>
    </row>
    <row r="1519" spans="1:5">
      <c r="A1519" s="58" t="s">
        <v>829</v>
      </c>
      <c r="B1519" s="58" t="s">
        <v>2064</v>
      </c>
      <c r="C1519" s="58" t="s">
        <v>2170</v>
      </c>
      <c r="D1519" s="58">
        <v>9</v>
      </c>
      <c r="E1519" s="58">
        <f>Valuation!AB26</f>
        <v>0</v>
      </c>
    </row>
    <row r="1520" spans="1:5">
      <c r="A1520" s="58" t="s">
        <v>829</v>
      </c>
      <c r="B1520" s="58" t="s">
        <v>1627</v>
      </c>
      <c r="C1520" s="58" t="s">
        <v>1152</v>
      </c>
      <c r="D1520" s="58" t="s">
        <v>1138</v>
      </c>
      <c r="E1520" s="58">
        <f>Valuation!V117</f>
        <v>1</v>
      </c>
    </row>
    <row r="1521" spans="1:5">
      <c r="A1521" s="58" t="s">
        <v>829</v>
      </c>
      <c r="B1521" s="58" t="s">
        <v>1979</v>
      </c>
      <c r="C1521" s="58" t="s">
        <v>2171</v>
      </c>
      <c r="D1521" s="58">
        <v>-11</v>
      </c>
      <c r="E1521" s="58">
        <f>Valuation!H73</f>
        <v>0</v>
      </c>
    </row>
    <row r="1522" spans="1:5">
      <c r="A1522" s="58" t="s">
        <v>829</v>
      </c>
      <c r="B1522" s="58" t="s">
        <v>1981</v>
      </c>
      <c r="C1522" s="58" t="s">
        <v>2171</v>
      </c>
      <c r="D1522" s="58">
        <v>-10</v>
      </c>
      <c r="E1522" s="58">
        <f>Valuation!I73</f>
        <v>0</v>
      </c>
    </row>
    <row r="1523" spans="1:5">
      <c r="A1523" s="58" t="s">
        <v>829</v>
      </c>
      <c r="B1523" s="58" t="s">
        <v>1982</v>
      </c>
      <c r="C1523" s="58" t="s">
        <v>2171</v>
      </c>
      <c r="D1523" s="58">
        <v>-9</v>
      </c>
      <c r="E1523" s="58">
        <f>Valuation!J73</f>
        <v>0</v>
      </c>
    </row>
    <row r="1524" spans="1:5">
      <c r="A1524" s="58" t="s">
        <v>829</v>
      </c>
      <c r="B1524" s="58" t="s">
        <v>1983</v>
      </c>
      <c r="C1524" s="58" t="s">
        <v>2171</v>
      </c>
      <c r="D1524" s="58">
        <v>-8</v>
      </c>
      <c r="E1524" s="58">
        <f>Valuation!K73</f>
        <v>0</v>
      </c>
    </row>
    <row r="1525" spans="1:5">
      <c r="A1525" s="58" t="s">
        <v>829</v>
      </c>
      <c r="B1525" s="58" t="s">
        <v>1984</v>
      </c>
      <c r="C1525" s="58" t="s">
        <v>2171</v>
      </c>
      <c r="D1525" s="58">
        <v>-7</v>
      </c>
      <c r="E1525" s="58">
        <f>Valuation!L73</f>
        <v>0</v>
      </c>
    </row>
    <row r="1526" spans="1:5">
      <c r="A1526" s="58" t="s">
        <v>829</v>
      </c>
      <c r="B1526" s="58" t="s">
        <v>1985</v>
      </c>
      <c r="C1526" s="58" t="s">
        <v>2171</v>
      </c>
      <c r="D1526" s="58">
        <v>-6</v>
      </c>
      <c r="E1526" s="58">
        <f>Valuation!M73</f>
        <v>522392.25326136802</v>
      </c>
    </row>
    <row r="1527" spans="1:5">
      <c r="A1527" s="58" t="s">
        <v>829</v>
      </c>
      <c r="B1527" s="58" t="s">
        <v>1986</v>
      </c>
      <c r="C1527" s="58" t="s">
        <v>2171</v>
      </c>
      <c r="D1527" s="58">
        <v>-5</v>
      </c>
      <c r="E1527" s="58">
        <f>Valuation!N73</f>
        <v>-2209525.6524344496</v>
      </c>
    </row>
    <row r="1528" spans="1:5">
      <c r="A1528" s="58" t="s">
        <v>829</v>
      </c>
      <c r="B1528" s="58" t="s">
        <v>1987</v>
      </c>
      <c r="C1528" s="58" t="s">
        <v>2171</v>
      </c>
      <c r="D1528" s="58">
        <v>-4</v>
      </c>
      <c r="E1528" s="58">
        <f>Valuation!O73</f>
        <v>5794455.0087273903</v>
      </c>
    </row>
    <row r="1529" spans="1:5">
      <c r="A1529" s="58" t="s">
        <v>829</v>
      </c>
      <c r="B1529" s="58" t="s">
        <v>1988</v>
      </c>
      <c r="C1529" s="58" t="s">
        <v>2171</v>
      </c>
      <c r="D1529" s="58">
        <v>-3</v>
      </c>
      <c r="E1529" s="58">
        <f>Valuation!P73</f>
        <v>874199.47494306671</v>
      </c>
    </row>
    <row r="1530" spans="1:5">
      <c r="A1530" s="58" t="s">
        <v>829</v>
      </c>
      <c r="B1530" s="58" t="s">
        <v>1989</v>
      </c>
      <c r="C1530" s="58" t="s">
        <v>2171</v>
      </c>
      <c r="D1530" s="58">
        <v>-2</v>
      </c>
      <c r="E1530" s="58">
        <f>Valuation!Q73</f>
        <v>1410021.1174232427</v>
      </c>
    </row>
    <row r="1531" spans="1:5">
      <c r="A1531" s="58" t="s">
        <v>829</v>
      </c>
      <c r="B1531" s="58" t="s">
        <v>1990</v>
      </c>
      <c r="C1531" s="58" t="s">
        <v>2171</v>
      </c>
      <c r="D1531" s="58">
        <v>-1</v>
      </c>
      <c r="E1531" s="58">
        <f>Valuation!R73</f>
        <v>649855.9227429512</v>
      </c>
    </row>
    <row r="1532" spans="1:5">
      <c r="A1532" s="58" t="s">
        <v>829</v>
      </c>
      <c r="B1532" s="58" t="s">
        <v>1991</v>
      </c>
      <c r="C1532" s="58" t="s">
        <v>2171</v>
      </c>
      <c r="D1532" s="58">
        <v>1</v>
      </c>
      <c r="E1532" s="58" t="e">
        <f ca="1">Valuation!T73</f>
        <v>#NAME?</v>
      </c>
    </row>
    <row r="1533" spans="1:5">
      <c r="A1533" s="58" t="s">
        <v>829</v>
      </c>
      <c r="B1533" s="58" t="s">
        <v>1992</v>
      </c>
      <c r="C1533" s="58" t="s">
        <v>2171</v>
      </c>
      <c r="D1533" s="58">
        <v>2</v>
      </c>
      <c r="E1533" s="58" t="e">
        <f ca="1">Valuation!U73</f>
        <v>#NAME?</v>
      </c>
    </row>
    <row r="1534" spans="1:5">
      <c r="A1534" s="58" t="s">
        <v>829</v>
      </c>
      <c r="B1534" s="58" t="s">
        <v>1993</v>
      </c>
      <c r="C1534" s="58" t="s">
        <v>2171</v>
      </c>
      <c r="D1534" s="58">
        <v>3</v>
      </c>
      <c r="E1534" s="58" t="e">
        <f ca="1">Valuation!V73</f>
        <v>#NAME?</v>
      </c>
    </row>
    <row r="1535" spans="1:5">
      <c r="A1535" s="58" t="s">
        <v>829</v>
      </c>
      <c r="B1535" s="58" t="s">
        <v>1994</v>
      </c>
      <c r="C1535" s="58" t="s">
        <v>2171</v>
      </c>
      <c r="D1535" s="58">
        <v>4</v>
      </c>
      <c r="E1535" s="58" t="e">
        <f ca="1">Valuation!W73</f>
        <v>#NAME?</v>
      </c>
    </row>
    <row r="1536" spans="1:5">
      <c r="A1536" s="58" t="s">
        <v>829</v>
      </c>
      <c r="B1536" s="58" t="s">
        <v>1995</v>
      </c>
      <c r="C1536" s="58" t="s">
        <v>2171</v>
      </c>
      <c r="D1536" s="58">
        <v>5</v>
      </c>
      <c r="E1536" s="58" t="e">
        <f ca="1">Valuation!X73</f>
        <v>#NAME?</v>
      </c>
    </row>
    <row r="1537" spans="1:5">
      <c r="A1537" s="58" t="s">
        <v>829</v>
      </c>
      <c r="B1537" s="58" t="s">
        <v>1996</v>
      </c>
      <c r="C1537" s="58" t="s">
        <v>2171</v>
      </c>
      <c r="D1537" s="58">
        <v>6</v>
      </c>
      <c r="E1537" s="58" t="e">
        <f ca="1">Valuation!Y73</f>
        <v>#NAME?</v>
      </c>
    </row>
    <row r="1538" spans="1:5">
      <c r="A1538" s="58" t="s">
        <v>829</v>
      </c>
      <c r="B1538" s="58" t="s">
        <v>1997</v>
      </c>
      <c r="C1538" s="58" t="s">
        <v>2171</v>
      </c>
      <c r="D1538" s="58">
        <v>7</v>
      </c>
      <c r="E1538" s="58" t="e">
        <f ca="1">Valuation!Z73</f>
        <v>#NAME?</v>
      </c>
    </row>
    <row r="1539" spans="1:5">
      <c r="A1539" s="58" t="s">
        <v>829</v>
      </c>
      <c r="B1539" s="58" t="s">
        <v>1998</v>
      </c>
      <c r="C1539" s="58" t="s">
        <v>2171</v>
      </c>
      <c r="D1539" s="58">
        <v>8</v>
      </c>
      <c r="E1539" s="58" t="e">
        <f ca="1">Valuation!AA73</f>
        <v>#NAME?</v>
      </c>
    </row>
    <row r="1540" spans="1:5">
      <c r="A1540" s="58" t="s">
        <v>829</v>
      </c>
      <c r="B1540" s="58" t="s">
        <v>1999</v>
      </c>
      <c r="C1540" s="58" t="s">
        <v>2171</v>
      </c>
      <c r="D1540" s="58">
        <v>9</v>
      </c>
      <c r="E1540" s="58" t="e">
        <f ca="1">Valuation!AB73</f>
        <v>#NAME?</v>
      </c>
    </row>
    <row r="1541" spans="1:5">
      <c r="A1541" s="58" t="s">
        <v>829</v>
      </c>
      <c r="B1541" s="58" t="s">
        <v>2000</v>
      </c>
      <c r="C1541" s="58" t="s">
        <v>2171</v>
      </c>
      <c r="D1541" s="58">
        <v>0</v>
      </c>
      <c r="E1541" s="58">
        <f ca="1">Valuation!S73</f>
        <v>927746.55056567141</v>
      </c>
    </row>
    <row r="1542" spans="1:5">
      <c r="A1542" s="58" t="s">
        <v>829</v>
      </c>
      <c r="B1542" s="58" t="s">
        <v>2068</v>
      </c>
      <c r="C1542" s="58" t="s">
        <v>2172</v>
      </c>
      <c r="D1542" s="58">
        <v>-11</v>
      </c>
      <c r="E1542" s="58">
        <f>Valuation!H82</f>
        <v>0</v>
      </c>
    </row>
    <row r="1543" spans="1:5">
      <c r="A1543" s="58" t="s">
        <v>829</v>
      </c>
      <c r="B1543" s="58" t="s">
        <v>2069</v>
      </c>
      <c r="C1543" s="58" t="s">
        <v>2172</v>
      </c>
      <c r="D1543" s="58">
        <v>-10</v>
      </c>
      <c r="E1543" s="58">
        <f>Valuation!I82</f>
        <v>0</v>
      </c>
    </row>
    <row r="1544" spans="1:5">
      <c r="A1544" s="58" t="s">
        <v>829</v>
      </c>
      <c r="B1544" s="58" t="s">
        <v>2070</v>
      </c>
      <c r="C1544" s="58" t="s">
        <v>2172</v>
      </c>
      <c r="D1544" s="58">
        <v>-9</v>
      </c>
      <c r="E1544" s="58">
        <f>Valuation!J82</f>
        <v>0</v>
      </c>
    </row>
    <row r="1545" spans="1:5">
      <c r="A1545" s="58" t="s">
        <v>829</v>
      </c>
      <c r="B1545" s="58" t="s">
        <v>2071</v>
      </c>
      <c r="C1545" s="58" t="s">
        <v>2172</v>
      </c>
      <c r="D1545" s="58">
        <v>-8</v>
      </c>
      <c r="E1545" s="58">
        <f>Valuation!K82</f>
        <v>0</v>
      </c>
    </row>
    <row r="1546" spans="1:5">
      <c r="A1546" s="58" t="s">
        <v>829</v>
      </c>
      <c r="B1546" s="58" t="s">
        <v>2072</v>
      </c>
      <c r="C1546" s="58" t="s">
        <v>2172</v>
      </c>
      <c r="D1546" s="58">
        <v>-7</v>
      </c>
      <c r="E1546" s="58">
        <f>Valuation!L82</f>
        <v>0</v>
      </c>
    </row>
    <row r="1547" spans="1:5">
      <c r="A1547" s="58" t="s">
        <v>829</v>
      </c>
      <c r="B1547" s="58" t="s">
        <v>2073</v>
      </c>
      <c r="C1547" s="58" t="s">
        <v>2172</v>
      </c>
      <c r="D1547" s="58">
        <v>-6</v>
      </c>
      <c r="E1547" s="58">
        <f>Valuation!M82</f>
        <v>77212</v>
      </c>
    </row>
    <row r="1548" spans="1:5">
      <c r="A1548" s="58" t="s">
        <v>829</v>
      </c>
      <c r="B1548" s="58" t="s">
        <v>2074</v>
      </c>
      <c r="C1548" s="58" t="s">
        <v>2172</v>
      </c>
      <c r="D1548" s="58">
        <v>-5</v>
      </c>
      <c r="E1548" s="58">
        <f>Valuation!N82</f>
        <v>625758</v>
      </c>
    </row>
    <row r="1549" spans="1:5">
      <c r="A1549" s="58" t="s">
        <v>829</v>
      </c>
      <c r="B1549" s="58" t="s">
        <v>2075</v>
      </c>
      <c r="C1549" s="58" t="s">
        <v>2172</v>
      </c>
      <c r="D1549" s="58">
        <v>-4</v>
      </c>
      <c r="E1549" s="58">
        <f>Valuation!O82</f>
        <v>1073906</v>
      </c>
    </row>
    <row r="1550" spans="1:5">
      <c r="A1550" s="58" t="s">
        <v>829</v>
      </c>
      <c r="B1550" s="58" t="s">
        <v>2076</v>
      </c>
      <c r="C1550" s="58" t="s">
        <v>2172</v>
      </c>
      <c r="D1550" s="58">
        <v>-3</v>
      </c>
      <c r="E1550" s="58">
        <f>Valuation!P82</f>
        <v>1139670</v>
      </c>
    </row>
    <row r="1551" spans="1:5">
      <c r="A1551" s="58" t="s">
        <v>829</v>
      </c>
      <c r="B1551" s="58" t="s">
        <v>2077</v>
      </c>
      <c r="C1551" s="58" t="s">
        <v>2172</v>
      </c>
      <c r="D1551" s="58">
        <v>-2</v>
      </c>
      <c r="E1551" s="58">
        <f>Valuation!Q82</f>
        <v>1139670</v>
      </c>
    </row>
    <row r="1552" spans="1:5">
      <c r="A1552" s="58" t="s">
        <v>829</v>
      </c>
      <c r="B1552" s="58" t="s">
        <v>2078</v>
      </c>
      <c r="C1552" s="58" t="s">
        <v>2172</v>
      </c>
      <c r="D1552" s="58">
        <v>-1</v>
      </c>
      <c r="E1552" s="58">
        <f>Valuation!R82</f>
        <v>4168967</v>
      </c>
    </row>
    <row r="1553" spans="1:5">
      <c r="A1553" s="58" t="s">
        <v>829</v>
      </c>
      <c r="B1553" s="58" t="s">
        <v>2079</v>
      </c>
      <c r="C1553" s="58" t="s">
        <v>2172</v>
      </c>
      <c r="D1553" s="58">
        <v>1</v>
      </c>
      <c r="E1553" s="58">
        <f>Valuation!T82</f>
        <v>4168967</v>
      </c>
    </row>
    <row r="1554" spans="1:5">
      <c r="A1554" s="58" t="s">
        <v>829</v>
      </c>
      <c r="B1554" s="58" t="s">
        <v>2080</v>
      </c>
      <c r="C1554" s="58" t="s">
        <v>2172</v>
      </c>
      <c r="D1554" s="58">
        <v>2</v>
      </c>
      <c r="E1554" s="58">
        <f>Valuation!U82</f>
        <v>4168967</v>
      </c>
    </row>
    <row r="1555" spans="1:5">
      <c r="A1555" s="58" t="s">
        <v>829</v>
      </c>
      <c r="B1555" s="58" t="s">
        <v>2081</v>
      </c>
      <c r="C1555" s="58" t="s">
        <v>2172</v>
      </c>
      <c r="D1555" s="58">
        <v>3</v>
      </c>
      <c r="E1555" s="58">
        <f>Valuation!V82</f>
        <v>4168967</v>
      </c>
    </row>
    <row r="1556" spans="1:5">
      <c r="A1556" s="58" t="s">
        <v>829</v>
      </c>
      <c r="B1556" s="58" t="s">
        <v>2082</v>
      </c>
      <c r="C1556" s="58" t="s">
        <v>2172</v>
      </c>
      <c r="D1556" s="58">
        <v>4</v>
      </c>
      <c r="E1556" s="58">
        <f>Valuation!W82</f>
        <v>4168967</v>
      </c>
    </row>
    <row r="1557" spans="1:5">
      <c r="A1557" s="58" t="s">
        <v>829</v>
      </c>
      <c r="B1557" s="58" t="s">
        <v>2083</v>
      </c>
      <c r="C1557" s="58" t="s">
        <v>2172</v>
      </c>
      <c r="D1557" s="58">
        <v>5</v>
      </c>
      <c r="E1557" s="58">
        <f>Valuation!X82</f>
        <v>4168967</v>
      </c>
    </row>
    <row r="1558" spans="1:5">
      <c r="A1558" s="58" t="s">
        <v>829</v>
      </c>
      <c r="B1558" s="58" t="s">
        <v>2084</v>
      </c>
      <c r="C1558" s="58" t="s">
        <v>2172</v>
      </c>
      <c r="D1558" s="58">
        <v>6</v>
      </c>
      <c r="E1558" s="58">
        <f>Valuation!Y82</f>
        <v>4168967</v>
      </c>
    </row>
    <row r="1559" spans="1:5">
      <c r="A1559" s="58" t="s">
        <v>829</v>
      </c>
      <c r="B1559" s="58" t="s">
        <v>2085</v>
      </c>
      <c r="C1559" s="58" t="s">
        <v>2172</v>
      </c>
      <c r="D1559" s="58">
        <v>7</v>
      </c>
      <c r="E1559" s="58">
        <f>Valuation!Z82</f>
        <v>4168967</v>
      </c>
    </row>
    <row r="1560" spans="1:5">
      <c r="A1560" s="58" t="s">
        <v>829</v>
      </c>
      <c r="B1560" s="58" t="s">
        <v>2086</v>
      </c>
      <c r="C1560" s="58" t="s">
        <v>2172</v>
      </c>
      <c r="D1560" s="58">
        <v>8</v>
      </c>
      <c r="E1560" s="58">
        <f>Valuation!AA82</f>
        <v>4168967</v>
      </c>
    </row>
    <row r="1561" spans="1:5">
      <c r="A1561" s="58" t="s">
        <v>829</v>
      </c>
      <c r="B1561" s="58" t="s">
        <v>2087</v>
      </c>
      <c r="C1561" s="58" t="s">
        <v>2172</v>
      </c>
      <c r="D1561" s="58">
        <v>9</v>
      </c>
      <c r="E1561" s="58">
        <f>Valuation!AB82</f>
        <v>4168967</v>
      </c>
    </row>
    <row r="1562" spans="1:5">
      <c r="A1562" s="58" t="s">
        <v>829</v>
      </c>
      <c r="B1562" s="58" t="s">
        <v>2088</v>
      </c>
      <c r="C1562" s="58" t="s">
        <v>2172</v>
      </c>
      <c r="D1562" s="58">
        <v>0</v>
      </c>
      <c r="E1562" s="58">
        <f>Valuation!S82</f>
        <v>4168967</v>
      </c>
    </row>
    <row r="1563" spans="1:5">
      <c r="A1563" s="58" t="s">
        <v>829</v>
      </c>
      <c r="B1563" s="58" t="s">
        <v>2089</v>
      </c>
      <c r="C1563" s="58" t="s">
        <v>2173</v>
      </c>
      <c r="D1563" s="58">
        <v>0</v>
      </c>
      <c r="E1563" s="58">
        <f ca="1">Valuation!S15</f>
        <v>1</v>
      </c>
    </row>
    <row r="1564" spans="1:5">
      <c r="A1564" s="58" t="s">
        <v>829</v>
      </c>
      <c r="B1564" s="58" t="s">
        <v>2091</v>
      </c>
      <c r="C1564" s="58" t="s">
        <v>2173</v>
      </c>
      <c r="D1564" s="58">
        <v>-11</v>
      </c>
      <c r="E1564" s="58" t="str">
        <f>Valuation!H15</f>
        <v/>
      </c>
    </row>
    <row r="1565" spans="1:5">
      <c r="A1565" s="58" t="s">
        <v>829</v>
      </c>
      <c r="B1565" s="58" t="s">
        <v>2092</v>
      </c>
      <c r="C1565" s="58" t="s">
        <v>2173</v>
      </c>
      <c r="D1565" s="58">
        <v>-10</v>
      </c>
      <c r="E1565" s="58" t="str">
        <f>Valuation!I15</f>
        <v/>
      </c>
    </row>
    <row r="1566" spans="1:5">
      <c r="A1566" s="58" t="s">
        <v>829</v>
      </c>
      <c r="B1566" s="58" t="s">
        <v>2093</v>
      </c>
      <c r="C1566" s="58" t="s">
        <v>2173</v>
      </c>
      <c r="D1566" s="58">
        <v>-9</v>
      </c>
      <c r="E1566" s="58" t="str">
        <f>Valuation!J15</f>
        <v/>
      </c>
    </row>
    <row r="1567" spans="1:5">
      <c r="A1567" s="58" t="s">
        <v>829</v>
      </c>
      <c r="B1567" s="58" t="s">
        <v>2094</v>
      </c>
      <c r="C1567" s="58" t="s">
        <v>2173</v>
      </c>
      <c r="D1567" s="58">
        <v>-8</v>
      </c>
      <c r="E1567" s="58" t="str">
        <f>Valuation!K15</f>
        <v/>
      </c>
    </row>
    <row r="1568" spans="1:5">
      <c r="A1568" s="58" t="s">
        <v>829</v>
      </c>
      <c r="B1568" s="58" t="s">
        <v>2095</v>
      </c>
      <c r="C1568" s="58" t="s">
        <v>2173</v>
      </c>
      <c r="D1568" s="58">
        <v>-7</v>
      </c>
      <c r="E1568" s="58" t="str">
        <f>Valuation!L15</f>
        <v/>
      </c>
    </row>
    <row r="1569" spans="1:5">
      <c r="A1569" s="58" t="s">
        <v>829</v>
      </c>
      <c r="B1569" s="58" t="s">
        <v>2096</v>
      </c>
      <c r="C1569" s="58" t="s">
        <v>2173</v>
      </c>
      <c r="D1569" s="58">
        <v>-6</v>
      </c>
      <c r="E1569" s="58">
        <f>Valuation!M15</f>
        <v>1</v>
      </c>
    </row>
    <row r="1570" spans="1:5">
      <c r="A1570" s="58" t="s">
        <v>829</v>
      </c>
      <c r="B1570" s="58" t="s">
        <v>2097</v>
      </c>
      <c r="C1570" s="58" t="s">
        <v>2173</v>
      </c>
      <c r="D1570" s="58">
        <v>-5</v>
      </c>
      <c r="E1570" s="58">
        <f>Valuation!N15</f>
        <v>1</v>
      </c>
    </row>
    <row r="1571" spans="1:5">
      <c r="A1571" s="58" t="s">
        <v>829</v>
      </c>
      <c r="B1571" s="58" t="s">
        <v>2098</v>
      </c>
      <c r="C1571" s="58" t="s">
        <v>2173</v>
      </c>
      <c r="D1571" s="58">
        <v>-4</v>
      </c>
      <c r="E1571" s="58">
        <f>Valuation!O15</f>
        <v>1</v>
      </c>
    </row>
    <row r="1572" spans="1:5">
      <c r="A1572" s="58" t="s">
        <v>829</v>
      </c>
      <c r="B1572" s="58" t="s">
        <v>2099</v>
      </c>
      <c r="C1572" s="58" t="s">
        <v>2173</v>
      </c>
      <c r="D1572" s="58">
        <v>-3</v>
      </c>
      <c r="E1572" s="58">
        <f>Valuation!P15</f>
        <v>1</v>
      </c>
    </row>
    <row r="1573" spans="1:5">
      <c r="A1573" s="58" t="s">
        <v>829</v>
      </c>
      <c r="B1573" s="58" t="s">
        <v>2100</v>
      </c>
      <c r="C1573" s="58" t="s">
        <v>2173</v>
      </c>
      <c r="D1573" s="58">
        <v>-2</v>
      </c>
      <c r="E1573" s="58">
        <f>Valuation!Q15</f>
        <v>1</v>
      </c>
    </row>
    <row r="1574" spans="1:5">
      <c r="A1574" s="58" t="s">
        <v>829</v>
      </c>
      <c r="B1574" s="58" t="s">
        <v>2101</v>
      </c>
      <c r="C1574" s="58" t="s">
        <v>2173</v>
      </c>
      <c r="D1574" s="58">
        <v>-1</v>
      </c>
      <c r="E1574" s="58">
        <f>Valuation!R15</f>
        <v>1</v>
      </c>
    </row>
    <row r="1575" spans="1:5">
      <c r="A1575" s="58" t="s">
        <v>829</v>
      </c>
      <c r="B1575" s="58" t="s">
        <v>2102</v>
      </c>
      <c r="C1575" s="58" t="s">
        <v>2173</v>
      </c>
      <c r="D1575" s="58">
        <v>1</v>
      </c>
      <c r="E1575" s="58" t="str">
        <f ca="1">Valuation!T15</f>
        <v/>
      </c>
    </row>
    <row r="1576" spans="1:5">
      <c r="A1576" s="58" t="s">
        <v>829</v>
      </c>
      <c r="B1576" s="58" t="s">
        <v>2103</v>
      </c>
      <c r="C1576" s="58" t="s">
        <v>2173</v>
      </c>
      <c r="D1576" s="58">
        <v>2</v>
      </c>
      <c r="E1576" s="58" t="str">
        <f ca="1">Valuation!U15</f>
        <v/>
      </c>
    </row>
    <row r="1577" spans="1:5">
      <c r="A1577" s="58" t="s">
        <v>829</v>
      </c>
      <c r="B1577" s="58" t="s">
        <v>2104</v>
      </c>
      <c r="C1577" s="58" t="s">
        <v>2173</v>
      </c>
      <c r="D1577" s="58">
        <v>3</v>
      </c>
      <c r="E1577" s="58" t="str">
        <f ca="1">Valuation!V15</f>
        <v/>
      </c>
    </row>
    <row r="1578" spans="1:5">
      <c r="A1578" s="58" t="s">
        <v>829</v>
      </c>
      <c r="B1578" s="58" t="s">
        <v>2105</v>
      </c>
      <c r="C1578" s="58" t="s">
        <v>2173</v>
      </c>
      <c r="D1578" s="58">
        <v>4</v>
      </c>
      <c r="E1578" s="58" t="str">
        <f ca="1">Valuation!W15</f>
        <v/>
      </c>
    </row>
    <row r="1579" spans="1:5">
      <c r="A1579" s="58" t="s">
        <v>829</v>
      </c>
      <c r="B1579" s="58" t="s">
        <v>2106</v>
      </c>
      <c r="C1579" s="58" t="s">
        <v>2173</v>
      </c>
      <c r="D1579" s="58">
        <v>5</v>
      </c>
      <c r="E1579" s="58" t="str">
        <f ca="1">Valuation!X15</f>
        <v/>
      </c>
    </row>
    <row r="1580" spans="1:5">
      <c r="A1580" s="58" t="s">
        <v>829</v>
      </c>
      <c r="B1580" s="58" t="s">
        <v>2107</v>
      </c>
      <c r="C1580" s="58" t="s">
        <v>2173</v>
      </c>
      <c r="D1580" s="58">
        <v>6</v>
      </c>
      <c r="E1580" s="58" t="str">
        <f ca="1">Valuation!Y15</f>
        <v/>
      </c>
    </row>
    <row r="1581" spans="1:5">
      <c r="A1581" s="58" t="s">
        <v>829</v>
      </c>
      <c r="B1581" s="58" t="s">
        <v>2108</v>
      </c>
      <c r="C1581" s="58" t="s">
        <v>2173</v>
      </c>
      <c r="D1581" s="58">
        <v>7</v>
      </c>
      <c r="E1581" s="58" t="str">
        <f ca="1">Valuation!Z15</f>
        <v/>
      </c>
    </row>
    <row r="1582" spans="1:5">
      <c r="A1582" s="58" t="s">
        <v>829</v>
      </c>
      <c r="B1582" s="58" t="s">
        <v>2109</v>
      </c>
      <c r="C1582" s="58" t="s">
        <v>2173</v>
      </c>
      <c r="D1582" s="58">
        <v>8</v>
      </c>
      <c r="E1582" s="58" t="str">
        <f ca="1">Valuation!AA15</f>
        <v/>
      </c>
    </row>
    <row r="1583" spans="1:5">
      <c r="A1583" s="58" t="s">
        <v>829</v>
      </c>
      <c r="B1583" s="58" t="s">
        <v>2110</v>
      </c>
      <c r="C1583" s="58" t="s">
        <v>2173</v>
      </c>
      <c r="D1583" s="58">
        <v>9</v>
      </c>
      <c r="E1583" s="58" t="str">
        <f ca="1">Valuation!AB15</f>
        <v/>
      </c>
    </row>
    <row r="1584" spans="1:5">
      <c r="A1584" s="58" t="s">
        <v>829</v>
      </c>
      <c r="B1584" s="58" t="s">
        <v>2111</v>
      </c>
      <c r="C1584" s="58" t="s">
        <v>2174</v>
      </c>
      <c r="D1584" s="58">
        <v>0</v>
      </c>
      <c r="E1584" s="58">
        <f ca="1">Valuation!S14</f>
        <v>6803250.5397419743</v>
      </c>
    </row>
    <row r="1585" spans="1:5">
      <c r="A1585" s="58" t="s">
        <v>829</v>
      </c>
      <c r="B1585" s="58" t="s">
        <v>2112</v>
      </c>
      <c r="C1585" s="58" t="s">
        <v>2174</v>
      </c>
      <c r="D1585" s="58">
        <v>-11</v>
      </c>
      <c r="E1585" s="58">
        <f>Valuation!H14</f>
        <v>0</v>
      </c>
    </row>
    <row r="1586" spans="1:5">
      <c r="A1586" s="58" t="s">
        <v>829</v>
      </c>
      <c r="B1586" s="58" t="s">
        <v>2113</v>
      </c>
      <c r="C1586" s="58" t="s">
        <v>2174</v>
      </c>
      <c r="D1586" s="58">
        <v>-10</v>
      </c>
      <c r="E1586" s="58">
        <f>Valuation!I14</f>
        <v>0</v>
      </c>
    </row>
    <row r="1587" spans="1:5">
      <c r="A1587" s="58" t="s">
        <v>829</v>
      </c>
      <c r="B1587" s="58" t="s">
        <v>2114</v>
      </c>
      <c r="C1587" s="58" t="s">
        <v>2174</v>
      </c>
      <c r="D1587" s="58">
        <v>-9</v>
      </c>
      <c r="E1587" s="58">
        <f>Valuation!J14</f>
        <v>0</v>
      </c>
    </row>
    <row r="1588" spans="1:5">
      <c r="A1588" s="58" t="s">
        <v>829</v>
      </c>
      <c r="B1588" s="58" t="s">
        <v>2115</v>
      </c>
      <c r="C1588" s="58" t="s">
        <v>2174</v>
      </c>
      <c r="D1588" s="58">
        <v>-8</v>
      </c>
      <c r="E1588" s="58">
        <f>Valuation!K14</f>
        <v>0</v>
      </c>
    </row>
    <row r="1589" spans="1:5">
      <c r="A1589" s="58" t="s">
        <v>829</v>
      </c>
      <c r="B1589" s="58" t="s">
        <v>2116</v>
      </c>
      <c r="C1589" s="58" t="s">
        <v>2174</v>
      </c>
      <c r="D1589" s="58">
        <v>-7</v>
      </c>
      <c r="E1589" s="58">
        <f>Valuation!L14</f>
        <v>0</v>
      </c>
    </row>
    <row r="1590" spans="1:5">
      <c r="A1590" s="58" t="s">
        <v>829</v>
      </c>
      <c r="B1590" s="58" t="s">
        <v>2117</v>
      </c>
      <c r="C1590" s="58" t="s">
        <v>2174</v>
      </c>
      <c r="D1590" s="58">
        <v>-6</v>
      </c>
      <c r="E1590" s="58">
        <f>Valuation!M14</f>
        <v>1277481</v>
      </c>
    </row>
    <row r="1591" spans="1:5">
      <c r="A1591" s="58" t="s">
        <v>829</v>
      </c>
      <c r="B1591" s="58" t="s">
        <v>2118</v>
      </c>
      <c r="C1591" s="58" t="s">
        <v>2174</v>
      </c>
      <c r="D1591" s="58">
        <v>-5</v>
      </c>
      <c r="E1591" s="58">
        <f>Valuation!N14</f>
        <v>7839444</v>
      </c>
    </row>
    <row r="1592" spans="1:5">
      <c r="A1592" s="58" t="s">
        <v>829</v>
      </c>
      <c r="B1592" s="58" t="s">
        <v>2119</v>
      </c>
      <c r="C1592" s="58" t="s">
        <v>2174</v>
      </c>
      <c r="D1592" s="58">
        <v>-4</v>
      </c>
      <c r="E1592" s="58">
        <f>Valuation!O14</f>
        <v>3194208</v>
      </c>
    </row>
    <row r="1593" spans="1:5">
      <c r="A1593" s="58" t="s">
        <v>829</v>
      </c>
      <c r="B1593" s="58" t="s">
        <v>2120</v>
      </c>
      <c r="C1593" s="58" t="s">
        <v>2174</v>
      </c>
      <c r="D1593" s="58">
        <v>-3</v>
      </c>
      <c r="E1593" s="58">
        <f>Valuation!P14</f>
        <v>3108383</v>
      </c>
    </row>
    <row r="1594" spans="1:5">
      <c r="A1594" s="58" t="s">
        <v>829</v>
      </c>
      <c r="B1594" s="58" t="s">
        <v>2121</v>
      </c>
      <c r="C1594" s="58" t="s">
        <v>2174</v>
      </c>
      <c r="D1594" s="58">
        <v>-2</v>
      </c>
      <c r="E1594" s="58">
        <f>Valuation!Q14</f>
        <v>6564028</v>
      </c>
    </row>
    <row r="1595" spans="1:5">
      <c r="A1595" s="58" t="s">
        <v>829</v>
      </c>
      <c r="B1595" s="58" t="s">
        <v>2122</v>
      </c>
      <c r="C1595" s="58" t="s">
        <v>2174</v>
      </c>
      <c r="D1595" s="58">
        <v>-1</v>
      </c>
      <c r="E1595" s="58">
        <f>Valuation!R14</f>
        <v>7181325</v>
      </c>
    </row>
    <row r="1596" spans="1:5">
      <c r="A1596" s="58" t="s">
        <v>829</v>
      </c>
      <c r="B1596" s="58" t="s">
        <v>2123</v>
      </c>
      <c r="C1596" s="58" t="s">
        <v>2174</v>
      </c>
      <c r="D1596" s="58">
        <v>1</v>
      </c>
      <c r="E1596" s="58" t="e">
        <f ca="1">Valuation!T14</f>
        <v>#NAME?</v>
      </c>
    </row>
    <row r="1597" spans="1:5">
      <c r="A1597" s="58" t="s">
        <v>829</v>
      </c>
      <c r="B1597" s="58" t="s">
        <v>2124</v>
      </c>
      <c r="C1597" s="58" t="s">
        <v>2174</v>
      </c>
      <c r="D1597" s="58">
        <v>2</v>
      </c>
      <c r="E1597" s="58" t="e">
        <f ca="1">Valuation!U14</f>
        <v>#NAME?</v>
      </c>
    </row>
    <row r="1598" spans="1:5">
      <c r="A1598" s="58" t="s">
        <v>829</v>
      </c>
      <c r="B1598" s="58" t="s">
        <v>2125</v>
      </c>
      <c r="C1598" s="58" t="s">
        <v>2174</v>
      </c>
      <c r="D1598" s="58">
        <v>3</v>
      </c>
      <c r="E1598" s="58" t="e">
        <f ca="1">Valuation!V14</f>
        <v>#NAME?</v>
      </c>
    </row>
    <row r="1599" spans="1:5">
      <c r="A1599" s="58" t="s">
        <v>829</v>
      </c>
      <c r="B1599" s="58" t="s">
        <v>2126</v>
      </c>
      <c r="C1599" s="58" t="s">
        <v>2174</v>
      </c>
      <c r="D1599" s="58">
        <v>4</v>
      </c>
      <c r="E1599" s="58" t="e">
        <f ca="1">Valuation!W14</f>
        <v>#NAME?</v>
      </c>
    </row>
    <row r="1600" spans="1:5">
      <c r="A1600" s="58" t="s">
        <v>829</v>
      </c>
      <c r="B1600" s="58" t="s">
        <v>2127</v>
      </c>
      <c r="C1600" s="58" t="s">
        <v>2174</v>
      </c>
      <c r="D1600" s="58">
        <v>5</v>
      </c>
      <c r="E1600" s="58" t="e">
        <f ca="1">Valuation!X14</f>
        <v>#NAME?</v>
      </c>
    </row>
    <row r="1601" spans="1:5">
      <c r="A1601" s="58" t="s">
        <v>829</v>
      </c>
      <c r="B1601" s="58" t="s">
        <v>2128</v>
      </c>
      <c r="C1601" s="58" t="s">
        <v>2174</v>
      </c>
      <c r="D1601" s="58">
        <v>6</v>
      </c>
      <c r="E1601" s="58" t="e">
        <f ca="1">Valuation!Y14</f>
        <v>#NAME?</v>
      </c>
    </row>
    <row r="1602" spans="1:5">
      <c r="A1602" s="58" t="s">
        <v>829</v>
      </c>
      <c r="B1602" s="58" t="s">
        <v>2129</v>
      </c>
      <c r="C1602" s="58" t="s">
        <v>2174</v>
      </c>
      <c r="D1602" s="58">
        <v>7</v>
      </c>
      <c r="E1602" s="58" t="e">
        <f ca="1">Valuation!Z14</f>
        <v>#NAME?</v>
      </c>
    </row>
    <row r="1603" spans="1:5">
      <c r="A1603" s="58" t="s">
        <v>829</v>
      </c>
      <c r="B1603" s="58" t="s">
        <v>2130</v>
      </c>
      <c r="C1603" s="58" t="s">
        <v>2174</v>
      </c>
      <c r="D1603" s="58">
        <v>8</v>
      </c>
      <c r="E1603" s="58" t="e">
        <f ca="1">Valuation!AA14</f>
        <v>#NAME?</v>
      </c>
    </row>
    <row r="1604" spans="1:5">
      <c r="A1604" s="58" t="s">
        <v>829</v>
      </c>
      <c r="B1604" s="58" t="s">
        <v>2131</v>
      </c>
      <c r="C1604" s="58" t="s">
        <v>2174</v>
      </c>
      <c r="D1604" s="58">
        <v>9</v>
      </c>
      <c r="E1604" s="58" t="e">
        <f ca="1">Valuation!AB14</f>
        <v>#NAME?</v>
      </c>
    </row>
    <row r="1605" spans="1:5">
      <c r="A1605" s="58" t="s">
        <v>829</v>
      </c>
      <c r="B1605" s="58" t="s">
        <v>2175</v>
      </c>
      <c r="C1605" s="58" t="s">
        <v>2176</v>
      </c>
      <c r="D1605" s="58">
        <v>0</v>
      </c>
      <c r="E1605" s="58">
        <f ca="1">Valuation!S30</f>
        <v>182191.29400159756</v>
      </c>
    </row>
    <row r="1606" spans="1:5">
      <c r="A1606" s="58" t="s">
        <v>829</v>
      </c>
      <c r="B1606" s="58" t="s">
        <v>2177</v>
      </c>
      <c r="C1606" s="58" t="s">
        <v>2176</v>
      </c>
      <c r="D1606" s="58">
        <v>-11</v>
      </c>
      <c r="E1606" s="58">
        <f>Valuation!H30</f>
        <v>0</v>
      </c>
    </row>
    <row r="1607" spans="1:5">
      <c r="A1607" s="58" t="s">
        <v>829</v>
      </c>
      <c r="B1607" s="58" t="s">
        <v>2178</v>
      </c>
      <c r="C1607" s="58" t="s">
        <v>2176</v>
      </c>
      <c r="D1607" s="58">
        <v>-10</v>
      </c>
      <c r="E1607" s="58">
        <f>Valuation!I30</f>
        <v>0</v>
      </c>
    </row>
    <row r="1608" spans="1:5">
      <c r="A1608" s="58" t="s">
        <v>829</v>
      </c>
      <c r="B1608" s="58" t="s">
        <v>2179</v>
      </c>
      <c r="C1608" s="58" t="s">
        <v>2176</v>
      </c>
      <c r="D1608" s="58">
        <v>-9</v>
      </c>
      <c r="E1608" s="58">
        <f>Valuation!J30</f>
        <v>0</v>
      </c>
    </row>
    <row r="1609" spans="1:5">
      <c r="A1609" s="58" t="s">
        <v>829</v>
      </c>
      <c r="B1609" s="58" t="s">
        <v>2180</v>
      </c>
      <c r="C1609" s="58" t="s">
        <v>2176</v>
      </c>
      <c r="D1609" s="58">
        <v>-8</v>
      </c>
      <c r="E1609" s="58">
        <f>Valuation!K30</f>
        <v>0</v>
      </c>
    </row>
    <row r="1610" spans="1:5">
      <c r="A1610" s="58" t="s">
        <v>829</v>
      </c>
      <c r="B1610" s="58" t="s">
        <v>2181</v>
      </c>
      <c r="C1610" s="58" t="s">
        <v>2176</v>
      </c>
      <c r="D1610" s="58">
        <v>-7</v>
      </c>
      <c r="E1610" s="58">
        <f>Valuation!L30</f>
        <v>0</v>
      </c>
    </row>
    <row r="1611" spans="1:5">
      <c r="A1611" s="58" t="s">
        <v>829</v>
      </c>
      <c r="B1611" s="58" t="s">
        <v>2182</v>
      </c>
      <c r="C1611" s="58" t="s">
        <v>2176</v>
      </c>
      <c r="D1611" s="58">
        <v>-6</v>
      </c>
      <c r="E1611" s="58">
        <f>Valuation!M30</f>
        <v>86882</v>
      </c>
    </row>
    <row r="1612" spans="1:5">
      <c r="A1612" s="58" t="s">
        <v>829</v>
      </c>
      <c r="B1612" s="58" t="s">
        <v>2183</v>
      </c>
      <c r="C1612" s="58" t="s">
        <v>2176</v>
      </c>
      <c r="D1612" s="58">
        <v>-5</v>
      </c>
      <c r="E1612" s="58">
        <f>Valuation!N30</f>
        <v>-597173</v>
      </c>
    </row>
    <row r="1613" spans="1:5">
      <c r="A1613" s="58" t="s">
        <v>829</v>
      </c>
      <c r="B1613" s="58" t="s">
        <v>2184</v>
      </c>
      <c r="C1613" s="58" t="s">
        <v>2176</v>
      </c>
      <c r="D1613" s="58">
        <v>-4</v>
      </c>
      <c r="E1613" s="58">
        <f>Valuation!O30</f>
        <v>-439633</v>
      </c>
    </row>
    <row r="1614" spans="1:5">
      <c r="A1614" s="58" t="s">
        <v>829</v>
      </c>
      <c r="B1614" s="58" t="s">
        <v>2185</v>
      </c>
      <c r="C1614" s="58" t="s">
        <v>2176</v>
      </c>
      <c r="D1614" s="58">
        <v>-3</v>
      </c>
      <c r="E1614" s="58">
        <f>Valuation!P30</f>
        <v>-171716</v>
      </c>
    </row>
    <row r="1615" spans="1:5">
      <c r="A1615" s="58" t="s">
        <v>829</v>
      </c>
      <c r="B1615" s="58" t="s">
        <v>2186</v>
      </c>
      <c r="C1615" s="58" t="s">
        <v>2176</v>
      </c>
      <c r="D1615" s="58">
        <v>-2</v>
      </c>
      <c r="E1615" s="58">
        <f>Valuation!Q30</f>
        <v>363578</v>
      </c>
    </row>
    <row r="1616" spans="1:5">
      <c r="A1616" s="58" t="s">
        <v>829</v>
      </c>
      <c r="B1616" s="58" t="s">
        <v>2187</v>
      </c>
      <c r="C1616" s="58" t="s">
        <v>2176</v>
      </c>
      <c r="D1616" s="58">
        <v>-1</v>
      </c>
      <c r="E1616" s="58">
        <f>Valuation!R30</f>
        <v>261738</v>
      </c>
    </row>
    <row r="1617" spans="1:5">
      <c r="A1617" s="58" t="s">
        <v>829</v>
      </c>
      <c r="B1617" s="58" t="s">
        <v>2188</v>
      </c>
      <c r="C1617" s="58" t="s">
        <v>2176</v>
      </c>
      <c r="D1617" s="58">
        <v>1</v>
      </c>
      <c r="E1617" s="58" t="e">
        <f ca="1">Valuation!T30</f>
        <v>#NAME?</v>
      </c>
    </row>
    <row r="1618" spans="1:5">
      <c r="A1618" s="58" t="s">
        <v>829</v>
      </c>
      <c r="B1618" s="58" t="s">
        <v>2189</v>
      </c>
      <c r="C1618" s="58" t="s">
        <v>2176</v>
      </c>
      <c r="D1618" s="58">
        <v>2</v>
      </c>
      <c r="E1618" s="58" t="e">
        <f ca="1">Valuation!U30</f>
        <v>#NAME?</v>
      </c>
    </row>
    <row r="1619" spans="1:5">
      <c r="A1619" s="58" t="s">
        <v>829</v>
      </c>
      <c r="B1619" s="58" t="s">
        <v>2190</v>
      </c>
      <c r="C1619" s="58" t="s">
        <v>2176</v>
      </c>
      <c r="D1619" s="58">
        <v>3</v>
      </c>
      <c r="E1619" s="58" t="e">
        <f ca="1">Valuation!V30</f>
        <v>#NAME?</v>
      </c>
    </row>
    <row r="1620" spans="1:5">
      <c r="A1620" s="58" t="s">
        <v>829</v>
      </c>
      <c r="B1620" s="58" t="s">
        <v>2191</v>
      </c>
      <c r="C1620" s="58" t="s">
        <v>2176</v>
      </c>
      <c r="D1620" s="58">
        <v>4</v>
      </c>
      <c r="E1620" s="58" t="e">
        <f ca="1">Valuation!W30</f>
        <v>#NAME?</v>
      </c>
    </row>
    <row r="1621" spans="1:5">
      <c r="A1621" s="58" t="s">
        <v>829</v>
      </c>
      <c r="B1621" s="58" t="s">
        <v>2192</v>
      </c>
      <c r="C1621" s="58" t="s">
        <v>2176</v>
      </c>
      <c r="D1621" s="58">
        <v>5</v>
      </c>
      <c r="E1621" s="58" t="e">
        <f ca="1">Valuation!X30</f>
        <v>#NAME?</v>
      </c>
    </row>
    <row r="1622" spans="1:5">
      <c r="A1622" s="58" t="s">
        <v>829</v>
      </c>
      <c r="B1622" s="58" t="s">
        <v>2193</v>
      </c>
      <c r="C1622" s="58" t="s">
        <v>2176</v>
      </c>
      <c r="D1622" s="58">
        <v>6</v>
      </c>
      <c r="E1622" s="58" t="e">
        <f ca="1">Valuation!Y30</f>
        <v>#NAME?</v>
      </c>
    </row>
    <row r="1623" spans="1:5">
      <c r="A1623" s="58" t="s">
        <v>829</v>
      </c>
      <c r="B1623" s="58" t="s">
        <v>2194</v>
      </c>
      <c r="C1623" s="58" t="s">
        <v>2176</v>
      </c>
      <c r="D1623" s="58">
        <v>7</v>
      </c>
      <c r="E1623" s="58" t="e">
        <f ca="1">Valuation!Z30</f>
        <v>#NAME?</v>
      </c>
    </row>
    <row r="1624" spans="1:5">
      <c r="A1624" s="58" t="s">
        <v>829</v>
      </c>
      <c r="B1624" s="58" t="s">
        <v>2195</v>
      </c>
      <c r="C1624" s="58" t="s">
        <v>2176</v>
      </c>
      <c r="D1624" s="58">
        <v>8</v>
      </c>
      <c r="E1624" s="58" t="e">
        <f ca="1">Valuation!AA30</f>
        <v>#NAME?</v>
      </c>
    </row>
    <row r="1625" spans="1:5">
      <c r="A1625" s="58" t="s">
        <v>829</v>
      </c>
      <c r="B1625" s="58" t="s">
        <v>2196</v>
      </c>
      <c r="C1625" s="58" t="s">
        <v>2176</v>
      </c>
      <c r="D1625" s="58">
        <v>9</v>
      </c>
      <c r="E1625" s="58" t="e">
        <f ca="1">Valuation!AB30</f>
        <v>#NAME?</v>
      </c>
    </row>
    <row r="1626" spans="1:5">
      <c r="A1626" s="58" t="s">
        <v>829</v>
      </c>
      <c r="B1626" s="58" t="s">
        <v>2197</v>
      </c>
      <c r="C1626" s="58" t="s">
        <v>2198</v>
      </c>
      <c r="D1626" s="58">
        <v>0</v>
      </c>
      <c r="E1626" s="58">
        <f>Valuation!S182</f>
        <v>0</v>
      </c>
    </row>
    <row r="1627" spans="1:5">
      <c r="A1627" s="58" t="s">
        <v>829</v>
      </c>
      <c r="B1627" s="58" t="s">
        <v>2199</v>
      </c>
      <c r="C1627" s="58" t="s">
        <v>2198</v>
      </c>
      <c r="D1627" s="58">
        <v>-11</v>
      </c>
      <c r="E1627" s="58">
        <f>Valuation!H182</f>
        <v>0</v>
      </c>
    </row>
    <row r="1628" spans="1:5">
      <c r="A1628" s="58" t="s">
        <v>829</v>
      </c>
      <c r="B1628" s="58" t="s">
        <v>2200</v>
      </c>
      <c r="C1628" s="58" t="s">
        <v>2198</v>
      </c>
      <c r="D1628" s="58">
        <v>-10</v>
      </c>
      <c r="E1628" s="58">
        <f>Valuation!I182</f>
        <v>0</v>
      </c>
    </row>
    <row r="1629" spans="1:5">
      <c r="A1629" s="58" t="s">
        <v>829</v>
      </c>
      <c r="B1629" s="58" t="s">
        <v>2201</v>
      </c>
      <c r="C1629" s="58" t="s">
        <v>2198</v>
      </c>
      <c r="D1629" s="58">
        <v>-9</v>
      </c>
      <c r="E1629" s="58">
        <f>Valuation!J182</f>
        <v>0</v>
      </c>
    </row>
    <row r="1630" spans="1:5">
      <c r="A1630" s="58" t="s">
        <v>829</v>
      </c>
      <c r="B1630" s="58" t="s">
        <v>2202</v>
      </c>
      <c r="C1630" s="58" t="s">
        <v>2198</v>
      </c>
      <c r="D1630" s="58">
        <v>-8</v>
      </c>
      <c r="E1630" s="58">
        <f>Valuation!K182</f>
        <v>0</v>
      </c>
    </row>
    <row r="1631" spans="1:5">
      <c r="A1631" s="58" t="s">
        <v>829</v>
      </c>
      <c r="B1631" s="58" t="s">
        <v>2203</v>
      </c>
      <c r="C1631" s="58" t="s">
        <v>2198</v>
      </c>
      <c r="D1631" s="58">
        <v>-7</v>
      </c>
      <c r="E1631" s="58">
        <f>Valuation!L182</f>
        <v>0</v>
      </c>
    </row>
    <row r="1632" spans="1:5">
      <c r="A1632" s="58" t="s">
        <v>829</v>
      </c>
      <c r="B1632" s="58" t="s">
        <v>2204</v>
      </c>
      <c r="C1632" s="58" t="s">
        <v>2198</v>
      </c>
      <c r="D1632" s="58">
        <v>-6</v>
      </c>
      <c r="E1632" s="58">
        <f>Valuation!M182</f>
        <v>0</v>
      </c>
    </row>
    <row r="1633" spans="1:5">
      <c r="A1633" s="58" t="s">
        <v>829</v>
      </c>
      <c r="B1633" s="58" t="s">
        <v>2205</v>
      </c>
      <c r="C1633" s="58" t="s">
        <v>2198</v>
      </c>
      <c r="D1633" s="58">
        <v>-5</v>
      </c>
      <c r="E1633" s="58">
        <f>Valuation!N182</f>
        <v>0</v>
      </c>
    </row>
    <row r="1634" spans="1:5">
      <c r="A1634" s="58" t="s">
        <v>829</v>
      </c>
      <c r="B1634" s="58" t="s">
        <v>2206</v>
      </c>
      <c r="C1634" s="58" t="s">
        <v>2198</v>
      </c>
      <c r="D1634" s="58">
        <v>-4</v>
      </c>
      <c r="E1634" s="58">
        <f>Valuation!O182</f>
        <v>0</v>
      </c>
    </row>
    <row r="1635" spans="1:5">
      <c r="A1635" s="58" t="s">
        <v>829</v>
      </c>
      <c r="B1635" s="58" t="s">
        <v>2207</v>
      </c>
      <c r="C1635" s="58" t="s">
        <v>2198</v>
      </c>
      <c r="D1635" s="58">
        <v>-3</v>
      </c>
      <c r="E1635" s="58">
        <f>Valuation!P182</f>
        <v>0</v>
      </c>
    </row>
    <row r="1636" spans="1:5">
      <c r="A1636" s="58" t="s">
        <v>829</v>
      </c>
      <c r="B1636" s="58" t="s">
        <v>2208</v>
      </c>
      <c r="C1636" s="58" t="s">
        <v>2198</v>
      </c>
      <c r="D1636" s="58">
        <v>-2</v>
      </c>
      <c r="E1636" s="58">
        <f>Valuation!Q182</f>
        <v>0</v>
      </c>
    </row>
    <row r="1637" spans="1:5">
      <c r="A1637" s="58" t="s">
        <v>829</v>
      </c>
      <c r="B1637" s="58" t="s">
        <v>2209</v>
      </c>
      <c r="C1637" s="58" t="s">
        <v>2198</v>
      </c>
      <c r="D1637" s="58">
        <v>-1</v>
      </c>
      <c r="E1637" s="58">
        <f>Valuation!R182</f>
        <v>0</v>
      </c>
    </row>
    <row r="1638" spans="1:5">
      <c r="A1638" s="58" t="s">
        <v>829</v>
      </c>
      <c r="B1638" s="58" t="s">
        <v>2210</v>
      </c>
      <c r="C1638" s="58" t="s">
        <v>2198</v>
      </c>
      <c r="D1638" s="58">
        <v>1</v>
      </c>
      <c r="E1638" s="58">
        <f>Valuation!T182</f>
        <v>0</v>
      </c>
    </row>
    <row r="1639" spans="1:5">
      <c r="A1639" s="58" t="s">
        <v>829</v>
      </c>
      <c r="B1639" s="58" t="s">
        <v>2211</v>
      </c>
      <c r="C1639" s="58" t="s">
        <v>2198</v>
      </c>
      <c r="D1639" s="58">
        <v>2</v>
      </c>
      <c r="E1639" s="58">
        <f>Valuation!U182</f>
        <v>0</v>
      </c>
    </row>
    <row r="1640" spans="1:5">
      <c r="A1640" s="58" t="s">
        <v>829</v>
      </c>
      <c r="B1640" s="58" t="s">
        <v>2212</v>
      </c>
      <c r="C1640" s="58" t="s">
        <v>2198</v>
      </c>
      <c r="D1640" s="58">
        <v>3</v>
      </c>
      <c r="E1640" s="58">
        <f>Valuation!V182</f>
        <v>0</v>
      </c>
    </row>
    <row r="1641" spans="1:5">
      <c r="A1641" s="58" t="s">
        <v>829</v>
      </c>
      <c r="B1641" s="58" t="s">
        <v>2213</v>
      </c>
      <c r="C1641" s="58" t="s">
        <v>2198</v>
      </c>
      <c r="D1641" s="58">
        <v>4</v>
      </c>
      <c r="E1641" s="58">
        <f>Valuation!W182</f>
        <v>0</v>
      </c>
    </row>
    <row r="1642" spans="1:5">
      <c r="A1642" s="58" t="s">
        <v>829</v>
      </c>
      <c r="B1642" s="58" t="s">
        <v>2214</v>
      </c>
      <c r="C1642" s="58" t="s">
        <v>2198</v>
      </c>
      <c r="D1642" s="58">
        <v>5</v>
      </c>
      <c r="E1642" s="58">
        <f>Valuation!X182</f>
        <v>0</v>
      </c>
    </row>
    <row r="1643" spans="1:5">
      <c r="A1643" s="58" t="s">
        <v>829</v>
      </c>
      <c r="B1643" s="58" t="s">
        <v>2215</v>
      </c>
      <c r="C1643" s="58" t="s">
        <v>2198</v>
      </c>
      <c r="D1643" s="58">
        <v>6</v>
      </c>
      <c r="E1643" s="58">
        <f>Valuation!Y182</f>
        <v>0</v>
      </c>
    </row>
    <row r="1644" spans="1:5">
      <c r="A1644" s="58" t="s">
        <v>829</v>
      </c>
      <c r="B1644" s="58" t="s">
        <v>2216</v>
      </c>
      <c r="C1644" s="58" t="s">
        <v>2198</v>
      </c>
      <c r="D1644" s="58">
        <v>7</v>
      </c>
      <c r="E1644" s="58">
        <f>Valuation!Z182</f>
        <v>0</v>
      </c>
    </row>
    <row r="1645" spans="1:5">
      <c r="A1645" s="58" t="s">
        <v>829</v>
      </c>
      <c r="B1645" s="58" t="s">
        <v>2217</v>
      </c>
      <c r="C1645" s="58" t="s">
        <v>2198</v>
      </c>
      <c r="D1645" s="58">
        <v>8</v>
      </c>
      <c r="E1645" s="58">
        <f>Valuation!AA182</f>
        <v>0</v>
      </c>
    </row>
    <row r="1646" spans="1:5">
      <c r="A1646" s="58" t="s">
        <v>829</v>
      </c>
      <c r="B1646" s="58" t="s">
        <v>2218</v>
      </c>
      <c r="C1646" s="58" t="s">
        <v>2198</v>
      </c>
      <c r="D1646" s="58">
        <v>9</v>
      </c>
      <c r="E1646" s="58">
        <f>Valuation!AB182</f>
        <v>0</v>
      </c>
    </row>
    <row r="1647" spans="1:5">
      <c r="A1647" s="58" t="s">
        <v>829</v>
      </c>
      <c r="B1647" s="58" t="s">
        <v>2219</v>
      </c>
      <c r="C1647" s="58" t="s">
        <v>2220</v>
      </c>
      <c r="D1647" s="58">
        <v>-11</v>
      </c>
      <c r="E1647" s="58">
        <f>Valuation!H77</f>
        <v>0</v>
      </c>
    </row>
    <row r="1648" spans="1:5">
      <c r="A1648" s="58" t="s">
        <v>829</v>
      </c>
      <c r="B1648" s="58" t="s">
        <v>2221</v>
      </c>
      <c r="C1648" s="58" t="s">
        <v>2220</v>
      </c>
      <c r="D1648" s="58">
        <v>-10</v>
      </c>
      <c r="E1648" s="58">
        <f>Valuation!I77</f>
        <v>0</v>
      </c>
    </row>
    <row r="1649" spans="1:5">
      <c r="A1649" s="58" t="s">
        <v>829</v>
      </c>
      <c r="B1649" s="58" t="s">
        <v>2222</v>
      </c>
      <c r="C1649" s="58" t="s">
        <v>2220</v>
      </c>
      <c r="D1649" s="58">
        <v>-9</v>
      </c>
      <c r="E1649" s="58">
        <f>Valuation!J77</f>
        <v>0</v>
      </c>
    </row>
    <row r="1650" spans="1:5">
      <c r="A1650" s="58" t="s">
        <v>829</v>
      </c>
      <c r="B1650" s="58" t="s">
        <v>2223</v>
      </c>
      <c r="C1650" s="58" t="s">
        <v>2220</v>
      </c>
      <c r="D1650" s="58">
        <v>-8</v>
      </c>
      <c r="E1650" s="58">
        <f>Valuation!K77</f>
        <v>0</v>
      </c>
    </row>
    <row r="1651" spans="1:5">
      <c r="A1651" s="58" t="s">
        <v>829</v>
      </c>
      <c r="B1651" s="58" t="s">
        <v>2224</v>
      </c>
      <c r="C1651" s="58" t="s">
        <v>2220</v>
      </c>
      <c r="D1651" s="58">
        <v>-7</v>
      </c>
      <c r="E1651" s="58">
        <f>Valuation!L77</f>
        <v>0</v>
      </c>
    </row>
    <row r="1652" spans="1:5">
      <c r="A1652" s="58" t="s">
        <v>829</v>
      </c>
      <c r="B1652" s="58" t="s">
        <v>2225</v>
      </c>
      <c r="C1652" s="58" t="s">
        <v>2220</v>
      </c>
      <c r="D1652" s="58">
        <v>-6</v>
      </c>
      <c r="E1652" s="58">
        <f>Valuation!M77</f>
        <v>0</v>
      </c>
    </row>
    <row r="1653" spans="1:5">
      <c r="A1653" s="58" t="s">
        <v>829</v>
      </c>
      <c r="B1653" s="58" t="s">
        <v>2226</v>
      </c>
      <c r="C1653" s="58" t="s">
        <v>2220</v>
      </c>
      <c r="D1653" s="58">
        <v>-5</v>
      </c>
      <c r="E1653" s="58">
        <f>Valuation!N77</f>
        <v>0</v>
      </c>
    </row>
    <row r="1654" spans="1:5">
      <c r="A1654" s="58" t="s">
        <v>829</v>
      </c>
      <c r="B1654" s="58" t="s">
        <v>2227</v>
      </c>
      <c r="C1654" s="58" t="s">
        <v>2220</v>
      </c>
      <c r="D1654" s="58">
        <v>-4</v>
      </c>
      <c r="E1654" s="58">
        <f>Valuation!O77</f>
        <v>0</v>
      </c>
    </row>
    <row r="1655" spans="1:5">
      <c r="A1655" s="58" t="s">
        <v>829</v>
      </c>
      <c r="B1655" s="58" t="s">
        <v>2228</v>
      </c>
      <c r="C1655" s="58" t="s">
        <v>2220</v>
      </c>
      <c r="D1655" s="58">
        <v>-3</v>
      </c>
      <c r="E1655" s="58">
        <f>Valuation!P77</f>
        <v>0</v>
      </c>
    </row>
    <row r="1656" spans="1:5">
      <c r="A1656" s="58" t="s">
        <v>829</v>
      </c>
      <c r="B1656" s="58" t="s">
        <v>2229</v>
      </c>
      <c r="C1656" s="58" t="s">
        <v>2220</v>
      </c>
      <c r="D1656" s="58">
        <v>-2</v>
      </c>
      <c r="E1656" s="58">
        <f>Valuation!Q77</f>
        <v>0</v>
      </c>
    </row>
    <row r="1657" spans="1:5">
      <c r="A1657" s="58" t="s">
        <v>829</v>
      </c>
      <c r="B1657" s="58" t="s">
        <v>2230</v>
      </c>
      <c r="C1657" s="58" t="s">
        <v>2220</v>
      </c>
      <c r="D1657" s="58">
        <v>-1</v>
      </c>
      <c r="E1657" s="58">
        <f>Valuation!R77</f>
        <v>0</v>
      </c>
    </row>
    <row r="1658" spans="1:5">
      <c r="A1658" s="58" t="s">
        <v>829</v>
      </c>
      <c r="B1658" s="58" t="s">
        <v>2231</v>
      </c>
      <c r="C1658" s="58" t="s">
        <v>2220</v>
      </c>
      <c r="D1658" s="58">
        <v>1</v>
      </c>
      <c r="E1658" s="58">
        <f>Valuation!T77</f>
        <v>0</v>
      </c>
    </row>
    <row r="1659" spans="1:5">
      <c r="A1659" s="58" t="s">
        <v>829</v>
      </c>
      <c r="B1659" s="58" t="s">
        <v>2232</v>
      </c>
      <c r="C1659" s="58" t="s">
        <v>2220</v>
      </c>
      <c r="D1659" s="58">
        <v>2</v>
      </c>
      <c r="E1659" s="58">
        <f>Valuation!U77</f>
        <v>0</v>
      </c>
    </row>
    <row r="1660" spans="1:5">
      <c r="A1660" s="58" t="s">
        <v>829</v>
      </c>
      <c r="B1660" s="58" t="s">
        <v>2233</v>
      </c>
      <c r="C1660" s="58" t="s">
        <v>2220</v>
      </c>
      <c r="D1660" s="58">
        <v>3</v>
      </c>
      <c r="E1660" s="58">
        <f>Valuation!V77</f>
        <v>0</v>
      </c>
    </row>
    <row r="1661" spans="1:5">
      <c r="A1661" s="58" t="s">
        <v>829</v>
      </c>
      <c r="B1661" s="58" t="s">
        <v>2234</v>
      </c>
      <c r="C1661" s="58" t="s">
        <v>2220</v>
      </c>
      <c r="D1661" s="58">
        <v>4</v>
      </c>
      <c r="E1661" s="58">
        <f>Valuation!W77</f>
        <v>0</v>
      </c>
    </row>
    <row r="1662" spans="1:5">
      <c r="A1662" s="58" t="s">
        <v>829</v>
      </c>
      <c r="B1662" s="58" t="s">
        <v>2235</v>
      </c>
      <c r="C1662" s="58" t="s">
        <v>2220</v>
      </c>
      <c r="D1662" s="58">
        <v>5</v>
      </c>
      <c r="E1662" s="58">
        <f>Valuation!X77</f>
        <v>0</v>
      </c>
    </row>
    <row r="1663" spans="1:5">
      <c r="A1663" s="58" t="s">
        <v>829</v>
      </c>
      <c r="B1663" s="58" t="s">
        <v>2236</v>
      </c>
      <c r="C1663" s="58" t="s">
        <v>2220</v>
      </c>
      <c r="D1663" s="58">
        <v>6</v>
      </c>
      <c r="E1663" s="58">
        <f>Valuation!Y77</f>
        <v>0</v>
      </c>
    </row>
    <row r="1664" spans="1:5">
      <c r="A1664" s="58" t="s">
        <v>829</v>
      </c>
      <c r="B1664" s="58" t="s">
        <v>2237</v>
      </c>
      <c r="C1664" s="58" t="s">
        <v>2220</v>
      </c>
      <c r="D1664" s="58">
        <v>7</v>
      </c>
      <c r="E1664" s="58">
        <f>Valuation!Z77</f>
        <v>0</v>
      </c>
    </row>
    <row r="1665" spans="1:5">
      <c r="A1665" s="58" t="s">
        <v>829</v>
      </c>
      <c r="B1665" s="58" t="s">
        <v>2238</v>
      </c>
      <c r="C1665" s="58" t="s">
        <v>2220</v>
      </c>
      <c r="D1665" s="58">
        <v>8</v>
      </c>
      <c r="E1665" s="58">
        <f>Valuation!AA77</f>
        <v>0</v>
      </c>
    </row>
    <row r="1666" spans="1:5">
      <c r="A1666" s="58" t="s">
        <v>829</v>
      </c>
      <c r="B1666" s="58" t="s">
        <v>2239</v>
      </c>
      <c r="C1666" s="58" t="s">
        <v>2220</v>
      </c>
      <c r="D1666" s="58">
        <v>9</v>
      </c>
      <c r="E1666" s="58">
        <f>Valuation!AB77</f>
        <v>0</v>
      </c>
    </row>
    <row r="1667" spans="1:5">
      <c r="A1667" s="58" t="s">
        <v>829</v>
      </c>
      <c r="B1667" s="58" t="s">
        <v>2240</v>
      </c>
      <c r="C1667" s="58" t="s">
        <v>2220</v>
      </c>
      <c r="D1667" s="58">
        <v>0</v>
      </c>
      <c r="E1667" s="58">
        <f>Valuation!S77</f>
        <v>0</v>
      </c>
    </row>
    <row r="1668" spans="1:5">
      <c r="A1668" s="58" t="s">
        <v>829</v>
      </c>
      <c r="B1668" s="58" t="s">
        <v>2241</v>
      </c>
      <c r="C1668" s="58" t="s">
        <v>2242</v>
      </c>
      <c r="D1668" s="58">
        <v>0</v>
      </c>
      <c r="E1668" s="58">
        <f>Valuation!S27</f>
        <v>0</v>
      </c>
    </row>
    <row r="1669" spans="1:5">
      <c r="A1669" s="58" t="s">
        <v>829</v>
      </c>
      <c r="B1669" s="58" t="s">
        <v>2243</v>
      </c>
      <c r="C1669" s="58" t="s">
        <v>2242</v>
      </c>
      <c r="D1669" s="58">
        <v>-11</v>
      </c>
      <c r="E1669" s="58">
        <f>Valuation!H27</f>
        <v>0</v>
      </c>
    </row>
    <row r="1670" spans="1:5">
      <c r="A1670" s="58" t="s">
        <v>829</v>
      </c>
      <c r="B1670" s="58" t="s">
        <v>2244</v>
      </c>
      <c r="C1670" s="58" t="s">
        <v>2242</v>
      </c>
      <c r="D1670" s="58">
        <v>-10</v>
      </c>
      <c r="E1670" s="58">
        <f>Valuation!I27</f>
        <v>0</v>
      </c>
    </row>
    <row r="1671" spans="1:5">
      <c r="A1671" s="58" t="s">
        <v>829</v>
      </c>
      <c r="B1671" s="58" t="s">
        <v>2245</v>
      </c>
      <c r="C1671" s="58" t="s">
        <v>2242</v>
      </c>
      <c r="D1671" s="58">
        <v>-9</v>
      </c>
      <c r="E1671" s="58">
        <f>Valuation!J27</f>
        <v>0</v>
      </c>
    </row>
    <row r="1672" spans="1:5">
      <c r="A1672" s="58" t="s">
        <v>829</v>
      </c>
      <c r="B1672" s="58" t="s">
        <v>2246</v>
      </c>
      <c r="C1672" s="58" t="s">
        <v>2242</v>
      </c>
      <c r="D1672" s="58">
        <v>-8</v>
      </c>
      <c r="E1672" s="58">
        <f>Valuation!K27</f>
        <v>0</v>
      </c>
    </row>
    <row r="1673" spans="1:5">
      <c r="A1673" s="58" t="s">
        <v>829</v>
      </c>
      <c r="B1673" s="58" t="s">
        <v>2247</v>
      </c>
      <c r="C1673" s="58" t="s">
        <v>2242</v>
      </c>
      <c r="D1673" s="58">
        <v>-7</v>
      </c>
      <c r="E1673" s="58">
        <f>Valuation!L27</f>
        <v>0</v>
      </c>
    </row>
    <row r="1674" spans="1:5">
      <c r="A1674" s="58" t="s">
        <v>829</v>
      </c>
      <c r="B1674" s="58" t="s">
        <v>2248</v>
      </c>
      <c r="C1674" s="58" t="s">
        <v>2242</v>
      </c>
      <c r="D1674" s="58">
        <v>-6</v>
      </c>
      <c r="E1674" s="58">
        <f>Valuation!M27</f>
        <v>0</v>
      </c>
    </row>
    <row r="1675" spans="1:5">
      <c r="A1675" s="58" t="s">
        <v>829</v>
      </c>
      <c r="B1675" s="58" t="s">
        <v>2249</v>
      </c>
      <c r="C1675" s="58" t="s">
        <v>2242</v>
      </c>
      <c r="D1675" s="58">
        <v>-5</v>
      </c>
      <c r="E1675" s="58">
        <f>Valuation!N27</f>
        <v>0</v>
      </c>
    </row>
    <row r="1676" spans="1:5">
      <c r="A1676" s="58" t="s">
        <v>829</v>
      </c>
      <c r="B1676" s="58" t="s">
        <v>2250</v>
      </c>
      <c r="C1676" s="58" t="s">
        <v>2242</v>
      </c>
      <c r="D1676" s="58">
        <v>-4</v>
      </c>
      <c r="E1676" s="58">
        <f>Valuation!O27</f>
        <v>0</v>
      </c>
    </row>
    <row r="1677" spans="1:5">
      <c r="A1677" s="58" t="s">
        <v>829</v>
      </c>
      <c r="B1677" s="58" t="s">
        <v>2251</v>
      </c>
      <c r="C1677" s="58" t="s">
        <v>2242</v>
      </c>
      <c r="D1677" s="58">
        <v>-3</v>
      </c>
      <c r="E1677" s="58">
        <f>Valuation!P27</f>
        <v>0</v>
      </c>
    </row>
    <row r="1678" spans="1:5">
      <c r="A1678" s="58" t="s">
        <v>829</v>
      </c>
      <c r="B1678" s="58" t="s">
        <v>2252</v>
      </c>
      <c r="C1678" s="58" t="s">
        <v>2242</v>
      </c>
      <c r="D1678" s="58">
        <v>-2</v>
      </c>
      <c r="E1678" s="58">
        <f>Valuation!Q27</f>
        <v>0</v>
      </c>
    </row>
    <row r="1679" spans="1:5">
      <c r="A1679" s="58" t="s">
        <v>829</v>
      </c>
      <c r="B1679" s="58" t="s">
        <v>2253</v>
      </c>
      <c r="C1679" s="58" t="s">
        <v>2242</v>
      </c>
      <c r="D1679" s="58">
        <v>-1</v>
      </c>
      <c r="E1679" s="58">
        <f>Valuation!R27</f>
        <v>0</v>
      </c>
    </row>
    <row r="1680" spans="1:5">
      <c r="A1680" s="58" t="s">
        <v>829</v>
      </c>
      <c r="B1680" s="58" t="s">
        <v>2254</v>
      </c>
      <c r="C1680" s="58" t="s">
        <v>2242</v>
      </c>
      <c r="D1680" s="58">
        <v>1</v>
      </c>
      <c r="E1680" s="58">
        <f>Valuation!T27</f>
        <v>0</v>
      </c>
    </row>
    <row r="1681" spans="1:5">
      <c r="A1681" s="58" t="s">
        <v>829</v>
      </c>
      <c r="B1681" s="58" t="s">
        <v>2255</v>
      </c>
      <c r="C1681" s="58" t="s">
        <v>2242</v>
      </c>
      <c r="D1681" s="58">
        <v>2</v>
      </c>
      <c r="E1681" s="58">
        <f>Valuation!U27</f>
        <v>0</v>
      </c>
    </row>
    <row r="1682" spans="1:5">
      <c r="A1682" s="58" t="s">
        <v>829</v>
      </c>
      <c r="B1682" s="58" t="s">
        <v>2256</v>
      </c>
      <c r="C1682" s="58" t="s">
        <v>2242</v>
      </c>
      <c r="D1682" s="58">
        <v>3</v>
      </c>
      <c r="E1682" s="58">
        <f>Valuation!V27</f>
        <v>0</v>
      </c>
    </row>
    <row r="1683" spans="1:5">
      <c r="A1683" s="58" t="s">
        <v>829</v>
      </c>
      <c r="B1683" s="58" t="s">
        <v>2257</v>
      </c>
      <c r="C1683" s="58" t="s">
        <v>2242</v>
      </c>
      <c r="D1683" s="58">
        <v>4</v>
      </c>
      <c r="E1683" s="58">
        <f>Valuation!W27</f>
        <v>0</v>
      </c>
    </row>
    <row r="1684" spans="1:5">
      <c r="A1684" s="58" t="s">
        <v>829</v>
      </c>
      <c r="B1684" s="58" t="s">
        <v>2258</v>
      </c>
      <c r="C1684" s="58" t="s">
        <v>2242</v>
      </c>
      <c r="D1684" s="58">
        <v>5</v>
      </c>
      <c r="E1684" s="58">
        <f>Valuation!X27</f>
        <v>0</v>
      </c>
    </row>
    <row r="1685" spans="1:5">
      <c r="A1685" s="58" t="s">
        <v>829</v>
      </c>
      <c r="B1685" s="58" t="s">
        <v>2259</v>
      </c>
      <c r="C1685" s="58" t="s">
        <v>2242</v>
      </c>
      <c r="D1685" s="58">
        <v>6</v>
      </c>
      <c r="E1685" s="58">
        <f>Valuation!Y27</f>
        <v>0</v>
      </c>
    </row>
    <row r="1686" spans="1:5">
      <c r="A1686" s="58" t="s">
        <v>829</v>
      </c>
      <c r="B1686" s="58" t="s">
        <v>2260</v>
      </c>
      <c r="C1686" s="58" t="s">
        <v>2242</v>
      </c>
      <c r="D1686" s="58">
        <v>7</v>
      </c>
      <c r="E1686" s="58">
        <f>Valuation!Z27</f>
        <v>0</v>
      </c>
    </row>
    <row r="1687" spans="1:5">
      <c r="A1687" s="58" t="s">
        <v>829</v>
      </c>
      <c r="B1687" s="58" t="s">
        <v>2261</v>
      </c>
      <c r="C1687" s="58" t="s">
        <v>2242</v>
      </c>
      <c r="D1687" s="58">
        <v>8</v>
      </c>
      <c r="E1687" s="58">
        <f>Valuation!AA27</f>
        <v>0</v>
      </c>
    </row>
    <row r="1688" spans="1:5">
      <c r="A1688" s="58" t="s">
        <v>829</v>
      </c>
      <c r="B1688" s="58" t="s">
        <v>2262</v>
      </c>
      <c r="C1688" s="58" t="s">
        <v>2242</v>
      </c>
      <c r="D1688" s="58">
        <v>9</v>
      </c>
      <c r="E1688" s="58">
        <f>Valuation!AB27</f>
        <v>0</v>
      </c>
    </row>
    <row r="1689" spans="1:5">
      <c r="A1689" s="58" t="s">
        <v>829</v>
      </c>
      <c r="B1689" s="58" t="s">
        <v>2263</v>
      </c>
      <c r="C1689" s="58" t="s">
        <v>1153</v>
      </c>
      <c r="D1689" s="58" t="s">
        <v>1138</v>
      </c>
      <c r="E1689" s="682">
        <f>Valuation!Q116</f>
        <v>46022</v>
      </c>
    </row>
    <row r="1690" spans="1:5">
      <c r="A1690" s="58" t="s">
        <v>829</v>
      </c>
      <c r="B1690" s="58" t="s">
        <v>2264</v>
      </c>
      <c r="C1690" s="58" t="s">
        <v>1154</v>
      </c>
      <c r="D1690" s="58" t="s">
        <v>1138</v>
      </c>
      <c r="E1690" s="58" t="str">
        <f>Valuation!V119</f>
        <v>USD</v>
      </c>
    </row>
    <row r="1691" spans="1:5">
      <c r="A1691" s="58" t="s">
        <v>829</v>
      </c>
      <c r="B1691" s="58" t="s">
        <v>3310</v>
      </c>
      <c r="C1691" s="58" t="s">
        <v>1155</v>
      </c>
      <c r="D1691" s="58" t="s">
        <v>1138</v>
      </c>
      <c r="E1691" s="58">
        <f>Valuation!Y112</f>
        <v>0.21</v>
      </c>
    </row>
    <row r="1692" spans="1:5">
      <c r="A1692" s="58" t="s">
        <v>829</v>
      </c>
      <c r="B1692" s="58" t="s">
        <v>2265</v>
      </c>
      <c r="C1692" s="58" t="s">
        <v>2266</v>
      </c>
      <c r="D1692" s="58">
        <v>-11</v>
      </c>
      <c r="E1692" s="58">
        <f>Valuation!H94</f>
        <v>0</v>
      </c>
    </row>
    <row r="1693" spans="1:5">
      <c r="A1693" s="58" t="s">
        <v>829</v>
      </c>
      <c r="B1693" s="58" t="s">
        <v>2267</v>
      </c>
      <c r="C1693" s="58" t="s">
        <v>2266</v>
      </c>
      <c r="D1693" s="58">
        <v>-10</v>
      </c>
      <c r="E1693" s="58">
        <f>Valuation!I94</f>
        <v>0</v>
      </c>
    </row>
    <row r="1694" spans="1:5">
      <c r="A1694" s="58" t="s">
        <v>829</v>
      </c>
      <c r="B1694" s="58" t="s">
        <v>2268</v>
      </c>
      <c r="C1694" s="58" t="s">
        <v>2266</v>
      </c>
      <c r="D1694" s="58">
        <v>-9</v>
      </c>
      <c r="E1694" s="58">
        <f>Valuation!J94</f>
        <v>0</v>
      </c>
    </row>
    <row r="1695" spans="1:5">
      <c r="A1695" s="58" t="s">
        <v>829</v>
      </c>
      <c r="B1695" s="58" t="s">
        <v>2269</v>
      </c>
      <c r="C1695" s="58" t="s">
        <v>2266</v>
      </c>
      <c r="D1695" s="58">
        <v>-8</v>
      </c>
      <c r="E1695" s="58">
        <f>Valuation!K94</f>
        <v>0</v>
      </c>
    </row>
    <row r="1696" spans="1:5">
      <c r="A1696" s="58" t="s">
        <v>829</v>
      </c>
      <c r="B1696" s="58" t="s">
        <v>2270</v>
      </c>
      <c r="C1696" s="58" t="s">
        <v>2266</v>
      </c>
      <c r="D1696" s="58">
        <v>-7</v>
      </c>
      <c r="E1696" s="58">
        <f>Valuation!L94</f>
        <v>0</v>
      </c>
    </row>
    <row r="1697" spans="1:5">
      <c r="A1697" s="58" t="s">
        <v>829</v>
      </c>
      <c r="B1697" s="58" t="s">
        <v>2271</v>
      </c>
      <c r="C1697" s="58" t="s">
        <v>2266</v>
      </c>
      <c r="D1697" s="58">
        <v>-6</v>
      </c>
      <c r="E1697" s="58">
        <f>Valuation!M94</f>
        <v>0</v>
      </c>
    </row>
    <row r="1698" spans="1:5">
      <c r="A1698" s="58" t="s">
        <v>829</v>
      </c>
      <c r="B1698" s="58" t="s">
        <v>2272</v>
      </c>
      <c r="C1698" s="58" t="s">
        <v>2266</v>
      </c>
      <c r="D1698" s="58">
        <v>-5</v>
      </c>
      <c r="E1698" s="58">
        <f>Valuation!N94</f>
        <v>0</v>
      </c>
    </row>
    <row r="1699" spans="1:5">
      <c r="A1699" s="58" t="s">
        <v>829</v>
      </c>
      <c r="B1699" s="58" t="s">
        <v>2273</v>
      </c>
      <c r="C1699" s="58" t="s">
        <v>2266</v>
      </c>
      <c r="D1699" s="58">
        <v>-4</v>
      </c>
      <c r="E1699" s="58">
        <f>Valuation!O94</f>
        <v>0</v>
      </c>
    </row>
    <row r="1700" spans="1:5">
      <c r="A1700" s="58" t="s">
        <v>829</v>
      </c>
      <c r="B1700" s="58" t="s">
        <v>2274</v>
      </c>
      <c r="C1700" s="58" t="s">
        <v>2266</v>
      </c>
      <c r="D1700" s="58">
        <v>-3</v>
      </c>
      <c r="E1700" s="58">
        <f>Valuation!P94</f>
        <v>0</v>
      </c>
    </row>
    <row r="1701" spans="1:5">
      <c r="A1701" s="58" t="s">
        <v>829</v>
      </c>
      <c r="B1701" s="58" t="s">
        <v>2275</v>
      </c>
      <c r="C1701" s="58" t="s">
        <v>2266</v>
      </c>
      <c r="D1701" s="58">
        <v>-2</v>
      </c>
      <c r="E1701" s="58">
        <f>Valuation!Q94</f>
        <v>0</v>
      </c>
    </row>
    <row r="1702" spans="1:5">
      <c r="A1702" s="58" t="s">
        <v>829</v>
      </c>
      <c r="B1702" s="58" t="s">
        <v>2276</v>
      </c>
      <c r="C1702" s="58" t="s">
        <v>2266</v>
      </c>
      <c r="D1702" s="58">
        <v>-1</v>
      </c>
      <c r="E1702" s="58">
        <f>Valuation!R94</f>
        <v>0</v>
      </c>
    </row>
    <row r="1703" spans="1:5">
      <c r="A1703" s="58" t="s">
        <v>829</v>
      </c>
      <c r="B1703" s="58" t="s">
        <v>2277</v>
      </c>
      <c r="C1703" s="58" t="s">
        <v>2266</v>
      </c>
      <c r="D1703" s="58">
        <v>1</v>
      </c>
      <c r="E1703" s="58">
        <f>Valuation!T94</f>
        <v>0</v>
      </c>
    </row>
    <row r="1704" spans="1:5">
      <c r="A1704" s="58" t="s">
        <v>829</v>
      </c>
      <c r="B1704" s="58" t="s">
        <v>2278</v>
      </c>
      <c r="C1704" s="58" t="s">
        <v>2266</v>
      </c>
      <c r="D1704" s="58">
        <v>2</v>
      </c>
      <c r="E1704" s="58">
        <f>Valuation!U94</f>
        <v>0</v>
      </c>
    </row>
    <row r="1705" spans="1:5">
      <c r="A1705" s="58" t="s">
        <v>829</v>
      </c>
      <c r="B1705" s="58" t="s">
        <v>2279</v>
      </c>
      <c r="C1705" s="58" t="s">
        <v>2266</v>
      </c>
      <c r="D1705" s="58">
        <v>3</v>
      </c>
      <c r="E1705" s="58">
        <f>Valuation!V94</f>
        <v>0</v>
      </c>
    </row>
    <row r="1706" spans="1:5">
      <c r="A1706" s="58" t="s">
        <v>829</v>
      </c>
      <c r="B1706" s="58" t="s">
        <v>2280</v>
      </c>
      <c r="C1706" s="58" t="s">
        <v>2266</v>
      </c>
      <c r="D1706" s="58">
        <v>4</v>
      </c>
      <c r="E1706" s="58">
        <f>Valuation!W94</f>
        <v>0</v>
      </c>
    </row>
    <row r="1707" spans="1:5">
      <c r="A1707" s="58" t="s">
        <v>829</v>
      </c>
      <c r="B1707" s="58" t="s">
        <v>2281</v>
      </c>
      <c r="C1707" s="58" t="s">
        <v>2266</v>
      </c>
      <c r="D1707" s="58">
        <v>5</v>
      </c>
      <c r="E1707" s="58">
        <f>Valuation!X94</f>
        <v>0</v>
      </c>
    </row>
    <row r="1708" spans="1:5">
      <c r="A1708" s="58" t="s">
        <v>829</v>
      </c>
      <c r="B1708" s="58" t="s">
        <v>2282</v>
      </c>
      <c r="C1708" s="58" t="s">
        <v>2266</v>
      </c>
      <c r="D1708" s="58">
        <v>6</v>
      </c>
      <c r="E1708" s="58">
        <f>Valuation!Y94</f>
        <v>0</v>
      </c>
    </row>
    <row r="1709" spans="1:5">
      <c r="A1709" s="58" t="s">
        <v>829</v>
      </c>
      <c r="B1709" s="58" t="s">
        <v>2283</v>
      </c>
      <c r="C1709" s="58" t="s">
        <v>2266</v>
      </c>
      <c r="D1709" s="58">
        <v>7</v>
      </c>
      <c r="E1709" s="58">
        <f>Valuation!Z94</f>
        <v>0</v>
      </c>
    </row>
    <row r="1710" spans="1:5">
      <c r="A1710" s="58" t="s">
        <v>829</v>
      </c>
      <c r="B1710" s="58" t="s">
        <v>2284</v>
      </c>
      <c r="C1710" s="58" t="s">
        <v>2266</v>
      </c>
      <c r="D1710" s="58">
        <v>8</v>
      </c>
      <c r="E1710" s="58">
        <f>Valuation!AA94</f>
        <v>0</v>
      </c>
    </row>
    <row r="1711" spans="1:5">
      <c r="A1711" s="58" t="s">
        <v>829</v>
      </c>
      <c r="B1711" s="58" t="s">
        <v>2285</v>
      </c>
      <c r="C1711" s="58" t="s">
        <v>2266</v>
      </c>
      <c r="D1711" s="58">
        <v>9</v>
      </c>
      <c r="E1711" s="58">
        <f>Valuation!AB94</f>
        <v>0</v>
      </c>
    </row>
    <row r="1712" spans="1:5">
      <c r="A1712" s="58" t="s">
        <v>829</v>
      </c>
      <c r="B1712" s="58" t="s">
        <v>2286</v>
      </c>
      <c r="C1712" s="58" t="s">
        <v>2266</v>
      </c>
      <c r="D1712" s="58">
        <v>0</v>
      </c>
      <c r="E1712" s="58">
        <f>Valuation!S94</f>
        <v>0</v>
      </c>
    </row>
    <row r="1713" spans="1:5">
      <c r="A1713" s="58" t="s">
        <v>829</v>
      </c>
      <c r="B1713" s="58" t="s">
        <v>2287</v>
      </c>
      <c r="C1713" s="58" t="s">
        <v>1156</v>
      </c>
      <c r="D1713" s="58" t="s">
        <v>1138</v>
      </c>
      <c r="E1713" s="58" t="str">
        <f>Valuation!R5</f>
        <v>None</v>
      </c>
    </row>
    <row r="1714" spans="1:5">
      <c r="A1714" s="58" t="s">
        <v>3207</v>
      </c>
      <c r="B1714" s="58" t="s">
        <v>3208</v>
      </c>
      <c r="C1714" s="58" t="s">
        <v>1157</v>
      </c>
      <c r="D1714" s="58" t="s">
        <v>1138</v>
      </c>
      <c r="E1714" s="58" t="str">
        <f>_ExportData!H2</f>
        <v>General Model 7.001</v>
      </c>
    </row>
    <row r="1715" spans="1:5">
      <c r="A1715" s="58" t="s">
        <v>829</v>
      </c>
      <c r="B1715" s="58" t="s">
        <v>2288</v>
      </c>
      <c r="C1715" s="58" t="s">
        <v>2289</v>
      </c>
      <c r="D1715" s="58">
        <v>-11</v>
      </c>
      <c r="E1715" s="58">
        <f>Valuation!H68</f>
        <v>0</v>
      </c>
    </row>
    <row r="1716" spans="1:5">
      <c r="A1716" s="58" t="s">
        <v>829</v>
      </c>
      <c r="B1716" s="58" t="s">
        <v>2290</v>
      </c>
      <c r="C1716" s="58" t="s">
        <v>2289</v>
      </c>
      <c r="D1716" s="58">
        <v>-10</v>
      </c>
      <c r="E1716" s="58">
        <f>Valuation!I68</f>
        <v>0</v>
      </c>
    </row>
    <row r="1717" spans="1:5">
      <c r="A1717" s="58" t="s">
        <v>829</v>
      </c>
      <c r="B1717" s="58" t="s">
        <v>2291</v>
      </c>
      <c r="C1717" s="58" t="s">
        <v>2289</v>
      </c>
      <c r="D1717" s="58">
        <v>-9</v>
      </c>
      <c r="E1717" s="58">
        <f>Valuation!J68</f>
        <v>0</v>
      </c>
    </row>
    <row r="1718" spans="1:5">
      <c r="A1718" s="58" t="s">
        <v>829</v>
      </c>
      <c r="B1718" s="58" t="s">
        <v>2292</v>
      </c>
      <c r="C1718" s="58" t="s">
        <v>2289</v>
      </c>
      <c r="D1718" s="58">
        <v>-8</v>
      </c>
      <c r="E1718" s="58">
        <f>Valuation!K68</f>
        <v>0</v>
      </c>
    </row>
    <row r="1719" spans="1:5">
      <c r="A1719" s="58" t="s">
        <v>829</v>
      </c>
      <c r="B1719" s="58" t="s">
        <v>2293</v>
      </c>
      <c r="C1719" s="58" t="s">
        <v>2289</v>
      </c>
      <c r="D1719" s="58">
        <v>-7</v>
      </c>
      <c r="E1719" s="58">
        <f>Valuation!L68</f>
        <v>0</v>
      </c>
    </row>
    <row r="1720" spans="1:5">
      <c r="A1720" s="58" t="s">
        <v>829</v>
      </c>
      <c r="B1720" s="58" t="s">
        <v>2294</v>
      </c>
      <c r="C1720" s="58" t="s">
        <v>2289</v>
      </c>
      <c r="D1720" s="58">
        <v>-6</v>
      </c>
      <c r="E1720" s="58">
        <f>Valuation!M68</f>
        <v>0</v>
      </c>
    </row>
    <row r="1721" spans="1:5">
      <c r="A1721" s="58" t="s">
        <v>829</v>
      </c>
      <c r="B1721" s="58" t="s">
        <v>2295</v>
      </c>
      <c r="C1721" s="58" t="s">
        <v>2289</v>
      </c>
      <c r="D1721" s="58">
        <v>-5</v>
      </c>
      <c r="E1721" s="58">
        <f>Valuation!N68</f>
        <v>33615</v>
      </c>
    </row>
    <row r="1722" spans="1:5">
      <c r="A1722" s="58" t="s">
        <v>829</v>
      </c>
      <c r="B1722" s="58" t="s">
        <v>2296</v>
      </c>
      <c r="C1722" s="58" t="s">
        <v>2289</v>
      </c>
      <c r="D1722" s="58">
        <v>-4</v>
      </c>
      <c r="E1722" s="58">
        <f>Valuation!O68</f>
        <v>-70911</v>
      </c>
    </row>
    <row r="1723" spans="1:5">
      <c r="A1723" s="58" t="s">
        <v>829</v>
      </c>
      <c r="B1723" s="58" t="s">
        <v>2297</v>
      </c>
      <c r="C1723" s="58" t="s">
        <v>2289</v>
      </c>
      <c r="D1723" s="58">
        <v>-3</v>
      </c>
      <c r="E1723" s="58">
        <f>Valuation!P68</f>
        <v>-186150</v>
      </c>
    </row>
    <row r="1724" spans="1:5">
      <c r="A1724" s="58" t="s">
        <v>829</v>
      </c>
      <c r="B1724" s="58" t="s">
        <v>2298</v>
      </c>
      <c r="C1724" s="58" t="s">
        <v>2289</v>
      </c>
      <c r="D1724" s="58">
        <v>-2</v>
      </c>
      <c r="E1724" s="58">
        <f>Valuation!Q68</f>
        <v>-30730</v>
      </c>
    </row>
    <row r="1725" spans="1:5">
      <c r="A1725" s="58" t="s">
        <v>829</v>
      </c>
      <c r="B1725" s="58" t="s">
        <v>2299</v>
      </c>
      <c r="C1725" s="58" t="s">
        <v>2289</v>
      </c>
      <c r="D1725" s="58">
        <v>-1</v>
      </c>
      <c r="E1725" s="58">
        <f>Valuation!R68</f>
        <v>-742038</v>
      </c>
    </row>
    <row r="1726" spans="1:5">
      <c r="A1726" s="58" t="s">
        <v>829</v>
      </c>
      <c r="B1726" s="58" t="s">
        <v>2300</v>
      </c>
      <c r="C1726" s="58" t="s">
        <v>2289</v>
      </c>
      <c r="D1726" s="58">
        <v>1</v>
      </c>
      <c r="E1726" s="58">
        <f>Valuation!T68</f>
        <v>0</v>
      </c>
    </row>
    <row r="1727" spans="1:5">
      <c r="A1727" s="58" t="s">
        <v>829</v>
      </c>
      <c r="B1727" s="58" t="s">
        <v>2301</v>
      </c>
      <c r="C1727" s="58" t="s">
        <v>2289</v>
      </c>
      <c r="D1727" s="58">
        <v>2</v>
      </c>
      <c r="E1727" s="58">
        <f>Valuation!U68</f>
        <v>0</v>
      </c>
    </row>
    <row r="1728" spans="1:5">
      <c r="A1728" s="58" t="s">
        <v>829</v>
      </c>
      <c r="B1728" s="58" t="s">
        <v>2302</v>
      </c>
      <c r="C1728" s="58" t="s">
        <v>2289</v>
      </c>
      <c r="D1728" s="58">
        <v>3</v>
      </c>
      <c r="E1728" s="58">
        <f>Valuation!V68</f>
        <v>0</v>
      </c>
    </row>
    <row r="1729" spans="1:5">
      <c r="A1729" s="58" t="s">
        <v>829</v>
      </c>
      <c r="B1729" s="58" t="s">
        <v>2303</v>
      </c>
      <c r="C1729" s="58" t="s">
        <v>2289</v>
      </c>
      <c r="D1729" s="58">
        <v>4</v>
      </c>
      <c r="E1729" s="58">
        <f>Valuation!W68</f>
        <v>0</v>
      </c>
    </row>
    <row r="1730" spans="1:5">
      <c r="A1730" s="58" t="s">
        <v>829</v>
      </c>
      <c r="B1730" s="58" t="s">
        <v>2304</v>
      </c>
      <c r="C1730" s="58" t="s">
        <v>2289</v>
      </c>
      <c r="D1730" s="58">
        <v>5</v>
      </c>
      <c r="E1730" s="58">
        <f>Valuation!X68</f>
        <v>0</v>
      </c>
    </row>
    <row r="1731" spans="1:5">
      <c r="A1731" s="58" t="s">
        <v>829</v>
      </c>
      <c r="B1731" s="58" t="s">
        <v>2305</v>
      </c>
      <c r="C1731" s="58" t="s">
        <v>2289</v>
      </c>
      <c r="D1731" s="58">
        <v>6</v>
      </c>
      <c r="E1731" s="58">
        <f>Valuation!Y68</f>
        <v>0</v>
      </c>
    </row>
    <row r="1732" spans="1:5">
      <c r="A1732" s="58" t="s">
        <v>829</v>
      </c>
      <c r="B1732" s="58" t="s">
        <v>2306</v>
      </c>
      <c r="C1732" s="58" t="s">
        <v>2289</v>
      </c>
      <c r="D1732" s="58">
        <v>7</v>
      </c>
      <c r="E1732" s="58">
        <f>Valuation!Z68</f>
        <v>0</v>
      </c>
    </row>
    <row r="1733" spans="1:5">
      <c r="A1733" s="58" t="s">
        <v>829</v>
      </c>
      <c r="B1733" s="58" t="s">
        <v>2307</v>
      </c>
      <c r="C1733" s="58" t="s">
        <v>2289</v>
      </c>
      <c r="D1733" s="58">
        <v>8</v>
      </c>
      <c r="E1733" s="58">
        <f>Valuation!AA68</f>
        <v>0</v>
      </c>
    </row>
    <row r="1734" spans="1:5">
      <c r="A1734" s="58" t="s">
        <v>829</v>
      </c>
      <c r="B1734" s="58" t="s">
        <v>2308</v>
      </c>
      <c r="C1734" s="58" t="s">
        <v>2289</v>
      </c>
      <c r="D1734" s="58">
        <v>9</v>
      </c>
      <c r="E1734" s="58">
        <f>Valuation!AB68</f>
        <v>0</v>
      </c>
    </row>
    <row r="1735" spans="1:5">
      <c r="A1735" s="58" t="s">
        <v>829</v>
      </c>
      <c r="B1735" s="58" t="s">
        <v>2309</v>
      </c>
      <c r="C1735" s="58" t="s">
        <v>2289</v>
      </c>
      <c r="D1735" s="58">
        <v>0</v>
      </c>
      <c r="E1735" s="58">
        <f>Valuation!S68</f>
        <v>0</v>
      </c>
    </row>
    <row r="1736" spans="1:5">
      <c r="A1736" s="58" t="s">
        <v>829</v>
      </c>
      <c r="B1736" s="58" t="s">
        <v>2310</v>
      </c>
      <c r="C1736" s="58" t="s">
        <v>2311</v>
      </c>
      <c r="D1736" s="58">
        <v>0</v>
      </c>
      <c r="E1736" s="58">
        <f ca="1">Valuation!S34</f>
        <v>568207.81928220042</v>
      </c>
    </row>
    <row r="1737" spans="1:5">
      <c r="A1737" s="58" t="s">
        <v>829</v>
      </c>
      <c r="B1737" s="58" t="s">
        <v>2312</v>
      </c>
      <c r="C1737" s="58" t="s">
        <v>2311</v>
      </c>
      <c r="D1737" s="58">
        <v>-11</v>
      </c>
      <c r="E1737" s="58">
        <f>Valuation!H34</f>
        <v>0</v>
      </c>
    </row>
    <row r="1738" spans="1:5">
      <c r="A1738" s="58" t="s">
        <v>829</v>
      </c>
      <c r="B1738" s="58" t="s">
        <v>2313</v>
      </c>
      <c r="C1738" s="58" t="s">
        <v>2311</v>
      </c>
      <c r="D1738" s="58">
        <v>-10</v>
      </c>
      <c r="E1738" s="58">
        <f>Valuation!I34</f>
        <v>0</v>
      </c>
    </row>
    <row r="1739" spans="1:5">
      <c r="A1739" s="58" t="s">
        <v>829</v>
      </c>
      <c r="B1739" s="58" t="s">
        <v>2314</v>
      </c>
      <c r="C1739" s="58" t="s">
        <v>2311</v>
      </c>
      <c r="D1739" s="58">
        <v>-9</v>
      </c>
      <c r="E1739" s="58">
        <f>Valuation!J34</f>
        <v>0</v>
      </c>
    </row>
    <row r="1740" spans="1:5">
      <c r="A1740" s="58" t="s">
        <v>829</v>
      </c>
      <c r="B1740" s="58" t="s">
        <v>2315</v>
      </c>
      <c r="C1740" s="58" t="s">
        <v>2311</v>
      </c>
      <c r="D1740" s="58">
        <v>-8</v>
      </c>
      <c r="E1740" s="58">
        <f>Valuation!K34</f>
        <v>0</v>
      </c>
    </row>
    <row r="1741" spans="1:5">
      <c r="A1741" s="58" t="s">
        <v>829</v>
      </c>
      <c r="B1741" s="58" t="s">
        <v>2316</v>
      </c>
      <c r="C1741" s="58" t="s">
        <v>2311</v>
      </c>
      <c r="D1741" s="58">
        <v>-7</v>
      </c>
      <c r="E1741" s="58">
        <f>Valuation!L34</f>
        <v>0</v>
      </c>
    </row>
    <row r="1742" spans="1:5">
      <c r="A1742" s="58" t="s">
        <v>829</v>
      </c>
      <c r="B1742" s="58" t="s">
        <v>2317</v>
      </c>
      <c r="C1742" s="58" t="s">
        <v>2311</v>
      </c>
      <c r="D1742" s="58">
        <v>-6</v>
      </c>
      <c r="E1742" s="58">
        <f>Valuation!M34</f>
        <v>316553</v>
      </c>
    </row>
    <row r="1743" spans="1:5">
      <c r="A1743" s="58" t="s">
        <v>829</v>
      </c>
      <c r="B1743" s="58" t="s">
        <v>2318</v>
      </c>
      <c r="C1743" s="58" t="s">
        <v>2311</v>
      </c>
      <c r="D1743" s="58">
        <v>-5</v>
      </c>
      <c r="E1743" s="58">
        <f>Valuation!N34</f>
        <v>3624120</v>
      </c>
    </row>
    <row r="1744" spans="1:5">
      <c r="A1744" s="58" t="s">
        <v>829</v>
      </c>
      <c r="B1744" s="58" t="s">
        <v>2319</v>
      </c>
      <c r="C1744" s="58" t="s">
        <v>2311</v>
      </c>
      <c r="D1744" s="58">
        <v>-4</v>
      </c>
      <c r="E1744" s="58">
        <f>Valuation!O34</f>
        <v>-2624949</v>
      </c>
    </row>
    <row r="1745" spans="1:5">
      <c r="A1745" s="58" t="s">
        <v>829</v>
      </c>
      <c r="B1745" s="58" t="s">
        <v>2320</v>
      </c>
      <c r="C1745" s="58" t="s">
        <v>2311</v>
      </c>
      <c r="D1745" s="58">
        <v>-3</v>
      </c>
      <c r="E1745" s="58">
        <f>Valuation!P34</f>
        <v>94871</v>
      </c>
    </row>
    <row r="1746" spans="1:5">
      <c r="A1746" s="58" t="s">
        <v>829</v>
      </c>
      <c r="B1746" s="58" t="s">
        <v>2321</v>
      </c>
      <c r="C1746" s="58" t="s">
        <v>2311</v>
      </c>
      <c r="D1746" s="58">
        <v>-2</v>
      </c>
      <c r="E1746" s="58">
        <f>Valuation!Q34</f>
        <v>2579066</v>
      </c>
    </row>
    <row r="1747" spans="1:5">
      <c r="A1747" s="58" t="s">
        <v>829</v>
      </c>
      <c r="B1747" s="58" t="s">
        <v>2322</v>
      </c>
      <c r="C1747" s="58" t="s">
        <v>2311</v>
      </c>
      <c r="D1747" s="58">
        <v>-1</v>
      </c>
      <c r="E1747" s="58">
        <f>Valuation!R34</f>
        <v>1260327</v>
      </c>
    </row>
    <row r="1748" spans="1:5">
      <c r="A1748" s="58" t="s">
        <v>829</v>
      </c>
      <c r="B1748" s="58" t="s">
        <v>2323</v>
      </c>
      <c r="C1748" s="58" t="s">
        <v>2311</v>
      </c>
      <c r="D1748" s="58">
        <v>1</v>
      </c>
      <c r="E1748" s="58" t="e">
        <f ca="1">Valuation!T34</f>
        <v>#NAME?</v>
      </c>
    </row>
    <row r="1749" spans="1:5">
      <c r="A1749" s="58" t="s">
        <v>829</v>
      </c>
      <c r="B1749" s="58" t="s">
        <v>2324</v>
      </c>
      <c r="C1749" s="58" t="s">
        <v>2311</v>
      </c>
      <c r="D1749" s="58">
        <v>2</v>
      </c>
      <c r="E1749" s="58" t="e">
        <f ca="1">Valuation!U34</f>
        <v>#NAME?</v>
      </c>
    </row>
    <row r="1750" spans="1:5">
      <c r="A1750" s="58" t="s">
        <v>829</v>
      </c>
      <c r="B1750" s="58" t="s">
        <v>2325</v>
      </c>
      <c r="C1750" s="58" t="s">
        <v>2311</v>
      </c>
      <c r="D1750" s="58">
        <v>3</v>
      </c>
      <c r="E1750" s="58" t="e">
        <f ca="1">Valuation!V34</f>
        <v>#NAME?</v>
      </c>
    </row>
    <row r="1751" spans="1:5">
      <c r="A1751" s="58" t="s">
        <v>829</v>
      </c>
      <c r="B1751" s="58" t="s">
        <v>2326</v>
      </c>
      <c r="C1751" s="58" t="s">
        <v>2311</v>
      </c>
      <c r="D1751" s="58">
        <v>4</v>
      </c>
      <c r="E1751" s="58" t="e">
        <f ca="1">Valuation!W34</f>
        <v>#NAME?</v>
      </c>
    </row>
    <row r="1752" spans="1:5">
      <c r="A1752" s="58" t="s">
        <v>829</v>
      </c>
      <c r="B1752" s="58" t="s">
        <v>2327</v>
      </c>
      <c r="C1752" s="58" t="s">
        <v>2311</v>
      </c>
      <c r="D1752" s="58">
        <v>5</v>
      </c>
      <c r="E1752" s="58" t="e">
        <f ca="1">Valuation!X34</f>
        <v>#NAME?</v>
      </c>
    </row>
    <row r="1753" spans="1:5">
      <c r="A1753" s="58" t="s">
        <v>829</v>
      </c>
      <c r="B1753" s="58" t="s">
        <v>2328</v>
      </c>
      <c r="C1753" s="58" t="s">
        <v>2311</v>
      </c>
      <c r="D1753" s="58">
        <v>6</v>
      </c>
      <c r="E1753" s="58" t="e">
        <f ca="1">Valuation!Y34</f>
        <v>#NAME?</v>
      </c>
    </row>
    <row r="1754" spans="1:5">
      <c r="A1754" s="58" t="s">
        <v>829</v>
      </c>
      <c r="B1754" s="58" t="s">
        <v>2329</v>
      </c>
      <c r="C1754" s="58" t="s">
        <v>2311</v>
      </c>
      <c r="D1754" s="58">
        <v>7</v>
      </c>
      <c r="E1754" s="58" t="e">
        <f ca="1">Valuation!Z34</f>
        <v>#NAME?</v>
      </c>
    </row>
    <row r="1755" spans="1:5">
      <c r="A1755" s="58" t="s">
        <v>829</v>
      </c>
      <c r="B1755" s="58" t="s">
        <v>2330</v>
      </c>
      <c r="C1755" s="58" t="s">
        <v>2311</v>
      </c>
      <c r="D1755" s="58">
        <v>8</v>
      </c>
      <c r="E1755" s="58" t="e">
        <f ca="1">Valuation!AA34</f>
        <v>#NAME?</v>
      </c>
    </row>
    <row r="1756" spans="1:5">
      <c r="A1756" s="58" t="s">
        <v>829</v>
      </c>
      <c r="B1756" s="58" t="s">
        <v>2331</v>
      </c>
      <c r="C1756" s="58" t="s">
        <v>2311</v>
      </c>
      <c r="D1756" s="58">
        <v>9</v>
      </c>
      <c r="E1756" s="58" t="e">
        <f ca="1">Valuation!AB34</f>
        <v>#NAME?</v>
      </c>
    </row>
    <row r="1757" spans="1:5">
      <c r="A1757" s="58" t="s">
        <v>829</v>
      </c>
      <c r="B1757" s="58" t="s">
        <v>2332</v>
      </c>
      <c r="C1757" s="58" t="s">
        <v>2333</v>
      </c>
      <c r="D1757" s="58">
        <v>0</v>
      </c>
      <c r="E1757" s="58">
        <f>Valuation!S29</f>
        <v>117178.47720000001</v>
      </c>
    </row>
    <row r="1758" spans="1:5">
      <c r="A1758" s="58" t="s">
        <v>829</v>
      </c>
      <c r="B1758" s="58" t="s">
        <v>2334</v>
      </c>
      <c r="C1758" s="58" t="s">
        <v>2333</v>
      </c>
      <c r="D1758" s="58">
        <v>-11</v>
      </c>
      <c r="E1758" s="58">
        <f>Valuation!H29</f>
        <v>0</v>
      </c>
    </row>
    <row r="1759" spans="1:5">
      <c r="A1759" s="58" t="s">
        <v>829</v>
      </c>
      <c r="B1759" s="58" t="s">
        <v>2335</v>
      </c>
      <c r="C1759" s="58" t="s">
        <v>2333</v>
      </c>
      <c r="D1759" s="58">
        <v>-10</v>
      </c>
      <c r="E1759" s="58">
        <f>Valuation!I29</f>
        <v>0</v>
      </c>
    </row>
    <row r="1760" spans="1:5">
      <c r="A1760" s="58" t="s">
        <v>829</v>
      </c>
      <c r="B1760" s="58" t="s">
        <v>2336</v>
      </c>
      <c r="C1760" s="58" t="s">
        <v>2333</v>
      </c>
      <c r="D1760" s="58">
        <v>-9</v>
      </c>
      <c r="E1760" s="58">
        <f>Valuation!J29</f>
        <v>0</v>
      </c>
    </row>
    <row r="1761" spans="1:5">
      <c r="A1761" s="58" t="s">
        <v>829</v>
      </c>
      <c r="B1761" s="58" t="s">
        <v>2337</v>
      </c>
      <c r="C1761" s="58" t="s">
        <v>2333</v>
      </c>
      <c r="D1761" s="58">
        <v>-8</v>
      </c>
      <c r="E1761" s="58">
        <f>Valuation!K29</f>
        <v>0</v>
      </c>
    </row>
    <row r="1762" spans="1:5">
      <c r="A1762" s="58" t="s">
        <v>829</v>
      </c>
      <c r="B1762" s="58" t="s">
        <v>2338</v>
      </c>
      <c r="C1762" s="58" t="s">
        <v>2333</v>
      </c>
      <c r="D1762" s="58">
        <v>-7</v>
      </c>
      <c r="E1762" s="58">
        <f>Valuation!L29</f>
        <v>0</v>
      </c>
    </row>
    <row r="1763" spans="1:5">
      <c r="A1763" s="58" t="s">
        <v>829</v>
      </c>
      <c r="B1763" s="58" t="s">
        <v>2339</v>
      </c>
      <c r="C1763" s="58" t="s">
        <v>2333</v>
      </c>
      <c r="D1763" s="58">
        <v>-6</v>
      </c>
      <c r="E1763" s="58">
        <f>Valuation!M29</f>
        <v>2634</v>
      </c>
    </row>
    <row r="1764" spans="1:5">
      <c r="A1764" s="58" t="s">
        <v>829</v>
      </c>
      <c r="B1764" s="58" t="s">
        <v>2340</v>
      </c>
      <c r="C1764" s="58" t="s">
        <v>2333</v>
      </c>
      <c r="D1764" s="58">
        <v>-5</v>
      </c>
      <c r="E1764" s="58">
        <f>Valuation!N29</f>
        <v>29160</v>
      </c>
    </row>
    <row r="1765" spans="1:5">
      <c r="A1765" s="58" t="s">
        <v>829</v>
      </c>
      <c r="B1765" s="58" t="s">
        <v>2341</v>
      </c>
      <c r="C1765" s="58" t="s">
        <v>2333</v>
      </c>
      <c r="D1765" s="58">
        <v>-4</v>
      </c>
      <c r="E1765" s="58">
        <f>Valuation!O29</f>
        <v>88901</v>
      </c>
    </row>
    <row r="1766" spans="1:5">
      <c r="A1766" s="58" t="s">
        <v>829</v>
      </c>
      <c r="B1766" s="58" t="s">
        <v>2342</v>
      </c>
      <c r="C1766" s="58" t="s">
        <v>2333</v>
      </c>
      <c r="D1766" s="58">
        <v>-3</v>
      </c>
      <c r="E1766" s="58">
        <f>Valuation!P29</f>
        <v>82766</v>
      </c>
    </row>
    <row r="1767" spans="1:5">
      <c r="A1767" s="58" t="s">
        <v>829</v>
      </c>
      <c r="B1767" s="58" t="s">
        <v>2343</v>
      </c>
      <c r="C1767" s="58" t="s">
        <v>2333</v>
      </c>
      <c r="D1767" s="58">
        <v>-2</v>
      </c>
      <c r="E1767" s="58">
        <f>Valuation!Q29</f>
        <v>80645</v>
      </c>
    </row>
    <row r="1768" spans="1:5">
      <c r="A1768" s="58" t="s">
        <v>829</v>
      </c>
      <c r="B1768" s="58" t="s">
        <v>2344</v>
      </c>
      <c r="C1768" s="58" t="s">
        <v>2333</v>
      </c>
      <c r="D1768" s="58">
        <v>-1</v>
      </c>
      <c r="E1768" s="58">
        <f>Valuation!R29</f>
        <v>85413</v>
      </c>
    </row>
    <row r="1769" spans="1:5">
      <c r="A1769" s="58" t="s">
        <v>829</v>
      </c>
      <c r="B1769" s="58" t="s">
        <v>2345</v>
      </c>
      <c r="C1769" s="58" t="s">
        <v>2333</v>
      </c>
      <c r="D1769" s="58">
        <v>1</v>
      </c>
      <c r="E1769" s="58">
        <f>Valuation!T29</f>
        <v>111553.91029440002</v>
      </c>
    </row>
    <row r="1770" spans="1:5">
      <c r="A1770" s="58" t="s">
        <v>829</v>
      </c>
      <c r="B1770" s="58" t="s">
        <v>2346</v>
      </c>
      <c r="C1770" s="58" t="s">
        <v>2333</v>
      </c>
      <c r="D1770" s="58">
        <v>2</v>
      </c>
      <c r="E1770" s="58">
        <f>Valuation!U29</f>
        <v>113784.98850028802</v>
      </c>
    </row>
    <row r="1771" spans="1:5">
      <c r="A1771" s="58" t="s">
        <v>829</v>
      </c>
      <c r="B1771" s="58" t="s">
        <v>2347</v>
      </c>
      <c r="C1771" s="58" t="s">
        <v>2333</v>
      </c>
      <c r="D1771" s="58">
        <v>3</v>
      </c>
      <c r="E1771" s="58">
        <f>Valuation!V29</f>
        <v>116060.68827029379</v>
      </c>
    </row>
    <row r="1772" spans="1:5">
      <c r="A1772" s="58" t="s">
        <v>829</v>
      </c>
      <c r="B1772" s="58" t="s">
        <v>2348</v>
      </c>
      <c r="C1772" s="58" t="s">
        <v>2333</v>
      </c>
      <c r="D1772" s="58">
        <v>4</v>
      </c>
      <c r="E1772" s="58">
        <f>Valuation!W29</f>
        <v>118381.90203569965</v>
      </c>
    </row>
    <row r="1773" spans="1:5">
      <c r="A1773" s="58" t="s">
        <v>829</v>
      </c>
      <c r="B1773" s="58" t="s">
        <v>2349</v>
      </c>
      <c r="C1773" s="58" t="s">
        <v>2333</v>
      </c>
      <c r="D1773" s="58">
        <v>5</v>
      </c>
      <c r="E1773" s="58">
        <f>Valuation!X29</f>
        <v>120749.54007641364</v>
      </c>
    </row>
    <row r="1774" spans="1:5">
      <c r="A1774" s="58" t="s">
        <v>829</v>
      </c>
      <c r="B1774" s="58" t="s">
        <v>2350</v>
      </c>
      <c r="C1774" s="58" t="s">
        <v>2333</v>
      </c>
      <c r="D1774" s="58">
        <v>6</v>
      </c>
      <c r="E1774" s="58">
        <f>Valuation!Y29</f>
        <v>123164.53087794191</v>
      </c>
    </row>
    <row r="1775" spans="1:5">
      <c r="A1775" s="58" t="s">
        <v>829</v>
      </c>
      <c r="B1775" s="58" t="s">
        <v>2351</v>
      </c>
      <c r="C1775" s="58" t="s">
        <v>2333</v>
      </c>
      <c r="D1775" s="58">
        <v>7</v>
      </c>
      <c r="E1775" s="58">
        <f>Valuation!Z29</f>
        <v>125627.82149550077</v>
      </c>
    </row>
    <row r="1776" spans="1:5">
      <c r="A1776" s="58" t="s">
        <v>829</v>
      </c>
      <c r="B1776" s="58" t="s">
        <v>2352</v>
      </c>
      <c r="C1776" s="58" t="s">
        <v>2333</v>
      </c>
      <c r="D1776" s="58">
        <v>8</v>
      </c>
      <c r="E1776" s="58">
        <f>Valuation!AA29</f>
        <v>128140.37792541078</v>
      </c>
    </row>
    <row r="1777" spans="1:5">
      <c r="A1777" s="58" t="s">
        <v>829</v>
      </c>
      <c r="B1777" s="58" t="s">
        <v>2353</v>
      </c>
      <c r="C1777" s="58" t="s">
        <v>2333</v>
      </c>
      <c r="D1777" s="58">
        <v>9</v>
      </c>
      <c r="E1777" s="58">
        <f>Valuation!AB29</f>
        <v>130703.18548391899</v>
      </c>
    </row>
    <row r="1778" spans="1:5">
      <c r="A1778" s="58" t="s">
        <v>829</v>
      </c>
      <c r="B1778" s="58" t="s">
        <v>2354</v>
      </c>
      <c r="C1778" s="58" t="s">
        <v>2355</v>
      </c>
      <c r="D1778" s="58">
        <v>0</v>
      </c>
      <c r="E1778" s="58">
        <f>Valuation!S181</f>
        <v>0</v>
      </c>
    </row>
    <row r="1779" spans="1:5">
      <c r="A1779" s="58" t="s">
        <v>829</v>
      </c>
      <c r="B1779" s="58" t="s">
        <v>2356</v>
      </c>
      <c r="C1779" s="58" t="s">
        <v>2355</v>
      </c>
      <c r="D1779" s="58">
        <v>-11</v>
      </c>
      <c r="E1779" s="58">
        <f>Valuation!H181</f>
        <v>0</v>
      </c>
    </row>
    <row r="1780" spans="1:5">
      <c r="A1780" s="58" t="s">
        <v>829</v>
      </c>
      <c r="B1780" s="58" t="s">
        <v>2357</v>
      </c>
      <c r="C1780" s="58" t="s">
        <v>2355</v>
      </c>
      <c r="D1780" s="58">
        <v>-10</v>
      </c>
      <c r="E1780" s="58">
        <f>Valuation!I181</f>
        <v>0</v>
      </c>
    </row>
    <row r="1781" spans="1:5">
      <c r="A1781" s="58" t="s">
        <v>829</v>
      </c>
      <c r="B1781" s="58" t="s">
        <v>2358</v>
      </c>
      <c r="C1781" s="58" t="s">
        <v>2355</v>
      </c>
      <c r="D1781" s="58">
        <v>-9</v>
      </c>
      <c r="E1781" s="58">
        <f>Valuation!J181</f>
        <v>0</v>
      </c>
    </row>
    <row r="1782" spans="1:5">
      <c r="A1782" s="58" t="s">
        <v>829</v>
      </c>
      <c r="B1782" s="58" t="s">
        <v>2359</v>
      </c>
      <c r="C1782" s="58" t="s">
        <v>2355</v>
      </c>
      <c r="D1782" s="58">
        <v>-8</v>
      </c>
      <c r="E1782" s="58">
        <f>Valuation!K181</f>
        <v>0</v>
      </c>
    </row>
    <row r="1783" spans="1:5">
      <c r="A1783" s="58" t="s">
        <v>829</v>
      </c>
      <c r="B1783" s="58" t="s">
        <v>2360</v>
      </c>
      <c r="C1783" s="58" t="s">
        <v>2355</v>
      </c>
      <c r="D1783" s="58">
        <v>-7</v>
      </c>
      <c r="E1783" s="58">
        <f>Valuation!L181</f>
        <v>0</v>
      </c>
    </row>
    <row r="1784" spans="1:5">
      <c r="A1784" s="58" t="s">
        <v>829</v>
      </c>
      <c r="B1784" s="58" t="s">
        <v>2361</v>
      </c>
      <c r="C1784" s="58" t="s">
        <v>2355</v>
      </c>
      <c r="D1784" s="58">
        <v>-6</v>
      </c>
      <c r="E1784" s="58">
        <f>Valuation!M181</f>
        <v>0</v>
      </c>
    </row>
    <row r="1785" spans="1:5">
      <c r="A1785" s="58" t="s">
        <v>829</v>
      </c>
      <c r="B1785" s="58" t="s">
        <v>2362</v>
      </c>
      <c r="C1785" s="58" t="s">
        <v>2355</v>
      </c>
      <c r="D1785" s="58">
        <v>-5</v>
      </c>
      <c r="E1785" s="58">
        <f>Valuation!N181</f>
        <v>0</v>
      </c>
    </row>
    <row r="1786" spans="1:5">
      <c r="A1786" s="58" t="s">
        <v>829</v>
      </c>
      <c r="B1786" s="58" t="s">
        <v>2363</v>
      </c>
      <c r="C1786" s="58" t="s">
        <v>2355</v>
      </c>
      <c r="D1786" s="58">
        <v>-4</v>
      </c>
      <c r="E1786" s="58">
        <f>Valuation!O181</f>
        <v>0</v>
      </c>
    </row>
    <row r="1787" spans="1:5">
      <c r="A1787" s="58" t="s">
        <v>829</v>
      </c>
      <c r="B1787" s="58" t="s">
        <v>2364</v>
      </c>
      <c r="C1787" s="58" t="s">
        <v>2355</v>
      </c>
      <c r="D1787" s="58">
        <v>-3</v>
      </c>
      <c r="E1787" s="58">
        <f>Valuation!P181</f>
        <v>0</v>
      </c>
    </row>
    <row r="1788" spans="1:5">
      <c r="A1788" s="58" t="s">
        <v>829</v>
      </c>
      <c r="B1788" s="58" t="s">
        <v>2365</v>
      </c>
      <c r="C1788" s="58" t="s">
        <v>2355</v>
      </c>
      <c r="D1788" s="58">
        <v>-2</v>
      </c>
      <c r="E1788" s="58">
        <f>Valuation!Q181</f>
        <v>0</v>
      </c>
    </row>
    <row r="1789" spans="1:5">
      <c r="A1789" s="58" t="s">
        <v>829</v>
      </c>
      <c r="B1789" s="58" t="s">
        <v>2366</v>
      </c>
      <c r="C1789" s="58" t="s">
        <v>2355</v>
      </c>
      <c r="D1789" s="58">
        <v>-1</v>
      </c>
      <c r="E1789" s="58">
        <f>Valuation!R181</f>
        <v>0</v>
      </c>
    </row>
    <row r="1790" spans="1:5">
      <c r="A1790" s="58" t="s">
        <v>829</v>
      </c>
      <c r="B1790" s="58" t="s">
        <v>2367</v>
      </c>
      <c r="C1790" s="58" t="s">
        <v>2355</v>
      </c>
      <c r="D1790" s="58">
        <v>1</v>
      </c>
      <c r="E1790" s="58">
        <f>Valuation!T181</f>
        <v>0</v>
      </c>
    </row>
    <row r="1791" spans="1:5">
      <c r="A1791" s="58" t="s">
        <v>829</v>
      </c>
      <c r="B1791" s="58" t="s">
        <v>2368</v>
      </c>
      <c r="C1791" s="58" t="s">
        <v>2355</v>
      </c>
      <c r="D1791" s="58">
        <v>2</v>
      </c>
      <c r="E1791" s="58">
        <f>Valuation!U181</f>
        <v>0</v>
      </c>
    </row>
    <row r="1792" spans="1:5">
      <c r="A1792" s="58" t="s">
        <v>829</v>
      </c>
      <c r="B1792" s="58" t="s">
        <v>2369</v>
      </c>
      <c r="C1792" s="58" t="s">
        <v>2355</v>
      </c>
      <c r="D1792" s="58">
        <v>3</v>
      </c>
      <c r="E1792" s="58">
        <f>Valuation!V181</f>
        <v>0</v>
      </c>
    </row>
    <row r="1793" spans="1:5">
      <c r="A1793" s="58" t="s">
        <v>829</v>
      </c>
      <c r="B1793" s="58" t="s">
        <v>2370</v>
      </c>
      <c r="C1793" s="58" t="s">
        <v>2355</v>
      </c>
      <c r="D1793" s="58">
        <v>4</v>
      </c>
      <c r="E1793" s="58">
        <f>Valuation!W181</f>
        <v>0</v>
      </c>
    </row>
    <row r="1794" spans="1:5">
      <c r="A1794" s="58" t="s">
        <v>829</v>
      </c>
      <c r="B1794" s="58" t="s">
        <v>2371</v>
      </c>
      <c r="C1794" s="58" t="s">
        <v>2355</v>
      </c>
      <c r="D1794" s="58">
        <v>5</v>
      </c>
      <c r="E1794" s="58">
        <f>Valuation!X181</f>
        <v>0</v>
      </c>
    </row>
    <row r="1795" spans="1:5">
      <c r="A1795" s="58" t="s">
        <v>829</v>
      </c>
      <c r="B1795" s="58" t="s">
        <v>2372</v>
      </c>
      <c r="C1795" s="58" t="s">
        <v>2355</v>
      </c>
      <c r="D1795" s="58">
        <v>6</v>
      </c>
      <c r="E1795" s="58">
        <f>Valuation!Y181</f>
        <v>0</v>
      </c>
    </row>
    <row r="1796" spans="1:5">
      <c r="A1796" s="58" t="s">
        <v>829</v>
      </c>
      <c r="B1796" s="58" t="s">
        <v>2373</v>
      </c>
      <c r="C1796" s="58" t="s">
        <v>2355</v>
      </c>
      <c r="D1796" s="58">
        <v>7</v>
      </c>
      <c r="E1796" s="58">
        <f>Valuation!Z181</f>
        <v>0</v>
      </c>
    </row>
    <row r="1797" spans="1:5">
      <c r="A1797" s="58" t="s">
        <v>829</v>
      </c>
      <c r="B1797" s="58" t="s">
        <v>2374</v>
      </c>
      <c r="C1797" s="58" t="s">
        <v>2355</v>
      </c>
      <c r="D1797" s="58">
        <v>8</v>
      </c>
      <c r="E1797" s="58">
        <f>Valuation!AA181</f>
        <v>0</v>
      </c>
    </row>
    <row r="1798" spans="1:5">
      <c r="A1798" s="58" t="s">
        <v>829</v>
      </c>
      <c r="B1798" s="58" t="s">
        <v>2375</v>
      </c>
      <c r="C1798" s="58" t="s">
        <v>2355</v>
      </c>
      <c r="D1798" s="58">
        <v>9</v>
      </c>
      <c r="E1798" s="58">
        <f>Valuation!AB181</f>
        <v>0</v>
      </c>
    </row>
    <row r="1799" spans="1:5">
      <c r="A1799" s="58" t="s">
        <v>829</v>
      </c>
      <c r="B1799" s="58" t="s">
        <v>2376</v>
      </c>
      <c r="C1799" s="58" t="s">
        <v>2377</v>
      </c>
      <c r="D1799" s="58">
        <v>-11</v>
      </c>
      <c r="E1799" s="58">
        <f>Valuation!H69</f>
        <v>0</v>
      </c>
    </row>
    <row r="1800" spans="1:5">
      <c r="A1800" s="58" t="s">
        <v>829</v>
      </c>
      <c r="B1800" s="58" t="s">
        <v>2378</v>
      </c>
      <c r="C1800" s="58" t="s">
        <v>2377</v>
      </c>
      <c r="D1800" s="58">
        <v>-10</v>
      </c>
      <c r="E1800" s="58">
        <f>Valuation!I69</f>
        <v>0</v>
      </c>
    </row>
    <row r="1801" spans="1:5">
      <c r="A1801" s="58" t="s">
        <v>829</v>
      </c>
      <c r="B1801" s="58" t="s">
        <v>2379</v>
      </c>
      <c r="C1801" s="58" t="s">
        <v>2377</v>
      </c>
      <c r="D1801" s="58">
        <v>-9</v>
      </c>
      <c r="E1801" s="58">
        <f>Valuation!J69</f>
        <v>0</v>
      </c>
    </row>
    <row r="1802" spans="1:5">
      <c r="A1802" s="58" t="s">
        <v>829</v>
      </c>
      <c r="B1802" s="58" t="s">
        <v>2380</v>
      </c>
      <c r="C1802" s="58" t="s">
        <v>2377</v>
      </c>
      <c r="D1802" s="58">
        <v>-8</v>
      </c>
      <c r="E1802" s="58">
        <f>Valuation!K69</f>
        <v>0</v>
      </c>
    </row>
    <row r="1803" spans="1:5">
      <c r="A1803" s="58" t="s">
        <v>829</v>
      </c>
      <c r="B1803" s="58" t="s">
        <v>2381</v>
      </c>
      <c r="C1803" s="58" t="s">
        <v>2377</v>
      </c>
      <c r="D1803" s="58">
        <v>-7</v>
      </c>
      <c r="E1803" s="58">
        <f>Valuation!L69</f>
        <v>0</v>
      </c>
    </row>
    <row r="1804" spans="1:5">
      <c r="A1804" s="58" t="s">
        <v>829</v>
      </c>
      <c r="B1804" s="58" t="s">
        <v>2382</v>
      </c>
      <c r="C1804" s="58" t="s">
        <v>2377</v>
      </c>
      <c r="D1804" s="58">
        <v>-6</v>
      </c>
      <c r="E1804" s="58">
        <f>Valuation!M69</f>
        <v>121987.5</v>
      </c>
    </row>
    <row r="1805" spans="1:5">
      <c r="A1805" s="58" t="s">
        <v>829</v>
      </c>
      <c r="B1805" s="58" t="s">
        <v>2383</v>
      </c>
      <c r="C1805" s="58" t="s">
        <v>2377</v>
      </c>
      <c r="D1805" s="58">
        <v>-5</v>
      </c>
      <c r="E1805" s="58">
        <f>Valuation!N69</f>
        <v>-7039358.5</v>
      </c>
    </row>
    <row r="1806" spans="1:5">
      <c r="A1806" s="58" t="s">
        <v>829</v>
      </c>
      <c r="B1806" s="58" t="s">
        <v>2384</v>
      </c>
      <c r="C1806" s="58" t="s">
        <v>2377</v>
      </c>
      <c r="D1806" s="58">
        <v>-4</v>
      </c>
      <c r="E1806" s="58">
        <f>Valuation!O69</f>
        <v>5626740.4000000004</v>
      </c>
    </row>
    <row r="1807" spans="1:5">
      <c r="A1807" s="58" t="s">
        <v>829</v>
      </c>
      <c r="B1807" s="58" t="s">
        <v>2385</v>
      </c>
      <c r="C1807" s="58" t="s">
        <v>2377</v>
      </c>
      <c r="D1807" s="58">
        <v>-3</v>
      </c>
      <c r="E1807" s="58">
        <f>Valuation!P69</f>
        <v>123473.39999999944</v>
      </c>
    </row>
    <row r="1808" spans="1:5">
      <c r="A1808" s="58" t="s">
        <v>829</v>
      </c>
      <c r="B1808" s="58" t="s">
        <v>2386</v>
      </c>
      <c r="C1808" s="58" t="s">
        <v>2377</v>
      </c>
      <c r="D1808" s="58">
        <v>-2</v>
      </c>
      <c r="E1808" s="58">
        <f>Valuation!Q69</f>
        <v>-1455151.7999999998</v>
      </c>
    </row>
    <row r="1809" spans="1:5">
      <c r="A1809" s="58" t="s">
        <v>829</v>
      </c>
      <c r="B1809" s="58" t="s">
        <v>2387</v>
      </c>
      <c r="C1809" s="58" t="s">
        <v>2377</v>
      </c>
      <c r="D1809" s="58">
        <v>-1</v>
      </c>
      <c r="E1809" s="58">
        <f>Valuation!R69</f>
        <v>-1348599.25</v>
      </c>
    </row>
    <row r="1810" spans="1:5">
      <c r="A1810" s="58" t="s">
        <v>829</v>
      </c>
      <c r="B1810" s="58" t="s">
        <v>2388</v>
      </c>
      <c r="C1810" s="58" t="s">
        <v>2377</v>
      </c>
      <c r="D1810" s="58">
        <v>1</v>
      </c>
      <c r="E1810" s="58" t="e">
        <f ca="1">Valuation!T69</f>
        <v>#VALUE!</v>
      </c>
    </row>
    <row r="1811" spans="1:5">
      <c r="A1811" s="58" t="s">
        <v>829</v>
      </c>
      <c r="B1811" s="58" t="s">
        <v>2389</v>
      </c>
      <c r="C1811" s="58" t="s">
        <v>2377</v>
      </c>
      <c r="D1811" s="58">
        <v>2</v>
      </c>
      <c r="E1811" s="58" t="e">
        <f ca="1">Valuation!U69</f>
        <v>#VALUE!</v>
      </c>
    </row>
    <row r="1812" spans="1:5">
      <c r="A1812" s="58" t="s">
        <v>829</v>
      </c>
      <c r="B1812" s="58" t="s">
        <v>2390</v>
      </c>
      <c r="C1812" s="58" t="s">
        <v>2377</v>
      </c>
      <c r="D1812" s="58">
        <v>3</v>
      </c>
      <c r="E1812" s="58" t="e">
        <f ca="1">Valuation!V69</f>
        <v>#VALUE!</v>
      </c>
    </row>
    <row r="1813" spans="1:5">
      <c r="A1813" s="58" t="s">
        <v>829</v>
      </c>
      <c r="B1813" s="58" t="s">
        <v>2391</v>
      </c>
      <c r="C1813" s="58" t="s">
        <v>2377</v>
      </c>
      <c r="D1813" s="58">
        <v>4</v>
      </c>
      <c r="E1813" s="58" t="e">
        <f ca="1">Valuation!W69</f>
        <v>#VALUE!</v>
      </c>
    </row>
    <row r="1814" spans="1:5">
      <c r="A1814" s="58" t="s">
        <v>829</v>
      </c>
      <c r="B1814" s="58" t="s">
        <v>2392</v>
      </c>
      <c r="C1814" s="58" t="s">
        <v>2377</v>
      </c>
      <c r="D1814" s="58">
        <v>5</v>
      </c>
      <c r="E1814" s="58" t="e">
        <f ca="1">Valuation!X69</f>
        <v>#VALUE!</v>
      </c>
    </row>
    <row r="1815" spans="1:5">
      <c r="A1815" s="58" t="s">
        <v>829</v>
      </c>
      <c r="B1815" s="58" t="s">
        <v>2393</v>
      </c>
      <c r="C1815" s="58" t="s">
        <v>2377</v>
      </c>
      <c r="D1815" s="58">
        <v>6</v>
      </c>
      <c r="E1815" s="58" t="e">
        <f ca="1">Valuation!Y69</f>
        <v>#VALUE!</v>
      </c>
    </row>
    <row r="1816" spans="1:5">
      <c r="A1816" s="58" t="s">
        <v>829</v>
      </c>
      <c r="B1816" s="58" t="s">
        <v>2394</v>
      </c>
      <c r="C1816" s="58" t="s">
        <v>2377</v>
      </c>
      <c r="D1816" s="58">
        <v>7</v>
      </c>
      <c r="E1816" s="58" t="e">
        <f ca="1">Valuation!Z69</f>
        <v>#VALUE!</v>
      </c>
    </row>
    <row r="1817" spans="1:5">
      <c r="A1817" s="58" t="s">
        <v>829</v>
      </c>
      <c r="B1817" s="58" t="s">
        <v>2395</v>
      </c>
      <c r="C1817" s="58" t="s">
        <v>2377</v>
      </c>
      <c r="D1817" s="58">
        <v>8</v>
      </c>
      <c r="E1817" s="58" t="e">
        <f ca="1">Valuation!AA69</f>
        <v>#VALUE!</v>
      </c>
    </row>
    <row r="1818" spans="1:5">
      <c r="A1818" s="58" t="s">
        <v>829</v>
      </c>
      <c r="B1818" s="58" t="s">
        <v>2396</v>
      </c>
      <c r="C1818" s="58" t="s">
        <v>2377</v>
      </c>
      <c r="D1818" s="58">
        <v>9</v>
      </c>
      <c r="E1818" s="58" t="e">
        <f ca="1">Valuation!AB69</f>
        <v>#VALUE!</v>
      </c>
    </row>
    <row r="1819" spans="1:5">
      <c r="A1819" s="58" t="s">
        <v>829</v>
      </c>
      <c r="B1819" s="58" t="s">
        <v>2397</v>
      </c>
      <c r="C1819" s="58" t="s">
        <v>2377</v>
      </c>
      <c r="D1819" s="58">
        <v>0</v>
      </c>
      <c r="E1819" s="58">
        <f ca="1">Valuation!S69</f>
        <v>270810.31220891373</v>
      </c>
    </row>
    <row r="1820" spans="1:5">
      <c r="A1820" s="58" t="s">
        <v>829</v>
      </c>
      <c r="B1820" s="58" t="s">
        <v>2398</v>
      </c>
      <c r="C1820" s="58" t="s">
        <v>2399</v>
      </c>
      <c r="D1820" s="58">
        <v>-11</v>
      </c>
      <c r="E1820" s="58">
        <f>Valuation!H83</f>
        <v>0</v>
      </c>
    </row>
    <row r="1821" spans="1:5">
      <c r="A1821" s="58" t="s">
        <v>829</v>
      </c>
      <c r="B1821" s="58" t="s">
        <v>2400</v>
      </c>
      <c r="C1821" s="58" t="s">
        <v>2399</v>
      </c>
      <c r="D1821" s="58">
        <v>-10</v>
      </c>
      <c r="E1821" s="58">
        <f>Valuation!I83</f>
        <v>0</v>
      </c>
    </row>
    <row r="1822" spans="1:5">
      <c r="A1822" s="58" t="s">
        <v>829</v>
      </c>
      <c r="B1822" s="58" t="s">
        <v>2401</v>
      </c>
      <c r="C1822" s="58" t="s">
        <v>2399</v>
      </c>
      <c r="D1822" s="58">
        <v>-9</v>
      </c>
      <c r="E1822" s="58">
        <f>Valuation!J83</f>
        <v>0</v>
      </c>
    </row>
    <row r="1823" spans="1:5">
      <c r="A1823" s="58" t="s">
        <v>829</v>
      </c>
      <c r="B1823" s="58" t="s">
        <v>2402</v>
      </c>
      <c r="C1823" s="58" t="s">
        <v>2399</v>
      </c>
      <c r="D1823" s="58">
        <v>-8</v>
      </c>
      <c r="E1823" s="58">
        <f>Valuation!K83</f>
        <v>0</v>
      </c>
    </row>
    <row r="1824" spans="1:5">
      <c r="A1824" s="58" t="s">
        <v>829</v>
      </c>
      <c r="B1824" s="58" t="s">
        <v>2403</v>
      </c>
      <c r="C1824" s="58" t="s">
        <v>2399</v>
      </c>
      <c r="D1824" s="58">
        <v>-7</v>
      </c>
      <c r="E1824" s="58">
        <f>Valuation!L83</f>
        <v>0</v>
      </c>
    </row>
    <row r="1825" spans="1:5">
      <c r="A1825" s="58" t="s">
        <v>829</v>
      </c>
      <c r="B1825" s="58" t="s">
        <v>2404</v>
      </c>
      <c r="C1825" s="58" t="s">
        <v>2399</v>
      </c>
      <c r="D1825" s="58">
        <v>-6</v>
      </c>
      <c r="E1825" s="58">
        <f>Valuation!M83</f>
        <v>49250</v>
      </c>
    </row>
    <row r="1826" spans="1:5">
      <c r="A1826" s="58" t="s">
        <v>829</v>
      </c>
      <c r="B1826" s="58" t="s">
        <v>2405</v>
      </c>
      <c r="C1826" s="58" t="s">
        <v>2399</v>
      </c>
      <c r="D1826" s="58">
        <v>-5</v>
      </c>
      <c r="E1826" s="58">
        <f>Valuation!N83</f>
        <v>59230</v>
      </c>
    </row>
    <row r="1827" spans="1:5">
      <c r="A1827" s="58" t="s">
        <v>829</v>
      </c>
      <c r="B1827" s="58" t="s">
        <v>2406</v>
      </c>
      <c r="C1827" s="58" t="s">
        <v>2399</v>
      </c>
      <c r="D1827" s="58">
        <v>-4</v>
      </c>
      <c r="E1827" s="58">
        <f>Valuation!O83</f>
        <v>171853</v>
      </c>
    </row>
    <row r="1828" spans="1:5">
      <c r="A1828" s="58" t="s">
        <v>829</v>
      </c>
      <c r="B1828" s="58" t="s">
        <v>2407</v>
      </c>
      <c r="C1828" s="58" t="s">
        <v>2399</v>
      </c>
      <c r="D1828" s="58">
        <v>-3</v>
      </c>
      <c r="E1828" s="58">
        <f>Valuation!P83</f>
        <v>192550</v>
      </c>
    </row>
    <row r="1829" spans="1:5">
      <c r="A1829" s="58" t="s">
        <v>829</v>
      </c>
      <c r="B1829" s="58" t="s">
        <v>2408</v>
      </c>
      <c r="C1829" s="58" t="s">
        <v>2399</v>
      </c>
      <c r="D1829" s="58">
        <v>-2</v>
      </c>
      <c r="E1829" s="58">
        <f>Valuation!Q83</f>
        <v>200080</v>
      </c>
    </row>
    <row r="1830" spans="1:5">
      <c r="A1830" s="58" t="s">
        <v>829</v>
      </c>
      <c r="B1830" s="58" t="s">
        <v>2409</v>
      </c>
      <c r="C1830" s="58" t="s">
        <v>2399</v>
      </c>
      <c r="D1830" s="58">
        <v>-1</v>
      </c>
      <c r="E1830" s="58">
        <f>Valuation!R83</f>
        <v>264573</v>
      </c>
    </row>
    <row r="1831" spans="1:5">
      <c r="A1831" s="58" t="s">
        <v>829</v>
      </c>
      <c r="B1831" s="58" t="s">
        <v>2410</v>
      </c>
      <c r="C1831" s="58" t="s">
        <v>2399</v>
      </c>
      <c r="D1831" s="58">
        <v>1</v>
      </c>
      <c r="E1831" s="58" t="e">
        <f ca="1">Valuation!T83</f>
        <v>#NAME?</v>
      </c>
    </row>
    <row r="1832" spans="1:5">
      <c r="A1832" s="58" t="s">
        <v>829</v>
      </c>
      <c r="B1832" s="58" t="s">
        <v>2411</v>
      </c>
      <c r="C1832" s="58" t="s">
        <v>2399</v>
      </c>
      <c r="D1832" s="58">
        <v>2</v>
      </c>
      <c r="E1832" s="58" t="e">
        <f ca="1">Valuation!U83</f>
        <v>#NAME?</v>
      </c>
    </row>
    <row r="1833" spans="1:5">
      <c r="A1833" s="58" t="s">
        <v>829</v>
      </c>
      <c r="B1833" s="58" t="s">
        <v>2412</v>
      </c>
      <c r="C1833" s="58" t="s">
        <v>2399</v>
      </c>
      <c r="D1833" s="58">
        <v>3</v>
      </c>
      <c r="E1833" s="58" t="e">
        <f ca="1">Valuation!V83</f>
        <v>#NAME?</v>
      </c>
    </row>
    <row r="1834" spans="1:5">
      <c r="A1834" s="58" t="s">
        <v>829</v>
      </c>
      <c r="B1834" s="58" t="s">
        <v>2413</v>
      </c>
      <c r="C1834" s="58" t="s">
        <v>2399</v>
      </c>
      <c r="D1834" s="58">
        <v>4</v>
      </c>
      <c r="E1834" s="58" t="e">
        <f ca="1">Valuation!W83</f>
        <v>#NAME?</v>
      </c>
    </row>
    <row r="1835" spans="1:5">
      <c r="A1835" s="58" t="s">
        <v>829</v>
      </c>
      <c r="B1835" s="58" t="s">
        <v>2414</v>
      </c>
      <c r="C1835" s="58" t="s">
        <v>2399</v>
      </c>
      <c r="D1835" s="58">
        <v>5</v>
      </c>
      <c r="E1835" s="58" t="e">
        <f ca="1">Valuation!X83</f>
        <v>#NAME?</v>
      </c>
    </row>
    <row r="1836" spans="1:5">
      <c r="A1836" s="58" t="s">
        <v>829</v>
      </c>
      <c r="B1836" s="58" t="s">
        <v>2415</v>
      </c>
      <c r="C1836" s="58" t="s">
        <v>2399</v>
      </c>
      <c r="D1836" s="58">
        <v>6</v>
      </c>
      <c r="E1836" s="58" t="e">
        <f ca="1">Valuation!Y83</f>
        <v>#NAME?</v>
      </c>
    </row>
    <row r="1837" spans="1:5">
      <c r="A1837" s="58" t="s">
        <v>829</v>
      </c>
      <c r="B1837" s="58" t="s">
        <v>2416</v>
      </c>
      <c r="C1837" s="58" t="s">
        <v>2399</v>
      </c>
      <c r="D1837" s="58">
        <v>7</v>
      </c>
      <c r="E1837" s="58" t="e">
        <f ca="1">Valuation!Z83</f>
        <v>#NAME?</v>
      </c>
    </row>
    <row r="1838" spans="1:5">
      <c r="A1838" s="58" t="s">
        <v>829</v>
      </c>
      <c r="B1838" s="58" t="s">
        <v>2417</v>
      </c>
      <c r="C1838" s="58" t="s">
        <v>2399</v>
      </c>
      <c r="D1838" s="58">
        <v>8</v>
      </c>
      <c r="E1838" s="58" t="e">
        <f ca="1">Valuation!AA83</f>
        <v>#NAME?</v>
      </c>
    </row>
    <row r="1839" spans="1:5">
      <c r="A1839" s="58" t="s">
        <v>829</v>
      </c>
      <c r="B1839" s="58" t="s">
        <v>2418</v>
      </c>
      <c r="C1839" s="58" t="s">
        <v>2399</v>
      </c>
      <c r="D1839" s="58">
        <v>9</v>
      </c>
      <c r="E1839" s="58" t="e">
        <f ca="1">Valuation!AB83</f>
        <v>#NAME?</v>
      </c>
    </row>
    <row r="1840" spans="1:5">
      <c r="A1840" s="58" t="s">
        <v>829</v>
      </c>
      <c r="B1840" s="58" t="s">
        <v>2419</v>
      </c>
      <c r="C1840" s="58" t="s">
        <v>2399</v>
      </c>
      <c r="D1840" s="58">
        <v>0</v>
      </c>
      <c r="E1840" s="58">
        <f ca="1">Valuation!S83</f>
        <v>292525.43494157167</v>
      </c>
    </row>
    <row r="1841" spans="1:5">
      <c r="A1841" s="58" t="s">
        <v>829</v>
      </c>
      <c r="B1841" s="58" t="s">
        <v>2420</v>
      </c>
      <c r="C1841" s="58" t="s">
        <v>2421</v>
      </c>
      <c r="D1841" s="58">
        <v>0</v>
      </c>
      <c r="E1841" s="58">
        <f>Valuation!S176</f>
        <v>0</v>
      </c>
    </row>
    <row r="1842" spans="1:5">
      <c r="A1842" s="58" t="s">
        <v>829</v>
      </c>
      <c r="B1842" s="58" t="s">
        <v>2422</v>
      </c>
      <c r="C1842" s="58" t="s">
        <v>2421</v>
      </c>
      <c r="D1842" s="58">
        <v>-11</v>
      </c>
      <c r="E1842" s="685">
        <f>Valuation!H176</f>
        <v>0</v>
      </c>
    </row>
    <row r="1843" spans="1:5">
      <c r="A1843" s="58" t="s">
        <v>829</v>
      </c>
      <c r="B1843" s="58" t="s">
        <v>2423</v>
      </c>
      <c r="C1843" s="58" t="s">
        <v>2421</v>
      </c>
      <c r="D1843" s="58">
        <v>-10</v>
      </c>
      <c r="E1843" s="685">
        <f>Valuation!I176</f>
        <v>0</v>
      </c>
    </row>
    <row r="1844" spans="1:5">
      <c r="A1844" s="58" t="s">
        <v>829</v>
      </c>
      <c r="B1844" s="58" t="s">
        <v>2424</v>
      </c>
      <c r="C1844" s="58" t="s">
        <v>2421</v>
      </c>
      <c r="D1844" s="58">
        <v>-9</v>
      </c>
      <c r="E1844" s="685">
        <f>Valuation!J176</f>
        <v>0</v>
      </c>
    </row>
    <row r="1845" spans="1:5">
      <c r="A1845" s="58" t="s">
        <v>829</v>
      </c>
      <c r="B1845" s="58" t="s">
        <v>2425</v>
      </c>
      <c r="C1845" s="58" t="s">
        <v>2421</v>
      </c>
      <c r="D1845" s="58">
        <v>-8</v>
      </c>
      <c r="E1845" s="685">
        <f>Valuation!K176</f>
        <v>0</v>
      </c>
    </row>
    <row r="1846" spans="1:5">
      <c r="A1846" s="58" t="s">
        <v>829</v>
      </c>
      <c r="B1846" s="58" t="s">
        <v>2426</v>
      </c>
      <c r="C1846" s="58" t="s">
        <v>2421</v>
      </c>
      <c r="D1846" s="58">
        <v>-7</v>
      </c>
      <c r="E1846" s="685">
        <f>Valuation!L176</f>
        <v>0</v>
      </c>
    </row>
    <row r="1847" spans="1:5">
      <c r="A1847" s="58" t="s">
        <v>829</v>
      </c>
      <c r="B1847" s="58" t="s">
        <v>2427</v>
      </c>
      <c r="C1847" s="58" t="s">
        <v>2421</v>
      </c>
      <c r="D1847" s="58">
        <v>-6</v>
      </c>
      <c r="E1847" s="685">
        <f>Valuation!M176</f>
        <v>0</v>
      </c>
    </row>
    <row r="1848" spans="1:5">
      <c r="A1848" s="58" t="s">
        <v>829</v>
      </c>
      <c r="B1848" s="58" t="s">
        <v>2428</v>
      </c>
      <c r="C1848" s="58" t="s">
        <v>2421</v>
      </c>
      <c r="D1848" s="58">
        <v>-5</v>
      </c>
      <c r="E1848" s="685">
        <f>Valuation!N176</f>
        <v>0</v>
      </c>
    </row>
    <row r="1849" spans="1:5">
      <c r="A1849" s="58" t="s">
        <v>829</v>
      </c>
      <c r="B1849" s="58" t="s">
        <v>2429</v>
      </c>
      <c r="C1849" s="58" t="s">
        <v>2421</v>
      </c>
      <c r="D1849" s="58">
        <v>-4</v>
      </c>
      <c r="E1849" s="685">
        <f>Valuation!O176</f>
        <v>0</v>
      </c>
    </row>
    <row r="1850" spans="1:5">
      <c r="A1850" s="58" t="s">
        <v>829</v>
      </c>
      <c r="B1850" s="58" t="s">
        <v>2430</v>
      </c>
      <c r="C1850" s="58" t="s">
        <v>2421</v>
      </c>
      <c r="D1850" s="58">
        <v>-3</v>
      </c>
      <c r="E1850" s="685">
        <f>Valuation!P176</f>
        <v>0</v>
      </c>
    </row>
    <row r="1851" spans="1:5">
      <c r="A1851" s="58" t="s">
        <v>829</v>
      </c>
      <c r="B1851" s="58" t="s">
        <v>2431</v>
      </c>
      <c r="C1851" s="58" t="s">
        <v>2421</v>
      </c>
      <c r="D1851" s="58">
        <v>-2</v>
      </c>
      <c r="E1851" s="685">
        <f>Valuation!Q176</f>
        <v>0</v>
      </c>
    </row>
    <row r="1852" spans="1:5">
      <c r="A1852" s="58" t="s">
        <v>829</v>
      </c>
      <c r="B1852" s="58" t="s">
        <v>2432</v>
      </c>
      <c r="C1852" s="58" t="s">
        <v>2421</v>
      </c>
      <c r="D1852" s="58">
        <v>-1</v>
      </c>
      <c r="E1852" s="685">
        <f>Valuation!R176</f>
        <v>0</v>
      </c>
    </row>
    <row r="1853" spans="1:5">
      <c r="A1853" s="58" t="s">
        <v>829</v>
      </c>
      <c r="B1853" s="58" t="s">
        <v>2433</v>
      </c>
      <c r="C1853" s="58" t="s">
        <v>2421</v>
      </c>
      <c r="D1853" s="58">
        <v>1</v>
      </c>
      <c r="E1853" s="58">
        <f>Valuation!T176</f>
        <v>0</v>
      </c>
    </row>
    <row r="1854" spans="1:5">
      <c r="A1854" s="58" t="s">
        <v>829</v>
      </c>
      <c r="B1854" s="58" t="s">
        <v>2434</v>
      </c>
      <c r="C1854" s="58" t="s">
        <v>2421</v>
      </c>
      <c r="D1854" s="58">
        <v>2</v>
      </c>
      <c r="E1854" s="58">
        <f>Valuation!U176</f>
        <v>0</v>
      </c>
    </row>
    <row r="1855" spans="1:5">
      <c r="A1855" s="58" t="s">
        <v>829</v>
      </c>
      <c r="B1855" s="58" t="s">
        <v>2435</v>
      </c>
      <c r="C1855" s="58" t="s">
        <v>2421</v>
      </c>
      <c r="D1855" s="58">
        <v>3</v>
      </c>
      <c r="E1855" s="58">
        <f>Valuation!V176</f>
        <v>0</v>
      </c>
    </row>
    <row r="1856" spans="1:5">
      <c r="A1856" s="58" t="s">
        <v>829</v>
      </c>
      <c r="B1856" s="58" t="s">
        <v>2436</v>
      </c>
      <c r="C1856" s="58" t="s">
        <v>2421</v>
      </c>
      <c r="D1856" s="58">
        <v>4</v>
      </c>
      <c r="E1856" s="58">
        <f>Valuation!W176</f>
        <v>0</v>
      </c>
    </row>
    <row r="1857" spans="1:5">
      <c r="A1857" s="58" t="s">
        <v>829</v>
      </c>
      <c r="B1857" s="58" t="s">
        <v>2437</v>
      </c>
      <c r="C1857" s="58" t="s">
        <v>2421</v>
      </c>
      <c r="D1857" s="58">
        <v>5</v>
      </c>
      <c r="E1857" s="58">
        <f>Valuation!X176</f>
        <v>0</v>
      </c>
    </row>
    <row r="1858" spans="1:5">
      <c r="A1858" s="58" t="s">
        <v>829</v>
      </c>
      <c r="B1858" s="58" t="s">
        <v>2438</v>
      </c>
      <c r="C1858" s="58" t="s">
        <v>2421</v>
      </c>
      <c r="D1858" s="58">
        <v>6</v>
      </c>
      <c r="E1858" s="58">
        <f>Valuation!Y176</f>
        <v>0</v>
      </c>
    </row>
    <row r="1859" spans="1:5">
      <c r="A1859" s="58" t="s">
        <v>829</v>
      </c>
      <c r="B1859" s="58" t="s">
        <v>2439</v>
      </c>
      <c r="C1859" s="58" t="s">
        <v>2421</v>
      </c>
      <c r="D1859" s="58">
        <v>7</v>
      </c>
      <c r="E1859" s="58">
        <f>Valuation!Z176</f>
        <v>0</v>
      </c>
    </row>
    <row r="1860" spans="1:5">
      <c r="A1860" s="58" t="s">
        <v>829</v>
      </c>
      <c r="B1860" s="58" t="s">
        <v>2440</v>
      </c>
      <c r="C1860" s="58" t="s">
        <v>2421</v>
      </c>
      <c r="D1860" s="58">
        <v>8</v>
      </c>
      <c r="E1860" s="58">
        <f>Valuation!AA176</f>
        <v>0</v>
      </c>
    </row>
    <row r="1861" spans="1:5">
      <c r="A1861" s="58" t="s">
        <v>829</v>
      </c>
      <c r="B1861" s="58" t="s">
        <v>2441</v>
      </c>
      <c r="C1861" s="58" t="s">
        <v>2421</v>
      </c>
      <c r="D1861" s="58">
        <v>9</v>
      </c>
      <c r="E1861" s="58">
        <f>Valuation!AB176</f>
        <v>0</v>
      </c>
    </row>
    <row r="1862" spans="1:5">
      <c r="A1862" s="58" t="s">
        <v>829</v>
      </c>
      <c r="B1862" s="58" t="s">
        <v>1891</v>
      </c>
      <c r="C1862" s="58" t="s">
        <v>2442</v>
      </c>
      <c r="D1862" s="58">
        <v>0</v>
      </c>
      <c r="E1862" s="58">
        <f ca="1">Valuation!S24</f>
        <v>867577.59048379795</v>
      </c>
    </row>
    <row r="1863" spans="1:5">
      <c r="A1863" s="58" t="s">
        <v>829</v>
      </c>
      <c r="B1863" s="58" t="s">
        <v>1870</v>
      </c>
      <c r="C1863" s="58" t="s">
        <v>2442</v>
      </c>
      <c r="D1863" s="58">
        <v>-11</v>
      </c>
      <c r="E1863" s="58">
        <f>Valuation!H24</f>
        <v>0</v>
      </c>
    </row>
    <row r="1864" spans="1:5">
      <c r="A1864" s="58" t="s">
        <v>829</v>
      </c>
      <c r="B1864" s="58" t="s">
        <v>1872</v>
      </c>
      <c r="C1864" s="58" t="s">
        <v>2442</v>
      </c>
      <c r="D1864" s="58">
        <v>-10</v>
      </c>
      <c r="E1864" s="58">
        <f>Valuation!I24</f>
        <v>0</v>
      </c>
    </row>
    <row r="1865" spans="1:5">
      <c r="A1865" s="58" t="s">
        <v>829</v>
      </c>
      <c r="B1865" s="58" t="s">
        <v>1873</v>
      </c>
      <c r="C1865" s="58" t="s">
        <v>2442</v>
      </c>
      <c r="D1865" s="58">
        <v>-9</v>
      </c>
      <c r="E1865" s="58">
        <f>Valuation!J24</f>
        <v>0</v>
      </c>
    </row>
    <row r="1866" spans="1:5">
      <c r="A1866" s="58" t="s">
        <v>829</v>
      </c>
      <c r="B1866" s="58" t="s">
        <v>1874</v>
      </c>
      <c r="C1866" s="58" t="s">
        <v>2442</v>
      </c>
      <c r="D1866" s="58">
        <v>-8</v>
      </c>
      <c r="E1866" s="58">
        <f>Valuation!K24</f>
        <v>0</v>
      </c>
    </row>
    <row r="1867" spans="1:5">
      <c r="A1867" s="58" t="s">
        <v>829</v>
      </c>
      <c r="B1867" s="58" t="s">
        <v>1875</v>
      </c>
      <c r="C1867" s="58" t="s">
        <v>2442</v>
      </c>
      <c r="D1867" s="58">
        <v>-7</v>
      </c>
      <c r="E1867" s="58">
        <f>Valuation!L24</f>
        <v>0</v>
      </c>
    </row>
    <row r="1868" spans="1:5">
      <c r="A1868" s="58" t="s">
        <v>829</v>
      </c>
      <c r="B1868" s="58" t="s">
        <v>1876</v>
      </c>
      <c r="C1868" s="58" t="s">
        <v>2442</v>
      </c>
      <c r="D1868" s="58">
        <v>-6</v>
      </c>
      <c r="E1868" s="58">
        <f>Valuation!M24</f>
        <v>408951</v>
      </c>
    </row>
    <row r="1869" spans="1:5">
      <c r="A1869" s="58" t="s">
        <v>829</v>
      </c>
      <c r="B1869" s="58" t="s">
        <v>1877</v>
      </c>
      <c r="C1869" s="58" t="s">
        <v>2442</v>
      </c>
      <c r="D1869" s="58">
        <v>-5</v>
      </c>
      <c r="E1869" s="58">
        <f>Valuation!N24</f>
        <v>3076570</v>
      </c>
    </row>
    <row r="1870" spans="1:5">
      <c r="A1870" s="58" t="s">
        <v>829</v>
      </c>
      <c r="B1870" s="58" t="s">
        <v>1878</v>
      </c>
      <c r="C1870" s="58" t="s">
        <v>2442</v>
      </c>
      <c r="D1870" s="58">
        <v>-4</v>
      </c>
      <c r="E1870" s="58">
        <f>Valuation!O24</f>
        <v>-2710208</v>
      </c>
    </row>
    <row r="1871" spans="1:5">
      <c r="A1871" s="58" t="s">
        <v>829</v>
      </c>
      <c r="B1871" s="58" t="s">
        <v>1879</v>
      </c>
      <c r="C1871" s="58" t="s">
        <v>2442</v>
      </c>
      <c r="D1871" s="58">
        <v>-3</v>
      </c>
      <c r="E1871" s="58">
        <f>Valuation!P24</f>
        <v>-161662</v>
      </c>
    </row>
    <row r="1872" spans="1:5">
      <c r="A1872" s="58" t="s">
        <v>829</v>
      </c>
      <c r="B1872" s="58" t="s">
        <v>1880</v>
      </c>
      <c r="C1872" s="58" t="s">
        <v>2442</v>
      </c>
      <c r="D1872" s="58">
        <v>-2</v>
      </c>
      <c r="E1872" s="58">
        <f>Valuation!Q24</f>
        <v>2307160</v>
      </c>
    </row>
    <row r="1873" spans="1:5">
      <c r="A1873" s="58" t="s">
        <v>829</v>
      </c>
      <c r="B1873" s="58" t="s">
        <v>1881</v>
      </c>
      <c r="C1873" s="58" t="s">
        <v>2442</v>
      </c>
      <c r="D1873" s="58">
        <v>-1</v>
      </c>
      <c r="E1873" s="58">
        <f>Valuation!R24</f>
        <v>1435441</v>
      </c>
    </row>
    <row r="1874" spans="1:5">
      <c r="A1874" s="58" t="s">
        <v>829</v>
      </c>
      <c r="B1874" s="58" t="s">
        <v>1882</v>
      </c>
      <c r="C1874" s="58" t="s">
        <v>2442</v>
      </c>
      <c r="D1874" s="58">
        <v>1</v>
      </c>
      <c r="E1874" s="58" t="e">
        <f ca="1">Valuation!T24</f>
        <v>#NAME?</v>
      </c>
    </row>
    <row r="1875" spans="1:5">
      <c r="A1875" s="58" t="s">
        <v>829</v>
      </c>
      <c r="B1875" s="58" t="s">
        <v>1883</v>
      </c>
      <c r="C1875" s="58" t="s">
        <v>2442</v>
      </c>
      <c r="D1875" s="58">
        <v>2</v>
      </c>
      <c r="E1875" s="58" t="e">
        <f ca="1">Valuation!U24</f>
        <v>#NAME?</v>
      </c>
    </row>
    <row r="1876" spans="1:5">
      <c r="A1876" s="58" t="s">
        <v>829</v>
      </c>
      <c r="B1876" s="58" t="s">
        <v>1884</v>
      </c>
      <c r="C1876" s="58" t="s">
        <v>2442</v>
      </c>
      <c r="D1876" s="58">
        <v>3</v>
      </c>
      <c r="E1876" s="58" t="e">
        <f ca="1">Valuation!V24</f>
        <v>#NAME?</v>
      </c>
    </row>
    <row r="1877" spans="1:5">
      <c r="A1877" s="58" t="s">
        <v>829</v>
      </c>
      <c r="B1877" s="58" t="s">
        <v>1885</v>
      </c>
      <c r="C1877" s="58" t="s">
        <v>2442</v>
      </c>
      <c r="D1877" s="58">
        <v>4</v>
      </c>
      <c r="E1877" s="58" t="e">
        <f ca="1">Valuation!W24</f>
        <v>#NAME?</v>
      </c>
    </row>
    <row r="1878" spans="1:5">
      <c r="A1878" s="58" t="s">
        <v>829</v>
      </c>
      <c r="B1878" s="58" t="s">
        <v>1886</v>
      </c>
      <c r="C1878" s="58" t="s">
        <v>2442</v>
      </c>
      <c r="D1878" s="58">
        <v>5</v>
      </c>
      <c r="E1878" s="58" t="e">
        <f ca="1">Valuation!X24</f>
        <v>#NAME?</v>
      </c>
    </row>
    <row r="1879" spans="1:5">
      <c r="A1879" s="58" t="s">
        <v>829</v>
      </c>
      <c r="B1879" s="58" t="s">
        <v>1887</v>
      </c>
      <c r="C1879" s="58" t="s">
        <v>2442</v>
      </c>
      <c r="D1879" s="58">
        <v>6</v>
      </c>
      <c r="E1879" s="58" t="e">
        <f ca="1">Valuation!Y24</f>
        <v>#NAME?</v>
      </c>
    </row>
    <row r="1880" spans="1:5">
      <c r="A1880" s="58" t="s">
        <v>829</v>
      </c>
      <c r="B1880" s="58" t="s">
        <v>1888</v>
      </c>
      <c r="C1880" s="58" t="s">
        <v>2442</v>
      </c>
      <c r="D1880" s="58">
        <v>7</v>
      </c>
      <c r="E1880" s="58" t="e">
        <f ca="1">Valuation!Z24</f>
        <v>#NAME?</v>
      </c>
    </row>
    <row r="1881" spans="1:5">
      <c r="A1881" s="58" t="s">
        <v>829</v>
      </c>
      <c r="B1881" s="58" t="s">
        <v>1889</v>
      </c>
      <c r="C1881" s="58" t="s">
        <v>2442</v>
      </c>
      <c r="D1881" s="58">
        <v>8</v>
      </c>
      <c r="E1881" s="58" t="e">
        <f ca="1">Valuation!AA24</f>
        <v>#NAME?</v>
      </c>
    </row>
    <row r="1882" spans="1:5">
      <c r="A1882" s="58" t="s">
        <v>829</v>
      </c>
      <c r="B1882" s="58" t="s">
        <v>1890</v>
      </c>
      <c r="C1882" s="58" t="s">
        <v>2442</v>
      </c>
      <c r="D1882" s="58">
        <v>9</v>
      </c>
      <c r="E1882" s="58" t="e">
        <f ca="1">Valuation!AB24</f>
        <v>#NAME?</v>
      </c>
    </row>
    <row r="1883" spans="1:5">
      <c r="A1883" s="58" t="s">
        <v>829</v>
      </c>
      <c r="B1883" s="58" t="s">
        <v>2443</v>
      </c>
      <c r="C1883" s="58" t="s">
        <v>2444</v>
      </c>
      <c r="D1883" s="58">
        <v>0</v>
      </c>
      <c r="E1883" s="58">
        <f ca="1">Valuation!S28</f>
        <v>867577.59048379795</v>
      </c>
    </row>
    <row r="1884" spans="1:5">
      <c r="A1884" s="58" t="s">
        <v>829</v>
      </c>
      <c r="B1884" s="58" t="s">
        <v>2445</v>
      </c>
      <c r="C1884" s="58" t="s">
        <v>2444</v>
      </c>
      <c r="D1884" s="58">
        <v>-11</v>
      </c>
      <c r="E1884" s="58">
        <f>Valuation!H28</f>
        <v>0</v>
      </c>
    </row>
    <row r="1885" spans="1:5">
      <c r="A1885" s="58" t="s">
        <v>829</v>
      </c>
      <c r="B1885" s="58" t="s">
        <v>2446</v>
      </c>
      <c r="C1885" s="58" t="s">
        <v>2444</v>
      </c>
      <c r="D1885" s="58">
        <v>-10</v>
      </c>
      <c r="E1885" s="58">
        <f>Valuation!I28</f>
        <v>0</v>
      </c>
    </row>
    <row r="1886" spans="1:5">
      <c r="A1886" s="58" t="s">
        <v>829</v>
      </c>
      <c r="B1886" s="58" t="s">
        <v>2447</v>
      </c>
      <c r="C1886" s="58" t="s">
        <v>2444</v>
      </c>
      <c r="D1886" s="58">
        <v>-9</v>
      </c>
      <c r="E1886" s="58">
        <f>Valuation!J28</f>
        <v>0</v>
      </c>
    </row>
    <row r="1887" spans="1:5">
      <c r="A1887" s="58" t="s">
        <v>829</v>
      </c>
      <c r="B1887" s="58" t="s">
        <v>2448</v>
      </c>
      <c r="C1887" s="58" t="s">
        <v>2444</v>
      </c>
      <c r="D1887" s="58">
        <v>-8</v>
      </c>
      <c r="E1887" s="58">
        <f>Valuation!K28</f>
        <v>0</v>
      </c>
    </row>
    <row r="1888" spans="1:5">
      <c r="A1888" s="58" t="s">
        <v>829</v>
      </c>
      <c r="B1888" s="58" t="s">
        <v>2449</v>
      </c>
      <c r="C1888" s="58" t="s">
        <v>2444</v>
      </c>
      <c r="D1888" s="58">
        <v>-7</v>
      </c>
      <c r="E1888" s="58">
        <f>Valuation!L28</f>
        <v>0</v>
      </c>
    </row>
    <row r="1889" spans="1:5">
      <c r="A1889" s="58" t="s">
        <v>829</v>
      </c>
      <c r="B1889" s="58" t="s">
        <v>2450</v>
      </c>
      <c r="C1889" s="58" t="s">
        <v>2444</v>
      </c>
      <c r="D1889" s="58">
        <v>-6</v>
      </c>
      <c r="E1889" s="58">
        <f>Valuation!M28</f>
        <v>406069</v>
      </c>
    </row>
    <row r="1890" spans="1:5">
      <c r="A1890" s="58" t="s">
        <v>829</v>
      </c>
      <c r="B1890" s="58" t="s">
        <v>2451</v>
      </c>
      <c r="C1890" s="58" t="s">
        <v>2444</v>
      </c>
      <c r="D1890" s="58">
        <v>-5</v>
      </c>
      <c r="E1890" s="58">
        <f>Valuation!N28</f>
        <v>3056107</v>
      </c>
    </row>
    <row r="1891" spans="1:5">
      <c r="A1891" s="58" t="s">
        <v>829</v>
      </c>
      <c r="B1891" s="58" t="s">
        <v>2452</v>
      </c>
      <c r="C1891" s="58" t="s">
        <v>2444</v>
      </c>
      <c r="D1891" s="58">
        <v>-4</v>
      </c>
      <c r="E1891" s="58">
        <f>Valuation!O28</f>
        <v>-2975681</v>
      </c>
    </row>
    <row r="1892" spans="1:5">
      <c r="A1892" s="58" t="s">
        <v>829</v>
      </c>
      <c r="B1892" s="58" t="s">
        <v>2453</v>
      </c>
      <c r="C1892" s="58" t="s">
        <v>2444</v>
      </c>
      <c r="D1892" s="58">
        <v>-3</v>
      </c>
      <c r="E1892" s="58">
        <f>Valuation!P28</f>
        <v>5921</v>
      </c>
    </row>
    <row r="1893" spans="1:5">
      <c r="A1893" s="58" t="s">
        <v>829</v>
      </c>
      <c r="B1893" s="58" t="s">
        <v>2454</v>
      </c>
      <c r="C1893" s="58" t="s">
        <v>2444</v>
      </c>
      <c r="D1893" s="58">
        <v>-2</v>
      </c>
      <c r="E1893" s="58">
        <f>Valuation!Q28</f>
        <v>3023289</v>
      </c>
    </row>
    <row r="1894" spans="1:5">
      <c r="A1894" s="58" t="s">
        <v>829</v>
      </c>
      <c r="B1894" s="58" t="s">
        <v>2455</v>
      </c>
      <c r="C1894" s="58" t="s">
        <v>2444</v>
      </c>
      <c r="D1894" s="58">
        <v>-1</v>
      </c>
      <c r="E1894" s="58">
        <f>Valuation!R28</f>
        <v>1607478</v>
      </c>
    </row>
    <row r="1895" spans="1:5">
      <c r="A1895" s="58" t="s">
        <v>829</v>
      </c>
      <c r="B1895" s="58" t="s">
        <v>2456</v>
      </c>
      <c r="C1895" s="58" t="s">
        <v>2444</v>
      </c>
      <c r="D1895" s="58">
        <v>1</v>
      </c>
      <c r="E1895" s="58" t="e">
        <f ca="1">Valuation!T28</f>
        <v>#NAME?</v>
      </c>
    </row>
    <row r="1896" spans="1:5">
      <c r="A1896" s="58" t="s">
        <v>829</v>
      </c>
      <c r="B1896" s="58" t="s">
        <v>2457</v>
      </c>
      <c r="C1896" s="58" t="s">
        <v>2444</v>
      </c>
      <c r="D1896" s="58">
        <v>2</v>
      </c>
      <c r="E1896" s="58" t="e">
        <f ca="1">Valuation!U28</f>
        <v>#NAME?</v>
      </c>
    </row>
    <row r="1897" spans="1:5">
      <c r="A1897" s="58" t="s">
        <v>829</v>
      </c>
      <c r="B1897" s="58" t="s">
        <v>2458</v>
      </c>
      <c r="C1897" s="58" t="s">
        <v>2444</v>
      </c>
      <c r="D1897" s="58">
        <v>3</v>
      </c>
      <c r="E1897" s="58" t="e">
        <f ca="1">Valuation!V28</f>
        <v>#NAME?</v>
      </c>
    </row>
    <row r="1898" spans="1:5">
      <c r="A1898" s="58" t="s">
        <v>829</v>
      </c>
      <c r="B1898" s="58" t="s">
        <v>2459</v>
      </c>
      <c r="C1898" s="58" t="s">
        <v>2444</v>
      </c>
      <c r="D1898" s="58">
        <v>4</v>
      </c>
      <c r="E1898" s="58" t="e">
        <f ca="1">Valuation!W28</f>
        <v>#NAME?</v>
      </c>
    </row>
    <row r="1899" spans="1:5">
      <c r="A1899" s="58" t="s">
        <v>829</v>
      </c>
      <c r="B1899" s="58" t="s">
        <v>2460</v>
      </c>
      <c r="C1899" s="58" t="s">
        <v>2444</v>
      </c>
      <c r="D1899" s="58">
        <v>5</v>
      </c>
      <c r="E1899" s="58" t="e">
        <f ca="1">Valuation!X28</f>
        <v>#NAME?</v>
      </c>
    </row>
    <row r="1900" spans="1:5">
      <c r="A1900" s="58" t="s">
        <v>829</v>
      </c>
      <c r="B1900" s="58" t="s">
        <v>2461</v>
      </c>
      <c r="C1900" s="58" t="s">
        <v>2444</v>
      </c>
      <c r="D1900" s="58">
        <v>6</v>
      </c>
      <c r="E1900" s="58" t="e">
        <f ca="1">Valuation!Y28</f>
        <v>#NAME?</v>
      </c>
    </row>
    <row r="1901" spans="1:5">
      <c r="A1901" s="58" t="s">
        <v>829</v>
      </c>
      <c r="B1901" s="58" t="s">
        <v>2462</v>
      </c>
      <c r="C1901" s="58" t="s">
        <v>2444</v>
      </c>
      <c r="D1901" s="58">
        <v>7</v>
      </c>
      <c r="E1901" s="58" t="e">
        <f ca="1">Valuation!Z28</f>
        <v>#NAME?</v>
      </c>
    </row>
    <row r="1902" spans="1:5">
      <c r="A1902" s="58" t="s">
        <v>829</v>
      </c>
      <c r="B1902" s="58" t="s">
        <v>2463</v>
      </c>
      <c r="C1902" s="58" t="s">
        <v>2444</v>
      </c>
      <c r="D1902" s="58">
        <v>8</v>
      </c>
      <c r="E1902" s="58" t="e">
        <f ca="1">Valuation!AA28</f>
        <v>#NAME?</v>
      </c>
    </row>
    <row r="1903" spans="1:5">
      <c r="A1903" s="58" t="s">
        <v>829</v>
      </c>
      <c r="B1903" s="58" t="s">
        <v>2464</v>
      </c>
      <c r="C1903" s="58" t="s">
        <v>2444</v>
      </c>
      <c r="D1903" s="58">
        <v>9</v>
      </c>
      <c r="E1903" s="58" t="e">
        <f ca="1">Valuation!AB28</f>
        <v>#NAME?</v>
      </c>
    </row>
    <row r="1904" spans="1:5">
      <c r="A1904" s="58" t="s">
        <v>829</v>
      </c>
      <c r="B1904" s="58" t="s">
        <v>1913</v>
      </c>
      <c r="C1904" s="58" t="s">
        <v>2465</v>
      </c>
      <c r="D1904" s="58">
        <v>0</v>
      </c>
      <c r="E1904" s="58">
        <f ca="1">Valuation!S25</f>
        <v>0.12752398069360274</v>
      </c>
    </row>
    <row r="1905" spans="1:5">
      <c r="A1905" s="58" t="s">
        <v>829</v>
      </c>
      <c r="B1905" s="58" t="s">
        <v>1892</v>
      </c>
      <c r="C1905" s="58" t="s">
        <v>2465</v>
      </c>
      <c r="D1905" s="58">
        <v>-11</v>
      </c>
      <c r="E1905" s="58">
        <f>Valuation!H25</f>
        <v>0</v>
      </c>
    </row>
    <row r="1906" spans="1:5">
      <c r="A1906" s="58" t="s">
        <v>829</v>
      </c>
      <c r="B1906" s="58" t="s">
        <v>1894</v>
      </c>
      <c r="C1906" s="58" t="s">
        <v>2465</v>
      </c>
      <c r="D1906" s="58">
        <v>-10</v>
      </c>
      <c r="E1906" s="58">
        <f>Valuation!I25</f>
        <v>0</v>
      </c>
    </row>
    <row r="1907" spans="1:5">
      <c r="A1907" s="58" t="s">
        <v>829</v>
      </c>
      <c r="B1907" s="58" t="s">
        <v>1895</v>
      </c>
      <c r="C1907" s="58" t="s">
        <v>2465</v>
      </c>
      <c r="D1907" s="58">
        <v>-9</v>
      </c>
      <c r="E1907" s="58">
        <f>Valuation!J25</f>
        <v>0</v>
      </c>
    </row>
    <row r="1908" spans="1:5">
      <c r="A1908" s="58" t="s">
        <v>829</v>
      </c>
      <c r="B1908" s="58" t="s">
        <v>1896</v>
      </c>
      <c r="C1908" s="58" t="s">
        <v>2465</v>
      </c>
      <c r="D1908" s="58">
        <v>-8</v>
      </c>
      <c r="E1908" s="58">
        <f>Valuation!K25</f>
        <v>0</v>
      </c>
    </row>
    <row r="1909" spans="1:5">
      <c r="A1909" s="58" t="s">
        <v>829</v>
      </c>
      <c r="B1909" s="58" t="s">
        <v>1897</v>
      </c>
      <c r="C1909" s="58" t="s">
        <v>2465</v>
      </c>
      <c r="D1909" s="58">
        <v>-7</v>
      </c>
      <c r="E1909" s="58">
        <f>Valuation!L25</f>
        <v>0</v>
      </c>
    </row>
    <row r="1910" spans="1:5">
      <c r="A1910" s="58" t="s">
        <v>829</v>
      </c>
      <c r="B1910" s="58" t="s">
        <v>1898</v>
      </c>
      <c r="C1910" s="58" t="s">
        <v>2465</v>
      </c>
      <c r="D1910" s="58">
        <v>-6</v>
      </c>
      <c r="E1910" s="58">
        <f>Valuation!M25</f>
        <v>0.32012296073287977</v>
      </c>
    </row>
    <row r="1911" spans="1:5">
      <c r="A1911" s="58" t="s">
        <v>829</v>
      </c>
      <c r="B1911" s="58" t="s">
        <v>1899</v>
      </c>
      <c r="C1911" s="58" t="s">
        <v>2465</v>
      </c>
      <c r="D1911" s="58">
        <v>-5</v>
      </c>
      <c r="E1911" s="58">
        <f>Valuation!N25</f>
        <v>0.3924474745913103</v>
      </c>
    </row>
    <row r="1912" spans="1:5">
      <c r="A1912" s="58" t="s">
        <v>829</v>
      </c>
      <c r="B1912" s="58" t="s">
        <v>1900</v>
      </c>
      <c r="C1912" s="58" t="s">
        <v>2465</v>
      </c>
      <c r="D1912" s="58">
        <v>-4</v>
      </c>
      <c r="E1912" s="58">
        <f>Valuation!O25</f>
        <v>-0.84847574109137536</v>
      </c>
    </row>
    <row r="1913" spans="1:5">
      <c r="A1913" s="58" t="s">
        <v>829</v>
      </c>
      <c r="B1913" s="58" t="s">
        <v>1901</v>
      </c>
      <c r="C1913" s="58" t="s">
        <v>2465</v>
      </c>
      <c r="D1913" s="58">
        <v>-3</v>
      </c>
      <c r="E1913" s="58">
        <f>Valuation!P25</f>
        <v>-5.20083915013047E-2</v>
      </c>
    </row>
    <row r="1914" spans="1:5">
      <c r="A1914" s="58" t="s">
        <v>829</v>
      </c>
      <c r="B1914" s="58" t="s">
        <v>1902</v>
      </c>
      <c r="C1914" s="58" t="s">
        <v>2465</v>
      </c>
      <c r="D1914" s="58">
        <v>-2</v>
      </c>
      <c r="E1914" s="58">
        <f>Valuation!Q25</f>
        <v>0.35148539890445318</v>
      </c>
    </row>
    <row r="1915" spans="1:5">
      <c r="A1915" s="58" t="s">
        <v>829</v>
      </c>
      <c r="B1915" s="58" t="s">
        <v>1903</v>
      </c>
      <c r="C1915" s="58" t="s">
        <v>2465</v>
      </c>
      <c r="D1915" s="58">
        <v>-1</v>
      </c>
      <c r="E1915" s="58">
        <f>Valuation!R25</f>
        <v>0.19988525794334611</v>
      </c>
    </row>
    <row r="1916" spans="1:5">
      <c r="A1916" s="58" t="s">
        <v>829</v>
      </c>
      <c r="B1916" s="58" t="s">
        <v>1904</v>
      </c>
      <c r="C1916" s="58" t="s">
        <v>2465</v>
      </c>
      <c r="D1916" s="58">
        <v>1</v>
      </c>
      <c r="E1916" s="58" t="e">
        <f ca="1">Valuation!T25</f>
        <v>#NAME?</v>
      </c>
    </row>
    <row r="1917" spans="1:5">
      <c r="A1917" s="58" t="s">
        <v>829</v>
      </c>
      <c r="B1917" s="58" t="s">
        <v>1905</v>
      </c>
      <c r="C1917" s="58" t="s">
        <v>2465</v>
      </c>
      <c r="D1917" s="58">
        <v>2</v>
      </c>
      <c r="E1917" s="58" t="e">
        <f ca="1">Valuation!U25</f>
        <v>#NAME?</v>
      </c>
    </row>
    <row r="1918" spans="1:5">
      <c r="A1918" s="58" t="s">
        <v>829</v>
      </c>
      <c r="B1918" s="58" t="s">
        <v>1906</v>
      </c>
      <c r="C1918" s="58" t="s">
        <v>2465</v>
      </c>
      <c r="D1918" s="58">
        <v>3</v>
      </c>
      <c r="E1918" s="58" t="e">
        <f ca="1">Valuation!V25</f>
        <v>#NAME?</v>
      </c>
    </row>
    <row r="1919" spans="1:5">
      <c r="A1919" s="58" t="s">
        <v>829</v>
      </c>
      <c r="B1919" s="58" t="s">
        <v>1907</v>
      </c>
      <c r="C1919" s="58" t="s">
        <v>2465</v>
      </c>
      <c r="D1919" s="58">
        <v>4</v>
      </c>
      <c r="E1919" s="58" t="e">
        <f ca="1">Valuation!W25</f>
        <v>#NAME?</v>
      </c>
    </row>
    <row r="1920" spans="1:5">
      <c r="A1920" s="58" t="s">
        <v>829</v>
      </c>
      <c r="B1920" s="58" t="s">
        <v>1908</v>
      </c>
      <c r="C1920" s="58" t="s">
        <v>2465</v>
      </c>
      <c r="D1920" s="58">
        <v>5</v>
      </c>
      <c r="E1920" s="58" t="e">
        <f ca="1">Valuation!X25</f>
        <v>#NAME?</v>
      </c>
    </row>
    <row r="1921" spans="1:5">
      <c r="A1921" s="58" t="s">
        <v>829</v>
      </c>
      <c r="B1921" s="58" t="s">
        <v>1909</v>
      </c>
      <c r="C1921" s="58" t="s">
        <v>2465</v>
      </c>
      <c r="D1921" s="58">
        <v>6</v>
      </c>
      <c r="E1921" s="58" t="e">
        <f ca="1">Valuation!Y25</f>
        <v>#NAME?</v>
      </c>
    </row>
    <row r="1922" spans="1:5">
      <c r="A1922" s="58" t="s">
        <v>829</v>
      </c>
      <c r="B1922" s="58" t="s">
        <v>1910</v>
      </c>
      <c r="C1922" s="58" t="s">
        <v>2465</v>
      </c>
      <c r="D1922" s="58">
        <v>7</v>
      </c>
      <c r="E1922" s="58" t="e">
        <f ca="1">Valuation!Z25</f>
        <v>#NAME?</v>
      </c>
    </row>
    <row r="1923" spans="1:5">
      <c r="A1923" s="58" t="s">
        <v>829</v>
      </c>
      <c r="B1923" s="58" t="s">
        <v>1911</v>
      </c>
      <c r="C1923" s="58" t="s">
        <v>2465</v>
      </c>
      <c r="D1923" s="58">
        <v>8</v>
      </c>
      <c r="E1923" s="58" t="e">
        <f ca="1">Valuation!AA25</f>
        <v>#NAME?</v>
      </c>
    </row>
    <row r="1924" spans="1:5">
      <c r="A1924" s="58" t="s">
        <v>829</v>
      </c>
      <c r="B1924" s="58" t="s">
        <v>1912</v>
      </c>
      <c r="C1924" s="58" t="s">
        <v>2465</v>
      </c>
      <c r="D1924" s="58">
        <v>9</v>
      </c>
      <c r="E1924" s="58" t="e">
        <f ca="1">Valuation!AB25</f>
        <v>#NAME?</v>
      </c>
    </row>
    <row r="1925" spans="1:5">
      <c r="A1925" s="58" t="s">
        <v>829</v>
      </c>
      <c r="B1925" s="58" t="s">
        <v>3241</v>
      </c>
      <c r="C1925" s="58" t="s">
        <v>1158</v>
      </c>
      <c r="D1925" s="58" t="s">
        <v>1138</v>
      </c>
      <c r="E1925" s="58">
        <f>Valuation!R113</f>
        <v>0</v>
      </c>
    </row>
    <row r="1926" spans="1:5">
      <c r="A1926" s="58" t="s">
        <v>829</v>
      </c>
      <c r="B1926" s="58" t="s">
        <v>2466</v>
      </c>
      <c r="C1926" s="58" t="s">
        <v>2467</v>
      </c>
      <c r="D1926" s="58">
        <v>-11</v>
      </c>
      <c r="E1926" s="58">
        <f>Valuation!H81</f>
        <v>0</v>
      </c>
    </row>
    <row r="1927" spans="1:5">
      <c r="A1927" s="58" t="s">
        <v>829</v>
      </c>
      <c r="B1927" s="58" t="s">
        <v>2468</v>
      </c>
      <c r="C1927" s="58" t="s">
        <v>2467</v>
      </c>
      <c r="D1927" s="58">
        <v>-10</v>
      </c>
      <c r="E1927" s="58">
        <f>Valuation!I81</f>
        <v>0</v>
      </c>
    </row>
    <row r="1928" spans="1:5">
      <c r="A1928" s="58" t="s">
        <v>829</v>
      </c>
      <c r="B1928" s="58" t="s">
        <v>2469</v>
      </c>
      <c r="C1928" s="58" t="s">
        <v>2467</v>
      </c>
      <c r="D1928" s="58">
        <v>-9</v>
      </c>
      <c r="E1928" s="58">
        <f>Valuation!J81</f>
        <v>0</v>
      </c>
    </row>
    <row r="1929" spans="1:5">
      <c r="A1929" s="58" t="s">
        <v>829</v>
      </c>
      <c r="B1929" s="58" t="s">
        <v>2470</v>
      </c>
      <c r="C1929" s="58" t="s">
        <v>2467</v>
      </c>
      <c r="D1929" s="58">
        <v>-8</v>
      </c>
      <c r="E1929" s="58">
        <f>Valuation!K81</f>
        <v>0</v>
      </c>
    </row>
    <row r="1930" spans="1:5">
      <c r="A1930" s="58" t="s">
        <v>829</v>
      </c>
      <c r="B1930" s="58" t="s">
        <v>2471</v>
      </c>
      <c r="C1930" s="58" t="s">
        <v>2467</v>
      </c>
      <c r="D1930" s="58">
        <v>-7</v>
      </c>
      <c r="E1930" s="58">
        <f>Valuation!L81</f>
        <v>0</v>
      </c>
    </row>
    <row r="1931" spans="1:5">
      <c r="A1931" s="58" t="s">
        <v>829</v>
      </c>
      <c r="B1931" s="58" t="s">
        <v>2472</v>
      </c>
      <c r="C1931" s="58" t="s">
        <v>2467</v>
      </c>
      <c r="D1931" s="58">
        <v>-6</v>
      </c>
      <c r="E1931" s="58">
        <f>Valuation!M81</f>
        <v>0</v>
      </c>
    </row>
    <row r="1932" spans="1:5">
      <c r="A1932" s="58" t="s">
        <v>829</v>
      </c>
      <c r="B1932" s="58" t="s">
        <v>2473</v>
      </c>
      <c r="C1932" s="58" t="s">
        <v>2467</v>
      </c>
      <c r="D1932" s="58">
        <v>-5</v>
      </c>
      <c r="E1932" s="58">
        <f>Valuation!N81</f>
        <v>176689</v>
      </c>
    </row>
    <row r="1933" spans="1:5">
      <c r="A1933" s="58" t="s">
        <v>829</v>
      </c>
      <c r="B1933" s="58" t="s">
        <v>2474</v>
      </c>
      <c r="C1933" s="58" t="s">
        <v>2467</v>
      </c>
      <c r="D1933" s="58">
        <v>-4</v>
      </c>
      <c r="E1933" s="58">
        <f>Valuation!O81</f>
        <v>135429</v>
      </c>
    </row>
    <row r="1934" spans="1:5">
      <c r="A1934" s="58" t="s">
        <v>829</v>
      </c>
      <c r="B1934" s="58" t="s">
        <v>2475</v>
      </c>
      <c r="C1934" s="58" t="s">
        <v>2467</v>
      </c>
      <c r="D1934" s="58">
        <v>-3</v>
      </c>
      <c r="E1934" s="58">
        <f>Valuation!P81</f>
        <v>86422</v>
      </c>
    </row>
    <row r="1935" spans="1:5">
      <c r="A1935" s="58" t="s">
        <v>829</v>
      </c>
      <c r="B1935" s="58" t="s">
        <v>2476</v>
      </c>
      <c r="C1935" s="58" t="s">
        <v>2467</v>
      </c>
      <c r="D1935" s="58">
        <v>-2</v>
      </c>
      <c r="E1935" s="58">
        <f>Valuation!Q81</f>
        <v>46804</v>
      </c>
    </row>
    <row r="1936" spans="1:5">
      <c r="A1936" s="58" t="s">
        <v>829</v>
      </c>
      <c r="B1936" s="58" t="s">
        <v>2477</v>
      </c>
      <c r="C1936" s="58" t="s">
        <v>2467</v>
      </c>
      <c r="D1936" s="58">
        <v>-1</v>
      </c>
      <c r="E1936" s="58">
        <f>Valuation!R81</f>
        <v>1397794</v>
      </c>
    </row>
    <row r="1937" spans="1:5">
      <c r="A1937" s="58" t="s">
        <v>829</v>
      </c>
      <c r="B1937" s="58" t="s">
        <v>2478</v>
      </c>
      <c r="C1937" s="58" t="s">
        <v>2467</v>
      </c>
      <c r="D1937" s="58">
        <v>1</v>
      </c>
      <c r="E1937" s="58">
        <f>Valuation!T81</f>
        <v>1129222</v>
      </c>
    </row>
    <row r="1938" spans="1:5">
      <c r="A1938" s="58" t="s">
        <v>829</v>
      </c>
      <c r="B1938" s="58" t="s">
        <v>2479</v>
      </c>
      <c r="C1938" s="58" t="s">
        <v>2467</v>
      </c>
      <c r="D1938" s="58">
        <v>2</v>
      </c>
      <c r="E1938" s="58">
        <f>Valuation!U81</f>
        <v>1001741</v>
      </c>
    </row>
    <row r="1939" spans="1:5">
      <c r="A1939" s="58" t="s">
        <v>829</v>
      </c>
      <c r="B1939" s="58" t="s">
        <v>2480</v>
      </c>
      <c r="C1939" s="58" t="s">
        <v>2467</v>
      </c>
      <c r="D1939" s="58">
        <v>3</v>
      </c>
      <c r="E1939" s="58">
        <f>Valuation!V81</f>
        <v>877698</v>
      </c>
    </row>
    <row r="1940" spans="1:5">
      <c r="A1940" s="58" t="s">
        <v>829</v>
      </c>
      <c r="B1940" s="58" t="s">
        <v>2481</v>
      </c>
      <c r="C1940" s="58" t="s">
        <v>2467</v>
      </c>
      <c r="D1940" s="58">
        <v>4</v>
      </c>
      <c r="E1940" s="58">
        <f>Valuation!W81</f>
        <v>754174</v>
      </c>
    </row>
    <row r="1941" spans="1:5">
      <c r="A1941" s="58" t="s">
        <v>829</v>
      </c>
      <c r="B1941" s="58" t="s">
        <v>2482</v>
      </c>
      <c r="C1941" s="58" t="s">
        <v>2467</v>
      </c>
      <c r="D1941" s="58">
        <v>5</v>
      </c>
      <c r="E1941" s="58">
        <f>Valuation!X81</f>
        <v>636826.19999999995</v>
      </c>
    </row>
    <row r="1942" spans="1:5">
      <c r="A1942" s="58" t="s">
        <v>829</v>
      </c>
      <c r="B1942" s="58" t="s">
        <v>2483</v>
      </c>
      <c r="C1942" s="58" t="s">
        <v>2467</v>
      </c>
      <c r="D1942" s="58">
        <v>6</v>
      </c>
      <c r="E1942" s="58">
        <f>Valuation!Y81</f>
        <v>525345.78999999992</v>
      </c>
    </row>
    <row r="1943" spans="1:5">
      <c r="A1943" s="58" t="s">
        <v>829</v>
      </c>
      <c r="B1943" s="58" t="s">
        <v>2484</v>
      </c>
      <c r="C1943" s="58" t="s">
        <v>2467</v>
      </c>
      <c r="D1943" s="58">
        <v>7</v>
      </c>
      <c r="E1943" s="58">
        <f>Valuation!Z81</f>
        <v>419439.40049999993</v>
      </c>
    </row>
    <row r="1944" spans="1:5">
      <c r="A1944" s="58" t="s">
        <v>829</v>
      </c>
      <c r="B1944" s="58" t="s">
        <v>2485</v>
      </c>
      <c r="C1944" s="58" t="s">
        <v>2467</v>
      </c>
      <c r="D1944" s="58">
        <v>8</v>
      </c>
      <c r="E1944" s="58">
        <f>Valuation!AA81</f>
        <v>318828.33047499997</v>
      </c>
    </row>
    <row r="1945" spans="1:5">
      <c r="A1945" s="58" t="s">
        <v>829</v>
      </c>
      <c r="B1945" s="58" t="s">
        <v>2486</v>
      </c>
      <c r="C1945" s="58" t="s">
        <v>2467</v>
      </c>
      <c r="D1945" s="58">
        <v>9</v>
      </c>
      <c r="E1945" s="58">
        <f>Valuation!AB81</f>
        <v>223247.81395124999</v>
      </c>
    </row>
    <row r="1946" spans="1:5">
      <c r="A1946" s="58" t="s">
        <v>829</v>
      </c>
      <c r="B1946" s="58" t="s">
        <v>2487</v>
      </c>
      <c r="C1946" s="58" t="s">
        <v>2467</v>
      </c>
      <c r="D1946" s="58">
        <v>0</v>
      </c>
      <c r="E1946" s="58">
        <f>Valuation!S81</f>
        <v>1259563</v>
      </c>
    </row>
    <row r="1947" spans="1:5">
      <c r="A1947" s="58" t="s">
        <v>829</v>
      </c>
      <c r="B1947" s="58" t="s">
        <v>2488</v>
      </c>
      <c r="C1947" s="58" t="s">
        <v>2489</v>
      </c>
      <c r="D1947" s="58">
        <v>-11</v>
      </c>
      <c r="E1947" s="58">
        <f>Valuation!H84</f>
        <v>0</v>
      </c>
    </row>
    <row r="1948" spans="1:5">
      <c r="A1948" s="58" t="s">
        <v>829</v>
      </c>
      <c r="B1948" s="58" t="s">
        <v>2490</v>
      </c>
      <c r="C1948" s="58" t="s">
        <v>2489</v>
      </c>
      <c r="D1948" s="58">
        <v>-10</v>
      </c>
      <c r="E1948" s="58">
        <f>Valuation!I84</f>
        <v>0</v>
      </c>
    </row>
    <row r="1949" spans="1:5">
      <c r="A1949" s="58" t="s">
        <v>829</v>
      </c>
      <c r="B1949" s="58" t="s">
        <v>2491</v>
      </c>
      <c r="C1949" s="58" t="s">
        <v>2489</v>
      </c>
      <c r="D1949" s="58">
        <v>-9</v>
      </c>
      <c r="E1949" s="58">
        <f>Valuation!J84</f>
        <v>0</v>
      </c>
    </row>
    <row r="1950" spans="1:5">
      <c r="A1950" s="58" t="s">
        <v>829</v>
      </c>
      <c r="B1950" s="58" t="s">
        <v>2492</v>
      </c>
      <c r="C1950" s="58" t="s">
        <v>2489</v>
      </c>
      <c r="D1950" s="58">
        <v>-8</v>
      </c>
      <c r="E1950" s="58">
        <f>Valuation!K84</f>
        <v>0</v>
      </c>
    </row>
    <row r="1951" spans="1:5">
      <c r="A1951" s="58" t="s">
        <v>829</v>
      </c>
      <c r="B1951" s="58" t="s">
        <v>2493</v>
      </c>
      <c r="C1951" s="58" t="s">
        <v>2489</v>
      </c>
      <c r="D1951" s="58">
        <v>-7</v>
      </c>
      <c r="E1951" s="58">
        <f>Valuation!L84</f>
        <v>0</v>
      </c>
    </row>
    <row r="1952" spans="1:5">
      <c r="A1952" s="58" t="s">
        <v>829</v>
      </c>
      <c r="B1952" s="58" t="s">
        <v>2494</v>
      </c>
      <c r="C1952" s="58" t="s">
        <v>2489</v>
      </c>
      <c r="D1952" s="58">
        <v>-6</v>
      </c>
      <c r="E1952" s="58">
        <f>Valuation!M84</f>
        <v>3903747</v>
      </c>
    </row>
    <row r="1953" spans="1:5">
      <c r="A1953" s="58" t="s">
        <v>829</v>
      </c>
      <c r="B1953" s="58" t="s">
        <v>2495</v>
      </c>
      <c r="C1953" s="58" t="s">
        <v>2489</v>
      </c>
      <c r="D1953" s="58">
        <v>-5</v>
      </c>
      <c r="E1953" s="58">
        <f>Valuation!N84</f>
        <v>10760467</v>
      </c>
    </row>
    <row r="1954" spans="1:5">
      <c r="A1954" s="58" t="s">
        <v>829</v>
      </c>
      <c r="B1954" s="58" t="s">
        <v>2496</v>
      </c>
      <c r="C1954" s="58" t="s">
        <v>2489</v>
      </c>
      <c r="D1954" s="58">
        <v>-4</v>
      </c>
      <c r="E1954" s="58">
        <f>Valuation!O84</f>
        <v>5327524</v>
      </c>
    </row>
    <row r="1955" spans="1:5">
      <c r="A1955" s="58" t="s">
        <v>829</v>
      </c>
      <c r="B1955" s="58" t="s">
        <v>2497</v>
      </c>
      <c r="C1955" s="58" t="s">
        <v>2489</v>
      </c>
      <c r="D1955" s="58">
        <v>-3</v>
      </c>
      <c r="E1955" s="58">
        <f>Valuation!P84</f>
        <v>4732396</v>
      </c>
    </row>
    <row r="1956" spans="1:5">
      <c r="A1956" s="58" t="s">
        <v>829</v>
      </c>
      <c r="B1956" s="58" t="s">
        <v>2498</v>
      </c>
      <c r="C1956" s="58" t="s">
        <v>2489</v>
      </c>
      <c r="D1956" s="58">
        <v>-2</v>
      </c>
      <c r="E1956" s="58">
        <f>Valuation!Q84</f>
        <v>7547802</v>
      </c>
    </row>
    <row r="1957" spans="1:5">
      <c r="A1957" s="58" t="s">
        <v>829</v>
      </c>
      <c r="B1957" s="58" t="s">
        <v>2499</v>
      </c>
      <c r="C1957" s="58" t="s">
        <v>2489</v>
      </c>
      <c r="D1957" s="58">
        <v>-1</v>
      </c>
      <c r="E1957" s="58">
        <f>Valuation!R84</f>
        <v>6797099</v>
      </c>
    </row>
    <row r="1958" spans="1:5">
      <c r="A1958" s="58" t="s">
        <v>829</v>
      </c>
      <c r="B1958" s="58" t="s">
        <v>2500</v>
      </c>
      <c r="C1958" s="58" t="s">
        <v>2489</v>
      </c>
      <c r="D1958" s="58">
        <v>1</v>
      </c>
      <c r="E1958" s="58">
        <f>Valuation!T84</f>
        <v>7493801.6475000009</v>
      </c>
    </row>
    <row r="1959" spans="1:5">
      <c r="A1959" s="58" t="s">
        <v>829</v>
      </c>
      <c r="B1959" s="58" t="s">
        <v>2501</v>
      </c>
      <c r="C1959" s="58" t="s">
        <v>2489</v>
      </c>
      <c r="D1959" s="58">
        <v>2</v>
      </c>
      <c r="E1959" s="58">
        <f>Valuation!U84</f>
        <v>7868491.7298750011</v>
      </c>
    </row>
    <row r="1960" spans="1:5">
      <c r="A1960" s="58" t="s">
        <v>829</v>
      </c>
      <c r="B1960" s="58" t="s">
        <v>2502</v>
      </c>
      <c r="C1960" s="58" t="s">
        <v>2489</v>
      </c>
      <c r="D1960" s="58">
        <v>3</v>
      </c>
      <c r="E1960" s="58">
        <f>Valuation!V84</f>
        <v>8261916.3163687512</v>
      </c>
    </row>
    <row r="1961" spans="1:5">
      <c r="A1961" s="58" t="s">
        <v>829</v>
      </c>
      <c r="B1961" s="58" t="s">
        <v>2503</v>
      </c>
      <c r="C1961" s="58" t="s">
        <v>2489</v>
      </c>
      <c r="D1961" s="58">
        <v>4</v>
      </c>
      <c r="E1961" s="58">
        <f>Valuation!W84</f>
        <v>8675012.1321871895</v>
      </c>
    </row>
    <row r="1962" spans="1:5">
      <c r="A1962" s="58" t="s">
        <v>829</v>
      </c>
      <c r="B1962" s="58" t="s">
        <v>2504</v>
      </c>
      <c r="C1962" s="58" t="s">
        <v>2489</v>
      </c>
      <c r="D1962" s="58">
        <v>5</v>
      </c>
      <c r="E1962" s="58">
        <f>Valuation!X84</f>
        <v>9108762.7387965489</v>
      </c>
    </row>
    <row r="1963" spans="1:5">
      <c r="A1963" s="58" t="s">
        <v>829</v>
      </c>
      <c r="B1963" s="58" t="s">
        <v>2505</v>
      </c>
      <c r="C1963" s="58" t="s">
        <v>2489</v>
      </c>
      <c r="D1963" s="58">
        <v>6</v>
      </c>
      <c r="E1963" s="58">
        <f>Valuation!Y84</f>
        <v>9564200.8757363763</v>
      </c>
    </row>
    <row r="1964" spans="1:5">
      <c r="A1964" s="58" t="s">
        <v>829</v>
      </c>
      <c r="B1964" s="58" t="s">
        <v>2506</v>
      </c>
      <c r="C1964" s="58" t="s">
        <v>2489</v>
      </c>
      <c r="D1964" s="58">
        <v>7</v>
      </c>
      <c r="E1964" s="58">
        <f>Valuation!Z84</f>
        <v>10042410.919523196</v>
      </c>
    </row>
    <row r="1965" spans="1:5">
      <c r="A1965" s="58" t="s">
        <v>829</v>
      </c>
      <c r="B1965" s="58" t="s">
        <v>2507</v>
      </c>
      <c r="C1965" s="58" t="s">
        <v>2489</v>
      </c>
      <c r="D1965" s="58">
        <v>8</v>
      </c>
      <c r="E1965" s="58">
        <f>Valuation!AA84</f>
        <v>10544531.465499356</v>
      </c>
    </row>
    <row r="1966" spans="1:5">
      <c r="A1966" s="58" t="s">
        <v>829</v>
      </c>
      <c r="B1966" s="58" t="s">
        <v>2508</v>
      </c>
      <c r="C1966" s="58" t="s">
        <v>2489</v>
      </c>
      <c r="D1966" s="58">
        <v>9</v>
      </c>
      <c r="E1966" s="58">
        <f>Valuation!AB84</f>
        <v>11071758.038774325</v>
      </c>
    </row>
    <row r="1967" spans="1:5">
      <c r="A1967" s="58" t="s">
        <v>829</v>
      </c>
      <c r="B1967" s="58" t="s">
        <v>2509</v>
      </c>
      <c r="C1967" s="58" t="s">
        <v>2489</v>
      </c>
      <c r="D1967" s="58">
        <v>0</v>
      </c>
      <c r="E1967" s="58">
        <f>Valuation!S84</f>
        <v>7136953.9500000002</v>
      </c>
    </row>
    <row r="1968" spans="1:5">
      <c r="A1968" s="58" t="s">
        <v>829</v>
      </c>
      <c r="B1968" s="58" t="s">
        <v>2510</v>
      </c>
      <c r="C1968" s="58" t="s">
        <v>2511</v>
      </c>
      <c r="D1968" s="58">
        <v>0</v>
      </c>
      <c r="E1968" s="58">
        <f>Valuation!S183</f>
        <v>0</v>
      </c>
    </row>
    <row r="1969" spans="1:5">
      <c r="A1969" s="58" t="s">
        <v>829</v>
      </c>
      <c r="B1969" s="58" t="s">
        <v>2512</v>
      </c>
      <c r="C1969" s="58" t="s">
        <v>2511</v>
      </c>
      <c r="D1969" s="58">
        <v>-11</v>
      </c>
      <c r="E1969" s="58">
        <f>Valuation!H183</f>
        <v>0</v>
      </c>
    </row>
    <row r="1970" spans="1:5">
      <c r="A1970" s="58" t="s">
        <v>829</v>
      </c>
      <c r="B1970" s="58" t="s">
        <v>2513</v>
      </c>
      <c r="C1970" s="58" t="s">
        <v>2511</v>
      </c>
      <c r="D1970" s="58">
        <v>-10</v>
      </c>
      <c r="E1970" s="58">
        <f>Valuation!I183</f>
        <v>0</v>
      </c>
    </row>
    <row r="1971" spans="1:5">
      <c r="A1971" s="58" t="s">
        <v>829</v>
      </c>
      <c r="B1971" s="58" t="s">
        <v>2514</v>
      </c>
      <c r="C1971" s="58" t="s">
        <v>2511</v>
      </c>
      <c r="D1971" s="58">
        <v>-9</v>
      </c>
      <c r="E1971" s="58">
        <f>Valuation!J183</f>
        <v>0</v>
      </c>
    </row>
    <row r="1972" spans="1:5">
      <c r="A1972" s="58" t="s">
        <v>829</v>
      </c>
      <c r="B1972" s="58" t="s">
        <v>2515</v>
      </c>
      <c r="C1972" s="58" t="s">
        <v>2511</v>
      </c>
      <c r="D1972" s="58">
        <v>-8</v>
      </c>
      <c r="E1972" s="58">
        <f>Valuation!K183</f>
        <v>0</v>
      </c>
    </row>
    <row r="1973" spans="1:5">
      <c r="A1973" s="58" t="s">
        <v>829</v>
      </c>
      <c r="B1973" s="58" t="s">
        <v>2516</v>
      </c>
      <c r="C1973" s="58" t="s">
        <v>2511</v>
      </c>
      <c r="D1973" s="58">
        <v>-7</v>
      </c>
      <c r="E1973" s="58">
        <f>Valuation!L183</f>
        <v>0</v>
      </c>
    </row>
    <row r="1974" spans="1:5">
      <c r="A1974" s="58" t="s">
        <v>829</v>
      </c>
      <c r="B1974" s="58" t="s">
        <v>2517</v>
      </c>
      <c r="C1974" s="58" t="s">
        <v>2511</v>
      </c>
      <c r="D1974" s="58">
        <v>-6</v>
      </c>
      <c r="E1974" s="58">
        <f>Valuation!M183</f>
        <v>0</v>
      </c>
    </row>
    <row r="1975" spans="1:5">
      <c r="A1975" s="58" t="s">
        <v>829</v>
      </c>
      <c r="B1975" s="58" t="s">
        <v>2518</v>
      </c>
      <c r="C1975" s="58" t="s">
        <v>2511</v>
      </c>
      <c r="D1975" s="58">
        <v>-5</v>
      </c>
      <c r="E1975" s="58">
        <f>Valuation!N183</f>
        <v>0</v>
      </c>
    </row>
    <row r="1976" spans="1:5">
      <c r="A1976" s="58" t="s">
        <v>829</v>
      </c>
      <c r="B1976" s="58" t="s">
        <v>2519</v>
      </c>
      <c r="C1976" s="58" t="s">
        <v>2511</v>
      </c>
      <c r="D1976" s="58">
        <v>-4</v>
      </c>
      <c r="E1976" s="58">
        <f>Valuation!O183</f>
        <v>0</v>
      </c>
    </row>
    <row r="1977" spans="1:5">
      <c r="A1977" s="58" t="s">
        <v>829</v>
      </c>
      <c r="B1977" s="58" t="s">
        <v>2520</v>
      </c>
      <c r="C1977" s="58" t="s">
        <v>2511</v>
      </c>
      <c r="D1977" s="58">
        <v>-3</v>
      </c>
      <c r="E1977" s="58">
        <f>Valuation!P183</f>
        <v>0</v>
      </c>
    </row>
    <row r="1978" spans="1:5">
      <c r="A1978" s="58" t="s">
        <v>829</v>
      </c>
      <c r="B1978" s="58" t="s">
        <v>2521</v>
      </c>
      <c r="C1978" s="58" t="s">
        <v>2511</v>
      </c>
      <c r="D1978" s="58">
        <v>-2</v>
      </c>
      <c r="E1978" s="58">
        <f>Valuation!Q183</f>
        <v>0</v>
      </c>
    </row>
    <row r="1979" spans="1:5">
      <c r="A1979" s="58" t="s">
        <v>829</v>
      </c>
      <c r="B1979" s="58" t="s">
        <v>2522</v>
      </c>
      <c r="C1979" s="58" t="s">
        <v>2511</v>
      </c>
      <c r="D1979" s="58">
        <v>-1</v>
      </c>
      <c r="E1979" s="58">
        <f>Valuation!R183</f>
        <v>0</v>
      </c>
    </row>
    <row r="1980" spans="1:5">
      <c r="A1980" s="58" t="s">
        <v>829</v>
      </c>
      <c r="B1980" s="58" t="s">
        <v>2523</v>
      </c>
      <c r="C1980" s="58" t="s">
        <v>2511</v>
      </c>
      <c r="D1980" s="58">
        <v>1</v>
      </c>
      <c r="E1980" s="58">
        <f>Valuation!T183</f>
        <v>0</v>
      </c>
    </row>
    <row r="1981" spans="1:5">
      <c r="A1981" s="58" t="s">
        <v>829</v>
      </c>
      <c r="B1981" s="58" t="s">
        <v>2524</v>
      </c>
      <c r="C1981" s="58" t="s">
        <v>2511</v>
      </c>
      <c r="D1981" s="58">
        <v>2</v>
      </c>
      <c r="E1981" s="58">
        <f>Valuation!U183</f>
        <v>0</v>
      </c>
    </row>
    <row r="1982" spans="1:5">
      <c r="A1982" s="58" t="s">
        <v>829</v>
      </c>
      <c r="B1982" s="58" t="s">
        <v>2525</v>
      </c>
      <c r="C1982" s="58" t="s">
        <v>2511</v>
      </c>
      <c r="D1982" s="58">
        <v>3</v>
      </c>
      <c r="E1982" s="58">
        <f>Valuation!V183</f>
        <v>0</v>
      </c>
    </row>
    <row r="1983" spans="1:5">
      <c r="A1983" s="58" t="s">
        <v>829</v>
      </c>
      <c r="B1983" s="58" t="s">
        <v>2526</v>
      </c>
      <c r="C1983" s="58" t="s">
        <v>2511</v>
      </c>
      <c r="D1983" s="58">
        <v>4</v>
      </c>
      <c r="E1983" s="58">
        <f>Valuation!W183</f>
        <v>0</v>
      </c>
    </row>
    <row r="1984" spans="1:5">
      <c r="A1984" s="58" t="s">
        <v>829</v>
      </c>
      <c r="B1984" s="58" t="s">
        <v>2527</v>
      </c>
      <c r="C1984" s="58" t="s">
        <v>2511</v>
      </c>
      <c r="D1984" s="58">
        <v>5</v>
      </c>
      <c r="E1984" s="58">
        <f>Valuation!X183</f>
        <v>0</v>
      </c>
    </row>
    <row r="1985" spans="1:5">
      <c r="A1985" s="58" t="s">
        <v>829</v>
      </c>
      <c r="B1985" s="58" t="s">
        <v>2528</v>
      </c>
      <c r="C1985" s="58" t="s">
        <v>2511</v>
      </c>
      <c r="D1985" s="58">
        <v>6</v>
      </c>
      <c r="E1985" s="58">
        <f>Valuation!Y183</f>
        <v>0</v>
      </c>
    </row>
    <row r="1986" spans="1:5">
      <c r="A1986" s="58" t="s">
        <v>829</v>
      </c>
      <c r="B1986" s="58" t="s">
        <v>2529</v>
      </c>
      <c r="C1986" s="58" t="s">
        <v>2511</v>
      </c>
      <c r="D1986" s="58">
        <v>7</v>
      </c>
      <c r="E1986" s="58">
        <f>Valuation!Z183</f>
        <v>0</v>
      </c>
    </row>
    <row r="1987" spans="1:5">
      <c r="A1987" s="58" t="s">
        <v>829</v>
      </c>
      <c r="B1987" s="58" t="s">
        <v>2530</v>
      </c>
      <c r="C1987" s="58" t="s">
        <v>2511</v>
      </c>
      <c r="D1987" s="58">
        <v>8</v>
      </c>
      <c r="E1987" s="58">
        <f>Valuation!AA183</f>
        <v>0</v>
      </c>
    </row>
    <row r="1988" spans="1:5">
      <c r="A1988" s="58" t="s">
        <v>829</v>
      </c>
      <c r="B1988" s="58" t="s">
        <v>2531</v>
      </c>
      <c r="C1988" s="58" t="s">
        <v>2511</v>
      </c>
      <c r="D1988" s="58">
        <v>9</v>
      </c>
      <c r="E1988" s="58">
        <f>Valuation!AB183</f>
        <v>0</v>
      </c>
    </row>
    <row r="1989" spans="1:5">
      <c r="A1989" s="58" t="s">
        <v>829</v>
      </c>
      <c r="B1989" s="58" t="s">
        <v>2532</v>
      </c>
      <c r="C1989" s="58" t="s">
        <v>2533</v>
      </c>
      <c r="D1989" s="58">
        <v>-11</v>
      </c>
      <c r="E1989" s="58">
        <f>Valuation!H90</f>
        <v>0</v>
      </c>
    </row>
    <row r="1990" spans="1:5">
      <c r="A1990" s="58" t="s">
        <v>829</v>
      </c>
      <c r="B1990" s="58" t="s">
        <v>2534</v>
      </c>
      <c r="C1990" s="58" t="s">
        <v>2533</v>
      </c>
      <c r="D1990" s="58">
        <v>-10</v>
      </c>
      <c r="E1990" s="58">
        <f>Valuation!I90</f>
        <v>0</v>
      </c>
    </row>
    <row r="1991" spans="1:5">
      <c r="A1991" s="58" t="s">
        <v>829</v>
      </c>
      <c r="B1991" s="58" t="s">
        <v>2535</v>
      </c>
      <c r="C1991" s="58" t="s">
        <v>2533</v>
      </c>
      <c r="D1991" s="58">
        <v>-9</v>
      </c>
      <c r="E1991" s="58">
        <f>Valuation!J90</f>
        <v>0</v>
      </c>
    </row>
    <row r="1992" spans="1:5">
      <c r="A1992" s="58" t="s">
        <v>829</v>
      </c>
      <c r="B1992" s="58" t="s">
        <v>2536</v>
      </c>
      <c r="C1992" s="58" t="s">
        <v>2533</v>
      </c>
      <c r="D1992" s="58">
        <v>-8</v>
      </c>
      <c r="E1992" s="58">
        <f>Valuation!K90</f>
        <v>0</v>
      </c>
    </row>
    <row r="1993" spans="1:5">
      <c r="A1993" s="58" t="s">
        <v>829</v>
      </c>
      <c r="B1993" s="58" t="s">
        <v>2537</v>
      </c>
      <c r="C1993" s="58" t="s">
        <v>2533</v>
      </c>
      <c r="D1993" s="58">
        <v>-7</v>
      </c>
      <c r="E1993" s="58">
        <f>Valuation!L90</f>
        <v>0</v>
      </c>
    </row>
    <row r="1994" spans="1:5">
      <c r="A1994" s="58" t="s">
        <v>829</v>
      </c>
      <c r="B1994" s="58" t="s">
        <v>2538</v>
      </c>
      <c r="C1994" s="58" t="s">
        <v>2533</v>
      </c>
      <c r="D1994" s="58">
        <v>-6</v>
      </c>
      <c r="E1994" s="58">
        <f>Valuation!M90</f>
        <v>4244252</v>
      </c>
    </row>
    <row r="1995" spans="1:5">
      <c r="A1995" s="58" t="s">
        <v>829</v>
      </c>
      <c r="B1995" s="58" t="s">
        <v>2539</v>
      </c>
      <c r="C1995" s="58" t="s">
        <v>2533</v>
      </c>
      <c r="D1995" s="58">
        <v>-5</v>
      </c>
      <c r="E1995" s="58">
        <f>Valuation!N90</f>
        <v>11453280</v>
      </c>
    </row>
    <row r="1996" spans="1:5">
      <c r="A1996" s="58" t="s">
        <v>829</v>
      </c>
      <c r="B1996" s="58" t="s">
        <v>2540</v>
      </c>
      <c r="C1996" s="58" t="s">
        <v>2533</v>
      </c>
      <c r="D1996" s="58">
        <v>-4</v>
      </c>
      <c r="E1996" s="58">
        <f>Valuation!O90</f>
        <v>5388106</v>
      </c>
    </row>
    <row r="1997" spans="1:5">
      <c r="A1997" s="58" t="s">
        <v>829</v>
      </c>
      <c r="B1997" s="58" t="s">
        <v>2541</v>
      </c>
      <c r="C1997" s="58" t="s">
        <v>2533</v>
      </c>
      <c r="D1997" s="58">
        <v>-3</v>
      </c>
      <c r="E1997" s="58">
        <f>Valuation!P90</f>
        <v>5095598</v>
      </c>
    </row>
    <row r="1998" spans="1:5">
      <c r="A1998" s="58" t="s">
        <v>829</v>
      </c>
      <c r="B1998" s="58" t="s">
        <v>2542</v>
      </c>
      <c r="C1998" s="58" t="s">
        <v>2533</v>
      </c>
      <c r="D1998" s="58">
        <v>-2</v>
      </c>
      <c r="E1998" s="58">
        <f>Valuation!Q90</f>
        <v>7577894</v>
      </c>
    </row>
    <row r="1999" spans="1:5">
      <c r="A1999" s="58" t="s">
        <v>829</v>
      </c>
      <c r="B1999" s="58" t="s">
        <v>2543</v>
      </c>
      <c r="C1999" s="58" t="s">
        <v>2533</v>
      </c>
      <c r="D1999" s="58">
        <v>-1</v>
      </c>
      <c r="E1999" s="58">
        <f>Valuation!R90</f>
        <v>6861987</v>
      </c>
    </row>
    <row r="2000" spans="1:5">
      <c r="A2000" s="58" t="s">
        <v>829</v>
      </c>
      <c r="B2000" s="58" t="s">
        <v>2544</v>
      </c>
      <c r="C2000" s="58" t="s">
        <v>2533</v>
      </c>
      <c r="D2000" s="58">
        <v>1</v>
      </c>
      <c r="E2000" s="58">
        <f>Valuation!T90</f>
        <v>7565340.6675000004</v>
      </c>
    </row>
    <row r="2001" spans="1:5">
      <c r="A2001" s="58" t="s">
        <v>829</v>
      </c>
      <c r="B2001" s="58" t="s">
        <v>2545</v>
      </c>
      <c r="C2001" s="58" t="s">
        <v>2533</v>
      </c>
      <c r="D2001" s="58">
        <v>2</v>
      </c>
      <c r="E2001" s="58">
        <f>Valuation!U90</f>
        <v>7943607.700875001</v>
      </c>
    </row>
    <row r="2002" spans="1:5">
      <c r="A2002" s="58" t="s">
        <v>829</v>
      </c>
      <c r="B2002" s="58" t="s">
        <v>2546</v>
      </c>
      <c r="C2002" s="58" t="s">
        <v>2533</v>
      </c>
      <c r="D2002" s="58">
        <v>3</v>
      </c>
      <c r="E2002" s="58">
        <f>Valuation!V90</f>
        <v>8340788.0859187515</v>
      </c>
    </row>
    <row r="2003" spans="1:5">
      <c r="A2003" s="58" t="s">
        <v>829</v>
      </c>
      <c r="B2003" s="58" t="s">
        <v>2547</v>
      </c>
      <c r="C2003" s="58" t="s">
        <v>2533</v>
      </c>
      <c r="D2003" s="58">
        <v>4</v>
      </c>
      <c r="E2003" s="58">
        <f>Valuation!W90</f>
        <v>8757827.4902146887</v>
      </c>
    </row>
    <row r="2004" spans="1:5">
      <c r="A2004" s="58" t="s">
        <v>829</v>
      </c>
      <c r="B2004" s="58" t="s">
        <v>2548</v>
      </c>
      <c r="C2004" s="58" t="s">
        <v>2533</v>
      </c>
      <c r="D2004" s="58">
        <v>5</v>
      </c>
      <c r="E2004" s="58">
        <f>Valuation!X90</f>
        <v>9195718.864725424</v>
      </c>
    </row>
    <row r="2005" spans="1:5">
      <c r="A2005" s="58" t="s">
        <v>829</v>
      </c>
      <c r="B2005" s="58" t="s">
        <v>2549</v>
      </c>
      <c r="C2005" s="58" t="s">
        <v>2533</v>
      </c>
      <c r="D2005" s="58">
        <v>6</v>
      </c>
      <c r="E2005" s="58">
        <f>Valuation!Y90</f>
        <v>9655504.8079616949</v>
      </c>
    </row>
    <row r="2006" spans="1:5">
      <c r="A2006" s="58" t="s">
        <v>829</v>
      </c>
      <c r="B2006" s="58" t="s">
        <v>2550</v>
      </c>
      <c r="C2006" s="58" t="s">
        <v>2533</v>
      </c>
      <c r="D2006" s="58">
        <v>7</v>
      </c>
      <c r="E2006" s="58">
        <f>Valuation!Z90</f>
        <v>10138280.04835978</v>
      </c>
    </row>
    <row r="2007" spans="1:5">
      <c r="A2007" s="58" t="s">
        <v>829</v>
      </c>
      <c r="B2007" s="58" t="s">
        <v>2551</v>
      </c>
      <c r="C2007" s="58" t="s">
        <v>2533</v>
      </c>
      <c r="D2007" s="58">
        <v>8</v>
      </c>
      <c r="E2007" s="58">
        <f>Valuation!AA90</f>
        <v>10645194.050777769</v>
      </c>
    </row>
    <row r="2008" spans="1:5">
      <c r="A2008" s="58" t="s">
        <v>829</v>
      </c>
      <c r="B2008" s="58" t="s">
        <v>2552</v>
      </c>
      <c r="C2008" s="58" t="s">
        <v>2533</v>
      </c>
      <c r="D2008" s="58">
        <v>9</v>
      </c>
      <c r="E2008" s="58">
        <f>Valuation!AB90</f>
        <v>11177453.753316658</v>
      </c>
    </row>
    <row r="2009" spans="1:5">
      <c r="A2009" s="58" t="s">
        <v>829</v>
      </c>
      <c r="B2009" s="58" t="s">
        <v>2553</v>
      </c>
      <c r="C2009" s="58" t="s">
        <v>2533</v>
      </c>
      <c r="D2009" s="58">
        <v>0</v>
      </c>
      <c r="E2009" s="58">
        <f>Valuation!S90</f>
        <v>7205086.3500000006</v>
      </c>
    </row>
    <row r="2010" spans="1:5">
      <c r="A2010" s="58" t="s">
        <v>829</v>
      </c>
      <c r="B2010" s="58" t="s">
        <v>2554</v>
      </c>
      <c r="C2010" s="58" t="s">
        <v>2555</v>
      </c>
      <c r="D2010" s="58">
        <v>0</v>
      </c>
      <c r="E2010" s="58">
        <f>Valuation!S180</f>
        <v>0</v>
      </c>
    </row>
    <row r="2011" spans="1:5">
      <c r="A2011" s="58" t="s">
        <v>829</v>
      </c>
      <c r="B2011" s="58" t="s">
        <v>2556</v>
      </c>
      <c r="C2011" s="58" t="s">
        <v>2555</v>
      </c>
      <c r="D2011" s="58">
        <v>-11</v>
      </c>
      <c r="E2011" s="58">
        <f>Valuation!H180</f>
        <v>0</v>
      </c>
    </row>
    <row r="2012" spans="1:5">
      <c r="A2012" s="58" t="s">
        <v>829</v>
      </c>
      <c r="B2012" s="58" t="s">
        <v>2557</v>
      </c>
      <c r="C2012" s="58" t="s">
        <v>2555</v>
      </c>
      <c r="D2012" s="58">
        <v>-10</v>
      </c>
      <c r="E2012" s="58">
        <f>Valuation!I180</f>
        <v>0</v>
      </c>
    </row>
    <row r="2013" spans="1:5">
      <c r="A2013" s="58" t="s">
        <v>829</v>
      </c>
      <c r="B2013" s="58" t="s">
        <v>2558</v>
      </c>
      <c r="C2013" s="58" t="s">
        <v>2555</v>
      </c>
      <c r="D2013" s="58">
        <v>-9</v>
      </c>
      <c r="E2013" s="58">
        <f>Valuation!J180</f>
        <v>0</v>
      </c>
    </row>
    <row r="2014" spans="1:5">
      <c r="A2014" s="58" t="s">
        <v>829</v>
      </c>
      <c r="B2014" s="58" t="s">
        <v>2559</v>
      </c>
      <c r="C2014" s="58" t="s">
        <v>2555</v>
      </c>
      <c r="D2014" s="58">
        <v>-8</v>
      </c>
      <c r="E2014" s="58">
        <f>Valuation!K180</f>
        <v>0</v>
      </c>
    </row>
    <row r="2015" spans="1:5">
      <c r="A2015" s="58" t="s">
        <v>829</v>
      </c>
      <c r="B2015" s="58" t="s">
        <v>2560</v>
      </c>
      <c r="C2015" s="58" t="s">
        <v>2555</v>
      </c>
      <c r="D2015" s="58">
        <v>-7</v>
      </c>
      <c r="E2015" s="58">
        <f>Valuation!L180</f>
        <v>0</v>
      </c>
    </row>
    <row r="2016" spans="1:5">
      <c r="A2016" s="58" t="s">
        <v>829</v>
      </c>
      <c r="B2016" s="58" t="s">
        <v>2561</v>
      </c>
      <c r="C2016" s="58" t="s">
        <v>2555</v>
      </c>
      <c r="D2016" s="58">
        <v>-6</v>
      </c>
      <c r="E2016" s="58">
        <f>Valuation!M180</f>
        <v>0</v>
      </c>
    </row>
    <row r="2017" spans="1:5">
      <c r="A2017" s="58" t="s">
        <v>829</v>
      </c>
      <c r="B2017" s="58" t="s">
        <v>2562</v>
      </c>
      <c r="C2017" s="58" t="s">
        <v>2555</v>
      </c>
      <c r="D2017" s="58">
        <v>-5</v>
      </c>
      <c r="E2017" s="58">
        <f>Valuation!N180</f>
        <v>0</v>
      </c>
    </row>
    <row r="2018" spans="1:5">
      <c r="A2018" s="58" t="s">
        <v>829</v>
      </c>
      <c r="B2018" s="58" t="s">
        <v>2563</v>
      </c>
      <c r="C2018" s="58" t="s">
        <v>2555</v>
      </c>
      <c r="D2018" s="58">
        <v>-4</v>
      </c>
      <c r="E2018" s="58">
        <f>Valuation!O180</f>
        <v>0</v>
      </c>
    </row>
    <row r="2019" spans="1:5">
      <c r="A2019" s="58" t="s">
        <v>829</v>
      </c>
      <c r="B2019" s="58" t="s">
        <v>2564</v>
      </c>
      <c r="C2019" s="58" t="s">
        <v>2555</v>
      </c>
      <c r="D2019" s="58">
        <v>-3</v>
      </c>
      <c r="E2019" s="58">
        <f>Valuation!P180</f>
        <v>0</v>
      </c>
    </row>
    <row r="2020" spans="1:5">
      <c r="A2020" s="58" t="s">
        <v>829</v>
      </c>
      <c r="B2020" s="58" t="s">
        <v>2565</v>
      </c>
      <c r="C2020" s="58" t="s">
        <v>2555</v>
      </c>
      <c r="D2020" s="58">
        <v>-2</v>
      </c>
      <c r="E2020" s="58">
        <f>Valuation!Q180</f>
        <v>0</v>
      </c>
    </row>
    <row r="2021" spans="1:5">
      <c r="A2021" s="58" t="s">
        <v>829</v>
      </c>
      <c r="B2021" s="58" t="s">
        <v>2566</v>
      </c>
      <c r="C2021" s="58" t="s">
        <v>2555</v>
      </c>
      <c r="D2021" s="58">
        <v>-1</v>
      </c>
      <c r="E2021" s="58">
        <f>Valuation!R180</f>
        <v>0</v>
      </c>
    </row>
    <row r="2022" spans="1:5">
      <c r="A2022" s="58" t="s">
        <v>829</v>
      </c>
      <c r="B2022" s="58" t="s">
        <v>2567</v>
      </c>
      <c r="C2022" s="58" t="s">
        <v>2555</v>
      </c>
      <c r="D2022" s="58">
        <v>1</v>
      </c>
      <c r="E2022" s="58">
        <f>Valuation!T180</f>
        <v>0</v>
      </c>
    </row>
    <row r="2023" spans="1:5">
      <c r="A2023" s="58" t="s">
        <v>829</v>
      </c>
      <c r="B2023" s="58" t="s">
        <v>2568</v>
      </c>
      <c r="C2023" s="58" t="s">
        <v>2555</v>
      </c>
      <c r="D2023" s="58">
        <v>2</v>
      </c>
      <c r="E2023" s="58">
        <f>Valuation!U180</f>
        <v>0</v>
      </c>
    </row>
    <row r="2024" spans="1:5">
      <c r="A2024" s="58" t="s">
        <v>829</v>
      </c>
      <c r="B2024" s="58" t="s">
        <v>2569</v>
      </c>
      <c r="C2024" s="58" t="s">
        <v>2555</v>
      </c>
      <c r="D2024" s="58">
        <v>3</v>
      </c>
      <c r="E2024" s="58">
        <f>Valuation!V180</f>
        <v>0</v>
      </c>
    </row>
    <row r="2025" spans="1:5">
      <c r="A2025" s="58" t="s">
        <v>829</v>
      </c>
      <c r="B2025" s="58" t="s">
        <v>2570</v>
      </c>
      <c r="C2025" s="58" t="s">
        <v>2555</v>
      </c>
      <c r="D2025" s="58">
        <v>4</v>
      </c>
      <c r="E2025" s="58">
        <f>Valuation!W180</f>
        <v>0</v>
      </c>
    </row>
    <row r="2026" spans="1:5">
      <c r="A2026" s="58" t="s">
        <v>829</v>
      </c>
      <c r="B2026" s="58" t="s">
        <v>2571</v>
      </c>
      <c r="C2026" s="58" t="s">
        <v>2555</v>
      </c>
      <c r="D2026" s="58">
        <v>5</v>
      </c>
      <c r="E2026" s="58">
        <f>Valuation!X180</f>
        <v>0</v>
      </c>
    </row>
    <row r="2027" spans="1:5">
      <c r="A2027" s="58" t="s">
        <v>829</v>
      </c>
      <c r="B2027" s="58" t="s">
        <v>2572</v>
      </c>
      <c r="C2027" s="58" t="s">
        <v>2555</v>
      </c>
      <c r="D2027" s="58">
        <v>6</v>
      </c>
      <c r="E2027" s="58">
        <f>Valuation!Y180</f>
        <v>0</v>
      </c>
    </row>
    <row r="2028" spans="1:5">
      <c r="A2028" s="58" t="s">
        <v>829</v>
      </c>
      <c r="B2028" s="58" t="s">
        <v>2573</v>
      </c>
      <c r="C2028" s="58" t="s">
        <v>2555</v>
      </c>
      <c r="D2028" s="58">
        <v>7</v>
      </c>
      <c r="E2028" s="58">
        <f>Valuation!Z180</f>
        <v>0</v>
      </c>
    </row>
    <row r="2029" spans="1:5">
      <c r="A2029" s="58" t="s">
        <v>829</v>
      </c>
      <c r="B2029" s="58" t="s">
        <v>2574</v>
      </c>
      <c r="C2029" s="58" t="s">
        <v>2555</v>
      </c>
      <c r="D2029" s="58">
        <v>8</v>
      </c>
      <c r="E2029" s="58">
        <f>Valuation!AA180</f>
        <v>0</v>
      </c>
    </row>
    <row r="2030" spans="1:5">
      <c r="A2030" s="58" t="s">
        <v>829</v>
      </c>
      <c r="B2030" s="58" t="s">
        <v>2575</v>
      </c>
      <c r="C2030" s="58" t="s">
        <v>2555</v>
      </c>
      <c r="D2030" s="58">
        <v>9</v>
      </c>
      <c r="E2030" s="58">
        <f>Valuation!AB180</f>
        <v>0</v>
      </c>
    </row>
    <row r="2031" spans="1:5">
      <c r="A2031" s="58" t="s">
        <v>829</v>
      </c>
      <c r="B2031" s="58" t="s">
        <v>2576</v>
      </c>
      <c r="C2031" s="58" t="s">
        <v>1159</v>
      </c>
      <c r="D2031" s="58" t="s">
        <v>1138</v>
      </c>
      <c r="E2031" s="58">
        <f>Valuation!AB104</f>
        <v>6.5000000000000002E-2</v>
      </c>
    </row>
    <row r="2032" spans="1:5">
      <c r="A2032" s="58" t="s">
        <v>829</v>
      </c>
      <c r="B2032" s="58" t="s">
        <v>2577</v>
      </c>
      <c r="C2032" s="58" t="s">
        <v>1160</v>
      </c>
      <c r="D2032" s="58" t="s">
        <v>1138</v>
      </c>
      <c r="E2032" s="58" t="e">
        <f ca="1">Valuation!Q104</f>
        <v>#NAME?</v>
      </c>
    </row>
    <row r="2033" spans="1:5">
      <c r="A2033" s="58" t="s">
        <v>829</v>
      </c>
      <c r="B2033" s="58" t="s">
        <v>2578</v>
      </c>
      <c r="C2033" s="58" t="s">
        <v>1161</v>
      </c>
      <c r="D2033" s="58" t="s">
        <v>1138</v>
      </c>
      <c r="E2033" s="58" t="e">
        <f ca="1">Valuation!Q105</f>
        <v>#NAME?</v>
      </c>
    </row>
    <row r="2034" spans="1:5">
      <c r="A2034" s="58" t="s">
        <v>829</v>
      </c>
      <c r="B2034" s="58" t="s">
        <v>2579</v>
      </c>
      <c r="C2034" s="58" t="s">
        <v>1162</v>
      </c>
      <c r="D2034" s="58" t="s">
        <v>1138</v>
      </c>
      <c r="E2034" s="58" t="e">
        <f ca="1">Valuation!Q106</f>
        <v>#NAME?</v>
      </c>
    </row>
    <row r="2035" spans="1:5">
      <c r="A2035" s="58" t="s">
        <v>829</v>
      </c>
      <c r="B2035" s="58" t="s">
        <v>2580</v>
      </c>
      <c r="C2035" s="58" t="s">
        <v>1163</v>
      </c>
      <c r="D2035" s="58" t="s">
        <v>1138</v>
      </c>
      <c r="E2035" s="58">
        <f>Valuation!S40</f>
        <v>268000</v>
      </c>
    </row>
    <row r="2036" spans="1:5">
      <c r="A2036" s="58" t="s">
        <v>829</v>
      </c>
      <c r="B2036" s="58" t="s">
        <v>2581</v>
      </c>
      <c r="C2036" s="58" t="s">
        <v>2582</v>
      </c>
      <c r="D2036" s="58">
        <v>0</v>
      </c>
      <c r="E2036" s="58">
        <f>Valuation!S179</f>
        <v>0</v>
      </c>
    </row>
    <row r="2037" spans="1:5">
      <c r="A2037" s="58" t="s">
        <v>829</v>
      </c>
      <c r="B2037" s="58" t="s">
        <v>2583</v>
      </c>
      <c r="C2037" s="58" t="s">
        <v>2582</v>
      </c>
      <c r="D2037" s="58">
        <v>-11</v>
      </c>
      <c r="E2037" s="58">
        <f>Valuation!H179</f>
        <v>0</v>
      </c>
    </row>
    <row r="2038" spans="1:5">
      <c r="A2038" s="58" t="s">
        <v>829</v>
      </c>
      <c r="B2038" s="58" t="s">
        <v>2584</v>
      </c>
      <c r="C2038" s="58" t="s">
        <v>2582</v>
      </c>
      <c r="D2038" s="58">
        <v>-10</v>
      </c>
      <c r="E2038" s="58">
        <f>Valuation!I179</f>
        <v>0</v>
      </c>
    </row>
    <row r="2039" spans="1:5">
      <c r="A2039" s="58" t="s">
        <v>829</v>
      </c>
      <c r="B2039" s="58" t="s">
        <v>2585</v>
      </c>
      <c r="C2039" s="58" t="s">
        <v>2582</v>
      </c>
      <c r="D2039" s="58">
        <v>-9</v>
      </c>
      <c r="E2039" s="58">
        <f>Valuation!J179</f>
        <v>0</v>
      </c>
    </row>
    <row r="2040" spans="1:5">
      <c r="A2040" s="58" t="s">
        <v>829</v>
      </c>
      <c r="B2040" s="58" t="s">
        <v>2586</v>
      </c>
      <c r="C2040" s="58" t="s">
        <v>2582</v>
      </c>
      <c r="D2040" s="58">
        <v>-8</v>
      </c>
      <c r="E2040" s="58">
        <f>Valuation!K179</f>
        <v>0</v>
      </c>
    </row>
    <row r="2041" spans="1:5">
      <c r="A2041" s="58" t="s">
        <v>829</v>
      </c>
      <c r="B2041" s="58" t="s">
        <v>2587</v>
      </c>
      <c r="C2041" s="58" t="s">
        <v>2582</v>
      </c>
      <c r="D2041" s="58">
        <v>-7</v>
      </c>
      <c r="E2041" s="58">
        <f>Valuation!L179</f>
        <v>0</v>
      </c>
    </row>
    <row r="2042" spans="1:5">
      <c r="A2042" s="58" t="s">
        <v>829</v>
      </c>
      <c r="B2042" s="58" t="s">
        <v>2588</v>
      </c>
      <c r="C2042" s="58" t="s">
        <v>2582</v>
      </c>
      <c r="D2042" s="58">
        <v>-6</v>
      </c>
      <c r="E2042" s="58">
        <f>Valuation!M179</f>
        <v>0</v>
      </c>
    </row>
    <row r="2043" spans="1:5">
      <c r="A2043" s="58" t="s">
        <v>829</v>
      </c>
      <c r="B2043" s="58" t="s">
        <v>2589</v>
      </c>
      <c r="C2043" s="58" t="s">
        <v>2582</v>
      </c>
      <c r="D2043" s="58">
        <v>-5</v>
      </c>
      <c r="E2043" s="58">
        <f>Valuation!N179</f>
        <v>0</v>
      </c>
    </row>
    <row r="2044" spans="1:5">
      <c r="A2044" s="58" t="s">
        <v>829</v>
      </c>
      <c r="B2044" s="58" t="s">
        <v>2590</v>
      </c>
      <c r="C2044" s="58" t="s">
        <v>2582</v>
      </c>
      <c r="D2044" s="58">
        <v>-4</v>
      </c>
      <c r="E2044" s="58">
        <f>Valuation!O179</f>
        <v>0</v>
      </c>
    </row>
    <row r="2045" spans="1:5">
      <c r="A2045" s="58" t="s">
        <v>829</v>
      </c>
      <c r="B2045" s="58" t="s">
        <v>2591</v>
      </c>
      <c r="C2045" s="58" t="s">
        <v>2582</v>
      </c>
      <c r="D2045" s="58">
        <v>-3</v>
      </c>
      <c r="E2045" s="58">
        <f>Valuation!P179</f>
        <v>0</v>
      </c>
    </row>
    <row r="2046" spans="1:5">
      <c r="A2046" s="58" t="s">
        <v>829</v>
      </c>
      <c r="B2046" s="58" t="s">
        <v>2592</v>
      </c>
      <c r="C2046" s="58" t="s">
        <v>2582</v>
      </c>
      <c r="D2046" s="58">
        <v>-2</v>
      </c>
      <c r="E2046" s="58">
        <f>Valuation!Q179</f>
        <v>0</v>
      </c>
    </row>
    <row r="2047" spans="1:5">
      <c r="A2047" s="58" t="s">
        <v>829</v>
      </c>
      <c r="B2047" s="58" t="s">
        <v>2593</v>
      </c>
      <c r="C2047" s="58" t="s">
        <v>2582</v>
      </c>
      <c r="D2047" s="58">
        <v>-1</v>
      </c>
      <c r="E2047" s="58">
        <f>Valuation!R179</f>
        <v>0</v>
      </c>
    </row>
    <row r="2048" spans="1:5">
      <c r="A2048" s="58" t="s">
        <v>829</v>
      </c>
      <c r="B2048" s="58" t="s">
        <v>2594</v>
      </c>
      <c r="C2048" s="58" t="s">
        <v>2582</v>
      </c>
      <c r="D2048" s="58">
        <v>1</v>
      </c>
      <c r="E2048" s="58">
        <f>Valuation!T179</f>
        <v>0</v>
      </c>
    </row>
    <row r="2049" spans="1:5">
      <c r="A2049" s="58" t="s">
        <v>829</v>
      </c>
      <c r="B2049" s="58" t="s">
        <v>2595</v>
      </c>
      <c r="C2049" s="58" t="s">
        <v>2582</v>
      </c>
      <c r="D2049" s="58">
        <v>2</v>
      </c>
      <c r="E2049" s="58">
        <f>Valuation!U179</f>
        <v>0</v>
      </c>
    </row>
    <row r="2050" spans="1:5">
      <c r="A2050" s="58" t="s">
        <v>829</v>
      </c>
      <c r="B2050" s="58" t="s">
        <v>2596</v>
      </c>
      <c r="C2050" s="58" t="s">
        <v>2582</v>
      </c>
      <c r="D2050" s="58">
        <v>3</v>
      </c>
      <c r="E2050" s="58">
        <f>Valuation!V179</f>
        <v>0</v>
      </c>
    </row>
    <row r="2051" spans="1:5">
      <c r="A2051" s="58" t="s">
        <v>829</v>
      </c>
      <c r="B2051" s="58" t="s">
        <v>2597</v>
      </c>
      <c r="C2051" s="58" t="s">
        <v>2582</v>
      </c>
      <c r="D2051" s="58">
        <v>4</v>
      </c>
      <c r="E2051" s="58">
        <f>Valuation!W179</f>
        <v>0</v>
      </c>
    </row>
    <row r="2052" spans="1:5">
      <c r="A2052" s="58" t="s">
        <v>829</v>
      </c>
      <c r="B2052" s="58" t="s">
        <v>2598</v>
      </c>
      <c r="C2052" s="58" t="s">
        <v>2582</v>
      </c>
      <c r="D2052" s="58">
        <v>5</v>
      </c>
      <c r="E2052" s="58">
        <f>Valuation!X179</f>
        <v>0</v>
      </c>
    </row>
    <row r="2053" spans="1:5">
      <c r="A2053" s="58" t="s">
        <v>829</v>
      </c>
      <c r="B2053" s="58" t="s">
        <v>2599</v>
      </c>
      <c r="C2053" s="58" t="s">
        <v>2582</v>
      </c>
      <c r="D2053" s="58">
        <v>6</v>
      </c>
      <c r="E2053" s="58">
        <f>Valuation!Y179</f>
        <v>0</v>
      </c>
    </row>
    <row r="2054" spans="1:5">
      <c r="A2054" s="58" t="s">
        <v>829</v>
      </c>
      <c r="B2054" s="58" t="s">
        <v>2600</v>
      </c>
      <c r="C2054" s="58" t="s">
        <v>2582</v>
      </c>
      <c r="D2054" s="58">
        <v>7</v>
      </c>
      <c r="E2054" s="58">
        <f>Valuation!Z179</f>
        <v>0</v>
      </c>
    </row>
    <row r="2055" spans="1:5">
      <c r="A2055" s="58" t="s">
        <v>829</v>
      </c>
      <c r="B2055" s="58" t="s">
        <v>2601</v>
      </c>
      <c r="C2055" s="58" t="s">
        <v>2582</v>
      </c>
      <c r="D2055" s="58">
        <v>8</v>
      </c>
      <c r="E2055" s="58">
        <f>Valuation!AA179</f>
        <v>0</v>
      </c>
    </row>
    <row r="2056" spans="1:5">
      <c r="A2056" s="58" t="s">
        <v>829</v>
      </c>
      <c r="B2056" s="58" t="s">
        <v>2602</v>
      </c>
      <c r="C2056" s="58" t="s">
        <v>2582</v>
      </c>
      <c r="D2056" s="58">
        <v>9</v>
      </c>
      <c r="E2056" s="58">
        <f>Valuation!AB179</f>
        <v>0</v>
      </c>
    </row>
    <row r="2057" spans="1:5">
      <c r="A2057" s="58" t="s">
        <v>829</v>
      </c>
      <c r="B2057" s="58" t="s">
        <v>1869</v>
      </c>
      <c r="C2057" s="58" t="s">
        <v>2603</v>
      </c>
      <c r="D2057" s="58">
        <v>0</v>
      </c>
      <c r="E2057" s="58">
        <f>Valuation!S46</f>
        <v>0</v>
      </c>
    </row>
    <row r="2058" spans="1:5">
      <c r="A2058" s="58" t="s">
        <v>829</v>
      </c>
      <c r="B2058" s="58" t="s">
        <v>1849</v>
      </c>
      <c r="C2058" s="58" t="s">
        <v>2603</v>
      </c>
      <c r="D2058" s="58">
        <v>-11</v>
      </c>
      <c r="E2058" s="58">
        <f>Valuation!H46</f>
        <v>0</v>
      </c>
    </row>
    <row r="2059" spans="1:5">
      <c r="A2059" s="58" t="s">
        <v>829</v>
      </c>
      <c r="B2059" s="58" t="s">
        <v>1850</v>
      </c>
      <c r="C2059" s="58" t="s">
        <v>2603</v>
      </c>
      <c r="D2059" s="58">
        <v>-10</v>
      </c>
      <c r="E2059" s="58">
        <f>Valuation!I46</f>
        <v>0</v>
      </c>
    </row>
    <row r="2060" spans="1:5">
      <c r="A2060" s="58" t="s">
        <v>829</v>
      </c>
      <c r="B2060" s="58" t="s">
        <v>1851</v>
      </c>
      <c r="C2060" s="58" t="s">
        <v>2603</v>
      </c>
      <c r="D2060" s="58">
        <v>-9</v>
      </c>
      <c r="E2060" s="58">
        <f>Valuation!J46</f>
        <v>0</v>
      </c>
    </row>
    <row r="2061" spans="1:5">
      <c r="A2061" s="58" t="s">
        <v>829</v>
      </c>
      <c r="B2061" s="58" t="s">
        <v>1852</v>
      </c>
      <c r="C2061" s="58" t="s">
        <v>2603</v>
      </c>
      <c r="D2061" s="58">
        <v>-8</v>
      </c>
      <c r="E2061" s="58">
        <f>Valuation!K46</f>
        <v>0</v>
      </c>
    </row>
    <row r="2062" spans="1:5">
      <c r="A2062" s="58" t="s">
        <v>829</v>
      </c>
      <c r="B2062" s="58" t="s">
        <v>1853</v>
      </c>
      <c r="C2062" s="58" t="s">
        <v>2603</v>
      </c>
      <c r="D2062" s="58">
        <v>-7</v>
      </c>
      <c r="E2062" s="58">
        <f>Valuation!L46</f>
        <v>0</v>
      </c>
    </row>
    <row r="2063" spans="1:5">
      <c r="A2063" s="58" t="s">
        <v>829</v>
      </c>
      <c r="B2063" s="58" t="s">
        <v>1854</v>
      </c>
      <c r="C2063" s="58" t="s">
        <v>2603</v>
      </c>
      <c r="D2063" s="58">
        <v>-6</v>
      </c>
      <c r="E2063" s="58">
        <f>Valuation!M46</f>
        <v>0</v>
      </c>
    </row>
    <row r="2064" spans="1:5">
      <c r="A2064" s="58" t="s">
        <v>829</v>
      </c>
      <c r="B2064" s="58" t="s">
        <v>1855</v>
      </c>
      <c r="C2064" s="58" t="s">
        <v>2603</v>
      </c>
      <c r="D2064" s="58">
        <v>-5</v>
      </c>
      <c r="E2064" s="58">
        <f>Valuation!N46</f>
        <v>0</v>
      </c>
    </row>
    <row r="2065" spans="1:5">
      <c r="A2065" s="58" t="s">
        <v>829</v>
      </c>
      <c r="B2065" s="58" t="s">
        <v>1856</v>
      </c>
      <c r="C2065" s="58" t="s">
        <v>2603</v>
      </c>
      <c r="D2065" s="58">
        <v>-4</v>
      </c>
      <c r="E2065" s="58">
        <f>Valuation!O46</f>
        <v>0</v>
      </c>
    </row>
    <row r="2066" spans="1:5">
      <c r="A2066" s="58" t="s">
        <v>829</v>
      </c>
      <c r="B2066" s="58" t="s">
        <v>1857</v>
      </c>
      <c r="C2066" s="58" t="s">
        <v>2603</v>
      </c>
      <c r="D2066" s="58">
        <v>-3</v>
      </c>
      <c r="E2066" s="58">
        <f>Valuation!P46</f>
        <v>0</v>
      </c>
    </row>
    <row r="2067" spans="1:5">
      <c r="A2067" s="58" t="s">
        <v>829</v>
      </c>
      <c r="B2067" s="58" t="s">
        <v>1858</v>
      </c>
      <c r="C2067" s="58" t="s">
        <v>2603</v>
      </c>
      <c r="D2067" s="58">
        <v>-2</v>
      </c>
      <c r="E2067" s="58">
        <f>Valuation!Q46</f>
        <v>0</v>
      </c>
    </row>
    <row r="2068" spans="1:5">
      <c r="A2068" s="58" t="s">
        <v>829</v>
      </c>
      <c r="B2068" s="58" t="s">
        <v>1859</v>
      </c>
      <c r="C2068" s="58" t="s">
        <v>2603</v>
      </c>
      <c r="D2068" s="58">
        <v>-1</v>
      </c>
      <c r="E2068" s="58">
        <f>Valuation!R46</f>
        <v>0</v>
      </c>
    </row>
    <row r="2069" spans="1:5">
      <c r="A2069" s="58" t="s">
        <v>829</v>
      </c>
      <c r="B2069" s="58" t="s">
        <v>1860</v>
      </c>
      <c r="C2069" s="58" t="s">
        <v>2603</v>
      </c>
      <c r="D2069" s="58">
        <v>1</v>
      </c>
      <c r="E2069" s="58">
        <f>Valuation!T46</f>
        <v>0</v>
      </c>
    </row>
    <row r="2070" spans="1:5">
      <c r="A2070" s="58" t="s">
        <v>829</v>
      </c>
      <c r="B2070" s="58" t="s">
        <v>1861</v>
      </c>
      <c r="C2070" s="58" t="s">
        <v>2603</v>
      </c>
      <c r="D2070" s="58">
        <v>2</v>
      </c>
      <c r="E2070" s="58">
        <f>Valuation!U46</f>
        <v>0</v>
      </c>
    </row>
    <row r="2071" spans="1:5">
      <c r="A2071" s="58" t="s">
        <v>829</v>
      </c>
      <c r="B2071" s="58" t="s">
        <v>1862</v>
      </c>
      <c r="C2071" s="58" t="s">
        <v>2603</v>
      </c>
      <c r="D2071" s="58">
        <v>3</v>
      </c>
      <c r="E2071" s="58">
        <f>Valuation!V46</f>
        <v>0</v>
      </c>
    </row>
    <row r="2072" spans="1:5">
      <c r="A2072" s="58" t="s">
        <v>829</v>
      </c>
      <c r="B2072" s="58" t="s">
        <v>1863</v>
      </c>
      <c r="C2072" s="58" t="s">
        <v>2603</v>
      </c>
      <c r="D2072" s="58">
        <v>4</v>
      </c>
      <c r="E2072" s="58">
        <f>Valuation!W46</f>
        <v>0</v>
      </c>
    </row>
    <row r="2073" spans="1:5">
      <c r="A2073" s="58" t="s">
        <v>829</v>
      </c>
      <c r="B2073" s="58" t="s">
        <v>1864</v>
      </c>
      <c r="C2073" s="58" t="s">
        <v>2603</v>
      </c>
      <c r="D2073" s="58">
        <v>5</v>
      </c>
      <c r="E2073" s="58">
        <f>Valuation!X46</f>
        <v>0</v>
      </c>
    </row>
    <row r="2074" spans="1:5">
      <c r="A2074" s="58" t="s">
        <v>829</v>
      </c>
      <c r="B2074" s="58" t="s">
        <v>1865</v>
      </c>
      <c r="C2074" s="58" t="s">
        <v>2603</v>
      </c>
      <c r="D2074" s="58">
        <v>6</v>
      </c>
      <c r="E2074" s="58">
        <f>Valuation!Y46</f>
        <v>0</v>
      </c>
    </row>
    <row r="2075" spans="1:5">
      <c r="A2075" s="58" t="s">
        <v>829</v>
      </c>
      <c r="B2075" s="58" t="s">
        <v>1866</v>
      </c>
      <c r="C2075" s="58" t="s">
        <v>2603</v>
      </c>
      <c r="D2075" s="58">
        <v>7</v>
      </c>
      <c r="E2075" s="58">
        <f>Valuation!Z46</f>
        <v>0</v>
      </c>
    </row>
    <row r="2076" spans="1:5">
      <c r="A2076" s="58" t="s">
        <v>829</v>
      </c>
      <c r="B2076" s="58" t="s">
        <v>1867</v>
      </c>
      <c r="C2076" s="58" t="s">
        <v>2603</v>
      </c>
      <c r="D2076" s="58">
        <v>8</v>
      </c>
      <c r="E2076" s="58">
        <f>Valuation!AA46</f>
        <v>0</v>
      </c>
    </row>
    <row r="2077" spans="1:5">
      <c r="A2077" s="58" t="s">
        <v>829</v>
      </c>
      <c r="B2077" s="58" t="s">
        <v>1868</v>
      </c>
      <c r="C2077" s="58" t="s">
        <v>2603</v>
      </c>
      <c r="D2077" s="58">
        <v>9</v>
      </c>
      <c r="E2077" s="58">
        <f>Valuation!AB46</f>
        <v>0</v>
      </c>
    </row>
    <row r="2078" spans="1:5">
      <c r="A2078" s="58" t="s">
        <v>829</v>
      </c>
      <c r="B2078" s="58" t="s">
        <v>2264</v>
      </c>
      <c r="C2078" s="58" t="s">
        <v>1164</v>
      </c>
      <c r="D2078" s="58" t="s">
        <v>1138</v>
      </c>
      <c r="E2078" s="58" t="str">
        <f>Valuation!V119</f>
        <v>USD</v>
      </c>
    </row>
    <row r="2079" spans="1:5">
      <c r="A2079" s="58" t="s">
        <v>829</v>
      </c>
      <c r="B2079" s="58" t="s">
        <v>2604</v>
      </c>
      <c r="C2079" s="58" t="s">
        <v>1165</v>
      </c>
      <c r="D2079" s="58" t="s">
        <v>1138</v>
      </c>
      <c r="E2079" s="58">
        <f>Valuation!AB105</f>
        <v>0</v>
      </c>
    </row>
    <row r="2080" spans="1:5">
      <c r="A2080" s="58" t="s">
        <v>829</v>
      </c>
      <c r="B2080" s="58" t="s">
        <v>2605</v>
      </c>
      <c r="C2080" s="58" t="s">
        <v>2606</v>
      </c>
      <c r="D2080" s="58">
        <v>0</v>
      </c>
      <c r="E2080" s="58">
        <f ca="1">Valuation!S11</f>
        <v>6803250.5397419743</v>
      </c>
    </row>
    <row r="2081" spans="1:5">
      <c r="A2081" s="58" t="s">
        <v>829</v>
      </c>
      <c r="B2081" s="58" t="s">
        <v>2607</v>
      </c>
      <c r="C2081" s="58" t="s">
        <v>2606</v>
      </c>
      <c r="D2081" s="58">
        <v>-11</v>
      </c>
      <c r="E2081" s="58">
        <f>Valuation!H11</f>
        <v>0</v>
      </c>
    </row>
    <row r="2082" spans="1:5">
      <c r="A2082" s="58" t="s">
        <v>829</v>
      </c>
      <c r="B2082" s="58" t="s">
        <v>2608</v>
      </c>
      <c r="C2082" s="58" t="s">
        <v>2606</v>
      </c>
      <c r="D2082" s="58">
        <v>-10</v>
      </c>
      <c r="E2082" s="58">
        <f>Valuation!I11</f>
        <v>0</v>
      </c>
    </row>
    <row r="2083" spans="1:5">
      <c r="A2083" s="58" t="s">
        <v>829</v>
      </c>
      <c r="B2083" s="58" t="s">
        <v>2609</v>
      </c>
      <c r="C2083" s="58" t="s">
        <v>2606</v>
      </c>
      <c r="D2083" s="58">
        <v>-9</v>
      </c>
      <c r="E2083" s="58">
        <f>Valuation!J11</f>
        <v>0</v>
      </c>
    </row>
    <row r="2084" spans="1:5">
      <c r="A2084" s="58" t="s">
        <v>829</v>
      </c>
      <c r="B2084" s="58" t="s">
        <v>2610</v>
      </c>
      <c r="C2084" s="58" t="s">
        <v>2606</v>
      </c>
      <c r="D2084" s="58">
        <v>-8</v>
      </c>
      <c r="E2084" s="58">
        <f>Valuation!K11</f>
        <v>0</v>
      </c>
    </row>
    <row r="2085" spans="1:5">
      <c r="A2085" s="58" t="s">
        <v>829</v>
      </c>
      <c r="B2085" s="58" t="s">
        <v>2611</v>
      </c>
      <c r="C2085" s="58" t="s">
        <v>2606</v>
      </c>
      <c r="D2085" s="58">
        <v>-7</v>
      </c>
      <c r="E2085" s="58">
        <f>Valuation!L11</f>
        <v>0</v>
      </c>
    </row>
    <row r="2086" spans="1:5">
      <c r="A2086" s="58" t="s">
        <v>829</v>
      </c>
      <c r="B2086" s="58" t="s">
        <v>2612</v>
      </c>
      <c r="C2086" s="58" t="s">
        <v>2606</v>
      </c>
      <c r="D2086" s="58">
        <v>-6</v>
      </c>
      <c r="E2086" s="58">
        <f>Valuation!M11</f>
        <v>1277481</v>
      </c>
    </row>
    <row r="2087" spans="1:5">
      <c r="A2087" s="58" t="s">
        <v>829</v>
      </c>
      <c r="B2087" s="58" t="s">
        <v>2613</v>
      </c>
      <c r="C2087" s="58" t="s">
        <v>2606</v>
      </c>
      <c r="D2087" s="58">
        <v>-5</v>
      </c>
      <c r="E2087" s="58">
        <f>Valuation!N11</f>
        <v>7839444</v>
      </c>
    </row>
    <row r="2088" spans="1:5">
      <c r="A2088" s="58" t="s">
        <v>829</v>
      </c>
      <c r="B2088" s="58" t="s">
        <v>2614</v>
      </c>
      <c r="C2088" s="58" t="s">
        <v>2606</v>
      </c>
      <c r="D2088" s="58">
        <v>-4</v>
      </c>
      <c r="E2088" s="58">
        <f>Valuation!O11</f>
        <v>3194208</v>
      </c>
    </row>
    <row r="2089" spans="1:5">
      <c r="A2089" s="58" t="s">
        <v>829</v>
      </c>
      <c r="B2089" s="58" t="s">
        <v>2615</v>
      </c>
      <c r="C2089" s="58" t="s">
        <v>2606</v>
      </c>
      <c r="D2089" s="58">
        <v>-3</v>
      </c>
      <c r="E2089" s="58">
        <f>Valuation!P11</f>
        <v>3108383</v>
      </c>
    </row>
    <row r="2090" spans="1:5">
      <c r="A2090" s="58" t="s">
        <v>829</v>
      </c>
      <c r="B2090" s="58" t="s">
        <v>2616</v>
      </c>
      <c r="C2090" s="58" t="s">
        <v>2606</v>
      </c>
      <c r="D2090" s="58">
        <v>-2</v>
      </c>
      <c r="E2090" s="58">
        <f>Valuation!Q11</f>
        <v>6564028</v>
      </c>
    </row>
    <row r="2091" spans="1:5">
      <c r="A2091" s="58" t="s">
        <v>829</v>
      </c>
      <c r="B2091" s="58" t="s">
        <v>2617</v>
      </c>
      <c r="C2091" s="58" t="s">
        <v>2606</v>
      </c>
      <c r="D2091" s="58">
        <v>-1</v>
      </c>
      <c r="E2091" s="58">
        <f>Valuation!R11</f>
        <v>7181325</v>
      </c>
    </row>
    <row r="2092" spans="1:5">
      <c r="A2092" s="58" t="s">
        <v>829</v>
      </c>
      <c r="B2092" s="58" t="s">
        <v>2618</v>
      </c>
      <c r="C2092" s="58" t="s">
        <v>2606</v>
      </c>
      <c r="D2092" s="58">
        <v>1</v>
      </c>
      <c r="E2092" s="58" t="e">
        <f ca="1">Valuation!T11</f>
        <v>#NAME?</v>
      </c>
    </row>
    <row r="2093" spans="1:5">
      <c r="A2093" s="58" t="s">
        <v>829</v>
      </c>
      <c r="B2093" s="58" t="s">
        <v>2619</v>
      </c>
      <c r="C2093" s="58" t="s">
        <v>2606</v>
      </c>
      <c r="D2093" s="58">
        <v>2</v>
      </c>
      <c r="E2093" s="58" t="e">
        <f ca="1">Valuation!U11</f>
        <v>#NAME?</v>
      </c>
    </row>
    <row r="2094" spans="1:5">
      <c r="A2094" s="58" t="s">
        <v>829</v>
      </c>
      <c r="B2094" s="58" t="s">
        <v>2620</v>
      </c>
      <c r="C2094" s="58" t="s">
        <v>2606</v>
      </c>
      <c r="D2094" s="58">
        <v>3</v>
      </c>
      <c r="E2094" s="58" t="e">
        <f ca="1">Valuation!V11</f>
        <v>#NAME?</v>
      </c>
    </row>
    <row r="2095" spans="1:5">
      <c r="A2095" s="58" t="s">
        <v>829</v>
      </c>
      <c r="B2095" s="58" t="s">
        <v>2621</v>
      </c>
      <c r="C2095" s="58" t="s">
        <v>2606</v>
      </c>
      <c r="D2095" s="58">
        <v>4</v>
      </c>
      <c r="E2095" s="58" t="e">
        <f ca="1">Valuation!W11</f>
        <v>#NAME?</v>
      </c>
    </row>
    <row r="2096" spans="1:5">
      <c r="A2096" s="58" t="s">
        <v>829</v>
      </c>
      <c r="B2096" s="58" t="s">
        <v>2622</v>
      </c>
      <c r="C2096" s="58" t="s">
        <v>2606</v>
      </c>
      <c r="D2096" s="58">
        <v>5</v>
      </c>
      <c r="E2096" s="58" t="e">
        <f ca="1">Valuation!X11</f>
        <v>#NAME?</v>
      </c>
    </row>
    <row r="2097" spans="1:5">
      <c r="A2097" s="58" t="s">
        <v>829</v>
      </c>
      <c r="B2097" s="58" t="s">
        <v>2623</v>
      </c>
      <c r="C2097" s="58" t="s">
        <v>2606</v>
      </c>
      <c r="D2097" s="58">
        <v>6</v>
      </c>
      <c r="E2097" s="58" t="e">
        <f ca="1">Valuation!Y11</f>
        <v>#NAME?</v>
      </c>
    </row>
    <row r="2098" spans="1:5">
      <c r="A2098" s="58" t="s">
        <v>829</v>
      </c>
      <c r="B2098" s="58" t="s">
        <v>2624</v>
      </c>
      <c r="C2098" s="58" t="s">
        <v>2606</v>
      </c>
      <c r="D2098" s="58">
        <v>7</v>
      </c>
      <c r="E2098" s="58" t="e">
        <f ca="1">Valuation!Z11</f>
        <v>#NAME?</v>
      </c>
    </row>
    <row r="2099" spans="1:5">
      <c r="A2099" s="58" t="s">
        <v>829</v>
      </c>
      <c r="B2099" s="58" t="s">
        <v>2625</v>
      </c>
      <c r="C2099" s="58" t="s">
        <v>2606</v>
      </c>
      <c r="D2099" s="58">
        <v>8</v>
      </c>
      <c r="E2099" s="58" t="e">
        <f ca="1">Valuation!AA11</f>
        <v>#NAME?</v>
      </c>
    </row>
    <row r="2100" spans="1:5">
      <c r="A2100" s="58" t="s">
        <v>829</v>
      </c>
      <c r="B2100" s="58" t="s">
        <v>2626</v>
      </c>
      <c r="C2100" s="58" t="s">
        <v>2606</v>
      </c>
      <c r="D2100" s="58">
        <v>9</v>
      </c>
      <c r="E2100" s="58" t="e">
        <f ca="1">Valuation!AB11</f>
        <v>#NAME?</v>
      </c>
    </row>
    <row r="2101" spans="1:5">
      <c r="A2101" s="58" t="s">
        <v>829</v>
      </c>
      <c r="B2101" s="58" t="s">
        <v>2627</v>
      </c>
      <c r="C2101" s="58" t="s">
        <v>2628</v>
      </c>
      <c r="D2101" s="58">
        <v>0</v>
      </c>
      <c r="E2101" s="58">
        <f ca="1">Valuation!S12</f>
        <v>-5.2646894585334225E-2</v>
      </c>
    </row>
    <row r="2102" spans="1:5">
      <c r="A2102" s="58" t="s">
        <v>829</v>
      </c>
      <c r="B2102" s="58" t="s">
        <v>2629</v>
      </c>
      <c r="C2102" s="58" t="s">
        <v>2628</v>
      </c>
      <c r="D2102" s="58">
        <v>-11</v>
      </c>
      <c r="E2102" s="58" t="str">
        <f>Valuation!H12</f>
        <v/>
      </c>
    </row>
    <row r="2103" spans="1:5">
      <c r="A2103" s="58" t="s">
        <v>829</v>
      </c>
      <c r="B2103" s="58" t="s">
        <v>2630</v>
      </c>
      <c r="C2103" s="58" t="s">
        <v>2628</v>
      </c>
      <c r="D2103" s="58">
        <v>-10</v>
      </c>
      <c r="E2103" s="58" t="str">
        <f>Valuation!I12</f>
        <v/>
      </c>
    </row>
    <row r="2104" spans="1:5">
      <c r="A2104" s="58" t="s">
        <v>829</v>
      </c>
      <c r="B2104" s="58" t="s">
        <v>2631</v>
      </c>
      <c r="C2104" s="58" t="s">
        <v>2628</v>
      </c>
      <c r="D2104" s="58">
        <v>-9</v>
      </c>
      <c r="E2104" s="58" t="str">
        <f>Valuation!J12</f>
        <v/>
      </c>
    </row>
    <row r="2105" spans="1:5">
      <c r="A2105" s="58" t="s">
        <v>829</v>
      </c>
      <c r="B2105" s="58" t="s">
        <v>2632</v>
      </c>
      <c r="C2105" s="58" t="s">
        <v>2628</v>
      </c>
      <c r="D2105" s="58">
        <v>-8</v>
      </c>
      <c r="E2105" s="58" t="str">
        <f>Valuation!K12</f>
        <v/>
      </c>
    </row>
    <row r="2106" spans="1:5">
      <c r="A2106" s="58" t="s">
        <v>829</v>
      </c>
      <c r="B2106" s="58" t="s">
        <v>2633</v>
      </c>
      <c r="C2106" s="58" t="s">
        <v>2628</v>
      </c>
      <c r="D2106" s="58">
        <v>-7</v>
      </c>
      <c r="E2106" s="58" t="str">
        <f>Valuation!L12</f>
        <v/>
      </c>
    </row>
    <row r="2107" spans="1:5">
      <c r="A2107" s="58" t="s">
        <v>829</v>
      </c>
      <c r="B2107" s="58" t="s">
        <v>2634</v>
      </c>
      <c r="C2107" s="58" t="s">
        <v>2628</v>
      </c>
      <c r="D2107" s="58">
        <v>-6</v>
      </c>
      <c r="E2107" s="58" t="str">
        <f>Valuation!M12</f>
        <v/>
      </c>
    </row>
    <row r="2108" spans="1:5">
      <c r="A2108" s="58" t="s">
        <v>829</v>
      </c>
      <c r="B2108" s="58" t="s">
        <v>2635</v>
      </c>
      <c r="C2108" s="58" t="s">
        <v>2628</v>
      </c>
      <c r="D2108" s="58">
        <v>-5</v>
      </c>
      <c r="E2108" s="58">
        <f>Valuation!N12</f>
        <v>5.1366423453656065</v>
      </c>
    </row>
    <row r="2109" spans="1:5">
      <c r="A2109" s="58" t="s">
        <v>829</v>
      </c>
      <c r="B2109" s="58" t="s">
        <v>2636</v>
      </c>
      <c r="C2109" s="58" t="s">
        <v>2628</v>
      </c>
      <c r="D2109" s="58">
        <v>-4</v>
      </c>
      <c r="E2109" s="58">
        <f>Valuation!O12</f>
        <v>-0.59254661427519606</v>
      </c>
    </row>
    <row r="2110" spans="1:5">
      <c r="A2110" s="58" t="s">
        <v>829</v>
      </c>
      <c r="B2110" s="58" t="s">
        <v>2637</v>
      </c>
      <c r="C2110" s="58" t="s">
        <v>2628</v>
      </c>
      <c r="D2110" s="58">
        <v>-3</v>
      </c>
      <c r="E2110" s="58">
        <f>Valuation!P12</f>
        <v>-2.686894529097672E-2</v>
      </c>
    </row>
    <row r="2111" spans="1:5">
      <c r="A2111" s="58" t="s">
        <v>829</v>
      </c>
      <c r="B2111" s="58" t="s">
        <v>2638</v>
      </c>
      <c r="C2111" s="58" t="s">
        <v>2628</v>
      </c>
      <c r="D2111" s="58">
        <v>-2</v>
      </c>
      <c r="E2111" s="58">
        <f>Valuation!Q12</f>
        <v>1.1117178931939855</v>
      </c>
    </row>
    <row r="2112" spans="1:5">
      <c r="A2112" s="58" t="s">
        <v>829</v>
      </c>
      <c r="B2112" s="58" t="s">
        <v>2639</v>
      </c>
      <c r="C2112" s="58" t="s">
        <v>2628</v>
      </c>
      <c r="D2112" s="58">
        <v>-1</v>
      </c>
      <c r="E2112" s="58">
        <f>Valuation!R12</f>
        <v>9.404240810672948E-2</v>
      </c>
    </row>
    <row r="2113" spans="1:5">
      <c r="A2113" s="58" t="s">
        <v>829</v>
      </c>
      <c r="B2113" s="58" t="s">
        <v>2640</v>
      </c>
      <c r="C2113" s="58" t="s">
        <v>2628</v>
      </c>
      <c r="D2113" s="58">
        <v>1</v>
      </c>
      <c r="E2113" s="58" t="str">
        <f ca="1">Valuation!T12</f>
        <v/>
      </c>
    </row>
    <row r="2114" spans="1:5">
      <c r="A2114" s="58" t="s">
        <v>829</v>
      </c>
      <c r="B2114" s="58" t="s">
        <v>2641</v>
      </c>
      <c r="C2114" s="58" t="s">
        <v>2628</v>
      </c>
      <c r="D2114" s="58">
        <v>2</v>
      </c>
      <c r="E2114" s="58" t="str">
        <f ca="1">Valuation!U12</f>
        <v/>
      </c>
    </row>
    <row r="2115" spans="1:5">
      <c r="A2115" s="58" t="s">
        <v>829</v>
      </c>
      <c r="B2115" s="58" t="s">
        <v>2642</v>
      </c>
      <c r="C2115" s="58" t="s">
        <v>2628</v>
      </c>
      <c r="D2115" s="58">
        <v>3</v>
      </c>
      <c r="E2115" s="58" t="str">
        <f ca="1">Valuation!V12</f>
        <v/>
      </c>
    </row>
    <row r="2116" spans="1:5">
      <c r="A2116" s="58" t="s">
        <v>829</v>
      </c>
      <c r="B2116" s="58" t="s">
        <v>2643</v>
      </c>
      <c r="C2116" s="58" t="s">
        <v>2628</v>
      </c>
      <c r="D2116" s="58">
        <v>4</v>
      </c>
      <c r="E2116" s="58" t="str">
        <f ca="1">Valuation!W12</f>
        <v/>
      </c>
    </row>
    <row r="2117" spans="1:5">
      <c r="A2117" s="58" t="s">
        <v>829</v>
      </c>
      <c r="B2117" s="58" t="s">
        <v>2644</v>
      </c>
      <c r="C2117" s="58" t="s">
        <v>2628</v>
      </c>
      <c r="D2117" s="58">
        <v>5</v>
      </c>
      <c r="E2117" s="58" t="str">
        <f ca="1">Valuation!X12</f>
        <v/>
      </c>
    </row>
    <row r="2118" spans="1:5">
      <c r="A2118" s="58" t="s">
        <v>829</v>
      </c>
      <c r="B2118" s="58" t="s">
        <v>2645</v>
      </c>
      <c r="C2118" s="58" t="s">
        <v>2628</v>
      </c>
      <c r="D2118" s="58">
        <v>6</v>
      </c>
      <c r="E2118" s="58" t="str">
        <f ca="1">Valuation!Y12</f>
        <v/>
      </c>
    </row>
    <row r="2119" spans="1:5">
      <c r="A2119" s="58" t="s">
        <v>829</v>
      </c>
      <c r="B2119" s="58" t="s">
        <v>2646</v>
      </c>
      <c r="C2119" s="58" t="s">
        <v>2628</v>
      </c>
      <c r="D2119" s="58">
        <v>7</v>
      </c>
      <c r="E2119" s="58" t="str">
        <f ca="1">Valuation!Z12</f>
        <v/>
      </c>
    </row>
    <row r="2120" spans="1:5">
      <c r="A2120" s="58" t="s">
        <v>829</v>
      </c>
      <c r="B2120" s="58" t="s">
        <v>2647</v>
      </c>
      <c r="C2120" s="58" t="s">
        <v>2628</v>
      </c>
      <c r="D2120" s="58">
        <v>8</v>
      </c>
      <c r="E2120" s="58" t="str">
        <f ca="1">Valuation!AA12</f>
        <v/>
      </c>
    </row>
    <row r="2121" spans="1:5">
      <c r="A2121" s="58" t="s">
        <v>829</v>
      </c>
      <c r="B2121" s="58" t="s">
        <v>2648</v>
      </c>
      <c r="C2121" s="58" t="s">
        <v>2628</v>
      </c>
      <c r="D2121" s="58">
        <v>9</v>
      </c>
      <c r="E2121" s="58" t="str">
        <f ca="1">Valuation!AB12</f>
        <v/>
      </c>
    </row>
    <row r="2122" spans="1:5">
      <c r="A2122" s="58" t="s">
        <v>829</v>
      </c>
      <c r="B2122" s="58" t="s">
        <v>2649</v>
      </c>
      <c r="C2122" s="58" t="s">
        <v>2650</v>
      </c>
      <c r="D2122" s="58">
        <v>0</v>
      </c>
      <c r="E2122" s="58">
        <f ca="1">Valuation!S16</f>
        <v>5682526.1228651665</v>
      </c>
    </row>
    <row r="2123" spans="1:5">
      <c r="A2123" s="58" t="s">
        <v>829</v>
      </c>
      <c r="B2123" s="58" t="s">
        <v>2651</v>
      </c>
      <c r="C2123" s="58" t="s">
        <v>2650</v>
      </c>
      <c r="D2123" s="58">
        <v>-11</v>
      </c>
      <c r="E2123" s="58">
        <f>Valuation!H16</f>
        <v>0</v>
      </c>
    </row>
    <row r="2124" spans="1:5">
      <c r="A2124" s="58" t="s">
        <v>829</v>
      </c>
      <c r="B2124" s="58" t="s">
        <v>2652</v>
      </c>
      <c r="C2124" s="58" t="s">
        <v>2650</v>
      </c>
      <c r="D2124" s="58">
        <v>-10</v>
      </c>
      <c r="E2124" s="58">
        <f>Valuation!I16</f>
        <v>0</v>
      </c>
    </row>
    <row r="2125" spans="1:5">
      <c r="A2125" s="58" t="s">
        <v>829</v>
      </c>
      <c r="B2125" s="58" t="s">
        <v>2653</v>
      </c>
      <c r="C2125" s="58" t="s">
        <v>2650</v>
      </c>
      <c r="D2125" s="58">
        <v>-9</v>
      </c>
      <c r="E2125" s="58">
        <f>Valuation!J16</f>
        <v>0</v>
      </c>
    </row>
    <row r="2126" spans="1:5">
      <c r="A2126" s="58" t="s">
        <v>829</v>
      </c>
      <c r="B2126" s="58" t="s">
        <v>2654</v>
      </c>
      <c r="C2126" s="58" t="s">
        <v>2650</v>
      </c>
      <c r="D2126" s="58">
        <v>-8</v>
      </c>
      <c r="E2126" s="58">
        <f>Valuation!K16</f>
        <v>0</v>
      </c>
    </row>
    <row r="2127" spans="1:5">
      <c r="A2127" s="58" t="s">
        <v>829</v>
      </c>
      <c r="B2127" s="58" t="s">
        <v>2655</v>
      </c>
      <c r="C2127" s="58" t="s">
        <v>2650</v>
      </c>
      <c r="D2127" s="58">
        <v>-7</v>
      </c>
      <c r="E2127" s="58">
        <f>Valuation!L16</f>
        <v>0</v>
      </c>
    </row>
    <row r="2128" spans="1:5">
      <c r="A2128" s="58" t="s">
        <v>829</v>
      </c>
      <c r="B2128" s="58" t="s">
        <v>2656</v>
      </c>
      <c r="C2128" s="58" t="s">
        <v>2650</v>
      </c>
      <c r="D2128" s="58">
        <v>-6</v>
      </c>
      <c r="E2128" s="58">
        <f>Valuation!M16</f>
        <v>837568</v>
      </c>
    </row>
    <row r="2129" spans="1:5">
      <c r="A2129" s="58" t="s">
        <v>829</v>
      </c>
      <c r="B2129" s="58" t="s">
        <v>2657</v>
      </c>
      <c r="C2129" s="58" t="s">
        <v>2650</v>
      </c>
      <c r="D2129" s="58">
        <v>-5</v>
      </c>
      <c r="E2129" s="58">
        <f>Valuation!N16</f>
        <v>4699223</v>
      </c>
    </row>
    <row r="2130" spans="1:5">
      <c r="A2130" s="58" t="s">
        <v>829</v>
      </c>
      <c r="B2130" s="58" t="s">
        <v>2658</v>
      </c>
      <c r="C2130" s="58" t="s">
        <v>2650</v>
      </c>
      <c r="D2130" s="58">
        <v>-4</v>
      </c>
      <c r="E2130" s="58">
        <f>Valuation!O16</f>
        <v>5750347</v>
      </c>
    </row>
    <row r="2131" spans="1:5">
      <c r="A2131" s="58" t="s">
        <v>829</v>
      </c>
      <c r="B2131" s="58" t="s">
        <v>2659</v>
      </c>
      <c r="C2131" s="58" t="s">
        <v>2650</v>
      </c>
      <c r="D2131" s="58">
        <v>-3</v>
      </c>
      <c r="E2131" s="58">
        <f>Valuation!P16</f>
        <v>3130403</v>
      </c>
    </row>
    <row r="2132" spans="1:5">
      <c r="A2132" s="58" t="s">
        <v>829</v>
      </c>
      <c r="B2132" s="58" t="s">
        <v>2660</v>
      </c>
      <c r="C2132" s="58" t="s">
        <v>2650</v>
      </c>
      <c r="D2132" s="58">
        <v>-2</v>
      </c>
      <c r="E2132" s="58">
        <f>Valuation!Q16</f>
        <v>4129350</v>
      </c>
    </row>
    <row r="2133" spans="1:5">
      <c r="A2133" s="58" t="s">
        <v>829</v>
      </c>
      <c r="B2133" s="58" t="s">
        <v>2661</v>
      </c>
      <c r="C2133" s="58" t="s">
        <v>2650</v>
      </c>
      <c r="D2133" s="58">
        <v>-1</v>
      </c>
      <c r="E2133" s="58">
        <f>Valuation!R16</f>
        <v>5557456</v>
      </c>
    </row>
    <row r="2134" spans="1:5">
      <c r="A2134" s="58" t="s">
        <v>829</v>
      </c>
      <c r="B2134" s="58" t="s">
        <v>2662</v>
      </c>
      <c r="C2134" s="58" t="s">
        <v>2650</v>
      </c>
      <c r="D2134" s="58">
        <v>1</v>
      </c>
      <c r="E2134" s="58" t="e">
        <f ca="1">Valuation!T16</f>
        <v>#NAME?</v>
      </c>
    </row>
    <row r="2135" spans="1:5">
      <c r="A2135" s="58" t="s">
        <v>829</v>
      </c>
      <c r="B2135" s="58" t="s">
        <v>2663</v>
      </c>
      <c r="C2135" s="58" t="s">
        <v>2650</v>
      </c>
      <c r="D2135" s="58">
        <v>2</v>
      </c>
      <c r="E2135" s="58" t="e">
        <f ca="1">Valuation!U16</f>
        <v>#NAME?</v>
      </c>
    </row>
    <row r="2136" spans="1:5">
      <c r="A2136" s="58" t="s">
        <v>829</v>
      </c>
      <c r="B2136" s="58" t="s">
        <v>2664</v>
      </c>
      <c r="C2136" s="58" t="s">
        <v>2650</v>
      </c>
      <c r="D2136" s="58">
        <v>3</v>
      </c>
      <c r="E2136" s="58" t="e">
        <f ca="1">Valuation!V16</f>
        <v>#NAME?</v>
      </c>
    </row>
    <row r="2137" spans="1:5">
      <c r="A2137" s="58" t="s">
        <v>829</v>
      </c>
      <c r="B2137" s="58" t="s">
        <v>2665</v>
      </c>
      <c r="C2137" s="58" t="s">
        <v>2650</v>
      </c>
      <c r="D2137" s="58">
        <v>4</v>
      </c>
      <c r="E2137" s="58" t="e">
        <f ca="1">Valuation!W16</f>
        <v>#NAME?</v>
      </c>
    </row>
    <row r="2138" spans="1:5">
      <c r="A2138" s="58" t="s">
        <v>829</v>
      </c>
      <c r="B2138" s="58" t="s">
        <v>2666</v>
      </c>
      <c r="C2138" s="58" t="s">
        <v>2650</v>
      </c>
      <c r="D2138" s="58">
        <v>5</v>
      </c>
      <c r="E2138" s="58" t="e">
        <f ca="1">Valuation!X16</f>
        <v>#NAME?</v>
      </c>
    </row>
    <row r="2139" spans="1:5">
      <c r="A2139" s="58" t="s">
        <v>829</v>
      </c>
      <c r="B2139" s="58" t="s">
        <v>2667</v>
      </c>
      <c r="C2139" s="58" t="s">
        <v>2650</v>
      </c>
      <c r="D2139" s="58">
        <v>6</v>
      </c>
      <c r="E2139" s="58" t="e">
        <f ca="1">Valuation!Y16</f>
        <v>#NAME?</v>
      </c>
    </row>
    <row r="2140" spans="1:5">
      <c r="A2140" s="58" t="s">
        <v>829</v>
      </c>
      <c r="B2140" s="58" t="s">
        <v>2668</v>
      </c>
      <c r="C2140" s="58" t="s">
        <v>2650</v>
      </c>
      <c r="D2140" s="58">
        <v>7</v>
      </c>
      <c r="E2140" s="58" t="e">
        <f ca="1">Valuation!Z16</f>
        <v>#NAME?</v>
      </c>
    </row>
    <row r="2141" spans="1:5">
      <c r="A2141" s="58" t="s">
        <v>829</v>
      </c>
      <c r="B2141" s="58" t="s">
        <v>2669</v>
      </c>
      <c r="C2141" s="58" t="s">
        <v>2650</v>
      </c>
      <c r="D2141" s="58">
        <v>8</v>
      </c>
      <c r="E2141" s="58" t="e">
        <f ca="1">Valuation!AA16</f>
        <v>#NAME?</v>
      </c>
    </row>
    <row r="2142" spans="1:5">
      <c r="A2142" s="58" t="s">
        <v>829</v>
      </c>
      <c r="B2142" s="58" t="s">
        <v>2670</v>
      </c>
      <c r="C2142" s="58" t="s">
        <v>2650</v>
      </c>
      <c r="D2142" s="58">
        <v>9</v>
      </c>
      <c r="E2142" s="58" t="e">
        <f ca="1">Valuation!AB16</f>
        <v>#NAME?</v>
      </c>
    </row>
    <row r="2143" spans="1:5">
      <c r="A2143" s="58" t="s">
        <v>829</v>
      </c>
      <c r="B2143" s="58" t="s">
        <v>2671</v>
      </c>
      <c r="C2143" s="58" t="s">
        <v>2672</v>
      </c>
      <c r="D2143" s="58">
        <v>0</v>
      </c>
      <c r="E2143" s="58">
        <f>Valuation!S47</f>
        <v>0</v>
      </c>
    </row>
    <row r="2144" spans="1:5">
      <c r="A2144" s="58" t="s">
        <v>829</v>
      </c>
      <c r="B2144" s="58" t="s">
        <v>2673</v>
      </c>
      <c r="C2144" s="58" t="s">
        <v>2672</v>
      </c>
      <c r="D2144" s="58">
        <v>-11</v>
      </c>
      <c r="E2144" s="58">
        <f>Valuation!H47</f>
        <v>0</v>
      </c>
    </row>
    <row r="2145" spans="1:5">
      <c r="A2145" s="58" t="s">
        <v>829</v>
      </c>
      <c r="B2145" s="58" t="s">
        <v>2674</v>
      </c>
      <c r="C2145" s="58" t="s">
        <v>2672</v>
      </c>
      <c r="D2145" s="58">
        <v>-10</v>
      </c>
      <c r="E2145" s="58">
        <f>Valuation!I47</f>
        <v>0</v>
      </c>
    </row>
    <row r="2146" spans="1:5">
      <c r="A2146" s="58" t="s">
        <v>829</v>
      </c>
      <c r="B2146" s="58" t="s">
        <v>2675</v>
      </c>
      <c r="C2146" s="58" t="s">
        <v>2672</v>
      </c>
      <c r="D2146" s="58">
        <v>-9</v>
      </c>
      <c r="E2146" s="58">
        <f>Valuation!J47</f>
        <v>0</v>
      </c>
    </row>
    <row r="2147" spans="1:5">
      <c r="A2147" s="58" t="s">
        <v>829</v>
      </c>
      <c r="B2147" s="58" t="s">
        <v>2676</v>
      </c>
      <c r="C2147" s="58" t="s">
        <v>2672</v>
      </c>
      <c r="D2147" s="58">
        <v>-8</v>
      </c>
      <c r="E2147" s="58">
        <f>Valuation!K47</f>
        <v>0</v>
      </c>
    </row>
    <row r="2148" spans="1:5">
      <c r="A2148" s="58" t="s">
        <v>829</v>
      </c>
      <c r="B2148" s="58" t="s">
        <v>2677</v>
      </c>
      <c r="C2148" s="58" t="s">
        <v>2672</v>
      </c>
      <c r="D2148" s="58">
        <v>-7</v>
      </c>
      <c r="E2148" s="58">
        <f>Valuation!L47</f>
        <v>0</v>
      </c>
    </row>
    <row r="2149" spans="1:5">
      <c r="A2149" s="58" t="s">
        <v>829</v>
      </c>
      <c r="B2149" s="58" t="s">
        <v>2678</v>
      </c>
      <c r="C2149" s="58" t="s">
        <v>2672</v>
      </c>
      <c r="D2149" s="58">
        <v>-6</v>
      </c>
      <c r="E2149" s="58">
        <f>Valuation!M47</f>
        <v>0</v>
      </c>
    </row>
    <row r="2150" spans="1:5">
      <c r="A2150" s="58" t="s">
        <v>829</v>
      </c>
      <c r="B2150" s="58" t="s">
        <v>2679</v>
      </c>
      <c r="C2150" s="58" t="s">
        <v>2672</v>
      </c>
      <c r="D2150" s="58">
        <v>-5</v>
      </c>
      <c r="E2150" s="58">
        <f>Valuation!N47</f>
        <v>0</v>
      </c>
    </row>
    <row r="2151" spans="1:5">
      <c r="A2151" s="58" t="s">
        <v>829</v>
      </c>
      <c r="B2151" s="58" t="s">
        <v>2680</v>
      </c>
      <c r="C2151" s="58" t="s">
        <v>2672</v>
      </c>
      <c r="D2151" s="58">
        <v>-4</v>
      </c>
      <c r="E2151" s="58">
        <f>Valuation!O47</f>
        <v>0</v>
      </c>
    </row>
    <row r="2152" spans="1:5">
      <c r="A2152" s="58" t="s">
        <v>829</v>
      </c>
      <c r="B2152" s="58" t="s">
        <v>2681</v>
      </c>
      <c r="C2152" s="58" t="s">
        <v>2672</v>
      </c>
      <c r="D2152" s="58">
        <v>-3</v>
      </c>
      <c r="E2152" s="58">
        <f>Valuation!P47</f>
        <v>0</v>
      </c>
    </row>
    <row r="2153" spans="1:5">
      <c r="A2153" s="58" t="s">
        <v>829</v>
      </c>
      <c r="B2153" s="58" t="s">
        <v>2682</v>
      </c>
      <c r="C2153" s="58" t="s">
        <v>2672</v>
      </c>
      <c r="D2153" s="58">
        <v>-2</v>
      </c>
      <c r="E2153" s="58">
        <f>Valuation!Q47</f>
        <v>0</v>
      </c>
    </row>
    <row r="2154" spans="1:5">
      <c r="A2154" s="58" t="s">
        <v>829</v>
      </c>
      <c r="B2154" s="58" t="s">
        <v>2683</v>
      </c>
      <c r="C2154" s="58" t="s">
        <v>2672</v>
      </c>
      <c r="D2154" s="58">
        <v>-1</v>
      </c>
      <c r="E2154" s="58">
        <f>Valuation!R47</f>
        <v>0</v>
      </c>
    </row>
    <row r="2155" spans="1:5">
      <c r="A2155" s="58" t="s">
        <v>829</v>
      </c>
      <c r="B2155" s="58" t="s">
        <v>2684</v>
      </c>
      <c r="C2155" s="58" t="s">
        <v>2672</v>
      </c>
      <c r="D2155" s="58">
        <v>1</v>
      </c>
      <c r="E2155" s="58">
        <f>Valuation!T47</f>
        <v>0</v>
      </c>
    </row>
    <row r="2156" spans="1:5">
      <c r="A2156" s="58" t="s">
        <v>829</v>
      </c>
      <c r="B2156" s="58" t="s">
        <v>2685</v>
      </c>
      <c r="C2156" s="58" t="s">
        <v>2672</v>
      </c>
      <c r="D2156" s="58">
        <v>2</v>
      </c>
      <c r="E2156" s="58">
        <f>Valuation!U47</f>
        <v>0</v>
      </c>
    </row>
    <row r="2157" spans="1:5">
      <c r="A2157" s="58" t="s">
        <v>829</v>
      </c>
      <c r="B2157" s="58" t="s">
        <v>2686</v>
      </c>
      <c r="C2157" s="58" t="s">
        <v>2672</v>
      </c>
      <c r="D2157" s="58">
        <v>3</v>
      </c>
      <c r="E2157" s="58">
        <f>Valuation!V47</f>
        <v>0</v>
      </c>
    </row>
    <row r="2158" spans="1:5">
      <c r="A2158" s="58" t="s">
        <v>829</v>
      </c>
      <c r="B2158" s="58" t="s">
        <v>2687</v>
      </c>
      <c r="C2158" s="58" t="s">
        <v>2672</v>
      </c>
      <c r="D2158" s="58">
        <v>4</v>
      </c>
      <c r="E2158" s="58">
        <f>Valuation!W47</f>
        <v>0</v>
      </c>
    </row>
    <row r="2159" spans="1:5">
      <c r="A2159" s="58" t="s">
        <v>829</v>
      </c>
      <c r="B2159" s="58" t="s">
        <v>2688</v>
      </c>
      <c r="C2159" s="58" t="s">
        <v>2672</v>
      </c>
      <c r="D2159" s="58">
        <v>5</v>
      </c>
      <c r="E2159" s="58">
        <f>Valuation!X47</f>
        <v>0</v>
      </c>
    </row>
    <row r="2160" spans="1:5">
      <c r="A2160" s="58" t="s">
        <v>829</v>
      </c>
      <c r="B2160" s="58" t="s">
        <v>2689</v>
      </c>
      <c r="C2160" s="58" t="s">
        <v>2672</v>
      </c>
      <c r="D2160" s="58">
        <v>6</v>
      </c>
      <c r="E2160" s="58">
        <f>Valuation!Y47</f>
        <v>0</v>
      </c>
    </row>
    <row r="2161" spans="1:5">
      <c r="A2161" s="58" t="s">
        <v>829</v>
      </c>
      <c r="B2161" s="58" t="s">
        <v>2690</v>
      </c>
      <c r="C2161" s="58" t="s">
        <v>2672</v>
      </c>
      <c r="D2161" s="58">
        <v>7</v>
      </c>
      <c r="E2161" s="58">
        <f>Valuation!Z47</f>
        <v>0</v>
      </c>
    </row>
    <row r="2162" spans="1:5">
      <c r="A2162" s="58" t="s">
        <v>829</v>
      </c>
      <c r="B2162" s="58" t="s">
        <v>2691</v>
      </c>
      <c r="C2162" s="58" t="s">
        <v>2672</v>
      </c>
      <c r="D2162" s="58">
        <v>8</v>
      </c>
      <c r="E2162" s="58">
        <f>Valuation!AA47</f>
        <v>0</v>
      </c>
    </row>
    <row r="2163" spans="1:5">
      <c r="A2163" s="58" t="s">
        <v>829</v>
      </c>
      <c r="B2163" s="58" t="s">
        <v>2692</v>
      </c>
      <c r="C2163" s="58" t="s">
        <v>2672</v>
      </c>
      <c r="D2163" s="58">
        <v>9</v>
      </c>
      <c r="E2163" s="58">
        <f>Valuation!AB47</f>
        <v>0</v>
      </c>
    </row>
    <row r="2164" spans="1:5">
      <c r="A2164" s="58" t="s">
        <v>829</v>
      </c>
      <c r="B2164" s="58" t="s">
        <v>2693</v>
      </c>
      <c r="C2164" s="58" t="s">
        <v>1166</v>
      </c>
      <c r="D2164" s="58" t="s">
        <v>1138</v>
      </c>
      <c r="E2164" s="58" t="str">
        <f>Valuation!V110</f>
        <v>Standard</v>
      </c>
    </row>
    <row r="2165" spans="1:5">
      <c r="A2165" s="58" t="s">
        <v>829</v>
      </c>
      <c r="B2165" s="58" t="s">
        <v>2694</v>
      </c>
      <c r="C2165" s="58" t="s">
        <v>1167</v>
      </c>
      <c r="D2165" s="58" t="s">
        <v>1138</v>
      </c>
      <c r="E2165" s="58" t="str">
        <f ca="1">Valuation!V113</f>
        <v/>
      </c>
    </row>
    <row r="2166" spans="1:5">
      <c r="A2166" s="58" t="s">
        <v>829</v>
      </c>
      <c r="B2166" s="58" t="s">
        <v>2695</v>
      </c>
      <c r="C2166" s="58" t="s">
        <v>1168</v>
      </c>
      <c r="D2166" s="58" t="s">
        <v>1138</v>
      </c>
      <c r="E2166" s="58">
        <f>Valuation!V111</f>
        <v>0</v>
      </c>
    </row>
    <row r="2167" spans="1:5">
      <c r="A2167" s="58" t="s">
        <v>829</v>
      </c>
      <c r="B2167" s="58" t="s">
        <v>2696</v>
      </c>
      <c r="C2167" s="58" t="s">
        <v>1169</v>
      </c>
      <c r="D2167" s="58" t="s">
        <v>1138</v>
      </c>
      <c r="E2167" s="58" t="e">
        <f ca="1">Valuation!V106</f>
        <v>#NAME?</v>
      </c>
    </row>
    <row r="2168" spans="1:5">
      <c r="A2168" s="58" t="s">
        <v>829</v>
      </c>
      <c r="B2168" s="58" t="s">
        <v>2697</v>
      </c>
      <c r="C2168" s="58" t="s">
        <v>1170</v>
      </c>
      <c r="D2168" s="58" t="s">
        <v>1138</v>
      </c>
      <c r="E2168" s="58" t="e">
        <f ca="1">Valuation!V105</f>
        <v>#NAME?</v>
      </c>
    </row>
    <row r="2169" spans="1:5">
      <c r="A2169" s="58" t="s">
        <v>829</v>
      </c>
      <c r="B2169" s="58" t="s">
        <v>2698</v>
      </c>
      <c r="C2169" s="58" t="s">
        <v>1171</v>
      </c>
      <c r="D2169" s="58" t="s">
        <v>1138</v>
      </c>
      <c r="E2169" s="58">
        <f>Valuation!V109</f>
        <v>1</v>
      </c>
    </row>
    <row r="2170" spans="1:5">
      <c r="A2170" s="58" t="s">
        <v>829</v>
      </c>
      <c r="B2170" s="58" t="s">
        <v>2699</v>
      </c>
      <c r="C2170" s="58" t="s">
        <v>1172</v>
      </c>
      <c r="D2170" s="58" t="s">
        <v>1138</v>
      </c>
      <c r="E2170" s="58" t="e">
        <f ca="1">Valuation!V104</f>
        <v>#NAME?</v>
      </c>
    </row>
    <row r="2171" spans="1:5">
      <c r="A2171" s="58" t="s">
        <v>829</v>
      </c>
      <c r="B2171" s="58" t="s">
        <v>2700</v>
      </c>
      <c r="C2171" s="58" t="s">
        <v>2701</v>
      </c>
      <c r="D2171" s="58">
        <v>-11</v>
      </c>
      <c r="E2171" s="58">
        <f>Valuation!H86</f>
        <v>0</v>
      </c>
    </row>
    <row r="2172" spans="1:5">
      <c r="A2172" s="58" t="s">
        <v>829</v>
      </c>
      <c r="B2172" s="58" t="s">
        <v>2702</v>
      </c>
      <c r="C2172" s="58" t="s">
        <v>2701</v>
      </c>
      <c r="D2172" s="58">
        <v>-10</v>
      </c>
      <c r="E2172" s="58">
        <f>Valuation!I86</f>
        <v>0</v>
      </c>
    </row>
    <row r="2173" spans="1:5">
      <c r="A2173" s="58" t="s">
        <v>829</v>
      </c>
      <c r="B2173" s="58" t="s">
        <v>2703</v>
      </c>
      <c r="C2173" s="58" t="s">
        <v>2701</v>
      </c>
      <c r="D2173" s="58">
        <v>-9</v>
      </c>
      <c r="E2173" s="58">
        <f>Valuation!J86</f>
        <v>0</v>
      </c>
    </row>
    <row r="2174" spans="1:5">
      <c r="A2174" s="58" t="s">
        <v>829</v>
      </c>
      <c r="B2174" s="58" t="s">
        <v>2704</v>
      </c>
      <c r="C2174" s="58" t="s">
        <v>2701</v>
      </c>
      <c r="D2174" s="58">
        <v>-8</v>
      </c>
      <c r="E2174" s="58">
        <f>Valuation!K86</f>
        <v>0</v>
      </c>
    </row>
    <row r="2175" spans="1:5">
      <c r="A2175" s="58" t="s">
        <v>829</v>
      </c>
      <c r="B2175" s="58" t="s">
        <v>2705</v>
      </c>
      <c r="C2175" s="58" t="s">
        <v>2701</v>
      </c>
      <c r="D2175" s="58">
        <v>-7</v>
      </c>
      <c r="E2175" s="58">
        <f>Valuation!L86</f>
        <v>0</v>
      </c>
    </row>
    <row r="2176" spans="1:5">
      <c r="A2176" s="58" t="s">
        <v>829</v>
      </c>
      <c r="B2176" s="58" t="s">
        <v>2706</v>
      </c>
      <c r="C2176" s="58" t="s">
        <v>2701</v>
      </c>
      <c r="D2176" s="58">
        <v>-6</v>
      </c>
      <c r="E2176" s="58">
        <f>Valuation!M86</f>
        <v>5794589</v>
      </c>
    </row>
    <row r="2177" spans="1:5">
      <c r="A2177" s="58" t="s">
        <v>829</v>
      </c>
      <c r="B2177" s="58" t="s">
        <v>2707</v>
      </c>
      <c r="C2177" s="58" t="s">
        <v>2701</v>
      </c>
      <c r="D2177" s="58">
        <v>-5</v>
      </c>
      <c r="E2177" s="58">
        <f>Valuation!N86</f>
        <v>21274425</v>
      </c>
    </row>
    <row r="2178" spans="1:5">
      <c r="A2178" s="58" t="s">
        <v>829</v>
      </c>
      <c r="B2178" s="58" t="s">
        <v>2708</v>
      </c>
      <c r="C2178" s="58" t="s">
        <v>2701</v>
      </c>
      <c r="D2178" s="58">
        <v>-4</v>
      </c>
      <c r="E2178" s="58">
        <f>Valuation!O86</f>
        <v>14311685</v>
      </c>
    </row>
    <row r="2179" spans="1:5">
      <c r="A2179" s="58" t="s">
        <v>829</v>
      </c>
      <c r="B2179" s="58" t="s">
        <v>2709</v>
      </c>
      <c r="C2179" s="58" t="s">
        <v>2701</v>
      </c>
      <c r="D2179" s="58">
        <v>-3</v>
      </c>
      <c r="E2179" s="58">
        <f>Valuation!P86</f>
        <v>14399893</v>
      </c>
    </row>
    <row r="2180" spans="1:5">
      <c r="A2180" s="58" t="s">
        <v>829</v>
      </c>
      <c r="B2180" s="58" t="s">
        <v>2710</v>
      </c>
      <c r="C2180" s="58" t="s">
        <v>2701</v>
      </c>
      <c r="D2180" s="58">
        <v>-2</v>
      </c>
      <c r="E2180" s="58">
        <f>Valuation!Q86</f>
        <v>22541951</v>
      </c>
    </row>
    <row r="2181" spans="1:5">
      <c r="A2181" s="58" t="s">
        <v>829</v>
      </c>
      <c r="B2181" s="58" t="s">
        <v>2711</v>
      </c>
      <c r="C2181" s="58" t="s">
        <v>2701</v>
      </c>
      <c r="D2181" s="58">
        <v>-1</v>
      </c>
      <c r="E2181" s="58">
        <f>Valuation!R86</f>
        <v>29048847</v>
      </c>
    </row>
    <row r="2182" spans="1:5">
      <c r="A2182" s="58" t="s">
        <v>829</v>
      </c>
      <c r="B2182" s="58" t="s">
        <v>2712</v>
      </c>
      <c r="C2182" s="58" t="s">
        <v>2701</v>
      </c>
      <c r="D2182" s="58">
        <v>1</v>
      </c>
      <c r="E2182" s="58" t="e">
        <f ca="1">Valuation!T86</f>
        <v>#NAME?</v>
      </c>
    </row>
    <row r="2183" spans="1:5">
      <c r="A2183" s="58" t="s">
        <v>829</v>
      </c>
      <c r="B2183" s="58" t="s">
        <v>2713</v>
      </c>
      <c r="C2183" s="58" t="s">
        <v>2701</v>
      </c>
      <c r="D2183" s="58">
        <v>2</v>
      </c>
      <c r="E2183" s="58" t="e">
        <f ca="1">Valuation!U86</f>
        <v>#NAME?</v>
      </c>
    </row>
    <row r="2184" spans="1:5">
      <c r="A2184" s="58" t="s">
        <v>829</v>
      </c>
      <c r="B2184" s="58" t="s">
        <v>2714</v>
      </c>
      <c r="C2184" s="58" t="s">
        <v>2701</v>
      </c>
      <c r="D2184" s="58">
        <v>3</v>
      </c>
      <c r="E2184" s="58" t="e">
        <f ca="1">Valuation!V86</f>
        <v>#NAME?</v>
      </c>
    </row>
    <row r="2185" spans="1:5">
      <c r="A2185" s="58" t="s">
        <v>829</v>
      </c>
      <c r="B2185" s="58" t="s">
        <v>2715</v>
      </c>
      <c r="C2185" s="58" t="s">
        <v>2701</v>
      </c>
      <c r="D2185" s="58">
        <v>4</v>
      </c>
      <c r="E2185" s="58" t="e">
        <f ca="1">Valuation!W86</f>
        <v>#NAME?</v>
      </c>
    </row>
    <row r="2186" spans="1:5">
      <c r="A2186" s="58" t="s">
        <v>829</v>
      </c>
      <c r="B2186" s="58" t="s">
        <v>2716</v>
      </c>
      <c r="C2186" s="58" t="s">
        <v>2701</v>
      </c>
      <c r="D2186" s="58">
        <v>5</v>
      </c>
      <c r="E2186" s="58" t="e">
        <f ca="1">Valuation!X86</f>
        <v>#NAME?</v>
      </c>
    </row>
    <row r="2187" spans="1:5">
      <c r="A2187" s="58" t="s">
        <v>829</v>
      </c>
      <c r="B2187" s="58" t="s">
        <v>2717</v>
      </c>
      <c r="C2187" s="58" t="s">
        <v>2701</v>
      </c>
      <c r="D2187" s="58">
        <v>6</v>
      </c>
      <c r="E2187" s="58" t="e">
        <f ca="1">Valuation!Y86</f>
        <v>#NAME?</v>
      </c>
    </row>
    <row r="2188" spans="1:5">
      <c r="A2188" s="58" t="s">
        <v>829</v>
      </c>
      <c r="B2188" s="58" t="s">
        <v>2718</v>
      </c>
      <c r="C2188" s="58" t="s">
        <v>2701</v>
      </c>
      <c r="D2188" s="58">
        <v>7</v>
      </c>
      <c r="E2188" s="58" t="e">
        <f ca="1">Valuation!Z86</f>
        <v>#NAME?</v>
      </c>
    </row>
    <row r="2189" spans="1:5">
      <c r="A2189" s="58" t="s">
        <v>829</v>
      </c>
      <c r="B2189" s="58" t="s">
        <v>2719</v>
      </c>
      <c r="C2189" s="58" t="s">
        <v>2701</v>
      </c>
      <c r="D2189" s="58">
        <v>8</v>
      </c>
      <c r="E2189" s="58" t="e">
        <f ca="1">Valuation!AA86</f>
        <v>#NAME?</v>
      </c>
    </row>
    <row r="2190" spans="1:5">
      <c r="A2190" s="58" t="s">
        <v>829</v>
      </c>
      <c r="B2190" s="58" t="s">
        <v>2720</v>
      </c>
      <c r="C2190" s="58" t="s">
        <v>2701</v>
      </c>
      <c r="D2190" s="58">
        <v>9</v>
      </c>
      <c r="E2190" s="58" t="e">
        <f ca="1">Valuation!AB86</f>
        <v>#NAME?</v>
      </c>
    </row>
    <row r="2191" spans="1:5">
      <c r="A2191" s="58" t="s">
        <v>829</v>
      </c>
      <c r="B2191" s="58" t="s">
        <v>2721</v>
      </c>
      <c r="C2191" s="58" t="s">
        <v>2701</v>
      </c>
      <c r="D2191" s="58">
        <v>0</v>
      </c>
      <c r="E2191" s="58" t="e">
        <f ca="1">Valuation!S86</f>
        <v>#NAME?</v>
      </c>
    </row>
    <row r="2192" spans="1:5">
      <c r="A2192" s="58" t="s">
        <v>829</v>
      </c>
      <c r="B2192" s="58" t="s">
        <v>2722</v>
      </c>
      <c r="C2192" s="58" t="s">
        <v>2723</v>
      </c>
      <c r="D2192" s="58">
        <v>-11</v>
      </c>
      <c r="E2192" s="58">
        <f>Valuation!H89</f>
        <v>0</v>
      </c>
    </row>
    <row r="2193" spans="1:5">
      <c r="A2193" s="58" t="s">
        <v>829</v>
      </c>
      <c r="B2193" s="58" t="s">
        <v>2724</v>
      </c>
      <c r="C2193" s="58" t="s">
        <v>2723</v>
      </c>
      <c r="D2193" s="58">
        <v>-10</v>
      </c>
      <c r="E2193" s="58">
        <f>Valuation!I89</f>
        <v>0</v>
      </c>
    </row>
    <row r="2194" spans="1:5">
      <c r="A2194" s="58" t="s">
        <v>829</v>
      </c>
      <c r="B2194" s="58" t="s">
        <v>2725</v>
      </c>
      <c r="C2194" s="58" t="s">
        <v>2723</v>
      </c>
      <c r="D2194" s="58">
        <v>-9</v>
      </c>
      <c r="E2194" s="58">
        <f>Valuation!J89</f>
        <v>0</v>
      </c>
    </row>
    <row r="2195" spans="1:5">
      <c r="A2195" s="58" t="s">
        <v>829</v>
      </c>
      <c r="B2195" s="58" t="s">
        <v>2726</v>
      </c>
      <c r="C2195" s="58" t="s">
        <v>2723</v>
      </c>
      <c r="D2195" s="58">
        <v>-8</v>
      </c>
      <c r="E2195" s="58">
        <f>Valuation!K89</f>
        <v>0</v>
      </c>
    </row>
    <row r="2196" spans="1:5">
      <c r="A2196" s="58" t="s">
        <v>829</v>
      </c>
      <c r="B2196" s="58" t="s">
        <v>2727</v>
      </c>
      <c r="C2196" s="58" t="s">
        <v>2723</v>
      </c>
      <c r="D2196" s="58">
        <v>-7</v>
      </c>
      <c r="E2196" s="58">
        <f>Valuation!L89</f>
        <v>0</v>
      </c>
    </row>
    <row r="2197" spans="1:5">
      <c r="A2197" s="58" t="s">
        <v>829</v>
      </c>
      <c r="B2197" s="58" t="s">
        <v>2728</v>
      </c>
      <c r="C2197" s="58" t="s">
        <v>2723</v>
      </c>
      <c r="D2197" s="58">
        <v>-6</v>
      </c>
      <c r="E2197" s="58">
        <f>Valuation!M89</f>
        <v>562467</v>
      </c>
    </row>
    <row r="2198" spans="1:5">
      <c r="A2198" s="58" t="s">
        <v>829</v>
      </c>
      <c r="B2198" s="58" t="s">
        <v>2729</v>
      </c>
      <c r="C2198" s="58" t="s">
        <v>2723</v>
      </c>
      <c r="D2198" s="58">
        <v>-5</v>
      </c>
      <c r="E2198" s="58">
        <f>Valuation!N89</f>
        <v>3384795</v>
      </c>
    </row>
    <row r="2199" spans="1:5">
      <c r="A2199" s="58" t="s">
        <v>829</v>
      </c>
      <c r="B2199" s="58" t="s">
        <v>2730</v>
      </c>
      <c r="C2199" s="58" t="s">
        <v>2723</v>
      </c>
      <c r="D2199" s="58">
        <v>-4</v>
      </c>
      <c r="E2199" s="58">
        <f>Valuation!O89</f>
        <v>3393448</v>
      </c>
    </row>
    <row r="2200" spans="1:5">
      <c r="A2200" s="58" t="s">
        <v>829</v>
      </c>
      <c r="B2200" s="58" t="s">
        <v>2731</v>
      </c>
      <c r="C2200" s="58" t="s">
        <v>2723</v>
      </c>
      <c r="D2200" s="58">
        <v>-3</v>
      </c>
      <c r="E2200" s="58">
        <f>Valuation!P89</f>
        <v>2979957</v>
      </c>
    </row>
    <row r="2201" spans="1:5">
      <c r="A2201" s="58" t="s">
        <v>829</v>
      </c>
      <c r="B2201" s="58" t="s">
        <v>2732</v>
      </c>
      <c r="C2201" s="58" t="s">
        <v>2723</v>
      </c>
      <c r="D2201" s="58">
        <v>-2</v>
      </c>
      <c r="E2201" s="58">
        <f>Valuation!Q89</f>
        <v>4534191</v>
      </c>
    </row>
    <row r="2202" spans="1:5">
      <c r="A2202" s="58" t="s">
        <v>829</v>
      </c>
      <c r="B2202" s="58" t="s">
        <v>2733</v>
      </c>
      <c r="C2202" s="58" t="s">
        <v>2723</v>
      </c>
      <c r="D2202" s="58">
        <v>-1</v>
      </c>
      <c r="E2202" s="58">
        <f>Valuation!R89</f>
        <v>7658724</v>
      </c>
    </row>
    <row r="2203" spans="1:5">
      <c r="A2203" s="58" t="s">
        <v>829</v>
      </c>
      <c r="B2203" s="58" t="s">
        <v>2734</v>
      </c>
      <c r="C2203" s="58" t="s">
        <v>2723</v>
      </c>
      <c r="D2203" s="58">
        <v>1</v>
      </c>
      <c r="E2203" s="58">
        <f>Valuation!T89</f>
        <v>7968136.4496000009</v>
      </c>
    </row>
    <row r="2204" spans="1:5">
      <c r="A2204" s="58" t="s">
        <v>829</v>
      </c>
      <c r="B2204" s="58" t="s">
        <v>2735</v>
      </c>
      <c r="C2204" s="58" t="s">
        <v>2723</v>
      </c>
      <c r="D2204" s="58">
        <v>2</v>
      </c>
      <c r="E2204" s="58">
        <f>Valuation!U89</f>
        <v>8127499.1785920011</v>
      </c>
    </row>
    <row r="2205" spans="1:5">
      <c r="A2205" s="58" t="s">
        <v>829</v>
      </c>
      <c r="B2205" s="58" t="s">
        <v>2736</v>
      </c>
      <c r="C2205" s="58" t="s">
        <v>2723</v>
      </c>
      <c r="D2205" s="58">
        <v>3</v>
      </c>
      <c r="E2205" s="58">
        <f>Valuation!V89</f>
        <v>8290049.1621638415</v>
      </c>
    </row>
    <row r="2206" spans="1:5">
      <c r="A2206" s="58" t="s">
        <v>829</v>
      </c>
      <c r="B2206" s="58" t="s">
        <v>2737</v>
      </c>
      <c r="C2206" s="58" t="s">
        <v>2723</v>
      </c>
      <c r="D2206" s="58">
        <v>4</v>
      </c>
      <c r="E2206" s="58">
        <f>Valuation!W89</f>
        <v>8455850.1454071179</v>
      </c>
    </row>
    <row r="2207" spans="1:5">
      <c r="A2207" s="58" t="s">
        <v>829</v>
      </c>
      <c r="B2207" s="58" t="s">
        <v>2738</v>
      </c>
      <c r="C2207" s="58" t="s">
        <v>2723</v>
      </c>
      <c r="D2207" s="58">
        <v>5</v>
      </c>
      <c r="E2207" s="58">
        <f>Valuation!X89</f>
        <v>8624967.1483152602</v>
      </c>
    </row>
    <row r="2208" spans="1:5">
      <c r="A2208" s="58" t="s">
        <v>829</v>
      </c>
      <c r="B2208" s="58" t="s">
        <v>2739</v>
      </c>
      <c r="C2208" s="58" t="s">
        <v>2723</v>
      </c>
      <c r="D2208" s="58">
        <v>6</v>
      </c>
      <c r="E2208" s="58">
        <f>Valuation!Y89</f>
        <v>8797466.4912815653</v>
      </c>
    </row>
    <row r="2209" spans="1:5">
      <c r="A2209" s="58" t="s">
        <v>829</v>
      </c>
      <c r="B2209" s="58" t="s">
        <v>2740</v>
      </c>
      <c r="C2209" s="58" t="s">
        <v>2723</v>
      </c>
      <c r="D2209" s="58">
        <v>7</v>
      </c>
      <c r="E2209" s="58">
        <f>Valuation!Z89</f>
        <v>8973415.8211071976</v>
      </c>
    </row>
    <row r="2210" spans="1:5">
      <c r="A2210" s="58" t="s">
        <v>829</v>
      </c>
      <c r="B2210" s="58" t="s">
        <v>2741</v>
      </c>
      <c r="C2210" s="58" t="s">
        <v>2723</v>
      </c>
      <c r="D2210" s="58">
        <v>8</v>
      </c>
      <c r="E2210" s="58">
        <f>Valuation!AA89</f>
        <v>9152884.1375293415</v>
      </c>
    </row>
    <row r="2211" spans="1:5">
      <c r="A2211" s="58" t="s">
        <v>829</v>
      </c>
      <c r="B2211" s="58" t="s">
        <v>2742</v>
      </c>
      <c r="C2211" s="58" t="s">
        <v>2723</v>
      </c>
      <c r="D2211" s="58">
        <v>9</v>
      </c>
      <c r="E2211" s="58">
        <f>Valuation!AB89</f>
        <v>9335941.8202799279</v>
      </c>
    </row>
    <row r="2212" spans="1:5">
      <c r="A2212" s="58" t="s">
        <v>829</v>
      </c>
      <c r="B2212" s="58" t="s">
        <v>2743</v>
      </c>
      <c r="C2212" s="58" t="s">
        <v>2723</v>
      </c>
      <c r="D2212" s="58">
        <v>0</v>
      </c>
      <c r="E2212" s="58">
        <f>Valuation!S89</f>
        <v>7811898.4800000004</v>
      </c>
    </row>
    <row r="2213" spans="1:5">
      <c r="A2213" s="58" t="s">
        <v>3238</v>
      </c>
      <c r="B2213" s="58" t="s">
        <v>2744</v>
      </c>
      <c r="C2213" s="58" t="s">
        <v>1173</v>
      </c>
      <c r="D2213" s="58" t="s">
        <v>1138</v>
      </c>
      <c r="E2213" s="58" t="e">
        <f>Ratios!L74</f>
        <v>#NAME?</v>
      </c>
    </row>
    <row r="2214" spans="1:5">
      <c r="A2214" s="58" t="s">
        <v>3238</v>
      </c>
      <c r="B2214" s="58" t="s">
        <v>2745</v>
      </c>
      <c r="C2214" s="58" t="s">
        <v>1174</v>
      </c>
      <c r="D2214" s="58" t="s">
        <v>1138</v>
      </c>
      <c r="E2214" s="58" t="e">
        <f ca="1">Ratios!M74</f>
        <v>#NAME?</v>
      </c>
    </row>
    <row r="2215" spans="1:5">
      <c r="A2215" s="58" t="s">
        <v>3238</v>
      </c>
      <c r="B2215" s="58" t="s">
        <v>1465</v>
      </c>
      <c r="C2215" s="58" t="s">
        <v>1175</v>
      </c>
      <c r="D2215" s="58" t="s">
        <v>1138</v>
      </c>
      <c r="E2215" s="58" t="e">
        <f>Ratios!Q75</f>
        <v>#DIV/0!</v>
      </c>
    </row>
    <row r="2216" spans="1:5">
      <c r="A2216" s="58" t="s">
        <v>3238</v>
      </c>
      <c r="B2216" s="58" t="s">
        <v>1466</v>
      </c>
      <c r="C2216" s="58" t="s">
        <v>1176</v>
      </c>
      <c r="D2216" s="58" t="s">
        <v>1138</v>
      </c>
      <c r="E2216" s="58" t="e">
        <f>Ratios!R75</f>
        <v>#DIV/0!</v>
      </c>
    </row>
    <row r="2217" spans="1:5">
      <c r="A2217" s="58" t="s">
        <v>829</v>
      </c>
      <c r="B2217" s="58" t="s">
        <v>2746</v>
      </c>
      <c r="C2217" s="58" t="s">
        <v>2747</v>
      </c>
      <c r="D2217" s="58">
        <v>-11</v>
      </c>
      <c r="E2217" s="58">
        <f>Valuation!H95</f>
        <v>0</v>
      </c>
    </row>
    <row r="2218" spans="1:5">
      <c r="A2218" s="58" t="s">
        <v>829</v>
      </c>
      <c r="B2218" s="58" t="s">
        <v>2748</v>
      </c>
      <c r="C2218" s="58" t="s">
        <v>2747</v>
      </c>
      <c r="D2218" s="58">
        <v>-10</v>
      </c>
      <c r="E2218" s="58">
        <f>Valuation!I95</f>
        <v>0</v>
      </c>
    </row>
    <row r="2219" spans="1:5">
      <c r="A2219" s="58" t="s">
        <v>829</v>
      </c>
      <c r="B2219" s="58" t="s">
        <v>2749</v>
      </c>
      <c r="C2219" s="58" t="s">
        <v>2747</v>
      </c>
      <c r="D2219" s="58">
        <v>-9</v>
      </c>
      <c r="E2219" s="58">
        <f>Valuation!J95</f>
        <v>0</v>
      </c>
    </row>
    <row r="2220" spans="1:5">
      <c r="A2220" s="58" t="s">
        <v>829</v>
      </c>
      <c r="B2220" s="58" t="s">
        <v>2750</v>
      </c>
      <c r="C2220" s="58" t="s">
        <v>2747</v>
      </c>
      <c r="D2220" s="58">
        <v>-8</v>
      </c>
      <c r="E2220" s="58">
        <f>Valuation!K95</f>
        <v>0</v>
      </c>
    </row>
    <row r="2221" spans="1:5">
      <c r="A2221" s="58" t="s">
        <v>829</v>
      </c>
      <c r="B2221" s="58" t="s">
        <v>2751</v>
      </c>
      <c r="C2221" s="58" t="s">
        <v>2747</v>
      </c>
      <c r="D2221" s="58">
        <v>-7</v>
      </c>
      <c r="E2221" s="58">
        <f>Valuation!L95</f>
        <v>0</v>
      </c>
    </row>
    <row r="2222" spans="1:5">
      <c r="A2222" s="58" t="s">
        <v>829</v>
      </c>
      <c r="B2222" s="58" t="s">
        <v>2752</v>
      </c>
      <c r="C2222" s="58" t="s">
        <v>2747</v>
      </c>
      <c r="D2222" s="58">
        <v>-6</v>
      </c>
      <c r="E2222" s="58">
        <f>Valuation!M95</f>
        <v>963584</v>
      </c>
    </row>
    <row r="2223" spans="1:5">
      <c r="A2223" s="58" t="s">
        <v>829</v>
      </c>
      <c r="B2223" s="58" t="s">
        <v>2753</v>
      </c>
      <c r="C2223" s="58" t="s">
        <v>2747</v>
      </c>
      <c r="D2223" s="58">
        <v>-5</v>
      </c>
      <c r="E2223" s="58">
        <f>Valuation!N95</f>
        <v>6381689</v>
      </c>
    </row>
    <row r="2224" spans="1:5">
      <c r="A2224" s="58" t="s">
        <v>829</v>
      </c>
      <c r="B2224" s="58" t="s">
        <v>2754</v>
      </c>
      <c r="C2224" s="58" t="s">
        <v>2747</v>
      </c>
      <c r="D2224" s="58">
        <v>-4</v>
      </c>
      <c r="E2224" s="58">
        <f>Valuation!O95</f>
        <v>5454557</v>
      </c>
    </row>
    <row r="2225" spans="1:5">
      <c r="A2225" s="58" t="s">
        <v>829</v>
      </c>
      <c r="B2225" s="58" t="s">
        <v>2755</v>
      </c>
      <c r="C2225" s="58" t="s">
        <v>2747</v>
      </c>
      <c r="D2225" s="58">
        <v>-3</v>
      </c>
      <c r="E2225" s="58">
        <f>Valuation!P95</f>
        <v>6281649</v>
      </c>
    </row>
    <row r="2226" spans="1:5">
      <c r="A2226" s="58" t="s">
        <v>829</v>
      </c>
      <c r="B2226" s="58" t="s">
        <v>2756</v>
      </c>
      <c r="C2226" s="58" t="s">
        <v>2747</v>
      </c>
      <c r="D2226" s="58">
        <v>-2</v>
      </c>
      <c r="E2226" s="58">
        <f>Valuation!Q95</f>
        <v>10276842</v>
      </c>
    </row>
    <row r="2227" spans="1:5">
      <c r="A2227" s="58" t="s">
        <v>829</v>
      </c>
      <c r="B2227" s="58" t="s">
        <v>2757</v>
      </c>
      <c r="C2227" s="58" t="s">
        <v>2747</v>
      </c>
      <c r="D2227" s="58">
        <v>-1</v>
      </c>
      <c r="E2227" s="58">
        <f>Valuation!R95</f>
        <v>14793058</v>
      </c>
    </row>
    <row r="2228" spans="1:5">
      <c r="A2228" s="58" t="s">
        <v>829</v>
      </c>
      <c r="B2228" s="58" t="s">
        <v>2758</v>
      </c>
      <c r="C2228" s="58" t="s">
        <v>2747</v>
      </c>
      <c r="D2228" s="58">
        <v>1</v>
      </c>
      <c r="E2228" s="58" t="e">
        <f ca="1">Valuation!T95</f>
        <v>#NAME?</v>
      </c>
    </row>
    <row r="2229" spans="1:5">
      <c r="A2229" s="58" t="s">
        <v>829</v>
      </c>
      <c r="B2229" s="58" t="s">
        <v>2759</v>
      </c>
      <c r="C2229" s="58" t="s">
        <v>2747</v>
      </c>
      <c r="D2229" s="58">
        <v>2</v>
      </c>
      <c r="E2229" s="58" t="e">
        <f ca="1">Valuation!U95</f>
        <v>#NAME?</v>
      </c>
    </row>
    <row r="2230" spans="1:5">
      <c r="A2230" s="58" t="s">
        <v>829</v>
      </c>
      <c r="B2230" s="58" t="s">
        <v>2760</v>
      </c>
      <c r="C2230" s="58" t="s">
        <v>2747</v>
      </c>
      <c r="D2230" s="58">
        <v>3</v>
      </c>
      <c r="E2230" s="58" t="e">
        <f ca="1">Valuation!V95</f>
        <v>#NAME?</v>
      </c>
    </row>
    <row r="2231" spans="1:5">
      <c r="A2231" s="58" t="s">
        <v>829</v>
      </c>
      <c r="B2231" s="58" t="s">
        <v>2761</v>
      </c>
      <c r="C2231" s="58" t="s">
        <v>2747</v>
      </c>
      <c r="D2231" s="58">
        <v>4</v>
      </c>
      <c r="E2231" s="58" t="e">
        <f ca="1">Valuation!W95</f>
        <v>#NAME?</v>
      </c>
    </row>
    <row r="2232" spans="1:5">
      <c r="A2232" s="58" t="s">
        <v>829</v>
      </c>
      <c r="B2232" s="58" t="s">
        <v>2762</v>
      </c>
      <c r="C2232" s="58" t="s">
        <v>2747</v>
      </c>
      <c r="D2232" s="58">
        <v>5</v>
      </c>
      <c r="E2232" s="58" t="e">
        <f ca="1">Valuation!X95</f>
        <v>#NAME?</v>
      </c>
    </row>
    <row r="2233" spans="1:5">
      <c r="A2233" s="58" t="s">
        <v>829</v>
      </c>
      <c r="B2233" s="58" t="s">
        <v>2763</v>
      </c>
      <c r="C2233" s="58" t="s">
        <v>2747</v>
      </c>
      <c r="D2233" s="58">
        <v>6</v>
      </c>
      <c r="E2233" s="58" t="e">
        <f ca="1">Valuation!Y95</f>
        <v>#NAME?</v>
      </c>
    </row>
    <row r="2234" spans="1:5">
      <c r="A2234" s="58" t="s">
        <v>829</v>
      </c>
      <c r="B2234" s="58" t="s">
        <v>2764</v>
      </c>
      <c r="C2234" s="58" t="s">
        <v>2747</v>
      </c>
      <c r="D2234" s="58">
        <v>7</v>
      </c>
      <c r="E2234" s="58" t="e">
        <f ca="1">Valuation!Z95</f>
        <v>#NAME?</v>
      </c>
    </row>
    <row r="2235" spans="1:5">
      <c r="A2235" s="58" t="s">
        <v>829</v>
      </c>
      <c r="B2235" s="58" t="s">
        <v>2765</v>
      </c>
      <c r="C2235" s="58" t="s">
        <v>2747</v>
      </c>
      <c r="D2235" s="58">
        <v>8</v>
      </c>
      <c r="E2235" s="58" t="e">
        <f ca="1">Valuation!AA95</f>
        <v>#NAME?</v>
      </c>
    </row>
    <row r="2236" spans="1:5">
      <c r="A2236" s="58" t="s">
        <v>829</v>
      </c>
      <c r="B2236" s="58" t="s">
        <v>2766</v>
      </c>
      <c r="C2236" s="58" t="s">
        <v>2747</v>
      </c>
      <c r="D2236" s="58">
        <v>9</v>
      </c>
      <c r="E2236" s="58" t="e">
        <f ca="1">Valuation!AB95</f>
        <v>#NAME?</v>
      </c>
    </row>
    <row r="2237" spans="1:5">
      <c r="A2237" s="58" t="s">
        <v>829</v>
      </c>
      <c r="B2237" s="58" t="s">
        <v>2767</v>
      </c>
      <c r="C2237" s="58" t="s">
        <v>2747</v>
      </c>
      <c r="D2237" s="58">
        <v>0</v>
      </c>
      <c r="E2237" s="58" t="e">
        <f ca="1">Valuation!S95</f>
        <v>#NAME?</v>
      </c>
    </row>
    <row r="2238" spans="1:5">
      <c r="A2238" s="58" t="s">
        <v>829</v>
      </c>
      <c r="B2238" s="58" t="s">
        <v>2768</v>
      </c>
      <c r="C2238" s="58" t="s">
        <v>1177</v>
      </c>
      <c r="D2238" s="58" t="s">
        <v>1138</v>
      </c>
      <c r="E2238" s="58" t="e">
        <f ca="1">Valuation!Q114</f>
        <v>#NAME?</v>
      </c>
    </row>
    <row r="2239" spans="1:5">
      <c r="A2239" s="58" t="s">
        <v>829</v>
      </c>
      <c r="B2239" s="58" t="s">
        <v>2769</v>
      </c>
      <c r="C2239" s="58" t="s">
        <v>2770</v>
      </c>
      <c r="D2239" s="58">
        <v>-11</v>
      </c>
      <c r="E2239" s="58">
        <f>Valuation!H92</f>
        <v>0</v>
      </c>
    </row>
    <row r="2240" spans="1:5">
      <c r="A2240" s="58" t="s">
        <v>829</v>
      </c>
      <c r="B2240" s="58" t="s">
        <v>2771</v>
      </c>
      <c r="C2240" s="58" t="s">
        <v>2770</v>
      </c>
      <c r="D2240" s="58">
        <v>-10</v>
      </c>
      <c r="E2240" s="58">
        <f>Valuation!I92</f>
        <v>0</v>
      </c>
    </row>
    <row r="2241" spans="1:5">
      <c r="A2241" s="58" t="s">
        <v>829</v>
      </c>
      <c r="B2241" s="58" t="s">
        <v>2772</v>
      </c>
      <c r="C2241" s="58" t="s">
        <v>2770</v>
      </c>
      <c r="D2241" s="58">
        <v>-9</v>
      </c>
      <c r="E2241" s="58">
        <f>Valuation!J92</f>
        <v>0</v>
      </c>
    </row>
    <row r="2242" spans="1:5">
      <c r="A2242" s="58" t="s">
        <v>829</v>
      </c>
      <c r="B2242" s="58" t="s">
        <v>2773</v>
      </c>
      <c r="C2242" s="58" t="s">
        <v>2770</v>
      </c>
      <c r="D2242" s="58">
        <v>-8</v>
      </c>
      <c r="E2242" s="58">
        <f>Valuation!K92</f>
        <v>0</v>
      </c>
    </row>
    <row r="2243" spans="1:5">
      <c r="A2243" s="58" t="s">
        <v>829</v>
      </c>
      <c r="B2243" s="58" t="s">
        <v>2774</v>
      </c>
      <c r="C2243" s="58" t="s">
        <v>2770</v>
      </c>
      <c r="D2243" s="58">
        <v>-7</v>
      </c>
      <c r="E2243" s="58">
        <f>Valuation!L92</f>
        <v>0</v>
      </c>
    </row>
    <row r="2244" spans="1:5">
      <c r="A2244" s="58" t="s">
        <v>829</v>
      </c>
      <c r="B2244" s="58" t="s">
        <v>2775</v>
      </c>
      <c r="C2244" s="58" t="s">
        <v>2770</v>
      </c>
      <c r="D2244" s="58">
        <v>-6</v>
      </c>
      <c r="E2244" s="58">
        <f>Valuation!M92</f>
        <v>4891830</v>
      </c>
    </row>
    <row r="2245" spans="1:5">
      <c r="A2245" s="58" t="s">
        <v>829</v>
      </c>
      <c r="B2245" s="58" t="s">
        <v>2776</v>
      </c>
      <c r="C2245" s="58" t="s">
        <v>2770</v>
      </c>
      <c r="D2245" s="58">
        <v>-5</v>
      </c>
      <c r="E2245" s="58">
        <f>Valuation!N92</f>
        <v>14877908</v>
      </c>
    </row>
    <row r="2246" spans="1:5">
      <c r="A2246" s="58" t="s">
        <v>829</v>
      </c>
      <c r="B2246" s="58" t="s">
        <v>2777</v>
      </c>
      <c r="C2246" s="58" t="s">
        <v>2770</v>
      </c>
      <c r="D2246" s="58">
        <v>-4</v>
      </c>
      <c r="E2246" s="58">
        <f>Valuation!O92</f>
        <v>8852425</v>
      </c>
    </row>
    <row r="2247" spans="1:5">
      <c r="A2247" s="58" t="s">
        <v>829</v>
      </c>
      <c r="B2247" s="58" t="s">
        <v>2778</v>
      </c>
      <c r="C2247" s="58" t="s">
        <v>2770</v>
      </c>
      <c r="D2247" s="58">
        <v>-3</v>
      </c>
      <c r="E2247" s="58">
        <f>Valuation!P92</f>
        <v>8134380</v>
      </c>
    </row>
    <row r="2248" spans="1:5">
      <c r="A2248" s="58" t="s">
        <v>829</v>
      </c>
      <c r="B2248" s="58" t="s">
        <v>2779</v>
      </c>
      <c r="C2248" s="58" t="s">
        <v>2770</v>
      </c>
      <c r="D2248" s="58">
        <v>-2</v>
      </c>
      <c r="E2248" s="58">
        <f>Valuation!Q92</f>
        <v>12265109</v>
      </c>
    </row>
    <row r="2249" spans="1:5">
      <c r="A2249" s="58" t="s">
        <v>829</v>
      </c>
      <c r="B2249" s="58" t="s">
        <v>2780</v>
      </c>
      <c r="C2249" s="58" t="s">
        <v>2770</v>
      </c>
      <c r="D2249" s="58">
        <v>-1</v>
      </c>
      <c r="E2249" s="58">
        <f>Valuation!R92</f>
        <v>14878774</v>
      </c>
    </row>
    <row r="2250" spans="1:5">
      <c r="A2250" s="58" t="s">
        <v>829</v>
      </c>
      <c r="B2250" s="58" t="s">
        <v>2781</v>
      </c>
      <c r="C2250" s="58" t="s">
        <v>2770</v>
      </c>
      <c r="D2250" s="58">
        <v>1</v>
      </c>
      <c r="E2250" s="58">
        <f ca="1">Valuation!T92</f>
        <v>15783649.620300001</v>
      </c>
    </row>
    <row r="2251" spans="1:5">
      <c r="A2251" s="58" t="s">
        <v>829</v>
      </c>
      <c r="B2251" s="58" t="s">
        <v>2782</v>
      </c>
      <c r="C2251" s="58" t="s">
        <v>2770</v>
      </c>
      <c r="D2251" s="58">
        <v>2</v>
      </c>
      <c r="E2251" s="58">
        <f ca="1">Valuation!U92</f>
        <v>16326282.832731003</v>
      </c>
    </row>
    <row r="2252" spans="1:5">
      <c r="A2252" s="58" t="s">
        <v>829</v>
      </c>
      <c r="B2252" s="58" t="s">
        <v>2783</v>
      </c>
      <c r="C2252" s="58" t="s">
        <v>2770</v>
      </c>
      <c r="D2252" s="58">
        <v>3</v>
      </c>
      <c r="E2252" s="58">
        <f ca="1">Valuation!V92</f>
        <v>16891116.720411874</v>
      </c>
    </row>
    <row r="2253" spans="1:5">
      <c r="A2253" s="58" t="s">
        <v>829</v>
      </c>
      <c r="B2253" s="58" t="s">
        <v>2784</v>
      </c>
      <c r="C2253" s="58" t="s">
        <v>2770</v>
      </c>
      <c r="D2253" s="58">
        <v>4</v>
      </c>
      <c r="E2253" s="58">
        <f ca="1">Valuation!W92</f>
        <v>17479162.697397675</v>
      </c>
    </row>
    <row r="2254" spans="1:5">
      <c r="A2254" s="58" t="s">
        <v>829</v>
      </c>
      <c r="B2254" s="58" t="s">
        <v>2785</v>
      </c>
      <c r="C2254" s="58" t="s">
        <v>2770</v>
      </c>
      <c r="D2254" s="58">
        <v>5</v>
      </c>
      <c r="E2254" s="58">
        <f ca="1">Valuation!X92</f>
        <v>18091480.776052069</v>
      </c>
    </row>
    <row r="2255" spans="1:5">
      <c r="A2255" s="58" t="s">
        <v>829</v>
      </c>
      <c r="B2255" s="58" t="s">
        <v>2786</v>
      </c>
      <c r="C2255" s="58" t="s">
        <v>2770</v>
      </c>
      <c r="D2255" s="58">
        <v>6</v>
      </c>
      <c r="E2255" s="58">
        <f ca="1">Valuation!Y92</f>
        <v>18729181.957514871</v>
      </c>
    </row>
    <row r="2256" spans="1:5">
      <c r="A2256" s="58" t="s">
        <v>829</v>
      </c>
      <c r="B2256" s="58" t="s">
        <v>2787</v>
      </c>
      <c r="C2256" s="58" t="s">
        <v>2770</v>
      </c>
      <c r="D2256" s="58">
        <v>7</v>
      </c>
      <c r="E2256" s="58">
        <f ca="1">Valuation!Z92</f>
        <v>19393430.740904018</v>
      </c>
    </row>
    <row r="2257" spans="1:5">
      <c r="A2257" s="58" t="s">
        <v>829</v>
      </c>
      <c r="B2257" s="58" t="s">
        <v>2788</v>
      </c>
      <c r="C2257" s="58" t="s">
        <v>2770</v>
      </c>
      <c r="D2257" s="58">
        <v>8</v>
      </c>
      <c r="E2257" s="58">
        <f ca="1">Valuation!AA92</f>
        <v>20085447.757172894</v>
      </c>
    </row>
    <row r="2258" spans="1:5">
      <c r="A2258" s="58" t="s">
        <v>829</v>
      </c>
      <c r="B2258" s="58" t="s">
        <v>2789</v>
      </c>
      <c r="C2258" s="58" t="s">
        <v>2770</v>
      </c>
      <c r="D2258" s="58">
        <v>9</v>
      </c>
      <c r="E2258" s="58">
        <f>Valuation!AB92</f>
        <v>20806512.533839684</v>
      </c>
    </row>
    <row r="2259" spans="1:5">
      <c r="A2259" s="58" t="s">
        <v>829</v>
      </c>
      <c r="B2259" s="58" t="s">
        <v>2790</v>
      </c>
      <c r="C2259" s="58" t="s">
        <v>2770</v>
      </c>
      <c r="D2259" s="58">
        <v>0</v>
      </c>
      <c r="E2259" s="58">
        <f ca="1">Valuation!S92</f>
        <v>15355447.202873178</v>
      </c>
    </row>
    <row r="2260" spans="1:5">
      <c r="A2260" s="58" t="s">
        <v>829</v>
      </c>
      <c r="B2260" s="58" t="s">
        <v>2791</v>
      </c>
      <c r="C2260" s="58" t="s">
        <v>2792</v>
      </c>
      <c r="D2260" s="58">
        <v>-11</v>
      </c>
      <c r="E2260" s="58">
        <f>Valuation!H93</f>
        <v>0</v>
      </c>
    </row>
    <row r="2261" spans="1:5">
      <c r="A2261" s="58" t="s">
        <v>829</v>
      </c>
      <c r="B2261" s="58" t="s">
        <v>2793</v>
      </c>
      <c r="C2261" s="58" t="s">
        <v>2792</v>
      </c>
      <c r="D2261" s="58">
        <v>-10</v>
      </c>
      <c r="E2261" s="58">
        <f>Valuation!I93</f>
        <v>0</v>
      </c>
    </row>
    <row r="2262" spans="1:5">
      <c r="A2262" s="58" t="s">
        <v>829</v>
      </c>
      <c r="B2262" s="58" t="s">
        <v>2794</v>
      </c>
      <c r="C2262" s="58" t="s">
        <v>2792</v>
      </c>
      <c r="D2262" s="58">
        <v>-9</v>
      </c>
      <c r="E2262" s="58">
        <f>Valuation!J93</f>
        <v>0</v>
      </c>
    </row>
    <row r="2263" spans="1:5">
      <c r="A2263" s="58" t="s">
        <v>829</v>
      </c>
      <c r="B2263" s="58" t="s">
        <v>2795</v>
      </c>
      <c r="C2263" s="58" t="s">
        <v>2792</v>
      </c>
      <c r="D2263" s="58">
        <v>-8</v>
      </c>
      <c r="E2263" s="58">
        <f>Valuation!K93</f>
        <v>0</v>
      </c>
    </row>
    <row r="2264" spans="1:5">
      <c r="A2264" s="58" t="s">
        <v>829</v>
      </c>
      <c r="B2264" s="58" t="s">
        <v>2796</v>
      </c>
      <c r="C2264" s="58" t="s">
        <v>2792</v>
      </c>
      <c r="D2264" s="58">
        <v>-7</v>
      </c>
      <c r="E2264" s="58">
        <f>Valuation!L93</f>
        <v>0</v>
      </c>
    </row>
    <row r="2265" spans="1:5">
      <c r="A2265" s="58" t="s">
        <v>829</v>
      </c>
      <c r="B2265" s="58" t="s">
        <v>2797</v>
      </c>
      <c r="C2265" s="58" t="s">
        <v>2792</v>
      </c>
      <c r="D2265" s="58">
        <v>-6</v>
      </c>
      <c r="E2265" s="58">
        <f>Valuation!M93</f>
        <v>963584</v>
      </c>
    </row>
    <row r="2266" spans="1:5">
      <c r="A2266" s="58" t="s">
        <v>829</v>
      </c>
      <c r="B2266" s="58" t="s">
        <v>2798</v>
      </c>
      <c r="C2266" s="58" t="s">
        <v>2792</v>
      </c>
      <c r="D2266" s="58">
        <v>-5</v>
      </c>
      <c r="E2266" s="58">
        <f>Valuation!N93</f>
        <v>6381689</v>
      </c>
    </row>
    <row r="2267" spans="1:5">
      <c r="A2267" s="58" t="s">
        <v>829</v>
      </c>
      <c r="B2267" s="58" t="s">
        <v>2799</v>
      </c>
      <c r="C2267" s="58" t="s">
        <v>2792</v>
      </c>
      <c r="D2267" s="58">
        <v>-4</v>
      </c>
      <c r="E2267" s="58">
        <f>Valuation!O93</f>
        <v>5454557</v>
      </c>
    </row>
    <row r="2268" spans="1:5">
      <c r="A2268" s="58" t="s">
        <v>829</v>
      </c>
      <c r="B2268" s="58" t="s">
        <v>2800</v>
      </c>
      <c r="C2268" s="58" t="s">
        <v>2792</v>
      </c>
      <c r="D2268" s="58">
        <v>-3</v>
      </c>
      <c r="E2268" s="58">
        <f>Valuation!P93</f>
        <v>6281649</v>
      </c>
    </row>
    <row r="2269" spans="1:5">
      <c r="A2269" s="58" t="s">
        <v>829</v>
      </c>
      <c r="B2269" s="58" t="s">
        <v>2801</v>
      </c>
      <c r="C2269" s="58" t="s">
        <v>2792</v>
      </c>
      <c r="D2269" s="58">
        <v>-2</v>
      </c>
      <c r="E2269" s="58">
        <f>Valuation!Q93</f>
        <v>10276842</v>
      </c>
    </row>
    <row r="2270" spans="1:5">
      <c r="A2270" s="58" t="s">
        <v>829</v>
      </c>
      <c r="B2270" s="58" t="s">
        <v>2802</v>
      </c>
      <c r="C2270" s="58" t="s">
        <v>2792</v>
      </c>
      <c r="D2270" s="58">
        <v>-1</v>
      </c>
      <c r="E2270" s="58">
        <f>Valuation!R93</f>
        <v>14793058</v>
      </c>
    </row>
    <row r="2271" spans="1:5">
      <c r="A2271" s="58" t="s">
        <v>829</v>
      </c>
      <c r="B2271" s="58" t="s">
        <v>2803</v>
      </c>
      <c r="C2271" s="58" t="s">
        <v>2792</v>
      </c>
      <c r="D2271" s="58">
        <v>1</v>
      </c>
      <c r="E2271" s="58" t="e">
        <f ca="1">Valuation!T93</f>
        <v>#NAME?</v>
      </c>
    </row>
    <row r="2272" spans="1:5">
      <c r="A2272" s="58" t="s">
        <v>829</v>
      </c>
      <c r="B2272" s="58" t="s">
        <v>2804</v>
      </c>
      <c r="C2272" s="58" t="s">
        <v>2792</v>
      </c>
      <c r="D2272" s="58">
        <v>2</v>
      </c>
      <c r="E2272" s="58" t="e">
        <f ca="1">Valuation!U93</f>
        <v>#NAME?</v>
      </c>
    </row>
    <row r="2273" spans="1:5">
      <c r="A2273" s="58" t="s">
        <v>829</v>
      </c>
      <c r="B2273" s="58" t="s">
        <v>2805</v>
      </c>
      <c r="C2273" s="58" t="s">
        <v>2792</v>
      </c>
      <c r="D2273" s="58">
        <v>3</v>
      </c>
      <c r="E2273" s="58" t="e">
        <f ca="1">Valuation!V93</f>
        <v>#NAME?</v>
      </c>
    </row>
    <row r="2274" spans="1:5">
      <c r="A2274" s="58" t="s">
        <v>829</v>
      </c>
      <c r="B2274" s="58" t="s">
        <v>2806</v>
      </c>
      <c r="C2274" s="58" t="s">
        <v>2792</v>
      </c>
      <c r="D2274" s="58">
        <v>4</v>
      </c>
      <c r="E2274" s="58" t="e">
        <f ca="1">Valuation!W93</f>
        <v>#NAME?</v>
      </c>
    </row>
    <row r="2275" spans="1:5">
      <c r="A2275" s="58" t="s">
        <v>829</v>
      </c>
      <c r="B2275" s="58" t="s">
        <v>2807</v>
      </c>
      <c r="C2275" s="58" t="s">
        <v>2792</v>
      </c>
      <c r="D2275" s="58">
        <v>5</v>
      </c>
      <c r="E2275" s="58" t="e">
        <f ca="1">Valuation!X93</f>
        <v>#NAME?</v>
      </c>
    </row>
    <row r="2276" spans="1:5">
      <c r="A2276" s="58" t="s">
        <v>829</v>
      </c>
      <c r="B2276" s="58" t="s">
        <v>2808</v>
      </c>
      <c r="C2276" s="58" t="s">
        <v>2792</v>
      </c>
      <c r="D2276" s="58">
        <v>6</v>
      </c>
      <c r="E2276" s="58" t="e">
        <f ca="1">Valuation!Y93</f>
        <v>#NAME?</v>
      </c>
    </row>
    <row r="2277" spans="1:5">
      <c r="A2277" s="58" t="s">
        <v>829</v>
      </c>
      <c r="B2277" s="58" t="s">
        <v>2809</v>
      </c>
      <c r="C2277" s="58" t="s">
        <v>2792</v>
      </c>
      <c r="D2277" s="58">
        <v>7</v>
      </c>
      <c r="E2277" s="58" t="e">
        <f ca="1">Valuation!Z93</f>
        <v>#NAME?</v>
      </c>
    </row>
    <row r="2278" spans="1:5">
      <c r="A2278" s="58" t="s">
        <v>829</v>
      </c>
      <c r="B2278" s="58" t="s">
        <v>2810</v>
      </c>
      <c r="C2278" s="58" t="s">
        <v>2792</v>
      </c>
      <c r="D2278" s="58">
        <v>8</v>
      </c>
      <c r="E2278" s="58" t="e">
        <f ca="1">Valuation!AA93</f>
        <v>#NAME?</v>
      </c>
    </row>
    <row r="2279" spans="1:5">
      <c r="A2279" s="58" t="s">
        <v>829</v>
      </c>
      <c r="B2279" s="58" t="s">
        <v>2811</v>
      </c>
      <c r="C2279" s="58" t="s">
        <v>2792</v>
      </c>
      <c r="D2279" s="58">
        <v>9</v>
      </c>
      <c r="E2279" s="58" t="e">
        <f ca="1">Valuation!AB93</f>
        <v>#NAME?</v>
      </c>
    </row>
    <row r="2280" spans="1:5">
      <c r="A2280" s="58" t="s">
        <v>829</v>
      </c>
      <c r="B2280" s="58" t="s">
        <v>2812</v>
      </c>
      <c r="C2280" s="58" t="s">
        <v>2792</v>
      </c>
      <c r="D2280" s="58">
        <v>0</v>
      </c>
      <c r="E2280" s="58" t="e">
        <f ca="1">Valuation!S93</f>
        <v>#NAME?</v>
      </c>
    </row>
    <row r="2281" spans="1:5">
      <c r="A2281" s="58" t="s">
        <v>829</v>
      </c>
      <c r="B2281" s="58" t="s">
        <v>2813</v>
      </c>
      <c r="C2281" s="58" t="s">
        <v>1178</v>
      </c>
      <c r="D2281" s="58" t="s">
        <v>1138</v>
      </c>
      <c r="E2281" s="58" t="str">
        <f>Valuation!V120</f>
        <v>USD</v>
      </c>
    </row>
    <row r="2282" spans="1:5">
      <c r="A2282" s="58" t="s">
        <v>829</v>
      </c>
      <c r="B2282" s="58" t="s">
        <v>2814</v>
      </c>
      <c r="C2282" s="58" t="s">
        <v>1179</v>
      </c>
      <c r="D2282" s="58" t="s">
        <v>1138</v>
      </c>
      <c r="E2282" s="58" t="str">
        <f>Valuation!U5</f>
        <v>Very High</v>
      </c>
    </row>
    <row r="2283" spans="1:5">
      <c r="A2283" s="58" t="s">
        <v>829</v>
      </c>
      <c r="B2283" s="58" t="s">
        <v>2815</v>
      </c>
      <c r="C2283" s="58" t="s">
        <v>1180</v>
      </c>
      <c r="D2283" s="58" t="s">
        <v>1138</v>
      </c>
      <c r="E2283" s="58" t="str">
        <f>Valuation!V122</f>
        <v>Thousands</v>
      </c>
    </row>
    <row r="2284" spans="1:5">
      <c r="A2284" s="58" t="s">
        <v>829</v>
      </c>
      <c r="B2284" s="58" t="s">
        <v>3242</v>
      </c>
      <c r="C2284" s="58" t="s">
        <v>1181</v>
      </c>
      <c r="D2284" s="58" t="s">
        <v>1138</v>
      </c>
      <c r="E2284" s="58" t="e">
        <f ca="1">Valuation!Y113</f>
        <v>#NAME?</v>
      </c>
    </row>
    <row r="2285" spans="1:5">
      <c r="A2285" s="58" t="s">
        <v>829</v>
      </c>
      <c r="B2285" s="58" t="s">
        <v>2816</v>
      </c>
      <c r="C2285" s="58" t="s">
        <v>2817</v>
      </c>
      <c r="D2285" s="58">
        <v>0</v>
      </c>
      <c r="E2285" s="58" t="e">
        <f>Valuation!S39</f>
        <v>#NAME?</v>
      </c>
    </row>
    <row r="2286" spans="1:5">
      <c r="A2286" s="58" t="s">
        <v>829</v>
      </c>
      <c r="B2286" s="58" t="s">
        <v>2818</v>
      </c>
      <c r="C2286" s="58" t="s">
        <v>2817</v>
      </c>
      <c r="D2286" s="58">
        <v>-11</v>
      </c>
      <c r="E2286" s="58">
        <f>Valuation!H39</f>
        <v>0</v>
      </c>
    </row>
    <row r="2287" spans="1:5">
      <c r="A2287" s="58" t="s">
        <v>829</v>
      </c>
      <c r="B2287" s="58" t="s">
        <v>2819</v>
      </c>
      <c r="C2287" s="58" t="s">
        <v>2817</v>
      </c>
      <c r="D2287" s="58">
        <v>-10</v>
      </c>
      <c r="E2287" s="58">
        <f>Valuation!I39</f>
        <v>0</v>
      </c>
    </row>
    <row r="2288" spans="1:5">
      <c r="A2288" s="58" t="s">
        <v>829</v>
      </c>
      <c r="B2288" s="58" t="s">
        <v>2820</v>
      </c>
      <c r="C2288" s="58" t="s">
        <v>2817</v>
      </c>
      <c r="D2288" s="58">
        <v>-9</v>
      </c>
      <c r="E2288" s="58">
        <f>Valuation!J39</f>
        <v>0</v>
      </c>
    </row>
    <row r="2289" spans="1:5">
      <c r="A2289" s="58" t="s">
        <v>829</v>
      </c>
      <c r="B2289" s="58" t="s">
        <v>2821</v>
      </c>
      <c r="C2289" s="58" t="s">
        <v>2817</v>
      </c>
      <c r="D2289" s="58">
        <v>-8</v>
      </c>
      <c r="E2289" s="58">
        <f>Valuation!K39</f>
        <v>0</v>
      </c>
    </row>
    <row r="2290" spans="1:5">
      <c r="A2290" s="58" t="s">
        <v>829</v>
      </c>
      <c r="B2290" s="58" t="s">
        <v>2822</v>
      </c>
      <c r="C2290" s="58" t="s">
        <v>2817</v>
      </c>
      <c r="D2290" s="58">
        <v>-7</v>
      </c>
      <c r="E2290" s="58">
        <f>Valuation!L39</f>
        <v>0</v>
      </c>
    </row>
    <row r="2291" spans="1:5">
      <c r="A2291" s="58" t="s">
        <v>829</v>
      </c>
      <c r="B2291" s="58" t="s">
        <v>2823</v>
      </c>
      <c r="C2291" s="58" t="s">
        <v>2817</v>
      </c>
      <c r="D2291" s="58">
        <v>-6</v>
      </c>
      <c r="E2291" s="58">
        <f>Valuation!M39</f>
        <v>91209</v>
      </c>
    </row>
    <row r="2292" spans="1:5">
      <c r="A2292" s="58" t="s">
        <v>829</v>
      </c>
      <c r="B2292" s="58" t="s">
        <v>2824</v>
      </c>
      <c r="C2292" s="58" t="s">
        <v>2817</v>
      </c>
      <c r="D2292" s="58">
        <v>-5</v>
      </c>
      <c r="E2292" s="58">
        <f>Valuation!N39</f>
        <v>219965</v>
      </c>
    </row>
    <row r="2293" spans="1:5">
      <c r="A2293" s="58" t="s">
        <v>829</v>
      </c>
      <c r="B2293" s="58" t="s">
        <v>2825</v>
      </c>
      <c r="C2293" s="58" t="s">
        <v>2817</v>
      </c>
      <c r="D2293" s="58">
        <v>-4</v>
      </c>
      <c r="E2293" s="58">
        <f>Valuation!O39</f>
        <v>222338</v>
      </c>
    </row>
    <row r="2294" spans="1:5">
      <c r="A2294" s="58" t="s">
        <v>829</v>
      </c>
      <c r="B2294" s="58" t="s">
        <v>2826</v>
      </c>
      <c r="C2294" s="58" t="s">
        <v>2817</v>
      </c>
      <c r="D2294" s="58">
        <v>-3</v>
      </c>
      <c r="E2294" s="58">
        <f>Valuation!P39</f>
        <v>254391</v>
      </c>
    </row>
    <row r="2295" spans="1:5">
      <c r="A2295" s="58" t="s">
        <v>829</v>
      </c>
      <c r="B2295" s="58" t="s">
        <v>2827</v>
      </c>
      <c r="C2295" s="58" t="s">
        <v>2817</v>
      </c>
      <c r="D2295" s="58">
        <v>-2</v>
      </c>
      <c r="E2295" s="58">
        <f>Valuation!Q39</f>
        <v>273377</v>
      </c>
    </row>
    <row r="2296" spans="1:5">
      <c r="A2296" s="58" t="s">
        <v>829</v>
      </c>
      <c r="B2296" s="58" t="s">
        <v>2828</v>
      </c>
      <c r="C2296" s="58" t="s">
        <v>2817</v>
      </c>
      <c r="D2296" s="58">
        <v>-1</v>
      </c>
      <c r="E2296" s="58">
        <f>Valuation!R39</f>
        <v>287209</v>
      </c>
    </row>
    <row r="2297" spans="1:5">
      <c r="A2297" s="58" t="s">
        <v>829</v>
      </c>
      <c r="B2297" s="58" t="s">
        <v>2829</v>
      </c>
      <c r="C2297" s="58" t="s">
        <v>2817</v>
      </c>
      <c r="D2297" s="58">
        <v>1</v>
      </c>
      <c r="E2297" s="58" t="e">
        <f ca="1">Valuation!T39</f>
        <v>#NAME?</v>
      </c>
    </row>
    <row r="2298" spans="1:5">
      <c r="A2298" s="58" t="s">
        <v>829</v>
      </c>
      <c r="B2298" s="58" t="s">
        <v>2830</v>
      </c>
      <c r="C2298" s="58" t="s">
        <v>2817</v>
      </c>
      <c r="D2298" s="58">
        <v>2</v>
      </c>
      <c r="E2298" s="58" t="e">
        <f ca="1">Valuation!U39</f>
        <v>#NAME?</v>
      </c>
    </row>
    <row r="2299" spans="1:5">
      <c r="A2299" s="58" t="s">
        <v>829</v>
      </c>
      <c r="B2299" s="58" t="s">
        <v>2831</v>
      </c>
      <c r="C2299" s="58" t="s">
        <v>2817</v>
      </c>
      <c r="D2299" s="58">
        <v>3</v>
      </c>
      <c r="E2299" s="58" t="e">
        <f ca="1">Valuation!V39</f>
        <v>#NAME?</v>
      </c>
    </row>
    <row r="2300" spans="1:5">
      <c r="A2300" s="58" t="s">
        <v>829</v>
      </c>
      <c r="B2300" s="58" t="s">
        <v>2832</v>
      </c>
      <c r="C2300" s="58" t="s">
        <v>2817</v>
      </c>
      <c r="D2300" s="58">
        <v>4</v>
      </c>
      <c r="E2300" s="58" t="e">
        <f ca="1">Valuation!W39</f>
        <v>#NAME?</v>
      </c>
    </row>
    <row r="2301" spans="1:5">
      <c r="A2301" s="58" t="s">
        <v>829</v>
      </c>
      <c r="B2301" s="58" t="s">
        <v>2833</v>
      </c>
      <c r="C2301" s="58" t="s">
        <v>2817</v>
      </c>
      <c r="D2301" s="58">
        <v>5</v>
      </c>
      <c r="E2301" s="58" t="e">
        <f ca="1">Valuation!X39</f>
        <v>#NAME?</v>
      </c>
    </row>
    <row r="2302" spans="1:5">
      <c r="A2302" s="58" t="s">
        <v>829</v>
      </c>
      <c r="B2302" s="58" t="s">
        <v>2834</v>
      </c>
      <c r="C2302" s="58" t="s">
        <v>2817</v>
      </c>
      <c r="D2302" s="58">
        <v>6</v>
      </c>
      <c r="E2302" s="58" t="e">
        <f ca="1">Valuation!Y39</f>
        <v>#NAME?</v>
      </c>
    </row>
    <row r="2303" spans="1:5">
      <c r="A2303" s="58" t="s">
        <v>829</v>
      </c>
      <c r="B2303" s="58" t="s">
        <v>2835</v>
      </c>
      <c r="C2303" s="58" t="s">
        <v>2817</v>
      </c>
      <c r="D2303" s="58">
        <v>7</v>
      </c>
      <c r="E2303" s="58" t="e">
        <f ca="1">Valuation!Z39</f>
        <v>#NAME?</v>
      </c>
    </row>
    <row r="2304" spans="1:5">
      <c r="A2304" s="58" t="s">
        <v>829</v>
      </c>
      <c r="B2304" s="58" t="s">
        <v>2836</v>
      </c>
      <c r="C2304" s="58" t="s">
        <v>2817</v>
      </c>
      <c r="D2304" s="58">
        <v>8</v>
      </c>
      <c r="E2304" s="58" t="e">
        <f ca="1">Valuation!AA39</f>
        <v>#NAME?</v>
      </c>
    </row>
    <row r="2305" spans="1:5">
      <c r="A2305" s="58" t="s">
        <v>829</v>
      </c>
      <c r="B2305" s="58" t="s">
        <v>2837</v>
      </c>
      <c r="C2305" s="58" t="s">
        <v>2817</v>
      </c>
      <c r="D2305" s="58">
        <v>9</v>
      </c>
      <c r="E2305" s="58" t="e">
        <f ca="1">Valuation!AB39</f>
        <v>#NAME?</v>
      </c>
    </row>
    <row r="2306" spans="1:5">
      <c r="A2306" s="58" t="s">
        <v>829</v>
      </c>
      <c r="B2306" s="58" t="s">
        <v>3243</v>
      </c>
      <c r="C2306" s="58" t="s">
        <v>1182</v>
      </c>
      <c r="D2306" s="58" t="s">
        <v>1138</v>
      </c>
      <c r="E2306" s="58" t="e">
        <f ca="1">Valuation!Y108</f>
        <v>#NAME?</v>
      </c>
    </row>
    <row r="2307" spans="1:5">
      <c r="A2307" s="58" t="s">
        <v>829</v>
      </c>
      <c r="B2307" s="58" t="s">
        <v>2838</v>
      </c>
      <c r="C2307" s="58" t="s">
        <v>1183</v>
      </c>
      <c r="D2307" s="58" t="s">
        <v>1138</v>
      </c>
      <c r="E2307" s="58" t="e">
        <f ca="1">Valuation!Y109</f>
        <v>#NAME?</v>
      </c>
    </row>
    <row r="2308" spans="1:5">
      <c r="A2308" s="58" t="s">
        <v>829</v>
      </c>
      <c r="B2308" s="58" t="s">
        <v>2839</v>
      </c>
      <c r="C2308" s="58" t="s">
        <v>1184</v>
      </c>
      <c r="D2308" s="58" t="s">
        <v>1138</v>
      </c>
      <c r="E2308" s="58">
        <f>Valuation!Y110</f>
        <v>0</v>
      </c>
    </row>
    <row r="2309" spans="1:5">
      <c r="A2309" s="58" t="s">
        <v>829</v>
      </c>
      <c r="B2309" s="58" t="s">
        <v>2175</v>
      </c>
      <c r="C2309" s="58" t="s">
        <v>2840</v>
      </c>
      <c r="D2309" s="58">
        <v>0</v>
      </c>
      <c r="E2309" s="58">
        <f ca="1">Valuation!S30</f>
        <v>182191.29400159756</v>
      </c>
    </row>
    <row r="2310" spans="1:5">
      <c r="A2310" s="58" t="s">
        <v>829</v>
      </c>
      <c r="B2310" s="58" t="s">
        <v>2177</v>
      </c>
      <c r="C2310" s="58" t="s">
        <v>2840</v>
      </c>
      <c r="D2310" s="58">
        <v>-11</v>
      </c>
      <c r="E2310" s="58">
        <f>Valuation!H30</f>
        <v>0</v>
      </c>
    </row>
    <row r="2311" spans="1:5">
      <c r="A2311" s="58" t="s">
        <v>829</v>
      </c>
      <c r="B2311" s="58" t="s">
        <v>2178</v>
      </c>
      <c r="C2311" s="58" t="s">
        <v>2840</v>
      </c>
      <c r="D2311" s="58">
        <v>-10</v>
      </c>
      <c r="E2311" s="58">
        <f>Valuation!I30</f>
        <v>0</v>
      </c>
    </row>
    <row r="2312" spans="1:5">
      <c r="A2312" s="58" t="s">
        <v>829</v>
      </c>
      <c r="B2312" s="58" t="s">
        <v>2179</v>
      </c>
      <c r="C2312" s="58" t="s">
        <v>2840</v>
      </c>
      <c r="D2312" s="58">
        <v>-9</v>
      </c>
      <c r="E2312" s="58">
        <f>Valuation!J30</f>
        <v>0</v>
      </c>
    </row>
    <row r="2313" spans="1:5">
      <c r="A2313" s="58" t="s">
        <v>829</v>
      </c>
      <c r="B2313" s="58" t="s">
        <v>2180</v>
      </c>
      <c r="C2313" s="58" t="s">
        <v>2840</v>
      </c>
      <c r="D2313" s="58">
        <v>-8</v>
      </c>
      <c r="E2313" s="58">
        <f>Valuation!K30</f>
        <v>0</v>
      </c>
    </row>
    <row r="2314" spans="1:5">
      <c r="A2314" s="58" t="s">
        <v>829</v>
      </c>
      <c r="B2314" s="58" t="s">
        <v>2181</v>
      </c>
      <c r="C2314" s="58" t="s">
        <v>2840</v>
      </c>
      <c r="D2314" s="58">
        <v>-7</v>
      </c>
      <c r="E2314" s="58">
        <f>Valuation!L30</f>
        <v>0</v>
      </c>
    </row>
    <row r="2315" spans="1:5">
      <c r="A2315" s="58" t="s">
        <v>829</v>
      </c>
      <c r="B2315" s="58" t="s">
        <v>2182</v>
      </c>
      <c r="C2315" s="58" t="s">
        <v>2840</v>
      </c>
      <c r="D2315" s="58">
        <v>-6</v>
      </c>
      <c r="E2315" s="58">
        <f>Valuation!M30</f>
        <v>86882</v>
      </c>
    </row>
    <row r="2316" spans="1:5">
      <c r="A2316" s="58" t="s">
        <v>829</v>
      </c>
      <c r="B2316" s="58" t="s">
        <v>2183</v>
      </c>
      <c r="C2316" s="58" t="s">
        <v>2840</v>
      </c>
      <c r="D2316" s="58">
        <v>-5</v>
      </c>
      <c r="E2316" s="58">
        <f>Valuation!N30</f>
        <v>-597173</v>
      </c>
    </row>
    <row r="2317" spans="1:5">
      <c r="A2317" s="58" t="s">
        <v>829</v>
      </c>
      <c r="B2317" s="58" t="s">
        <v>2184</v>
      </c>
      <c r="C2317" s="58" t="s">
        <v>2840</v>
      </c>
      <c r="D2317" s="58">
        <v>-4</v>
      </c>
      <c r="E2317" s="58">
        <f>Valuation!O30</f>
        <v>-439633</v>
      </c>
    </row>
    <row r="2318" spans="1:5">
      <c r="A2318" s="58" t="s">
        <v>829</v>
      </c>
      <c r="B2318" s="58" t="s">
        <v>2185</v>
      </c>
      <c r="C2318" s="58" t="s">
        <v>2840</v>
      </c>
      <c r="D2318" s="58">
        <v>-3</v>
      </c>
      <c r="E2318" s="58">
        <f>Valuation!P30</f>
        <v>-171716</v>
      </c>
    </row>
    <row r="2319" spans="1:5">
      <c r="A2319" s="58" t="s">
        <v>829</v>
      </c>
      <c r="B2319" s="58" t="s">
        <v>2186</v>
      </c>
      <c r="C2319" s="58" t="s">
        <v>2840</v>
      </c>
      <c r="D2319" s="58">
        <v>-2</v>
      </c>
      <c r="E2319" s="58">
        <f>Valuation!Q30</f>
        <v>363578</v>
      </c>
    </row>
    <row r="2320" spans="1:5">
      <c r="A2320" s="58" t="s">
        <v>829</v>
      </c>
      <c r="B2320" s="58" t="s">
        <v>2187</v>
      </c>
      <c r="C2320" s="58" t="s">
        <v>2840</v>
      </c>
      <c r="D2320" s="58">
        <v>-1</v>
      </c>
      <c r="E2320" s="58">
        <f>Valuation!R30</f>
        <v>261738</v>
      </c>
    </row>
    <row r="2321" spans="1:5">
      <c r="A2321" s="58" t="s">
        <v>829</v>
      </c>
      <c r="B2321" s="58" t="s">
        <v>2188</v>
      </c>
      <c r="C2321" s="58" t="s">
        <v>2840</v>
      </c>
      <c r="D2321" s="58">
        <v>1</v>
      </c>
      <c r="E2321" s="58" t="e">
        <f ca="1">Valuation!T30</f>
        <v>#NAME?</v>
      </c>
    </row>
    <row r="2322" spans="1:5">
      <c r="A2322" s="58" t="s">
        <v>829</v>
      </c>
      <c r="B2322" s="58" t="s">
        <v>2189</v>
      </c>
      <c r="C2322" s="58" t="s">
        <v>2840</v>
      </c>
      <c r="D2322" s="58">
        <v>2</v>
      </c>
      <c r="E2322" s="58" t="e">
        <f ca="1">Valuation!U30</f>
        <v>#NAME?</v>
      </c>
    </row>
    <row r="2323" spans="1:5">
      <c r="A2323" s="58" t="s">
        <v>829</v>
      </c>
      <c r="B2323" s="58" t="s">
        <v>2190</v>
      </c>
      <c r="C2323" s="58" t="s">
        <v>2840</v>
      </c>
      <c r="D2323" s="58">
        <v>3</v>
      </c>
      <c r="E2323" s="58" t="e">
        <f ca="1">Valuation!V30</f>
        <v>#NAME?</v>
      </c>
    </row>
    <row r="2324" spans="1:5">
      <c r="A2324" s="58" t="s">
        <v>829</v>
      </c>
      <c r="B2324" s="58" t="s">
        <v>2191</v>
      </c>
      <c r="C2324" s="58" t="s">
        <v>2840</v>
      </c>
      <c r="D2324" s="58">
        <v>4</v>
      </c>
      <c r="E2324" s="58" t="e">
        <f ca="1">Valuation!W30</f>
        <v>#NAME?</v>
      </c>
    </row>
    <row r="2325" spans="1:5">
      <c r="A2325" s="58" t="s">
        <v>829</v>
      </c>
      <c r="B2325" s="58" t="s">
        <v>2192</v>
      </c>
      <c r="C2325" s="58" t="s">
        <v>2840</v>
      </c>
      <c r="D2325" s="58">
        <v>5</v>
      </c>
      <c r="E2325" s="58" t="e">
        <f ca="1">Valuation!X30</f>
        <v>#NAME?</v>
      </c>
    </row>
    <row r="2326" spans="1:5">
      <c r="A2326" s="58" t="s">
        <v>829</v>
      </c>
      <c r="B2326" s="58" t="s">
        <v>2193</v>
      </c>
      <c r="C2326" s="58" t="s">
        <v>2840</v>
      </c>
      <c r="D2326" s="58">
        <v>6</v>
      </c>
      <c r="E2326" s="58" t="e">
        <f ca="1">Valuation!Y30</f>
        <v>#NAME?</v>
      </c>
    </row>
    <row r="2327" spans="1:5">
      <c r="A2327" s="58" t="s">
        <v>829</v>
      </c>
      <c r="B2327" s="58" t="s">
        <v>2194</v>
      </c>
      <c r="C2327" s="58" t="s">
        <v>2840</v>
      </c>
      <c r="D2327" s="58">
        <v>7</v>
      </c>
      <c r="E2327" s="58" t="e">
        <f ca="1">Valuation!Z30</f>
        <v>#NAME?</v>
      </c>
    </row>
    <row r="2328" spans="1:5">
      <c r="A2328" s="58" t="s">
        <v>829</v>
      </c>
      <c r="B2328" s="58" t="s">
        <v>2195</v>
      </c>
      <c r="C2328" s="58" t="s">
        <v>2840</v>
      </c>
      <c r="D2328" s="58">
        <v>8</v>
      </c>
      <c r="E2328" s="58" t="e">
        <f ca="1">Valuation!AA30</f>
        <v>#NAME?</v>
      </c>
    </row>
    <row r="2329" spans="1:5">
      <c r="A2329" s="58" t="s">
        <v>829</v>
      </c>
      <c r="B2329" s="58" t="s">
        <v>2196</v>
      </c>
      <c r="C2329" s="58" t="s">
        <v>2840</v>
      </c>
      <c r="D2329" s="58">
        <v>9</v>
      </c>
      <c r="E2329" s="58" t="e">
        <f ca="1">Valuation!AB30</f>
        <v>#NAME?</v>
      </c>
    </row>
    <row r="2330" spans="1:5">
      <c r="A2330" s="58" t="s">
        <v>829</v>
      </c>
      <c r="B2330" s="58" t="s">
        <v>2197</v>
      </c>
      <c r="C2330" s="58" t="s">
        <v>2841</v>
      </c>
      <c r="D2330" s="58">
        <v>0</v>
      </c>
      <c r="E2330" s="58">
        <f>Valuation!S182</f>
        <v>0</v>
      </c>
    </row>
    <row r="2331" spans="1:5">
      <c r="A2331" s="58" t="s">
        <v>829</v>
      </c>
      <c r="B2331" s="58" t="s">
        <v>2199</v>
      </c>
      <c r="C2331" s="58" t="s">
        <v>2841</v>
      </c>
      <c r="D2331" s="58">
        <v>-11</v>
      </c>
      <c r="E2331" s="58">
        <f>Valuation!H182</f>
        <v>0</v>
      </c>
    </row>
    <row r="2332" spans="1:5">
      <c r="A2332" s="58" t="s">
        <v>829</v>
      </c>
      <c r="B2332" s="58" t="s">
        <v>2200</v>
      </c>
      <c r="C2332" s="58" t="s">
        <v>2841</v>
      </c>
      <c r="D2332" s="58">
        <v>-10</v>
      </c>
      <c r="E2332" s="58">
        <f>Valuation!I182</f>
        <v>0</v>
      </c>
    </row>
    <row r="2333" spans="1:5">
      <c r="A2333" s="58" t="s">
        <v>829</v>
      </c>
      <c r="B2333" s="58" t="s">
        <v>2201</v>
      </c>
      <c r="C2333" s="58" t="s">
        <v>2841</v>
      </c>
      <c r="D2333" s="58">
        <v>-9</v>
      </c>
      <c r="E2333" s="58">
        <f>Valuation!J182</f>
        <v>0</v>
      </c>
    </row>
    <row r="2334" spans="1:5">
      <c r="A2334" s="58" t="s">
        <v>829</v>
      </c>
      <c r="B2334" s="58" t="s">
        <v>2202</v>
      </c>
      <c r="C2334" s="58" t="s">
        <v>2841</v>
      </c>
      <c r="D2334" s="58">
        <v>-8</v>
      </c>
      <c r="E2334" s="58">
        <f>Valuation!K182</f>
        <v>0</v>
      </c>
    </row>
    <row r="2335" spans="1:5">
      <c r="A2335" s="58" t="s">
        <v>829</v>
      </c>
      <c r="B2335" s="58" t="s">
        <v>2203</v>
      </c>
      <c r="C2335" s="58" t="s">
        <v>2841</v>
      </c>
      <c r="D2335" s="58">
        <v>-7</v>
      </c>
      <c r="E2335" s="58">
        <f>Valuation!L182</f>
        <v>0</v>
      </c>
    </row>
    <row r="2336" spans="1:5">
      <c r="A2336" s="58" t="s">
        <v>829</v>
      </c>
      <c r="B2336" s="58" t="s">
        <v>2204</v>
      </c>
      <c r="C2336" s="58" t="s">
        <v>2841</v>
      </c>
      <c r="D2336" s="58">
        <v>-6</v>
      </c>
      <c r="E2336" s="58">
        <f>Valuation!M182</f>
        <v>0</v>
      </c>
    </row>
    <row r="2337" spans="1:5">
      <c r="A2337" s="58" t="s">
        <v>829</v>
      </c>
      <c r="B2337" s="58" t="s">
        <v>2205</v>
      </c>
      <c r="C2337" s="58" t="s">
        <v>2841</v>
      </c>
      <c r="D2337" s="58">
        <v>-5</v>
      </c>
      <c r="E2337" s="58">
        <f>Valuation!N182</f>
        <v>0</v>
      </c>
    </row>
    <row r="2338" spans="1:5">
      <c r="A2338" s="58" t="s">
        <v>829</v>
      </c>
      <c r="B2338" s="58" t="s">
        <v>2206</v>
      </c>
      <c r="C2338" s="58" t="s">
        <v>2841</v>
      </c>
      <c r="D2338" s="58">
        <v>-4</v>
      </c>
      <c r="E2338" s="58">
        <f>Valuation!O182</f>
        <v>0</v>
      </c>
    </row>
    <row r="2339" spans="1:5">
      <c r="A2339" s="58" t="s">
        <v>829</v>
      </c>
      <c r="B2339" s="58" t="s">
        <v>2207</v>
      </c>
      <c r="C2339" s="58" t="s">
        <v>2841</v>
      </c>
      <c r="D2339" s="58">
        <v>-3</v>
      </c>
      <c r="E2339" s="58">
        <f>Valuation!P182</f>
        <v>0</v>
      </c>
    </row>
    <row r="2340" spans="1:5">
      <c r="A2340" s="58" t="s">
        <v>829</v>
      </c>
      <c r="B2340" s="58" t="s">
        <v>2208</v>
      </c>
      <c r="C2340" s="58" t="s">
        <v>2841</v>
      </c>
      <c r="D2340" s="58">
        <v>-2</v>
      </c>
      <c r="E2340" s="58">
        <f>Valuation!Q182</f>
        <v>0</v>
      </c>
    </row>
    <row r="2341" spans="1:5">
      <c r="A2341" s="58" t="s">
        <v>829</v>
      </c>
      <c r="B2341" s="58" t="s">
        <v>2209</v>
      </c>
      <c r="C2341" s="58" t="s">
        <v>2841</v>
      </c>
      <c r="D2341" s="58">
        <v>-1</v>
      </c>
      <c r="E2341" s="58">
        <f>Valuation!R182</f>
        <v>0</v>
      </c>
    </row>
    <row r="2342" spans="1:5">
      <c r="A2342" s="58" t="s">
        <v>829</v>
      </c>
      <c r="B2342" s="58" t="s">
        <v>2210</v>
      </c>
      <c r="C2342" s="58" t="s">
        <v>2841</v>
      </c>
      <c r="D2342" s="58">
        <v>1</v>
      </c>
      <c r="E2342" s="58">
        <f>Valuation!T182</f>
        <v>0</v>
      </c>
    </row>
    <row r="2343" spans="1:5">
      <c r="A2343" s="58" t="s">
        <v>829</v>
      </c>
      <c r="B2343" s="58" t="s">
        <v>2211</v>
      </c>
      <c r="C2343" s="58" t="s">
        <v>2841</v>
      </c>
      <c r="D2343" s="58">
        <v>2</v>
      </c>
      <c r="E2343" s="58">
        <f>Valuation!U182</f>
        <v>0</v>
      </c>
    </row>
    <row r="2344" spans="1:5">
      <c r="A2344" s="58" t="s">
        <v>829</v>
      </c>
      <c r="B2344" s="58" t="s">
        <v>2212</v>
      </c>
      <c r="C2344" s="58" t="s">
        <v>2841</v>
      </c>
      <c r="D2344" s="58">
        <v>3</v>
      </c>
      <c r="E2344" s="58">
        <f>Valuation!V182</f>
        <v>0</v>
      </c>
    </row>
    <row r="2345" spans="1:5">
      <c r="A2345" s="58" t="s">
        <v>829</v>
      </c>
      <c r="B2345" s="58" t="s">
        <v>2213</v>
      </c>
      <c r="C2345" s="58" t="s">
        <v>2841</v>
      </c>
      <c r="D2345" s="58">
        <v>4</v>
      </c>
      <c r="E2345" s="58">
        <f>Valuation!W182</f>
        <v>0</v>
      </c>
    </row>
    <row r="2346" spans="1:5">
      <c r="A2346" s="58" t="s">
        <v>829</v>
      </c>
      <c r="B2346" s="58" t="s">
        <v>2214</v>
      </c>
      <c r="C2346" s="58" t="s">
        <v>2841</v>
      </c>
      <c r="D2346" s="58">
        <v>5</v>
      </c>
      <c r="E2346" s="58">
        <f>Valuation!X182</f>
        <v>0</v>
      </c>
    </row>
    <row r="2347" spans="1:5">
      <c r="A2347" s="58" t="s">
        <v>829</v>
      </c>
      <c r="B2347" s="58" t="s">
        <v>2215</v>
      </c>
      <c r="C2347" s="58" t="s">
        <v>2841</v>
      </c>
      <c r="D2347" s="58">
        <v>6</v>
      </c>
      <c r="E2347" s="58">
        <f>Valuation!Y182</f>
        <v>0</v>
      </c>
    </row>
    <row r="2348" spans="1:5">
      <c r="A2348" s="58" t="s">
        <v>829</v>
      </c>
      <c r="B2348" s="58" t="s">
        <v>2216</v>
      </c>
      <c r="C2348" s="58" t="s">
        <v>2841</v>
      </c>
      <c r="D2348" s="58">
        <v>7</v>
      </c>
      <c r="E2348" s="58">
        <f>Valuation!Z182</f>
        <v>0</v>
      </c>
    </row>
    <row r="2349" spans="1:5">
      <c r="A2349" s="58" t="s">
        <v>829</v>
      </c>
      <c r="B2349" s="58" t="s">
        <v>2217</v>
      </c>
      <c r="C2349" s="58" t="s">
        <v>2841</v>
      </c>
      <c r="D2349" s="58">
        <v>8</v>
      </c>
      <c r="E2349" s="58">
        <f>Valuation!AA182</f>
        <v>0</v>
      </c>
    </row>
    <row r="2350" spans="1:5">
      <c r="A2350" s="58" t="s">
        <v>829</v>
      </c>
      <c r="B2350" s="58" t="s">
        <v>2218</v>
      </c>
      <c r="C2350" s="58" t="s">
        <v>2841</v>
      </c>
      <c r="D2350" s="58">
        <v>9</v>
      </c>
      <c r="E2350" s="58">
        <f>Valuation!AB182</f>
        <v>0</v>
      </c>
    </row>
    <row r="2351" spans="1:5">
      <c r="A2351" s="58" t="s">
        <v>829</v>
      </c>
      <c r="B2351" s="58" t="s">
        <v>2219</v>
      </c>
      <c r="C2351" s="58" t="s">
        <v>1042</v>
      </c>
      <c r="D2351" s="58">
        <v>-11</v>
      </c>
      <c r="E2351" s="58">
        <f>Valuation!H77</f>
        <v>0</v>
      </c>
    </row>
    <row r="2352" spans="1:5">
      <c r="A2352" s="58" t="s">
        <v>829</v>
      </c>
      <c r="B2352" s="58" t="s">
        <v>2221</v>
      </c>
      <c r="C2352" s="58" t="s">
        <v>1042</v>
      </c>
      <c r="D2352" s="58">
        <v>-10</v>
      </c>
      <c r="E2352" s="58">
        <f>Valuation!I77</f>
        <v>0</v>
      </c>
    </row>
    <row r="2353" spans="1:5">
      <c r="A2353" s="58" t="s">
        <v>829</v>
      </c>
      <c r="B2353" s="58" t="s">
        <v>2222</v>
      </c>
      <c r="C2353" s="58" t="s">
        <v>1042</v>
      </c>
      <c r="D2353" s="58">
        <v>-9</v>
      </c>
      <c r="E2353" s="58">
        <f>Valuation!J77</f>
        <v>0</v>
      </c>
    </row>
    <row r="2354" spans="1:5">
      <c r="A2354" s="58" t="s">
        <v>829</v>
      </c>
      <c r="B2354" s="58" t="s">
        <v>2223</v>
      </c>
      <c r="C2354" s="58" t="s">
        <v>1042</v>
      </c>
      <c r="D2354" s="58">
        <v>-8</v>
      </c>
      <c r="E2354" s="58">
        <f>Valuation!K77</f>
        <v>0</v>
      </c>
    </row>
    <row r="2355" spans="1:5">
      <c r="A2355" s="58" t="s">
        <v>829</v>
      </c>
      <c r="B2355" s="58" t="s">
        <v>2224</v>
      </c>
      <c r="C2355" s="58" t="s">
        <v>1042</v>
      </c>
      <c r="D2355" s="58">
        <v>-7</v>
      </c>
      <c r="E2355" s="58">
        <f>Valuation!L77</f>
        <v>0</v>
      </c>
    </row>
    <row r="2356" spans="1:5">
      <c r="A2356" s="58" t="s">
        <v>829</v>
      </c>
      <c r="B2356" s="58" t="s">
        <v>2225</v>
      </c>
      <c r="C2356" s="58" t="s">
        <v>1042</v>
      </c>
      <c r="D2356" s="58">
        <v>-6</v>
      </c>
      <c r="E2356" s="58">
        <f>Valuation!M77</f>
        <v>0</v>
      </c>
    </row>
    <row r="2357" spans="1:5">
      <c r="A2357" s="58" t="s">
        <v>829</v>
      </c>
      <c r="B2357" s="58" t="s">
        <v>2226</v>
      </c>
      <c r="C2357" s="58" t="s">
        <v>1042</v>
      </c>
      <c r="D2357" s="58">
        <v>-5</v>
      </c>
      <c r="E2357" s="58">
        <f>Valuation!N77</f>
        <v>0</v>
      </c>
    </row>
    <row r="2358" spans="1:5">
      <c r="A2358" s="58" t="s">
        <v>829</v>
      </c>
      <c r="B2358" s="58" t="s">
        <v>2227</v>
      </c>
      <c r="C2358" s="58" t="s">
        <v>1042</v>
      </c>
      <c r="D2358" s="58">
        <v>-4</v>
      </c>
      <c r="E2358" s="58">
        <f>Valuation!O77</f>
        <v>0</v>
      </c>
    </row>
    <row r="2359" spans="1:5">
      <c r="A2359" s="58" t="s">
        <v>829</v>
      </c>
      <c r="B2359" s="58" t="s">
        <v>2228</v>
      </c>
      <c r="C2359" s="58" t="s">
        <v>1042</v>
      </c>
      <c r="D2359" s="58">
        <v>-3</v>
      </c>
      <c r="E2359" s="58">
        <f>Valuation!P77</f>
        <v>0</v>
      </c>
    </row>
    <row r="2360" spans="1:5">
      <c r="A2360" s="58" t="s">
        <v>829</v>
      </c>
      <c r="B2360" s="58" t="s">
        <v>2229</v>
      </c>
      <c r="C2360" s="58" t="s">
        <v>1042</v>
      </c>
      <c r="D2360" s="58">
        <v>-2</v>
      </c>
      <c r="E2360" s="58">
        <f>Valuation!Q77</f>
        <v>0</v>
      </c>
    </row>
    <row r="2361" spans="1:5">
      <c r="A2361" s="58" t="s">
        <v>829</v>
      </c>
      <c r="B2361" s="58" t="s">
        <v>2230</v>
      </c>
      <c r="C2361" s="58" t="s">
        <v>1042</v>
      </c>
      <c r="D2361" s="58">
        <v>-1</v>
      </c>
      <c r="E2361" s="58">
        <f>Valuation!R77</f>
        <v>0</v>
      </c>
    </row>
    <row r="2362" spans="1:5">
      <c r="A2362" s="58" t="s">
        <v>829</v>
      </c>
      <c r="B2362" s="58" t="s">
        <v>2231</v>
      </c>
      <c r="C2362" s="58" t="s">
        <v>1042</v>
      </c>
      <c r="D2362" s="58">
        <v>1</v>
      </c>
      <c r="E2362" s="58">
        <f>Valuation!T77</f>
        <v>0</v>
      </c>
    </row>
    <row r="2363" spans="1:5">
      <c r="A2363" s="58" t="s">
        <v>829</v>
      </c>
      <c r="B2363" s="58" t="s">
        <v>2232</v>
      </c>
      <c r="C2363" s="58" t="s">
        <v>1042</v>
      </c>
      <c r="D2363" s="58">
        <v>2</v>
      </c>
      <c r="E2363" s="58">
        <f>Valuation!U77</f>
        <v>0</v>
      </c>
    </row>
    <row r="2364" spans="1:5">
      <c r="A2364" s="58" t="s">
        <v>829</v>
      </c>
      <c r="B2364" s="58" t="s">
        <v>2233</v>
      </c>
      <c r="C2364" s="58" t="s">
        <v>1042</v>
      </c>
      <c r="D2364" s="58">
        <v>3</v>
      </c>
      <c r="E2364" s="58">
        <f>Valuation!V77</f>
        <v>0</v>
      </c>
    </row>
    <row r="2365" spans="1:5">
      <c r="A2365" s="58" t="s">
        <v>829</v>
      </c>
      <c r="B2365" s="58" t="s">
        <v>2234</v>
      </c>
      <c r="C2365" s="58" t="s">
        <v>1042</v>
      </c>
      <c r="D2365" s="58">
        <v>4</v>
      </c>
      <c r="E2365" s="58">
        <f>Valuation!W77</f>
        <v>0</v>
      </c>
    </row>
    <row r="2366" spans="1:5">
      <c r="A2366" s="58" t="s">
        <v>829</v>
      </c>
      <c r="B2366" s="58" t="s">
        <v>2235</v>
      </c>
      <c r="C2366" s="58" t="s">
        <v>1042</v>
      </c>
      <c r="D2366" s="58">
        <v>5</v>
      </c>
      <c r="E2366" s="58">
        <f>Valuation!X77</f>
        <v>0</v>
      </c>
    </row>
    <row r="2367" spans="1:5">
      <c r="A2367" s="58" t="s">
        <v>829</v>
      </c>
      <c r="B2367" s="58" t="s">
        <v>2236</v>
      </c>
      <c r="C2367" s="58" t="s">
        <v>1042</v>
      </c>
      <c r="D2367" s="58">
        <v>6</v>
      </c>
      <c r="E2367" s="58">
        <f>Valuation!Y77</f>
        <v>0</v>
      </c>
    </row>
    <row r="2368" spans="1:5">
      <c r="A2368" s="58" t="s">
        <v>829</v>
      </c>
      <c r="B2368" s="58" t="s">
        <v>2237</v>
      </c>
      <c r="C2368" s="58" t="s">
        <v>1042</v>
      </c>
      <c r="D2368" s="58">
        <v>7</v>
      </c>
      <c r="E2368" s="58">
        <f>Valuation!Z77</f>
        <v>0</v>
      </c>
    </row>
    <row r="2369" spans="1:5">
      <c r="A2369" s="58" t="s">
        <v>829</v>
      </c>
      <c r="B2369" s="58" t="s">
        <v>2238</v>
      </c>
      <c r="C2369" s="58" t="s">
        <v>1042</v>
      </c>
      <c r="D2369" s="58">
        <v>8</v>
      </c>
      <c r="E2369" s="58">
        <f>Valuation!AA77</f>
        <v>0</v>
      </c>
    </row>
    <row r="2370" spans="1:5">
      <c r="A2370" s="58" t="s">
        <v>829</v>
      </c>
      <c r="B2370" s="58" t="s">
        <v>2239</v>
      </c>
      <c r="C2370" s="58" t="s">
        <v>1042</v>
      </c>
      <c r="D2370" s="58">
        <v>9</v>
      </c>
      <c r="E2370" s="58">
        <f>Valuation!AB77</f>
        <v>0</v>
      </c>
    </row>
    <row r="2371" spans="1:5">
      <c r="A2371" s="58" t="s">
        <v>829</v>
      </c>
      <c r="B2371" s="58" t="s">
        <v>2240</v>
      </c>
      <c r="C2371" s="58" t="s">
        <v>1042</v>
      </c>
      <c r="D2371" s="58">
        <v>0</v>
      </c>
      <c r="E2371" s="58">
        <f>Valuation!S77</f>
        <v>0</v>
      </c>
    </row>
    <row r="2372" spans="1:5">
      <c r="A2372" s="58" t="s">
        <v>829</v>
      </c>
      <c r="B2372" s="58" t="s">
        <v>2241</v>
      </c>
      <c r="C2372" s="58" t="s">
        <v>1062</v>
      </c>
      <c r="D2372" s="58">
        <v>0</v>
      </c>
      <c r="E2372" s="58">
        <f>Valuation!S27</f>
        <v>0</v>
      </c>
    </row>
    <row r="2373" spans="1:5">
      <c r="A2373" s="58" t="s">
        <v>829</v>
      </c>
      <c r="B2373" s="58" t="s">
        <v>2243</v>
      </c>
      <c r="C2373" s="58" t="s">
        <v>1062</v>
      </c>
      <c r="D2373" s="58">
        <v>-11</v>
      </c>
      <c r="E2373" s="58">
        <f>Valuation!H27</f>
        <v>0</v>
      </c>
    </row>
    <row r="2374" spans="1:5">
      <c r="A2374" s="58" t="s">
        <v>829</v>
      </c>
      <c r="B2374" s="58" t="s">
        <v>2244</v>
      </c>
      <c r="C2374" s="58" t="s">
        <v>1062</v>
      </c>
      <c r="D2374" s="58">
        <v>-10</v>
      </c>
      <c r="E2374" s="58">
        <f>Valuation!I27</f>
        <v>0</v>
      </c>
    </row>
    <row r="2375" spans="1:5">
      <c r="A2375" s="58" t="s">
        <v>829</v>
      </c>
      <c r="B2375" s="58" t="s">
        <v>2245</v>
      </c>
      <c r="C2375" s="58" t="s">
        <v>1062</v>
      </c>
      <c r="D2375" s="58">
        <v>-9</v>
      </c>
      <c r="E2375" s="58">
        <f>Valuation!J27</f>
        <v>0</v>
      </c>
    </row>
    <row r="2376" spans="1:5">
      <c r="A2376" s="58" t="s">
        <v>829</v>
      </c>
      <c r="B2376" s="58" t="s">
        <v>2246</v>
      </c>
      <c r="C2376" s="58" t="s">
        <v>1062</v>
      </c>
      <c r="D2376" s="58">
        <v>-8</v>
      </c>
      <c r="E2376" s="58">
        <f>Valuation!K27</f>
        <v>0</v>
      </c>
    </row>
    <row r="2377" spans="1:5">
      <c r="A2377" s="58" t="s">
        <v>829</v>
      </c>
      <c r="B2377" s="58" t="s">
        <v>2247</v>
      </c>
      <c r="C2377" s="58" t="s">
        <v>1062</v>
      </c>
      <c r="D2377" s="58">
        <v>-7</v>
      </c>
      <c r="E2377" s="58">
        <f>Valuation!L27</f>
        <v>0</v>
      </c>
    </row>
    <row r="2378" spans="1:5">
      <c r="A2378" s="58" t="s">
        <v>829</v>
      </c>
      <c r="B2378" s="58" t="s">
        <v>2248</v>
      </c>
      <c r="C2378" s="58" t="s">
        <v>1062</v>
      </c>
      <c r="D2378" s="58">
        <v>-6</v>
      </c>
      <c r="E2378" s="58">
        <f>Valuation!M27</f>
        <v>0</v>
      </c>
    </row>
    <row r="2379" spans="1:5">
      <c r="A2379" s="58" t="s">
        <v>829</v>
      </c>
      <c r="B2379" s="58" t="s">
        <v>2249</v>
      </c>
      <c r="C2379" s="58" t="s">
        <v>1062</v>
      </c>
      <c r="D2379" s="58">
        <v>-5</v>
      </c>
      <c r="E2379" s="58">
        <f>Valuation!N27</f>
        <v>0</v>
      </c>
    </row>
    <row r="2380" spans="1:5">
      <c r="A2380" s="58" t="s">
        <v>829</v>
      </c>
      <c r="B2380" s="58" t="s">
        <v>2250</v>
      </c>
      <c r="C2380" s="58" t="s">
        <v>1062</v>
      </c>
      <c r="D2380" s="58">
        <v>-4</v>
      </c>
      <c r="E2380" s="58">
        <f>Valuation!O27</f>
        <v>0</v>
      </c>
    </row>
    <row r="2381" spans="1:5">
      <c r="A2381" s="58" t="s">
        <v>829</v>
      </c>
      <c r="B2381" s="58" t="s">
        <v>2251</v>
      </c>
      <c r="C2381" s="58" t="s">
        <v>1062</v>
      </c>
      <c r="D2381" s="58">
        <v>-3</v>
      </c>
      <c r="E2381" s="58">
        <f>Valuation!P27</f>
        <v>0</v>
      </c>
    </row>
    <row r="2382" spans="1:5">
      <c r="A2382" s="58" t="s">
        <v>829</v>
      </c>
      <c r="B2382" s="58" t="s">
        <v>2252</v>
      </c>
      <c r="C2382" s="58" t="s">
        <v>1062</v>
      </c>
      <c r="D2382" s="58">
        <v>-2</v>
      </c>
      <c r="E2382" s="58">
        <f>Valuation!Q27</f>
        <v>0</v>
      </c>
    </row>
    <row r="2383" spans="1:5">
      <c r="A2383" s="58" t="s">
        <v>829</v>
      </c>
      <c r="B2383" s="58" t="s">
        <v>2253</v>
      </c>
      <c r="C2383" s="58" t="s">
        <v>1062</v>
      </c>
      <c r="D2383" s="58">
        <v>-1</v>
      </c>
      <c r="E2383" s="58">
        <f>Valuation!R27</f>
        <v>0</v>
      </c>
    </row>
    <row r="2384" spans="1:5">
      <c r="A2384" s="58" t="s">
        <v>829</v>
      </c>
      <c r="B2384" s="58" t="s">
        <v>2254</v>
      </c>
      <c r="C2384" s="58" t="s">
        <v>1062</v>
      </c>
      <c r="D2384" s="58">
        <v>1</v>
      </c>
      <c r="E2384" s="58">
        <f>Valuation!T27</f>
        <v>0</v>
      </c>
    </row>
    <row r="2385" spans="1:5">
      <c r="A2385" s="58" t="s">
        <v>829</v>
      </c>
      <c r="B2385" s="58" t="s">
        <v>2255</v>
      </c>
      <c r="C2385" s="58" t="s">
        <v>1062</v>
      </c>
      <c r="D2385" s="58">
        <v>2</v>
      </c>
      <c r="E2385" s="58">
        <f>Valuation!U27</f>
        <v>0</v>
      </c>
    </row>
    <row r="2386" spans="1:5">
      <c r="A2386" s="58" t="s">
        <v>829</v>
      </c>
      <c r="B2386" s="58" t="s">
        <v>2256</v>
      </c>
      <c r="C2386" s="58" t="s">
        <v>1062</v>
      </c>
      <c r="D2386" s="58">
        <v>3</v>
      </c>
      <c r="E2386" s="58">
        <f>Valuation!V27</f>
        <v>0</v>
      </c>
    </row>
    <row r="2387" spans="1:5">
      <c r="A2387" s="58" t="s">
        <v>829</v>
      </c>
      <c r="B2387" s="58" t="s">
        <v>2257</v>
      </c>
      <c r="C2387" s="58" t="s">
        <v>1062</v>
      </c>
      <c r="D2387" s="58">
        <v>4</v>
      </c>
      <c r="E2387" s="58">
        <f>Valuation!W27</f>
        <v>0</v>
      </c>
    </row>
    <row r="2388" spans="1:5">
      <c r="A2388" s="58" t="s">
        <v>829</v>
      </c>
      <c r="B2388" s="58" t="s">
        <v>2258</v>
      </c>
      <c r="C2388" s="58" t="s">
        <v>1062</v>
      </c>
      <c r="D2388" s="58">
        <v>5</v>
      </c>
      <c r="E2388" s="58">
        <f>Valuation!X27</f>
        <v>0</v>
      </c>
    </row>
    <row r="2389" spans="1:5">
      <c r="A2389" s="58" t="s">
        <v>829</v>
      </c>
      <c r="B2389" s="58" t="s">
        <v>2259</v>
      </c>
      <c r="C2389" s="58" t="s">
        <v>1062</v>
      </c>
      <c r="D2389" s="58">
        <v>6</v>
      </c>
      <c r="E2389" s="58">
        <f>Valuation!Y27</f>
        <v>0</v>
      </c>
    </row>
    <row r="2390" spans="1:5">
      <c r="A2390" s="58" t="s">
        <v>829</v>
      </c>
      <c r="B2390" s="58" t="s">
        <v>2260</v>
      </c>
      <c r="C2390" s="58" t="s">
        <v>1062</v>
      </c>
      <c r="D2390" s="58">
        <v>7</v>
      </c>
      <c r="E2390" s="58">
        <f>Valuation!Z27</f>
        <v>0</v>
      </c>
    </row>
    <row r="2391" spans="1:5">
      <c r="A2391" s="58" t="s">
        <v>829</v>
      </c>
      <c r="B2391" s="58" t="s">
        <v>2261</v>
      </c>
      <c r="C2391" s="58" t="s">
        <v>1062</v>
      </c>
      <c r="D2391" s="58">
        <v>8</v>
      </c>
      <c r="E2391" s="58">
        <f>Valuation!AA27</f>
        <v>0</v>
      </c>
    </row>
    <row r="2392" spans="1:5">
      <c r="A2392" s="58" t="s">
        <v>829</v>
      </c>
      <c r="B2392" s="58" t="s">
        <v>2262</v>
      </c>
      <c r="C2392" s="58" t="s">
        <v>1062</v>
      </c>
      <c r="D2392" s="58">
        <v>9</v>
      </c>
      <c r="E2392" s="58">
        <f>Valuation!AB27</f>
        <v>0</v>
      </c>
    </row>
    <row r="2393" spans="1:5">
      <c r="A2393" s="58" t="s">
        <v>829</v>
      </c>
      <c r="B2393" s="58" t="s">
        <v>2263</v>
      </c>
      <c r="C2393" s="58" t="s">
        <v>1185</v>
      </c>
      <c r="D2393" s="58" t="s">
        <v>1138</v>
      </c>
      <c r="E2393" s="682">
        <f>Valuation!Q116</f>
        <v>46022</v>
      </c>
    </row>
    <row r="2394" spans="1:5">
      <c r="A2394" s="58" t="s">
        <v>829</v>
      </c>
      <c r="B2394" s="58" t="s">
        <v>2264</v>
      </c>
      <c r="C2394" s="58" t="s">
        <v>1186</v>
      </c>
      <c r="D2394" s="58" t="s">
        <v>1138</v>
      </c>
      <c r="E2394" s="58" t="str">
        <f>Valuation!V119</f>
        <v>USD</v>
      </c>
    </row>
    <row r="2395" spans="1:5">
      <c r="A2395" s="58" t="s">
        <v>829</v>
      </c>
      <c r="B2395" s="58" t="s">
        <v>3310</v>
      </c>
      <c r="C2395" s="58" t="s">
        <v>1187</v>
      </c>
      <c r="D2395" s="58" t="s">
        <v>1138</v>
      </c>
      <c r="E2395" s="58">
        <f>Valuation!Y112</f>
        <v>0.21</v>
      </c>
    </row>
    <row r="2396" spans="1:5">
      <c r="A2396" s="58" t="s">
        <v>829</v>
      </c>
      <c r="B2396" s="58" t="s">
        <v>2265</v>
      </c>
      <c r="C2396" s="58" t="s">
        <v>2842</v>
      </c>
      <c r="D2396" s="58">
        <v>-11</v>
      </c>
      <c r="E2396" s="58">
        <f>Valuation!H94</f>
        <v>0</v>
      </c>
    </row>
    <row r="2397" spans="1:5">
      <c r="A2397" s="58" t="s">
        <v>829</v>
      </c>
      <c r="B2397" s="58" t="s">
        <v>2267</v>
      </c>
      <c r="C2397" s="58" t="s">
        <v>2842</v>
      </c>
      <c r="D2397" s="58">
        <v>-10</v>
      </c>
      <c r="E2397" s="58">
        <f>Valuation!I94</f>
        <v>0</v>
      </c>
    </row>
    <row r="2398" spans="1:5">
      <c r="A2398" s="58" t="s">
        <v>829</v>
      </c>
      <c r="B2398" s="58" t="s">
        <v>2268</v>
      </c>
      <c r="C2398" s="58" t="s">
        <v>2842</v>
      </c>
      <c r="D2398" s="58">
        <v>-9</v>
      </c>
      <c r="E2398" s="58">
        <f>Valuation!J94</f>
        <v>0</v>
      </c>
    </row>
    <row r="2399" spans="1:5">
      <c r="A2399" s="58" t="s">
        <v>829</v>
      </c>
      <c r="B2399" s="58" t="s">
        <v>2269</v>
      </c>
      <c r="C2399" s="58" t="s">
        <v>2842</v>
      </c>
      <c r="D2399" s="58">
        <v>-8</v>
      </c>
      <c r="E2399" s="58">
        <f>Valuation!K94</f>
        <v>0</v>
      </c>
    </row>
    <row r="2400" spans="1:5">
      <c r="A2400" s="58" t="s">
        <v>829</v>
      </c>
      <c r="B2400" s="58" t="s">
        <v>2270</v>
      </c>
      <c r="C2400" s="58" t="s">
        <v>2842</v>
      </c>
      <c r="D2400" s="58">
        <v>-7</v>
      </c>
      <c r="E2400" s="58">
        <f>Valuation!L94</f>
        <v>0</v>
      </c>
    </row>
    <row r="2401" spans="1:5">
      <c r="A2401" s="58" t="s">
        <v>829</v>
      </c>
      <c r="B2401" s="58" t="s">
        <v>2271</v>
      </c>
      <c r="C2401" s="58" t="s">
        <v>2842</v>
      </c>
      <c r="D2401" s="58">
        <v>-6</v>
      </c>
      <c r="E2401" s="58">
        <f>Valuation!M94</f>
        <v>0</v>
      </c>
    </row>
    <row r="2402" spans="1:5">
      <c r="A2402" s="58" t="s">
        <v>829</v>
      </c>
      <c r="B2402" s="58" t="s">
        <v>2272</v>
      </c>
      <c r="C2402" s="58" t="s">
        <v>2842</v>
      </c>
      <c r="D2402" s="58">
        <v>-5</v>
      </c>
      <c r="E2402" s="58">
        <f>Valuation!N94</f>
        <v>0</v>
      </c>
    </row>
    <row r="2403" spans="1:5">
      <c r="A2403" s="58" t="s">
        <v>829</v>
      </c>
      <c r="B2403" s="58" t="s">
        <v>2273</v>
      </c>
      <c r="C2403" s="58" t="s">
        <v>2842</v>
      </c>
      <c r="D2403" s="58">
        <v>-4</v>
      </c>
      <c r="E2403" s="58">
        <f>Valuation!O94</f>
        <v>0</v>
      </c>
    </row>
    <row r="2404" spans="1:5">
      <c r="A2404" s="58" t="s">
        <v>829</v>
      </c>
      <c r="B2404" s="58" t="s">
        <v>2274</v>
      </c>
      <c r="C2404" s="58" t="s">
        <v>2842</v>
      </c>
      <c r="D2404" s="58">
        <v>-3</v>
      </c>
      <c r="E2404" s="58">
        <f>Valuation!P94</f>
        <v>0</v>
      </c>
    </row>
    <row r="2405" spans="1:5">
      <c r="A2405" s="58" t="s">
        <v>829</v>
      </c>
      <c r="B2405" s="58" t="s">
        <v>2275</v>
      </c>
      <c r="C2405" s="58" t="s">
        <v>2842</v>
      </c>
      <c r="D2405" s="58">
        <v>-2</v>
      </c>
      <c r="E2405" s="58">
        <f>Valuation!Q94</f>
        <v>0</v>
      </c>
    </row>
    <row r="2406" spans="1:5">
      <c r="A2406" s="58" t="s">
        <v>829</v>
      </c>
      <c r="B2406" s="58" t="s">
        <v>2276</v>
      </c>
      <c r="C2406" s="58" t="s">
        <v>2842</v>
      </c>
      <c r="D2406" s="58">
        <v>-1</v>
      </c>
      <c r="E2406" s="58">
        <f>Valuation!R94</f>
        <v>0</v>
      </c>
    </row>
    <row r="2407" spans="1:5">
      <c r="A2407" s="58" t="s">
        <v>829</v>
      </c>
      <c r="B2407" s="58" t="s">
        <v>2277</v>
      </c>
      <c r="C2407" s="58" t="s">
        <v>2842</v>
      </c>
      <c r="D2407" s="58">
        <v>1</v>
      </c>
      <c r="E2407" s="58">
        <f>Valuation!T94</f>
        <v>0</v>
      </c>
    </row>
    <row r="2408" spans="1:5">
      <c r="A2408" s="58" t="s">
        <v>829</v>
      </c>
      <c r="B2408" s="58" t="s">
        <v>2278</v>
      </c>
      <c r="C2408" s="58" t="s">
        <v>2842</v>
      </c>
      <c r="D2408" s="58">
        <v>2</v>
      </c>
      <c r="E2408" s="58">
        <f>Valuation!U94</f>
        <v>0</v>
      </c>
    </row>
    <row r="2409" spans="1:5">
      <c r="A2409" s="58" t="s">
        <v>829</v>
      </c>
      <c r="B2409" s="58" t="s">
        <v>2279</v>
      </c>
      <c r="C2409" s="58" t="s">
        <v>2842</v>
      </c>
      <c r="D2409" s="58">
        <v>3</v>
      </c>
      <c r="E2409" s="58">
        <f>Valuation!V94</f>
        <v>0</v>
      </c>
    </row>
    <row r="2410" spans="1:5">
      <c r="A2410" s="58" t="s">
        <v>829</v>
      </c>
      <c r="B2410" s="58" t="s">
        <v>2280</v>
      </c>
      <c r="C2410" s="58" t="s">
        <v>2842</v>
      </c>
      <c r="D2410" s="58">
        <v>4</v>
      </c>
      <c r="E2410" s="58">
        <f>Valuation!W94</f>
        <v>0</v>
      </c>
    </row>
    <row r="2411" spans="1:5">
      <c r="A2411" s="58" t="s">
        <v>829</v>
      </c>
      <c r="B2411" s="58" t="s">
        <v>2281</v>
      </c>
      <c r="C2411" s="58" t="s">
        <v>2842</v>
      </c>
      <c r="D2411" s="58">
        <v>5</v>
      </c>
      <c r="E2411" s="58">
        <f>Valuation!X94</f>
        <v>0</v>
      </c>
    </row>
    <row r="2412" spans="1:5">
      <c r="A2412" s="58" t="s">
        <v>829</v>
      </c>
      <c r="B2412" s="58" t="s">
        <v>2282</v>
      </c>
      <c r="C2412" s="58" t="s">
        <v>2842</v>
      </c>
      <c r="D2412" s="58">
        <v>6</v>
      </c>
      <c r="E2412" s="58">
        <f>Valuation!Y94</f>
        <v>0</v>
      </c>
    </row>
    <row r="2413" spans="1:5">
      <c r="A2413" s="58" t="s">
        <v>829</v>
      </c>
      <c r="B2413" s="58" t="s">
        <v>2283</v>
      </c>
      <c r="C2413" s="58" t="s">
        <v>2842</v>
      </c>
      <c r="D2413" s="58">
        <v>7</v>
      </c>
      <c r="E2413" s="58">
        <f>Valuation!Z94</f>
        <v>0</v>
      </c>
    </row>
    <row r="2414" spans="1:5">
      <c r="A2414" s="58" t="s">
        <v>829</v>
      </c>
      <c r="B2414" s="58" t="s">
        <v>2284</v>
      </c>
      <c r="C2414" s="58" t="s">
        <v>2842</v>
      </c>
      <c r="D2414" s="58">
        <v>8</v>
      </c>
      <c r="E2414" s="58">
        <f>Valuation!AA94</f>
        <v>0</v>
      </c>
    </row>
    <row r="2415" spans="1:5">
      <c r="A2415" s="58" t="s">
        <v>829</v>
      </c>
      <c r="B2415" s="58" t="s">
        <v>2285</v>
      </c>
      <c r="C2415" s="58" t="s">
        <v>2842</v>
      </c>
      <c r="D2415" s="58">
        <v>9</v>
      </c>
      <c r="E2415" s="58">
        <f>Valuation!AB94</f>
        <v>0</v>
      </c>
    </row>
    <row r="2416" spans="1:5">
      <c r="A2416" s="58" t="s">
        <v>829</v>
      </c>
      <c r="B2416" s="58" t="s">
        <v>2286</v>
      </c>
      <c r="C2416" s="58" t="s">
        <v>2842</v>
      </c>
      <c r="D2416" s="58">
        <v>0</v>
      </c>
      <c r="E2416" s="58">
        <f>Valuation!S94</f>
        <v>0</v>
      </c>
    </row>
    <row r="2417" spans="1:5">
      <c r="A2417" s="58" t="s">
        <v>829</v>
      </c>
      <c r="B2417" s="58" t="s">
        <v>2287</v>
      </c>
      <c r="C2417" s="58" t="s">
        <v>1188</v>
      </c>
      <c r="D2417" s="58" t="s">
        <v>1138</v>
      </c>
      <c r="E2417" s="58" t="str">
        <f>Valuation!R5</f>
        <v>None</v>
      </c>
    </row>
    <row r="2418" spans="1:5">
      <c r="A2418" s="58" t="s">
        <v>3207</v>
      </c>
      <c r="B2418" s="58" t="s">
        <v>3208</v>
      </c>
      <c r="C2418" s="58" t="s">
        <v>1189</v>
      </c>
      <c r="D2418" s="58" t="s">
        <v>1138</v>
      </c>
      <c r="E2418" s="58" t="str">
        <f>_ExportData!H2</f>
        <v>General Model 7.001</v>
      </c>
    </row>
    <row r="2419" spans="1:5">
      <c r="A2419" s="58" t="s">
        <v>3207</v>
      </c>
      <c r="B2419" s="58" t="s">
        <v>3208</v>
      </c>
      <c r="C2419" s="58" t="s">
        <v>1190</v>
      </c>
      <c r="D2419" s="58" t="s">
        <v>1138</v>
      </c>
      <c r="E2419" s="58" t="str">
        <f>_ExportData!H2</f>
        <v>General Model 7.001</v>
      </c>
    </row>
    <row r="2420" spans="1:5">
      <c r="A2420" s="58" t="s">
        <v>829</v>
      </c>
      <c r="B2420" s="58" t="s">
        <v>2288</v>
      </c>
      <c r="C2420" s="58" t="s">
        <v>2843</v>
      </c>
      <c r="D2420" s="58">
        <v>-11</v>
      </c>
      <c r="E2420" s="58">
        <f>Valuation!H68</f>
        <v>0</v>
      </c>
    </row>
    <row r="2421" spans="1:5">
      <c r="A2421" s="58" t="s">
        <v>829</v>
      </c>
      <c r="B2421" s="58" t="s">
        <v>2290</v>
      </c>
      <c r="C2421" s="58" t="s">
        <v>2843</v>
      </c>
      <c r="D2421" s="58">
        <v>-10</v>
      </c>
      <c r="E2421" s="58">
        <f>Valuation!I68</f>
        <v>0</v>
      </c>
    </row>
    <row r="2422" spans="1:5">
      <c r="A2422" s="58" t="s">
        <v>829</v>
      </c>
      <c r="B2422" s="58" t="s">
        <v>2291</v>
      </c>
      <c r="C2422" s="58" t="s">
        <v>2843</v>
      </c>
      <c r="D2422" s="58">
        <v>-9</v>
      </c>
      <c r="E2422" s="58">
        <f>Valuation!J68</f>
        <v>0</v>
      </c>
    </row>
    <row r="2423" spans="1:5">
      <c r="A2423" s="58" t="s">
        <v>829</v>
      </c>
      <c r="B2423" s="58" t="s">
        <v>2292</v>
      </c>
      <c r="C2423" s="58" t="s">
        <v>2843</v>
      </c>
      <c r="D2423" s="58">
        <v>-8</v>
      </c>
      <c r="E2423" s="58">
        <f>Valuation!K68</f>
        <v>0</v>
      </c>
    </row>
    <row r="2424" spans="1:5">
      <c r="A2424" s="58" t="s">
        <v>829</v>
      </c>
      <c r="B2424" s="58" t="s">
        <v>2293</v>
      </c>
      <c r="C2424" s="58" t="s">
        <v>2843</v>
      </c>
      <c r="D2424" s="58">
        <v>-7</v>
      </c>
      <c r="E2424" s="58">
        <f>Valuation!L68</f>
        <v>0</v>
      </c>
    </row>
    <row r="2425" spans="1:5">
      <c r="A2425" s="58" t="s">
        <v>829</v>
      </c>
      <c r="B2425" s="58" t="s">
        <v>2294</v>
      </c>
      <c r="C2425" s="58" t="s">
        <v>2843</v>
      </c>
      <c r="D2425" s="58">
        <v>-6</v>
      </c>
      <c r="E2425" s="58">
        <f>Valuation!M68</f>
        <v>0</v>
      </c>
    </row>
    <row r="2426" spans="1:5">
      <c r="A2426" s="58" t="s">
        <v>829</v>
      </c>
      <c r="B2426" s="58" t="s">
        <v>2295</v>
      </c>
      <c r="C2426" s="58" t="s">
        <v>2843</v>
      </c>
      <c r="D2426" s="58">
        <v>-5</v>
      </c>
      <c r="E2426" s="58">
        <f>Valuation!N68</f>
        <v>33615</v>
      </c>
    </row>
    <row r="2427" spans="1:5">
      <c r="A2427" s="58" t="s">
        <v>829</v>
      </c>
      <c r="B2427" s="58" t="s">
        <v>2296</v>
      </c>
      <c r="C2427" s="58" t="s">
        <v>2843</v>
      </c>
      <c r="D2427" s="58">
        <v>-4</v>
      </c>
      <c r="E2427" s="58">
        <f>Valuation!O68</f>
        <v>-70911</v>
      </c>
    </row>
    <row r="2428" spans="1:5">
      <c r="A2428" s="58" t="s">
        <v>829</v>
      </c>
      <c r="B2428" s="58" t="s">
        <v>2297</v>
      </c>
      <c r="C2428" s="58" t="s">
        <v>2843</v>
      </c>
      <c r="D2428" s="58">
        <v>-3</v>
      </c>
      <c r="E2428" s="58">
        <f>Valuation!P68</f>
        <v>-186150</v>
      </c>
    </row>
    <row r="2429" spans="1:5">
      <c r="A2429" s="58" t="s">
        <v>829</v>
      </c>
      <c r="B2429" s="58" t="s">
        <v>2298</v>
      </c>
      <c r="C2429" s="58" t="s">
        <v>2843</v>
      </c>
      <c r="D2429" s="58">
        <v>-2</v>
      </c>
      <c r="E2429" s="58">
        <f>Valuation!Q68</f>
        <v>-30730</v>
      </c>
    </row>
    <row r="2430" spans="1:5">
      <c r="A2430" s="58" t="s">
        <v>829</v>
      </c>
      <c r="B2430" s="58" t="s">
        <v>2299</v>
      </c>
      <c r="C2430" s="58" t="s">
        <v>2843</v>
      </c>
      <c r="D2430" s="58">
        <v>-1</v>
      </c>
      <c r="E2430" s="58">
        <f>Valuation!R68</f>
        <v>-742038</v>
      </c>
    </row>
    <row r="2431" spans="1:5">
      <c r="A2431" s="58" t="s">
        <v>829</v>
      </c>
      <c r="B2431" s="58" t="s">
        <v>2309</v>
      </c>
      <c r="C2431" s="58" t="s">
        <v>2843</v>
      </c>
      <c r="D2431" s="58">
        <v>0</v>
      </c>
      <c r="E2431" s="58">
        <f>Valuation!S68</f>
        <v>0</v>
      </c>
    </row>
    <row r="2432" spans="1:5">
      <c r="A2432" s="58" t="s">
        <v>829</v>
      </c>
      <c r="B2432" s="58" t="s">
        <v>2300</v>
      </c>
      <c r="C2432" s="58" t="s">
        <v>2843</v>
      </c>
      <c r="D2432" s="58">
        <v>1</v>
      </c>
      <c r="E2432" s="58">
        <f>Valuation!T68</f>
        <v>0</v>
      </c>
    </row>
    <row r="2433" spans="1:5">
      <c r="A2433" s="58" t="s">
        <v>829</v>
      </c>
      <c r="B2433" s="58" t="s">
        <v>2301</v>
      </c>
      <c r="C2433" s="58" t="s">
        <v>2843</v>
      </c>
      <c r="D2433" s="58">
        <v>2</v>
      </c>
      <c r="E2433" s="58">
        <f>Valuation!U68</f>
        <v>0</v>
      </c>
    </row>
    <row r="2434" spans="1:5">
      <c r="A2434" s="58" t="s">
        <v>829</v>
      </c>
      <c r="B2434" s="58" t="s">
        <v>2302</v>
      </c>
      <c r="C2434" s="58" t="s">
        <v>2843</v>
      </c>
      <c r="D2434" s="58">
        <v>3</v>
      </c>
      <c r="E2434" s="58">
        <f>Valuation!V68</f>
        <v>0</v>
      </c>
    </row>
    <row r="2435" spans="1:5">
      <c r="A2435" s="58" t="s">
        <v>829</v>
      </c>
      <c r="B2435" s="58" t="s">
        <v>2303</v>
      </c>
      <c r="C2435" s="58" t="s">
        <v>2843</v>
      </c>
      <c r="D2435" s="58">
        <v>4</v>
      </c>
      <c r="E2435" s="58">
        <f>Valuation!W68</f>
        <v>0</v>
      </c>
    </row>
    <row r="2436" spans="1:5">
      <c r="A2436" s="58" t="s">
        <v>829</v>
      </c>
      <c r="B2436" s="58" t="s">
        <v>2304</v>
      </c>
      <c r="C2436" s="58" t="s">
        <v>2843</v>
      </c>
      <c r="D2436" s="58">
        <v>5</v>
      </c>
      <c r="E2436" s="58">
        <f>Valuation!X68</f>
        <v>0</v>
      </c>
    </row>
    <row r="2437" spans="1:5">
      <c r="A2437" s="58" t="s">
        <v>829</v>
      </c>
      <c r="B2437" s="58" t="s">
        <v>2305</v>
      </c>
      <c r="C2437" s="58" t="s">
        <v>2843</v>
      </c>
      <c r="D2437" s="58">
        <v>6</v>
      </c>
      <c r="E2437" s="58">
        <f>Valuation!Y68</f>
        <v>0</v>
      </c>
    </row>
    <row r="2438" spans="1:5">
      <c r="A2438" s="58" t="s">
        <v>829</v>
      </c>
      <c r="B2438" s="58" t="s">
        <v>2306</v>
      </c>
      <c r="C2438" s="58" t="s">
        <v>2843</v>
      </c>
      <c r="D2438" s="58">
        <v>7</v>
      </c>
      <c r="E2438" s="58">
        <f>Valuation!Z68</f>
        <v>0</v>
      </c>
    </row>
    <row r="2439" spans="1:5">
      <c r="A2439" s="58" t="s">
        <v>829</v>
      </c>
      <c r="B2439" s="58" t="s">
        <v>2307</v>
      </c>
      <c r="C2439" s="58" t="s">
        <v>2843</v>
      </c>
      <c r="D2439" s="58">
        <v>8</v>
      </c>
      <c r="E2439" s="58">
        <f>Valuation!AA68</f>
        <v>0</v>
      </c>
    </row>
    <row r="2440" spans="1:5">
      <c r="A2440" s="58" t="s">
        <v>829</v>
      </c>
      <c r="B2440" s="58" t="s">
        <v>2308</v>
      </c>
      <c r="C2440" s="58" t="s">
        <v>2843</v>
      </c>
      <c r="D2440" s="58">
        <v>9</v>
      </c>
      <c r="E2440" s="58">
        <f>Valuation!AB68</f>
        <v>0</v>
      </c>
    </row>
    <row r="2441" spans="1:5">
      <c r="A2441" s="58" t="s">
        <v>829</v>
      </c>
      <c r="B2441" s="58" t="s">
        <v>2844</v>
      </c>
      <c r="C2441" s="58" t="s">
        <v>2845</v>
      </c>
      <c r="D2441" s="58">
        <v>0</v>
      </c>
      <c r="E2441" s="58">
        <f>Valuation!S196</f>
        <v>0</v>
      </c>
    </row>
    <row r="2442" spans="1:5">
      <c r="A2442" s="58" t="s">
        <v>829</v>
      </c>
      <c r="B2442" s="58" t="s">
        <v>2846</v>
      </c>
      <c r="C2442" s="58" t="s">
        <v>2845</v>
      </c>
      <c r="D2442" s="58">
        <v>-11</v>
      </c>
      <c r="E2442" s="58">
        <f>Valuation!H196</f>
        <v>0</v>
      </c>
    </row>
    <row r="2443" spans="1:5">
      <c r="A2443" s="58" t="s">
        <v>829</v>
      </c>
      <c r="B2443" s="58" t="s">
        <v>2847</v>
      </c>
      <c r="C2443" s="58" t="s">
        <v>2845</v>
      </c>
      <c r="D2443" s="58">
        <v>-10</v>
      </c>
      <c r="E2443" s="58">
        <f>Valuation!I196</f>
        <v>0</v>
      </c>
    </row>
    <row r="2444" spans="1:5">
      <c r="A2444" s="58" t="s">
        <v>829</v>
      </c>
      <c r="B2444" s="58" t="s">
        <v>2848</v>
      </c>
      <c r="C2444" s="58" t="s">
        <v>2845</v>
      </c>
      <c r="D2444" s="58">
        <v>-9</v>
      </c>
      <c r="E2444" s="58">
        <f>Valuation!J196</f>
        <v>0</v>
      </c>
    </row>
    <row r="2445" spans="1:5">
      <c r="A2445" s="58" t="s">
        <v>829</v>
      </c>
      <c r="B2445" s="58" t="s">
        <v>2849</v>
      </c>
      <c r="C2445" s="58" t="s">
        <v>2845</v>
      </c>
      <c r="D2445" s="58">
        <v>-8</v>
      </c>
      <c r="E2445" s="58">
        <f>Valuation!K196</f>
        <v>0</v>
      </c>
    </row>
    <row r="2446" spans="1:5">
      <c r="A2446" s="58" t="s">
        <v>829</v>
      </c>
      <c r="B2446" s="58" t="s">
        <v>2850</v>
      </c>
      <c r="C2446" s="58" t="s">
        <v>2845</v>
      </c>
      <c r="D2446" s="58">
        <v>-7</v>
      </c>
      <c r="E2446" s="58">
        <f>Valuation!L196</f>
        <v>0</v>
      </c>
    </row>
    <row r="2447" spans="1:5">
      <c r="A2447" s="58" t="s">
        <v>829</v>
      </c>
      <c r="B2447" s="58" t="s">
        <v>2851</v>
      </c>
      <c r="C2447" s="58" t="s">
        <v>2845</v>
      </c>
      <c r="D2447" s="58">
        <v>-6</v>
      </c>
      <c r="E2447" s="58">
        <f>Valuation!M196</f>
        <v>0</v>
      </c>
    </row>
    <row r="2448" spans="1:5">
      <c r="A2448" s="58" t="s">
        <v>829</v>
      </c>
      <c r="B2448" s="58" t="s">
        <v>2852</v>
      </c>
      <c r="C2448" s="58" t="s">
        <v>2845</v>
      </c>
      <c r="D2448" s="58">
        <v>-5</v>
      </c>
      <c r="E2448" s="58">
        <f>Valuation!N196</f>
        <v>0</v>
      </c>
    </row>
    <row r="2449" spans="1:5">
      <c r="A2449" s="58" t="s">
        <v>829</v>
      </c>
      <c r="B2449" s="58" t="s">
        <v>2853</v>
      </c>
      <c r="C2449" s="58" t="s">
        <v>2845</v>
      </c>
      <c r="D2449" s="58">
        <v>-4</v>
      </c>
      <c r="E2449" s="58">
        <f>Valuation!O196</f>
        <v>0</v>
      </c>
    </row>
    <row r="2450" spans="1:5">
      <c r="A2450" s="58" t="s">
        <v>829</v>
      </c>
      <c r="B2450" s="58" t="s">
        <v>2854</v>
      </c>
      <c r="C2450" s="58" t="s">
        <v>2845</v>
      </c>
      <c r="D2450" s="58">
        <v>-3</v>
      </c>
      <c r="E2450" s="58">
        <f>Valuation!P196</f>
        <v>0</v>
      </c>
    </row>
    <row r="2451" spans="1:5">
      <c r="A2451" s="58" t="s">
        <v>829</v>
      </c>
      <c r="B2451" s="58" t="s">
        <v>2855</v>
      </c>
      <c r="C2451" s="58" t="s">
        <v>2845</v>
      </c>
      <c r="D2451" s="58">
        <v>-2</v>
      </c>
      <c r="E2451" s="58">
        <f>Valuation!Q196</f>
        <v>0</v>
      </c>
    </row>
    <row r="2452" spans="1:5">
      <c r="A2452" s="58" t="s">
        <v>829</v>
      </c>
      <c r="B2452" s="58" t="s">
        <v>2856</v>
      </c>
      <c r="C2452" s="58" t="s">
        <v>2845</v>
      </c>
      <c r="D2452" s="58">
        <v>-1</v>
      </c>
      <c r="E2452" s="58">
        <f>Valuation!R196</f>
        <v>0</v>
      </c>
    </row>
    <row r="2453" spans="1:5">
      <c r="A2453" s="58" t="s">
        <v>829</v>
      </c>
      <c r="B2453" s="58" t="s">
        <v>2857</v>
      </c>
      <c r="C2453" s="58" t="s">
        <v>2845</v>
      </c>
      <c r="D2453" s="58">
        <v>1</v>
      </c>
      <c r="E2453" s="58">
        <f>Valuation!T196</f>
        <v>0</v>
      </c>
    </row>
    <row r="2454" spans="1:5">
      <c r="A2454" s="58" t="s">
        <v>829</v>
      </c>
      <c r="B2454" s="58" t="s">
        <v>2858</v>
      </c>
      <c r="C2454" s="58" t="s">
        <v>2845</v>
      </c>
      <c r="D2454" s="58">
        <v>2</v>
      </c>
      <c r="E2454" s="58">
        <f>Valuation!U196</f>
        <v>0</v>
      </c>
    </row>
    <row r="2455" spans="1:5">
      <c r="A2455" s="58" t="s">
        <v>829</v>
      </c>
      <c r="B2455" s="58" t="s">
        <v>2859</v>
      </c>
      <c r="C2455" s="58" t="s">
        <v>2845</v>
      </c>
      <c r="D2455" s="58">
        <v>3</v>
      </c>
      <c r="E2455" s="58">
        <f>Valuation!V196</f>
        <v>0</v>
      </c>
    </row>
    <row r="2456" spans="1:5">
      <c r="A2456" s="58" t="s">
        <v>829</v>
      </c>
      <c r="B2456" s="58" t="s">
        <v>2860</v>
      </c>
      <c r="C2456" s="58" t="s">
        <v>2845</v>
      </c>
      <c r="D2456" s="58">
        <v>4</v>
      </c>
      <c r="E2456" s="58">
        <f>Valuation!W196</f>
        <v>0</v>
      </c>
    </row>
    <row r="2457" spans="1:5">
      <c r="A2457" s="58" t="s">
        <v>829</v>
      </c>
      <c r="B2457" s="58" t="s">
        <v>2861</v>
      </c>
      <c r="C2457" s="58" t="s">
        <v>2845</v>
      </c>
      <c r="D2457" s="58">
        <v>5</v>
      </c>
      <c r="E2457" s="58">
        <f>Valuation!X196</f>
        <v>0</v>
      </c>
    </row>
    <row r="2458" spans="1:5">
      <c r="A2458" s="58" t="s">
        <v>829</v>
      </c>
      <c r="B2458" s="58" t="s">
        <v>2862</v>
      </c>
      <c r="C2458" s="58" t="s">
        <v>2845</v>
      </c>
      <c r="D2458" s="58">
        <v>6</v>
      </c>
      <c r="E2458" s="58">
        <f>Valuation!Y196</f>
        <v>0</v>
      </c>
    </row>
    <row r="2459" spans="1:5">
      <c r="A2459" s="58" t="s">
        <v>829</v>
      </c>
      <c r="B2459" s="58" t="s">
        <v>2863</v>
      </c>
      <c r="C2459" s="58" t="s">
        <v>2845</v>
      </c>
      <c r="D2459" s="58">
        <v>7</v>
      </c>
      <c r="E2459" s="58">
        <f>Valuation!Z196</f>
        <v>0</v>
      </c>
    </row>
    <row r="2460" spans="1:5">
      <c r="A2460" s="58" t="s">
        <v>829</v>
      </c>
      <c r="B2460" s="58" t="s">
        <v>2864</v>
      </c>
      <c r="C2460" s="58" t="s">
        <v>2845</v>
      </c>
      <c r="D2460" s="58">
        <v>8</v>
      </c>
      <c r="E2460" s="58">
        <f>Valuation!AA196</f>
        <v>0</v>
      </c>
    </row>
    <row r="2461" spans="1:5">
      <c r="A2461" s="58" t="s">
        <v>829</v>
      </c>
      <c r="B2461" s="58" t="s">
        <v>2865</v>
      </c>
      <c r="C2461" s="58" t="s">
        <v>2845</v>
      </c>
      <c r="D2461" s="58">
        <v>9</v>
      </c>
      <c r="E2461" s="58">
        <f>Valuation!AB196</f>
        <v>0</v>
      </c>
    </row>
    <row r="2483" spans="1:6">
      <c r="A2483" s="58" t="s">
        <v>829</v>
      </c>
      <c r="B2483" s="58" t="s">
        <v>2866</v>
      </c>
      <c r="C2483" s="58" t="s">
        <v>2867</v>
      </c>
      <c r="D2483" s="58">
        <v>0</v>
      </c>
      <c r="E2483" s="58">
        <f>Valuation!S194</f>
        <v>0</v>
      </c>
      <c r="F2483" s="58" t="str">
        <f t="shared" ref="F2483:F2498" si="0">"'"&amp;A2483&amp;"'"&amp;"!"&amp;B2483</f>
        <v>'Valuation'!S194</v>
      </c>
    </row>
    <row r="2484" spans="1:6">
      <c r="A2484" s="58" t="s">
        <v>829</v>
      </c>
      <c r="B2484" s="58" t="s">
        <v>2868</v>
      </c>
      <c r="C2484" s="58" t="s">
        <v>2867</v>
      </c>
      <c r="D2484" s="58">
        <v>-11</v>
      </c>
      <c r="E2484" s="58">
        <f>Valuation!H194</f>
        <v>0</v>
      </c>
      <c r="F2484" s="58" t="str">
        <f t="shared" si="0"/>
        <v>'Valuation'!H194</v>
      </c>
    </row>
    <row r="2485" spans="1:6">
      <c r="A2485" s="58" t="s">
        <v>829</v>
      </c>
      <c r="B2485" s="58" t="s">
        <v>2869</v>
      </c>
      <c r="C2485" s="58" t="s">
        <v>2867</v>
      </c>
      <c r="D2485" s="58">
        <v>-10</v>
      </c>
      <c r="E2485" s="58">
        <f>Valuation!I194</f>
        <v>0</v>
      </c>
      <c r="F2485" s="58" t="str">
        <f t="shared" si="0"/>
        <v>'Valuation'!I194</v>
      </c>
    </row>
    <row r="2486" spans="1:6">
      <c r="A2486" s="58" t="s">
        <v>829</v>
      </c>
      <c r="B2486" s="58" t="s">
        <v>2870</v>
      </c>
      <c r="C2486" s="58" t="s">
        <v>2867</v>
      </c>
      <c r="D2486" s="58">
        <v>-9</v>
      </c>
      <c r="E2486" s="58">
        <f>Valuation!J194</f>
        <v>0</v>
      </c>
      <c r="F2486" s="58" t="str">
        <f t="shared" si="0"/>
        <v>'Valuation'!J194</v>
      </c>
    </row>
    <row r="2487" spans="1:6">
      <c r="A2487" s="58" t="s">
        <v>829</v>
      </c>
      <c r="B2487" s="58" t="s">
        <v>2871</v>
      </c>
      <c r="C2487" s="58" t="s">
        <v>2867</v>
      </c>
      <c r="D2487" s="58">
        <v>-8</v>
      </c>
      <c r="E2487" s="58">
        <f>Valuation!K194</f>
        <v>0</v>
      </c>
      <c r="F2487" s="58" t="str">
        <f t="shared" si="0"/>
        <v>'Valuation'!K194</v>
      </c>
    </row>
    <row r="2488" spans="1:6">
      <c r="A2488" s="58" t="s">
        <v>829</v>
      </c>
      <c r="B2488" s="58" t="s">
        <v>2872</v>
      </c>
      <c r="C2488" s="58" t="s">
        <v>2867</v>
      </c>
      <c r="D2488" s="58">
        <v>-7</v>
      </c>
      <c r="E2488" s="58">
        <f>Valuation!L194</f>
        <v>0</v>
      </c>
      <c r="F2488" s="58" t="str">
        <f t="shared" si="0"/>
        <v>'Valuation'!L194</v>
      </c>
    </row>
    <row r="2489" spans="1:6">
      <c r="A2489" s="58" t="s">
        <v>829</v>
      </c>
      <c r="B2489" s="58" t="s">
        <v>2873</v>
      </c>
      <c r="C2489" s="58" t="s">
        <v>2867</v>
      </c>
      <c r="D2489" s="58">
        <v>-6</v>
      </c>
      <c r="E2489" s="58">
        <f>Valuation!M194</f>
        <v>0</v>
      </c>
      <c r="F2489" s="58" t="str">
        <f t="shared" si="0"/>
        <v>'Valuation'!M194</v>
      </c>
    </row>
    <row r="2490" spans="1:6">
      <c r="A2490" s="58" t="s">
        <v>829</v>
      </c>
      <c r="B2490" s="58" t="s">
        <v>2874</v>
      </c>
      <c r="C2490" s="58" t="s">
        <v>2867</v>
      </c>
      <c r="D2490" s="58">
        <v>-5</v>
      </c>
      <c r="E2490" s="58">
        <f>Valuation!N194</f>
        <v>0</v>
      </c>
      <c r="F2490" s="58" t="str">
        <f t="shared" si="0"/>
        <v>'Valuation'!N194</v>
      </c>
    </row>
    <row r="2491" spans="1:6">
      <c r="A2491" s="58" t="s">
        <v>829</v>
      </c>
      <c r="B2491" s="58" t="s">
        <v>2875</v>
      </c>
      <c r="C2491" s="58" t="s">
        <v>2867</v>
      </c>
      <c r="D2491" s="58">
        <v>-4</v>
      </c>
      <c r="E2491" s="58">
        <f>Valuation!O194</f>
        <v>0</v>
      </c>
      <c r="F2491" s="58" t="str">
        <f t="shared" si="0"/>
        <v>'Valuation'!O194</v>
      </c>
    </row>
    <row r="2492" spans="1:6">
      <c r="A2492" s="58" t="s">
        <v>829</v>
      </c>
      <c r="B2492" s="58" t="s">
        <v>2876</v>
      </c>
      <c r="C2492" s="58" t="s">
        <v>2867</v>
      </c>
      <c r="D2492" s="58">
        <v>-3</v>
      </c>
      <c r="E2492" s="58">
        <f>Valuation!P194</f>
        <v>0</v>
      </c>
      <c r="F2492" s="58" t="str">
        <f t="shared" si="0"/>
        <v>'Valuation'!P194</v>
      </c>
    </row>
    <row r="2493" spans="1:6">
      <c r="A2493" s="58" t="s">
        <v>829</v>
      </c>
      <c r="B2493" s="58" t="s">
        <v>2877</v>
      </c>
      <c r="C2493" s="58" t="s">
        <v>2867</v>
      </c>
      <c r="D2493" s="58">
        <v>-2</v>
      </c>
      <c r="E2493" s="58">
        <f>Valuation!Q194</f>
        <v>0</v>
      </c>
      <c r="F2493" s="58" t="str">
        <f t="shared" si="0"/>
        <v>'Valuation'!Q194</v>
      </c>
    </row>
    <row r="2494" spans="1:6">
      <c r="A2494" s="58" t="s">
        <v>829</v>
      </c>
      <c r="B2494" s="58" t="s">
        <v>2878</v>
      </c>
      <c r="C2494" s="58" t="s">
        <v>2867</v>
      </c>
      <c r="D2494" s="58">
        <v>-1</v>
      </c>
      <c r="E2494" s="58">
        <f>Valuation!R194</f>
        <v>0</v>
      </c>
      <c r="F2494" s="58" t="str">
        <f t="shared" si="0"/>
        <v>'Valuation'!R194</v>
      </c>
    </row>
    <row r="2495" spans="1:6">
      <c r="A2495" s="58" t="s">
        <v>829</v>
      </c>
      <c r="B2495" s="58" t="s">
        <v>2879</v>
      </c>
      <c r="C2495" s="58" t="s">
        <v>2867</v>
      </c>
      <c r="D2495" s="58">
        <v>1</v>
      </c>
      <c r="E2495" s="58">
        <f>Valuation!T194</f>
        <v>0</v>
      </c>
      <c r="F2495" s="58" t="str">
        <f t="shared" si="0"/>
        <v>'Valuation'!T194</v>
      </c>
    </row>
    <row r="2496" spans="1:6">
      <c r="A2496" s="58" t="s">
        <v>829</v>
      </c>
      <c r="B2496" s="58" t="s">
        <v>2880</v>
      </c>
      <c r="C2496" s="58" t="s">
        <v>2867</v>
      </c>
      <c r="D2496" s="58">
        <v>2</v>
      </c>
      <c r="E2496" s="58">
        <f>Valuation!U194</f>
        <v>0</v>
      </c>
      <c r="F2496" s="58" t="str">
        <f t="shared" si="0"/>
        <v>'Valuation'!U194</v>
      </c>
    </row>
    <row r="2497" spans="1:6">
      <c r="A2497" s="58" t="s">
        <v>829</v>
      </c>
      <c r="B2497" s="58" t="s">
        <v>2881</v>
      </c>
      <c r="C2497" s="58" t="s">
        <v>2867</v>
      </c>
      <c r="D2497" s="58">
        <v>3</v>
      </c>
      <c r="E2497" s="58">
        <f>Valuation!V194</f>
        <v>0</v>
      </c>
      <c r="F2497" s="58" t="str">
        <f t="shared" si="0"/>
        <v>'Valuation'!V194</v>
      </c>
    </row>
    <row r="2498" spans="1:6">
      <c r="A2498" s="58" t="s">
        <v>829</v>
      </c>
      <c r="B2498" s="58" t="s">
        <v>2882</v>
      </c>
      <c r="C2498" s="58" t="s">
        <v>2867</v>
      </c>
      <c r="D2498" s="58">
        <v>4</v>
      </c>
      <c r="E2498" s="58">
        <f>Valuation!W194</f>
        <v>0</v>
      </c>
      <c r="F2498" s="58" t="str">
        <f t="shared" si="0"/>
        <v>'Valuation'!W194</v>
      </c>
    </row>
    <row r="2499" spans="1:6">
      <c r="A2499" s="58" t="s">
        <v>829</v>
      </c>
      <c r="B2499" s="58" t="s">
        <v>2883</v>
      </c>
      <c r="C2499" s="58" t="s">
        <v>2867</v>
      </c>
      <c r="D2499" s="58">
        <v>5</v>
      </c>
      <c r="E2499" s="58">
        <f>Valuation!X194</f>
        <v>0</v>
      </c>
      <c r="F2499" s="58" t="str">
        <f t="shared" ref="F2499:F2562" si="1">"'"&amp;A2499&amp;"'"&amp;"!"&amp;B2499</f>
        <v>'Valuation'!X194</v>
      </c>
    </row>
    <row r="2500" spans="1:6">
      <c r="A2500" s="58" t="s">
        <v>829</v>
      </c>
      <c r="B2500" s="58" t="s">
        <v>2884</v>
      </c>
      <c r="C2500" s="58" t="s">
        <v>2867</v>
      </c>
      <c r="D2500" s="58">
        <v>6</v>
      </c>
      <c r="E2500" s="58">
        <f>Valuation!Y194</f>
        <v>0</v>
      </c>
      <c r="F2500" s="58" t="str">
        <f t="shared" si="1"/>
        <v>'Valuation'!Y194</v>
      </c>
    </row>
    <row r="2501" spans="1:6">
      <c r="A2501" s="58" t="s">
        <v>829</v>
      </c>
      <c r="B2501" s="58" t="s">
        <v>2885</v>
      </c>
      <c r="C2501" s="58" t="s">
        <v>2867</v>
      </c>
      <c r="D2501" s="58">
        <v>7</v>
      </c>
      <c r="E2501" s="58">
        <f>Valuation!Z194</f>
        <v>0</v>
      </c>
      <c r="F2501" s="58" t="str">
        <f t="shared" si="1"/>
        <v>'Valuation'!Z194</v>
      </c>
    </row>
    <row r="2502" spans="1:6">
      <c r="A2502" s="58" t="s">
        <v>829</v>
      </c>
      <c r="B2502" s="58" t="s">
        <v>2886</v>
      </c>
      <c r="C2502" s="58" t="s">
        <v>2867</v>
      </c>
      <c r="D2502" s="58">
        <v>8</v>
      </c>
      <c r="E2502" s="58">
        <f>Valuation!AA194</f>
        <v>0</v>
      </c>
      <c r="F2502" s="58" t="str">
        <f t="shared" si="1"/>
        <v>'Valuation'!AA194</v>
      </c>
    </row>
    <row r="2503" spans="1:6">
      <c r="A2503" s="58" t="s">
        <v>829</v>
      </c>
      <c r="B2503" s="58" t="s">
        <v>2887</v>
      </c>
      <c r="C2503" s="58" t="s">
        <v>2867</v>
      </c>
      <c r="D2503" s="58">
        <v>9</v>
      </c>
      <c r="E2503" s="58">
        <f>Valuation!AB194</f>
        <v>0</v>
      </c>
      <c r="F2503" s="58" t="str">
        <f t="shared" si="1"/>
        <v>'Valuation'!AB194</v>
      </c>
    </row>
    <row r="2504" spans="1:6">
      <c r="A2504" s="58" t="s">
        <v>829</v>
      </c>
      <c r="B2504" s="58" t="s">
        <v>2310</v>
      </c>
      <c r="C2504" s="58" t="s">
        <v>2888</v>
      </c>
      <c r="D2504" s="58">
        <v>0</v>
      </c>
      <c r="E2504" s="58">
        <f ca="1">Valuation!S34</f>
        <v>568207.81928220042</v>
      </c>
      <c r="F2504" s="58" t="str">
        <f t="shared" si="1"/>
        <v>'Valuation'!S34</v>
      </c>
    </row>
    <row r="2505" spans="1:6">
      <c r="A2505" s="58" t="s">
        <v>829</v>
      </c>
      <c r="B2505" s="58" t="s">
        <v>2312</v>
      </c>
      <c r="C2505" s="58" t="s">
        <v>2888</v>
      </c>
      <c r="D2505" s="58">
        <v>-11</v>
      </c>
      <c r="E2505" s="58">
        <f>Valuation!H34</f>
        <v>0</v>
      </c>
      <c r="F2505" s="58" t="str">
        <f t="shared" si="1"/>
        <v>'Valuation'!H34</v>
      </c>
    </row>
    <row r="2506" spans="1:6">
      <c r="A2506" s="58" t="s">
        <v>829</v>
      </c>
      <c r="B2506" s="58" t="s">
        <v>2313</v>
      </c>
      <c r="C2506" s="58" t="s">
        <v>2888</v>
      </c>
      <c r="D2506" s="58">
        <v>-10</v>
      </c>
      <c r="E2506" s="58">
        <f>Valuation!I34</f>
        <v>0</v>
      </c>
      <c r="F2506" s="58" t="str">
        <f t="shared" si="1"/>
        <v>'Valuation'!I34</v>
      </c>
    </row>
    <row r="2507" spans="1:6">
      <c r="A2507" s="58" t="s">
        <v>829</v>
      </c>
      <c r="B2507" s="58" t="s">
        <v>2314</v>
      </c>
      <c r="C2507" s="58" t="s">
        <v>2888</v>
      </c>
      <c r="D2507" s="58">
        <v>-9</v>
      </c>
      <c r="E2507" s="58">
        <f>Valuation!J34</f>
        <v>0</v>
      </c>
      <c r="F2507" s="58" t="str">
        <f t="shared" si="1"/>
        <v>'Valuation'!J34</v>
      </c>
    </row>
    <row r="2508" spans="1:6">
      <c r="A2508" s="58" t="s">
        <v>829</v>
      </c>
      <c r="B2508" s="58" t="s">
        <v>2315</v>
      </c>
      <c r="C2508" s="58" t="s">
        <v>2888</v>
      </c>
      <c r="D2508" s="58">
        <v>-8</v>
      </c>
      <c r="E2508" s="58">
        <f>Valuation!K34</f>
        <v>0</v>
      </c>
      <c r="F2508" s="58" t="str">
        <f t="shared" si="1"/>
        <v>'Valuation'!K34</v>
      </c>
    </row>
    <row r="2509" spans="1:6">
      <c r="A2509" s="58" t="s">
        <v>829</v>
      </c>
      <c r="B2509" s="58" t="s">
        <v>2316</v>
      </c>
      <c r="C2509" s="58" t="s">
        <v>2888</v>
      </c>
      <c r="D2509" s="58">
        <v>-7</v>
      </c>
      <c r="E2509" s="58">
        <f>Valuation!L34</f>
        <v>0</v>
      </c>
      <c r="F2509" s="58" t="str">
        <f t="shared" si="1"/>
        <v>'Valuation'!L34</v>
      </c>
    </row>
    <row r="2510" spans="1:6">
      <c r="A2510" s="58" t="s">
        <v>829</v>
      </c>
      <c r="B2510" s="58" t="s">
        <v>2317</v>
      </c>
      <c r="C2510" s="58" t="s">
        <v>2888</v>
      </c>
      <c r="D2510" s="58">
        <v>-6</v>
      </c>
      <c r="E2510" s="58">
        <f>Valuation!M34</f>
        <v>316553</v>
      </c>
      <c r="F2510" s="58" t="str">
        <f t="shared" si="1"/>
        <v>'Valuation'!M34</v>
      </c>
    </row>
    <row r="2511" spans="1:6">
      <c r="A2511" s="58" t="s">
        <v>829</v>
      </c>
      <c r="B2511" s="58" t="s">
        <v>2318</v>
      </c>
      <c r="C2511" s="58" t="s">
        <v>2888</v>
      </c>
      <c r="D2511" s="58">
        <v>-5</v>
      </c>
      <c r="E2511" s="58">
        <f>Valuation!N34</f>
        <v>3624120</v>
      </c>
      <c r="F2511" s="58" t="str">
        <f t="shared" si="1"/>
        <v>'Valuation'!N34</v>
      </c>
    </row>
    <row r="2512" spans="1:6">
      <c r="A2512" s="58" t="s">
        <v>829</v>
      </c>
      <c r="B2512" s="58" t="s">
        <v>2319</v>
      </c>
      <c r="C2512" s="58" t="s">
        <v>2888</v>
      </c>
      <c r="D2512" s="58">
        <v>-4</v>
      </c>
      <c r="E2512" s="58">
        <f>Valuation!O34</f>
        <v>-2624949</v>
      </c>
      <c r="F2512" s="58" t="str">
        <f t="shared" si="1"/>
        <v>'Valuation'!O34</v>
      </c>
    </row>
    <row r="2513" spans="1:6">
      <c r="A2513" s="58" t="s">
        <v>829</v>
      </c>
      <c r="B2513" s="58" t="s">
        <v>2320</v>
      </c>
      <c r="C2513" s="58" t="s">
        <v>2888</v>
      </c>
      <c r="D2513" s="58">
        <v>-3</v>
      </c>
      <c r="E2513" s="58">
        <f>Valuation!P34</f>
        <v>94871</v>
      </c>
      <c r="F2513" s="58" t="str">
        <f t="shared" si="1"/>
        <v>'Valuation'!P34</v>
      </c>
    </row>
    <row r="2514" spans="1:6">
      <c r="A2514" s="58" t="s">
        <v>829</v>
      </c>
      <c r="B2514" s="58" t="s">
        <v>2321</v>
      </c>
      <c r="C2514" s="58" t="s">
        <v>2888</v>
      </c>
      <c r="D2514" s="58">
        <v>-2</v>
      </c>
      <c r="E2514" s="58">
        <f>Valuation!Q34</f>
        <v>2579066</v>
      </c>
      <c r="F2514" s="58" t="str">
        <f t="shared" si="1"/>
        <v>'Valuation'!Q34</v>
      </c>
    </row>
    <row r="2515" spans="1:6">
      <c r="A2515" s="58" t="s">
        <v>829</v>
      </c>
      <c r="B2515" s="58" t="s">
        <v>2322</v>
      </c>
      <c r="C2515" s="58" t="s">
        <v>2888</v>
      </c>
      <c r="D2515" s="58">
        <v>-1</v>
      </c>
      <c r="E2515" s="58">
        <f>Valuation!R34</f>
        <v>1260327</v>
      </c>
      <c r="F2515" s="58" t="str">
        <f t="shared" si="1"/>
        <v>'Valuation'!R34</v>
      </c>
    </row>
    <row r="2516" spans="1:6">
      <c r="A2516" s="58" t="s">
        <v>829</v>
      </c>
      <c r="B2516" s="58" t="s">
        <v>2323</v>
      </c>
      <c r="C2516" s="58" t="s">
        <v>2888</v>
      </c>
      <c r="D2516" s="58">
        <v>1</v>
      </c>
      <c r="E2516" s="58" t="e">
        <f ca="1">Valuation!T34</f>
        <v>#NAME?</v>
      </c>
      <c r="F2516" s="58" t="str">
        <f t="shared" si="1"/>
        <v>'Valuation'!T34</v>
      </c>
    </row>
    <row r="2517" spans="1:6">
      <c r="A2517" s="58" t="s">
        <v>829</v>
      </c>
      <c r="B2517" s="58" t="s">
        <v>2324</v>
      </c>
      <c r="C2517" s="58" t="s">
        <v>2888</v>
      </c>
      <c r="D2517" s="58">
        <v>2</v>
      </c>
      <c r="E2517" s="58" t="e">
        <f ca="1">Valuation!U34</f>
        <v>#NAME?</v>
      </c>
      <c r="F2517" s="58" t="str">
        <f t="shared" si="1"/>
        <v>'Valuation'!U34</v>
      </c>
    </row>
    <row r="2518" spans="1:6">
      <c r="A2518" s="58" t="s">
        <v>829</v>
      </c>
      <c r="B2518" s="58" t="s">
        <v>2325</v>
      </c>
      <c r="C2518" s="58" t="s">
        <v>2888</v>
      </c>
      <c r="D2518" s="58">
        <v>3</v>
      </c>
      <c r="E2518" s="58" t="e">
        <f ca="1">Valuation!V34</f>
        <v>#NAME?</v>
      </c>
      <c r="F2518" s="58" t="str">
        <f t="shared" si="1"/>
        <v>'Valuation'!V34</v>
      </c>
    </row>
    <row r="2519" spans="1:6">
      <c r="A2519" s="58" t="s">
        <v>829</v>
      </c>
      <c r="B2519" s="58" t="s">
        <v>2326</v>
      </c>
      <c r="C2519" s="58" t="s">
        <v>2888</v>
      </c>
      <c r="D2519" s="58">
        <v>4</v>
      </c>
      <c r="E2519" s="58" t="e">
        <f ca="1">Valuation!W34</f>
        <v>#NAME?</v>
      </c>
      <c r="F2519" s="58" t="str">
        <f t="shared" si="1"/>
        <v>'Valuation'!W34</v>
      </c>
    </row>
    <row r="2520" spans="1:6">
      <c r="A2520" s="58" t="s">
        <v>829</v>
      </c>
      <c r="B2520" s="58" t="s">
        <v>2327</v>
      </c>
      <c r="C2520" s="58" t="s">
        <v>2888</v>
      </c>
      <c r="D2520" s="58">
        <v>5</v>
      </c>
      <c r="E2520" s="58" t="e">
        <f ca="1">Valuation!X34</f>
        <v>#NAME?</v>
      </c>
      <c r="F2520" s="58" t="str">
        <f t="shared" si="1"/>
        <v>'Valuation'!X34</v>
      </c>
    </row>
    <row r="2521" spans="1:6">
      <c r="A2521" s="58" t="s">
        <v>829</v>
      </c>
      <c r="B2521" s="58" t="s">
        <v>2328</v>
      </c>
      <c r="C2521" s="58" t="s">
        <v>2888</v>
      </c>
      <c r="D2521" s="58">
        <v>6</v>
      </c>
      <c r="E2521" s="58" t="e">
        <f ca="1">Valuation!Y34</f>
        <v>#NAME?</v>
      </c>
      <c r="F2521" s="58" t="str">
        <f t="shared" si="1"/>
        <v>'Valuation'!Y34</v>
      </c>
    </row>
    <row r="2522" spans="1:6">
      <c r="A2522" s="58" t="s">
        <v>829</v>
      </c>
      <c r="B2522" s="58" t="s">
        <v>2329</v>
      </c>
      <c r="C2522" s="58" t="s">
        <v>2888</v>
      </c>
      <c r="D2522" s="58">
        <v>7</v>
      </c>
      <c r="E2522" s="58" t="e">
        <f ca="1">Valuation!Z34</f>
        <v>#NAME?</v>
      </c>
      <c r="F2522" s="58" t="str">
        <f t="shared" si="1"/>
        <v>'Valuation'!Z34</v>
      </c>
    </row>
    <row r="2523" spans="1:6">
      <c r="A2523" s="58" t="s">
        <v>829</v>
      </c>
      <c r="B2523" s="58" t="s">
        <v>2330</v>
      </c>
      <c r="C2523" s="58" t="s">
        <v>2888</v>
      </c>
      <c r="D2523" s="58">
        <v>8</v>
      </c>
      <c r="E2523" s="58" t="e">
        <f ca="1">Valuation!AA34</f>
        <v>#NAME?</v>
      </c>
      <c r="F2523" s="58" t="str">
        <f t="shared" si="1"/>
        <v>'Valuation'!AA34</v>
      </c>
    </row>
    <row r="2524" spans="1:6">
      <c r="A2524" s="58" t="s">
        <v>829</v>
      </c>
      <c r="B2524" s="58" t="s">
        <v>2331</v>
      </c>
      <c r="C2524" s="58" t="s">
        <v>2888</v>
      </c>
      <c r="D2524" s="58">
        <v>9</v>
      </c>
      <c r="E2524" s="58" t="e">
        <f ca="1">Valuation!AB34</f>
        <v>#NAME?</v>
      </c>
      <c r="F2524" s="58" t="str">
        <f t="shared" si="1"/>
        <v>'Valuation'!AB34</v>
      </c>
    </row>
    <row r="2525" spans="1:6">
      <c r="A2525" s="58" t="s">
        <v>3238</v>
      </c>
      <c r="B2525" s="58" t="s">
        <v>2252</v>
      </c>
      <c r="C2525" s="58" t="s">
        <v>1215</v>
      </c>
      <c r="D2525" s="58">
        <v>0</v>
      </c>
      <c r="E2525" s="58">
        <f ca="1">Ratios!Q27</f>
        <v>8.3520049124010468E-2</v>
      </c>
      <c r="F2525" s="58" t="str">
        <f t="shared" si="1"/>
        <v>'Ratios'!Q27</v>
      </c>
    </row>
    <row r="2526" spans="1:6">
      <c r="A2526" s="58" t="s">
        <v>3238</v>
      </c>
      <c r="B2526" s="58" t="s">
        <v>3252</v>
      </c>
      <c r="C2526" s="58" t="s">
        <v>1215</v>
      </c>
      <c r="D2526" s="58">
        <v>-11</v>
      </c>
      <c r="E2526" s="58" t="e">
        <f>Ratios!F27</f>
        <v>#DIV/0!</v>
      </c>
      <c r="F2526" s="58" t="str">
        <f t="shared" si="1"/>
        <v>'Ratios'!F27</v>
      </c>
    </row>
    <row r="2527" spans="1:6">
      <c r="A2527" s="58" t="s">
        <v>3238</v>
      </c>
      <c r="B2527" s="58" t="s">
        <v>3253</v>
      </c>
      <c r="C2527" s="58" t="s">
        <v>1215</v>
      </c>
      <c r="D2527" s="58">
        <v>-10</v>
      </c>
      <c r="E2527" s="58" t="e">
        <f>Ratios!G27</f>
        <v>#DIV/0!</v>
      </c>
      <c r="F2527" s="58" t="str">
        <f t="shared" si="1"/>
        <v>'Ratios'!G27</v>
      </c>
    </row>
    <row r="2528" spans="1:6">
      <c r="A2528" s="58" t="s">
        <v>3238</v>
      </c>
      <c r="B2528" s="58" t="s">
        <v>2243</v>
      </c>
      <c r="C2528" s="58" t="s">
        <v>1215</v>
      </c>
      <c r="D2528" s="58">
        <v>-9</v>
      </c>
      <c r="E2528" s="58" t="e">
        <f>Ratios!H27</f>
        <v>#DIV/0!</v>
      </c>
      <c r="F2528" s="58" t="str">
        <f t="shared" si="1"/>
        <v>'Ratios'!H27</v>
      </c>
    </row>
    <row r="2529" spans="1:6">
      <c r="A2529" s="58" t="s">
        <v>3238</v>
      </c>
      <c r="B2529" s="58" t="s">
        <v>2244</v>
      </c>
      <c r="C2529" s="58" t="s">
        <v>1215</v>
      </c>
      <c r="D2529" s="58">
        <v>-8</v>
      </c>
      <c r="E2529" s="58" t="e">
        <f>Ratios!I27</f>
        <v>#DIV/0!</v>
      </c>
      <c r="F2529" s="58" t="str">
        <f t="shared" si="1"/>
        <v>'Ratios'!I27</v>
      </c>
    </row>
    <row r="2530" spans="1:6">
      <c r="A2530" s="58" t="s">
        <v>3238</v>
      </c>
      <c r="B2530" s="58" t="s">
        <v>2245</v>
      </c>
      <c r="C2530" s="58" t="s">
        <v>1215</v>
      </c>
      <c r="D2530" s="58">
        <v>-7</v>
      </c>
      <c r="E2530" s="58" t="e">
        <f>Ratios!J27</f>
        <v>#DIV/0!</v>
      </c>
      <c r="F2530" s="58" t="str">
        <f t="shared" si="1"/>
        <v>'Ratios'!J27</v>
      </c>
    </row>
    <row r="2531" spans="1:6">
      <c r="A2531" s="58" t="s">
        <v>3238</v>
      </c>
      <c r="B2531" s="58" t="s">
        <v>2246</v>
      </c>
      <c r="C2531" s="58" t="s">
        <v>1215</v>
      </c>
      <c r="D2531" s="58">
        <v>-6</v>
      </c>
      <c r="E2531" s="58">
        <f>Ratios!K27</f>
        <v>0.24779468344343281</v>
      </c>
      <c r="F2531" s="58" t="str">
        <f t="shared" si="1"/>
        <v>'Ratios'!K27</v>
      </c>
    </row>
    <row r="2532" spans="1:6">
      <c r="A2532" s="58" t="s">
        <v>3238</v>
      </c>
      <c r="B2532" s="58" t="s">
        <v>2247</v>
      </c>
      <c r="C2532" s="58" t="s">
        <v>1215</v>
      </c>
      <c r="D2532" s="58">
        <v>-5</v>
      </c>
      <c r="E2532" s="58">
        <f>Ratios!L27</f>
        <v>0.46229298914565881</v>
      </c>
      <c r="F2532" s="58" t="str">
        <f t="shared" si="1"/>
        <v>'Ratios'!L27</v>
      </c>
    </row>
    <row r="2533" spans="1:6">
      <c r="A2533" s="58" t="s">
        <v>3238</v>
      </c>
      <c r="B2533" s="58" t="s">
        <v>2248</v>
      </c>
      <c r="C2533" s="58" t="s">
        <v>1215</v>
      </c>
      <c r="D2533" s="58">
        <v>-4</v>
      </c>
      <c r="E2533" s="58">
        <f>Ratios!M27</f>
        <v>-0.82178399152465964</v>
      </c>
      <c r="F2533" s="58" t="str">
        <f t="shared" si="1"/>
        <v>'Ratios'!M27</v>
      </c>
    </row>
    <row r="2534" spans="1:6">
      <c r="A2534" s="58" t="s">
        <v>3238</v>
      </c>
      <c r="B2534" s="58" t="s">
        <v>2249</v>
      </c>
      <c r="C2534" s="58" t="s">
        <v>1215</v>
      </c>
      <c r="D2534" s="58">
        <v>-3</v>
      </c>
      <c r="E2534" s="58">
        <f>Ratios!N27</f>
        <v>3.0521013658870222E-2</v>
      </c>
      <c r="F2534" s="58" t="str">
        <f t="shared" si="1"/>
        <v>'Ratios'!N27</v>
      </c>
    </row>
    <row r="2535" spans="1:6">
      <c r="A2535" s="58" t="s">
        <v>3238</v>
      </c>
      <c r="B2535" s="58" t="s">
        <v>2250</v>
      </c>
      <c r="C2535" s="58" t="s">
        <v>1215</v>
      </c>
      <c r="D2535" s="58">
        <v>-2</v>
      </c>
      <c r="E2535" s="58">
        <f>Ratios!O27</f>
        <v>0.39290904913873004</v>
      </c>
      <c r="F2535" s="58" t="str">
        <f t="shared" si="1"/>
        <v>'Ratios'!O27</v>
      </c>
    </row>
    <row r="2536" spans="1:6">
      <c r="A2536" s="58" t="s">
        <v>3238</v>
      </c>
      <c r="B2536" s="58" t="s">
        <v>2251</v>
      </c>
      <c r="C2536" s="58" t="s">
        <v>1215</v>
      </c>
      <c r="D2536" s="58">
        <v>-1</v>
      </c>
      <c r="E2536" s="58">
        <f>Ratios!P27</f>
        <v>0.17550062140343181</v>
      </c>
      <c r="F2536" s="58" t="str">
        <f t="shared" si="1"/>
        <v>'Ratios'!P27</v>
      </c>
    </row>
    <row r="2537" spans="1:6">
      <c r="A2537" s="58" t="s">
        <v>3238</v>
      </c>
      <c r="B2537" s="58" t="s">
        <v>2253</v>
      </c>
      <c r="C2537" s="58" t="s">
        <v>1215</v>
      </c>
      <c r="D2537" s="58">
        <v>1</v>
      </c>
      <c r="E2537" s="58" t="e">
        <f ca="1">Ratios!R27</f>
        <v>#NAME?</v>
      </c>
      <c r="F2537" s="58" t="str">
        <f t="shared" si="1"/>
        <v>'Ratios'!R27</v>
      </c>
    </row>
    <row r="2538" spans="1:6">
      <c r="A2538" s="58" t="s">
        <v>3238</v>
      </c>
      <c r="B2538" s="58" t="s">
        <v>2241</v>
      </c>
      <c r="C2538" s="58" t="s">
        <v>1215</v>
      </c>
      <c r="D2538" s="58">
        <v>2</v>
      </c>
      <c r="E2538" s="58" t="e">
        <f ca="1">Ratios!S27</f>
        <v>#NAME?</v>
      </c>
      <c r="F2538" s="58" t="str">
        <f t="shared" si="1"/>
        <v>'Ratios'!S27</v>
      </c>
    </row>
    <row r="2539" spans="1:6">
      <c r="A2539" s="58" t="s">
        <v>3238</v>
      </c>
      <c r="B2539" s="58" t="s">
        <v>2254</v>
      </c>
      <c r="C2539" s="58" t="s">
        <v>1215</v>
      </c>
      <c r="D2539" s="58">
        <v>3</v>
      </c>
      <c r="E2539" s="58" t="e">
        <f ca="1">Ratios!T27</f>
        <v>#NAME?</v>
      </c>
      <c r="F2539" s="58" t="str">
        <f t="shared" si="1"/>
        <v>'Ratios'!T27</v>
      </c>
    </row>
    <row r="2540" spans="1:6">
      <c r="A2540" s="58" t="s">
        <v>3238</v>
      </c>
      <c r="B2540" s="58" t="s">
        <v>2255</v>
      </c>
      <c r="C2540" s="58" t="s">
        <v>1215</v>
      </c>
      <c r="D2540" s="58">
        <v>4</v>
      </c>
      <c r="E2540" s="58" t="e">
        <f ca="1">Ratios!U27</f>
        <v>#NAME?</v>
      </c>
      <c r="F2540" s="58" t="str">
        <f t="shared" si="1"/>
        <v>'Ratios'!U27</v>
      </c>
    </row>
    <row r="2541" spans="1:6">
      <c r="A2541" s="58" t="s">
        <v>3238</v>
      </c>
      <c r="B2541" s="58" t="s">
        <v>2256</v>
      </c>
      <c r="C2541" s="58" t="s">
        <v>1215</v>
      </c>
      <c r="D2541" s="58">
        <v>5</v>
      </c>
      <c r="E2541" s="58" t="e">
        <f ca="1">Ratios!V27</f>
        <v>#NAME?</v>
      </c>
      <c r="F2541" s="58" t="str">
        <f t="shared" si="1"/>
        <v>'Ratios'!V27</v>
      </c>
    </row>
    <row r="2542" spans="1:6">
      <c r="A2542" s="58" t="s">
        <v>3238</v>
      </c>
      <c r="B2542" s="58" t="s">
        <v>2257</v>
      </c>
      <c r="C2542" s="58" t="s">
        <v>1215</v>
      </c>
      <c r="D2542" s="58">
        <v>6</v>
      </c>
      <c r="E2542" s="58" t="e">
        <f ca="1">Ratios!W27</f>
        <v>#NAME?</v>
      </c>
      <c r="F2542" s="58" t="str">
        <f t="shared" si="1"/>
        <v>'Ratios'!W27</v>
      </c>
    </row>
    <row r="2543" spans="1:6">
      <c r="A2543" s="58" t="s">
        <v>3238</v>
      </c>
      <c r="B2543" s="58" t="s">
        <v>2258</v>
      </c>
      <c r="C2543" s="58" t="s">
        <v>1215</v>
      </c>
      <c r="D2543" s="58">
        <v>7</v>
      </c>
      <c r="E2543" s="58" t="e">
        <f ca="1">Ratios!X27</f>
        <v>#NAME?</v>
      </c>
      <c r="F2543" s="58" t="str">
        <f t="shared" si="1"/>
        <v>'Ratios'!X27</v>
      </c>
    </row>
    <row r="2544" spans="1:6">
      <c r="A2544" s="58" t="s">
        <v>3238</v>
      </c>
      <c r="B2544" s="58" t="s">
        <v>2259</v>
      </c>
      <c r="C2544" s="58" t="s">
        <v>1215</v>
      </c>
      <c r="D2544" s="58">
        <v>8</v>
      </c>
      <c r="E2544" s="58" t="e">
        <f ca="1">Ratios!Y27</f>
        <v>#NAME?</v>
      </c>
      <c r="F2544" s="58" t="str">
        <f t="shared" si="1"/>
        <v>'Ratios'!Y27</v>
      </c>
    </row>
    <row r="2545" spans="1:6">
      <c r="A2545" s="58" t="s">
        <v>3238</v>
      </c>
      <c r="B2545" s="58" t="s">
        <v>2259</v>
      </c>
      <c r="C2545" s="58" t="s">
        <v>1215</v>
      </c>
      <c r="D2545" s="58">
        <v>9</v>
      </c>
      <c r="E2545" s="58" t="e">
        <f ca="1">Ratios!Y27</f>
        <v>#NAME?</v>
      </c>
      <c r="F2545" s="58" t="str">
        <f t="shared" si="1"/>
        <v>'Ratios'!Y27</v>
      </c>
    </row>
    <row r="2546" spans="1:6">
      <c r="A2546" s="58" t="s">
        <v>829</v>
      </c>
      <c r="B2546" s="58" t="s">
        <v>2332</v>
      </c>
      <c r="C2546" s="58" t="s">
        <v>1129</v>
      </c>
      <c r="D2546" s="58">
        <v>0</v>
      </c>
      <c r="E2546" s="58">
        <f>Valuation!S29</f>
        <v>117178.47720000001</v>
      </c>
      <c r="F2546" s="58" t="str">
        <f t="shared" si="1"/>
        <v>'Valuation'!S29</v>
      </c>
    </row>
    <row r="2547" spans="1:6">
      <c r="A2547" s="58" t="s">
        <v>829</v>
      </c>
      <c r="B2547" s="58" t="s">
        <v>2334</v>
      </c>
      <c r="C2547" s="58" t="s">
        <v>1129</v>
      </c>
      <c r="D2547" s="58">
        <v>-11</v>
      </c>
      <c r="E2547" s="58">
        <f>Valuation!H29</f>
        <v>0</v>
      </c>
      <c r="F2547" s="58" t="str">
        <f t="shared" si="1"/>
        <v>'Valuation'!H29</v>
      </c>
    </row>
    <row r="2548" spans="1:6">
      <c r="A2548" s="58" t="s">
        <v>829</v>
      </c>
      <c r="B2548" s="58" t="s">
        <v>2335</v>
      </c>
      <c r="C2548" s="58" t="s">
        <v>1129</v>
      </c>
      <c r="D2548" s="58">
        <v>-10</v>
      </c>
      <c r="E2548" s="58">
        <f>Valuation!I29</f>
        <v>0</v>
      </c>
      <c r="F2548" s="58" t="str">
        <f t="shared" si="1"/>
        <v>'Valuation'!I29</v>
      </c>
    </row>
    <row r="2549" spans="1:6">
      <c r="A2549" s="58" t="s">
        <v>829</v>
      </c>
      <c r="B2549" s="58" t="s">
        <v>2336</v>
      </c>
      <c r="C2549" s="58" t="s">
        <v>1129</v>
      </c>
      <c r="D2549" s="58">
        <v>-9</v>
      </c>
      <c r="E2549" s="58">
        <f>Valuation!J29</f>
        <v>0</v>
      </c>
      <c r="F2549" s="58" t="str">
        <f t="shared" si="1"/>
        <v>'Valuation'!J29</v>
      </c>
    </row>
    <row r="2550" spans="1:6">
      <c r="A2550" s="58" t="s">
        <v>829</v>
      </c>
      <c r="B2550" s="58" t="s">
        <v>2337</v>
      </c>
      <c r="C2550" s="58" t="s">
        <v>1129</v>
      </c>
      <c r="D2550" s="58">
        <v>-8</v>
      </c>
      <c r="E2550" s="58">
        <f>Valuation!K29</f>
        <v>0</v>
      </c>
      <c r="F2550" s="58" t="str">
        <f t="shared" si="1"/>
        <v>'Valuation'!K29</v>
      </c>
    </row>
    <row r="2551" spans="1:6">
      <c r="A2551" s="58" t="s">
        <v>829</v>
      </c>
      <c r="B2551" s="58" t="s">
        <v>2338</v>
      </c>
      <c r="C2551" s="58" t="s">
        <v>1129</v>
      </c>
      <c r="D2551" s="58">
        <v>-7</v>
      </c>
      <c r="E2551" s="58">
        <f>Valuation!L29</f>
        <v>0</v>
      </c>
      <c r="F2551" s="58" t="str">
        <f t="shared" si="1"/>
        <v>'Valuation'!L29</v>
      </c>
    </row>
    <row r="2552" spans="1:6">
      <c r="A2552" s="58" t="s">
        <v>829</v>
      </c>
      <c r="B2552" s="58" t="s">
        <v>2339</v>
      </c>
      <c r="C2552" s="58" t="s">
        <v>1129</v>
      </c>
      <c r="D2552" s="58">
        <v>-6</v>
      </c>
      <c r="E2552" s="58">
        <f>Valuation!M29</f>
        <v>2634</v>
      </c>
      <c r="F2552" s="58" t="str">
        <f t="shared" si="1"/>
        <v>'Valuation'!M29</v>
      </c>
    </row>
    <row r="2553" spans="1:6">
      <c r="A2553" s="58" t="s">
        <v>829</v>
      </c>
      <c r="B2553" s="58" t="s">
        <v>2340</v>
      </c>
      <c r="C2553" s="58" t="s">
        <v>1129</v>
      </c>
      <c r="D2553" s="58">
        <v>-5</v>
      </c>
      <c r="E2553" s="58">
        <f>Valuation!N29</f>
        <v>29160</v>
      </c>
      <c r="F2553" s="58" t="str">
        <f t="shared" si="1"/>
        <v>'Valuation'!N29</v>
      </c>
    </row>
    <row r="2554" spans="1:6">
      <c r="A2554" s="58" t="s">
        <v>829</v>
      </c>
      <c r="B2554" s="58" t="s">
        <v>2341</v>
      </c>
      <c r="C2554" s="58" t="s">
        <v>1129</v>
      </c>
      <c r="D2554" s="58">
        <v>-4</v>
      </c>
      <c r="E2554" s="58">
        <f>Valuation!O29</f>
        <v>88901</v>
      </c>
      <c r="F2554" s="58" t="str">
        <f t="shared" si="1"/>
        <v>'Valuation'!O29</v>
      </c>
    </row>
    <row r="2555" spans="1:6">
      <c r="A2555" s="58" t="s">
        <v>829</v>
      </c>
      <c r="B2555" s="58" t="s">
        <v>2342</v>
      </c>
      <c r="C2555" s="58" t="s">
        <v>1129</v>
      </c>
      <c r="D2555" s="58">
        <v>-3</v>
      </c>
      <c r="E2555" s="58">
        <f>Valuation!P29</f>
        <v>82766</v>
      </c>
      <c r="F2555" s="58" t="str">
        <f t="shared" si="1"/>
        <v>'Valuation'!P29</v>
      </c>
    </row>
    <row r="2556" spans="1:6">
      <c r="A2556" s="58" t="s">
        <v>829</v>
      </c>
      <c r="B2556" s="58" t="s">
        <v>2343</v>
      </c>
      <c r="C2556" s="58" t="s">
        <v>1129</v>
      </c>
      <c r="D2556" s="58">
        <v>-2</v>
      </c>
      <c r="E2556" s="58">
        <f>Valuation!Q29</f>
        <v>80645</v>
      </c>
      <c r="F2556" s="58" t="str">
        <f t="shared" si="1"/>
        <v>'Valuation'!Q29</v>
      </c>
    </row>
    <row r="2557" spans="1:6">
      <c r="A2557" s="58" t="s">
        <v>829</v>
      </c>
      <c r="B2557" s="58" t="s">
        <v>2344</v>
      </c>
      <c r="C2557" s="58" t="s">
        <v>1129</v>
      </c>
      <c r="D2557" s="58">
        <v>-1</v>
      </c>
      <c r="E2557" s="58">
        <f>Valuation!R29</f>
        <v>85413</v>
      </c>
      <c r="F2557" s="58" t="str">
        <f t="shared" si="1"/>
        <v>'Valuation'!R29</v>
      </c>
    </row>
    <row r="2558" spans="1:6">
      <c r="A2558" s="58" t="s">
        <v>829</v>
      </c>
      <c r="B2558" s="58" t="s">
        <v>2345</v>
      </c>
      <c r="C2558" s="58" t="s">
        <v>1129</v>
      </c>
      <c r="D2558" s="58">
        <v>1</v>
      </c>
      <c r="E2558" s="58">
        <f>Valuation!T29</f>
        <v>111553.91029440002</v>
      </c>
      <c r="F2558" s="58" t="str">
        <f t="shared" si="1"/>
        <v>'Valuation'!T29</v>
      </c>
    </row>
    <row r="2559" spans="1:6">
      <c r="A2559" s="58" t="s">
        <v>829</v>
      </c>
      <c r="B2559" s="58" t="s">
        <v>2346</v>
      </c>
      <c r="C2559" s="58" t="s">
        <v>1129</v>
      </c>
      <c r="D2559" s="58">
        <v>2</v>
      </c>
      <c r="E2559" s="58">
        <f>Valuation!U29</f>
        <v>113784.98850028802</v>
      </c>
      <c r="F2559" s="58" t="str">
        <f t="shared" si="1"/>
        <v>'Valuation'!U29</v>
      </c>
    </row>
    <row r="2560" spans="1:6">
      <c r="A2560" s="58" t="s">
        <v>829</v>
      </c>
      <c r="B2560" s="58" t="s">
        <v>2347</v>
      </c>
      <c r="C2560" s="58" t="s">
        <v>1129</v>
      </c>
      <c r="D2560" s="58">
        <v>3</v>
      </c>
      <c r="E2560" s="58">
        <f>Valuation!V29</f>
        <v>116060.68827029379</v>
      </c>
      <c r="F2560" s="58" t="str">
        <f t="shared" si="1"/>
        <v>'Valuation'!V29</v>
      </c>
    </row>
    <row r="2561" spans="1:6">
      <c r="A2561" s="58" t="s">
        <v>829</v>
      </c>
      <c r="B2561" s="58" t="s">
        <v>2348</v>
      </c>
      <c r="C2561" s="58" t="s">
        <v>1129</v>
      </c>
      <c r="D2561" s="58">
        <v>4</v>
      </c>
      <c r="E2561" s="58">
        <f>Valuation!W29</f>
        <v>118381.90203569965</v>
      </c>
      <c r="F2561" s="58" t="str">
        <f t="shared" si="1"/>
        <v>'Valuation'!W29</v>
      </c>
    </row>
    <row r="2562" spans="1:6">
      <c r="A2562" s="58" t="s">
        <v>829</v>
      </c>
      <c r="B2562" s="58" t="s">
        <v>2349</v>
      </c>
      <c r="C2562" s="58" t="s">
        <v>1129</v>
      </c>
      <c r="D2562" s="58">
        <v>5</v>
      </c>
      <c r="E2562" s="58">
        <f>Valuation!X29</f>
        <v>120749.54007641364</v>
      </c>
      <c r="F2562" s="58" t="str">
        <f t="shared" si="1"/>
        <v>'Valuation'!X29</v>
      </c>
    </row>
    <row r="2563" spans="1:6">
      <c r="A2563" s="58" t="s">
        <v>829</v>
      </c>
      <c r="B2563" s="58" t="s">
        <v>2350</v>
      </c>
      <c r="C2563" s="58" t="s">
        <v>1129</v>
      </c>
      <c r="D2563" s="58">
        <v>6</v>
      </c>
      <c r="E2563" s="58">
        <f>Valuation!Y29</f>
        <v>123164.53087794191</v>
      </c>
      <c r="F2563" s="58" t="str">
        <f t="shared" ref="F2563:F2626" si="2">"'"&amp;A2563&amp;"'"&amp;"!"&amp;B2563</f>
        <v>'Valuation'!Y29</v>
      </c>
    </row>
    <row r="2564" spans="1:6">
      <c r="A2564" s="58" t="s">
        <v>829</v>
      </c>
      <c r="B2564" s="58" t="s">
        <v>2351</v>
      </c>
      <c r="C2564" s="58" t="s">
        <v>1129</v>
      </c>
      <c r="D2564" s="58">
        <v>7</v>
      </c>
      <c r="E2564" s="58">
        <f>Valuation!Z29</f>
        <v>125627.82149550077</v>
      </c>
      <c r="F2564" s="58" t="str">
        <f t="shared" si="2"/>
        <v>'Valuation'!Z29</v>
      </c>
    </row>
    <row r="2565" spans="1:6">
      <c r="A2565" s="58" t="s">
        <v>829</v>
      </c>
      <c r="B2565" s="58" t="s">
        <v>2352</v>
      </c>
      <c r="C2565" s="58" t="s">
        <v>1129</v>
      </c>
      <c r="D2565" s="58">
        <v>8</v>
      </c>
      <c r="E2565" s="58">
        <f>Valuation!AA29</f>
        <v>128140.37792541078</v>
      </c>
      <c r="F2565" s="58" t="str">
        <f t="shared" si="2"/>
        <v>'Valuation'!AA29</v>
      </c>
    </row>
    <row r="2566" spans="1:6">
      <c r="A2566" s="58" t="s">
        <v>829</v>
      </c>
      <c r="B2566" s="58" t="s">
        <v>2353</v>
      </c>
      <c r="C2566" s="58" t="s">
        <v>1129</v>
      </c>
      <c r="D2566" s="58">
        <v>9</v>
      </c>
      <c r="E2566" s="58">
        <f>Valuation!AB29</f>
        <v>130703.18548391899</v>
      </c>
      <c r="F2566" s="58" t="str">
        <f t="shared" si="2"/>
        <v>'Valuation'!AB29</v>
      </c>
    </row>
    <row r="2567" spans="1:6">
      <c r="A2567" s="58" t="s">
        <v>829</v>
      </c>
      <c r="B2567" s="58" t="s">
        <v>2354</v>
      </c>
      <c r="C2567" s="58" t="s">
        <v>2889</v>
      </c>
      <c r="D2567" s="58">
        <v>0</v>
      </c>
      <c r="E2567" s="58">
        <f>Valuation!S181</f>
        <v>0</v>
      </c>
      <c r="F2567" s="58" t="str">
        <f t="shared" si="2"/>
        <v>'Valuation'!S181</v>
      </c>
    </row>
    <row r="2568" spans="1:6">
      <c r="A2568" s="58" t="s">
        <v>829</v>
      </c>
      <c r="B2568" s="58" t="s">
        <v>2356</v>
      </c>
      <c r="C2568" s="58" t="s">
        <v>2889</v>
      </c>
      <c r="D2568" s="58">
        <v>-11</v>
      </c>
      <c r="E2568" s="58">
        <f>Valuation!H181</f>
        <v>0</v>
      </c>
      <c r="F2568" s="58" t="str">
        <f t="shared" si="2"/>
        <v>'Valuation'!H181</v>
      </c>
    </row>
    <row r="2569" spans="1:6">
      <c r="A2569" s="58" t="s">
        <v>829</v>
      </c>
      <c r="B2569" s="58" t="s">
        <v>2357</v>
      </c>
      <c r="C2569" s="58" t="s">
        <v>2889</v>
      </c>
      <c r="D2569" s="58">
        <v>-10</v>
      </c>
      <c r="E2569" s="58">
        <f>Valuation!I181</f>
        <v>0</v>
      </c>
      <c r="F2569" s="58" t="str">
        <f t="shared" si="2"/>
        <v>'Valuation'!I181</v>
      </c>
    </row>
    <row r="2570" spans="1:6">
      <c r="A2570" s="58" t="s">
        <v>829</v>
      </c>
      <c r="B2570" s="58" t="s">
        <v>2358</v>
      </c>
      <c r="C2570" s="58" t="s">
        <v>2889</v>
      </c>
      <c r="D2570" s="58">
        <v>-9</v>
      </c>
      <c r="E2570" s="58">
        <f>Valuation!J181</f>
        <v>0</v>
      </c>
      <c r="F2570" s="58" t="str">
        <f t="shared" si="2"/>
        <v>'Valuation'!J181</v>
      </c>
    </row>
    <row r="2571" spans="1:6">
      <c r="A2571" s="58" t="s">
        <v>829</v>
      </c>
      <c r="B2571" s="58" t="s">
        <v>2359</v>
      </c>
      <c r="C2571" s="58" t="s">
        <v>2889</v>
      </c>
      <c r="D2571" s="58">
        <v>-8</v>
      </c>
      <c r="E2571" s="58">
        <f>Valuation!K181</f>
        <v>0</v>
      </c>
      <c r="F2571" s="58" t="str">
        <f t="shared" si="2"/>
        <v>'Valuation'!K181</v>
      </c>
    </row>
    <row r="2572" spans="1:6">
      <c r="A2572" s="58" t="s">
        <v>829</v>
      </c>
      <c r="B2572" s="58" t="s">
        <v>2360</v>
      </c>
      <c r="C2572" s="58" t="s">
        <v>2889</v>
      </c>
      <c r="D2572" s="58">
        <v>-7</v>
      </c>
      <c r="E2572" s="58">
        <f>Valuation!L181</f>
        <v>0</v>
      </c>
      <c r="F2572" s="58" t="str">
        <f t="shared" si="2"/>
        <v>'Valuation'!L181</v>
      </c>
    </row>
    <row r="2573" spans="1:6">
      <c r="A2573" s="58" t="s">
        <v>829</v>
      </c>
      <c r="B2573" s="58" t="s">
        <v>2361</v>
      </c>
      <c r="C2573" s="58" t="s">
        <v>2889</v>
      </c>
      <c r="D2573" s="58">
        <v>-6</v>
      </c>
      <c r="E2573" s="58">
        <f>Valuation!M181</f>
        <v>0</v>
      </c>
      <c r="F2573" s="58" t="str">
        <f t="shared" si="2"/>
        <v>'Valuation'!M181</v>
      </c>
    </row>
    <row r="2574" spans="1:6">
      <c r="A2574" s="58" t="s">
        <v>829</v>
      </c>
      <c r="B2574" s="58" t="s">
        <v>2362</v>
      </c>
      <c r="C2574" s="58" t="s">
        <v>2889</v>
      </c>
      <c r="D2574" s="58">
        <v>-5</v>
      </c>
      <c r="E2574" s="58">
        <f>Valuation!N181</f>
        <v>0</v>
      </c>
      <c r="F2574" s="58" t="str">
        <f t="shared" si="2"/>
        <v>'Valuation'!N181</v>
      </c>
    </row>
    <row r="2575" spans="1:6">
      <c r="A2575" s="58" t="s">
        <v>829</v>
      </c>
      <c r="B2575" s="58" t="s">
        <v>2363</v>
      </c>
      <c r="C2575" s="58" t="s">
        <v>2889</v>
      </c>
      <c r="D2575" s="58">
        <v>-4</v>
      </c>
      <c r="E2575" s="58">
        <f>Valuation!O181</f>
        <v>0</v>
      </c>
      <c r="F2575" s="58" t="str">
        <f t="shared" si="2"/>
        <v>'Valuation'!O181</v>
      </c>
    </row>
    <row r="2576" spans="1:6">
      <c r="A2576" s="58" t="s">
        <v>829</v>
      </c>
      <c r="B2576" s="58" t="s">
        <v>2364</v>
      </c>
      <c r="C2576" s="58" t="s">
        <v>2889</v>
      </c>
      <c r="D2576" s="58">
        <v>-3</v>
      </c>
      <c r="E2576" s="58">
        <f>Valuation!P181</f>
        <v>0</v>
      </c>
      <c r="F2576" s="58" t="str">
        <f t="shared" si="2"/>
        <v>'Valuation'!P181</v>
      </c>
    </row>
    <row r="2577" spans="1:6">
      <c r="A2577" s="58" t="s">
        <v>829</v>
      </c>
      <c r="B2577" s="58" t="s">
        <v>2365</v>
      </c>
      <c r="C2577" s="58" t="s">
        <v>2889</v>
      </c>
      <c r="D2577" s="58">
        <v>-2</v>
      </c>
      <c r="E2577" s="58">
        <f>Valuation!Q181</f>
        <v>0</v>
      </c>
      <c r="F2577" s="58" t="str">
        <f t="shared" si="2"/>
        <v>'Valuation'!Q181</v>
      </c>
    </row>
    <row r="2578" spans="1:6">
      <c r="A2578" s="58" t="s">
        <v>829</v>
      </c>
      <c r="B2578" s="58" t="s">
        <v>2366</v>
      </c>
      <c r="C2578" s="58" t="s">
        <v>2889</v>
      </c>
      <c r="D2578" s="58">
        <v>-1</v>
      </c>
      <c r="E2578" s="58">
        <f>Valuation!R181</f>
        <v>0</v>
      </c>
      <c r="F2578" s="58" t="str">
        <f t="shared" si="2"/>
        <v>'Valuation'!R181</v>
      </c>
    </row>
    <row r="2579" spans="1:6">
      <c r="A2579" s="58" t="s">
        <v>829</v>
      </c>
      <c r="B2579" s="58" t="s">
        <v>2367</v>
      </c>
      <c r="C2579" s="58" t="s">
        <v>2889</v>
      </c>
      <c r="D2579" s="58">
        <v>1</v>
      </c>
      <c r="E2579" s="58">
        <f>Valuation!T181</f>
        <v>0</v>
      </c>
      <c r="F2579" s="58" t="str">
        <f t="shared" si="2"/>
        <v>'Valuation'!T181</v>
      </c>
    </row>
    <row r="2580" spans="1:6">
      <c r="A2580" s="58" t="s">
        <v>829</v>
      </c>
      <c r="B2580" s="58" t="s">
        <v>2368</v>
      </c>
      <c r="C2580" s="58" t="s">
        <v>2889</v>
      </c>
      <c r="D2580" s="58">
        <v>2</v>
      </c>
      <c r="E2580" s="58">
        <f>Valuation!U181</f>
        <v>0</v>
      </c>
      <c r="F2580" s="58" t="str">
        <f t="shared" si="2"/>
        <v>'Valuation'!U181</v>
      </c>
    </row>
    <row r="2581" spans="1:6">
      <c r="A2581" s="58" t="s">
        <v>829</v>
      </c>
      <c r="B2581" s="58" t="s">
        <v>2369</v>
      </c>
      <c r="C2581" s="58" t="s">
        <v>2889</v>
      </c>
      <c r="D2581" s="58">
        <v>3</v>
      </c>
      <c r="E2581" s="58">
        <f>Valuation!V181</f>
        <v>0</v>
      </c>
      <c r="F2581" s="58" t="str">
        <f t="shared" si="2"/>
        <v>'Valuation'!V181</v>
      </c>
    </row>
    <row r="2582" spans="1:6">
      <c r="A2582" s="58" t="s">
        <v>829</v>
      </c>
      <c r="B2582" s="58" t="s">
        <v>2370</v>
      </c>
      <c r="C2582" s="58" t="s">
        <v>2889</v>
      </c>
      <c r="D2582" s="58">
        <v>4</v>
      </c>
      <c r="E2582" s="58">
        <f>Valuation!W181</f>
        <v>0</v>
      </c>
      <c r="F2582" s="58" t="str">
        <f t="shared" si="2"/>
        <v>'Valuation'!W181</v>
      </c>
    </row>
    <row r="2583" spans="1:6">
      <c r="A2583" s="58" t="s">
        <v>829</v>
      </c>
      <c r="B2583" s="58" t="s">
        <v>2371</v>
      </c>
      <c r="C2583" s="58" t="s">
        <v>2889</v>
      </c>
      <c r="D2583" s="58">
        <v>5</v>
      </c>
      <c r="E2583" s="58">
        <f>Valuation!X181</f>
        <v>0</v>
      </c>
      <c r="F2583" s="58" t="str">
        <f t="shared" si="2"/>
        <v>'Valuation'!X181</v>
      </c>
    </row>
    <row r="2584" spans="1:6">
      <c r="A2584" s="58" t="s">
        <v>829</v>
      </c>
      <c r="B2584" s="58" t="s">
        <v>2372</v>
      </c>
      <c r="C2584" s="58" t="s">
        <v>2889</v>
      </c>
      <c r="D2584" s="58">
        <v>6</v>
      </c>
      <c r="E2584" s="58">
        <f>Valuation!Y181</f>
        <v>0</v>
      </c>
      <c r="F2584" s="58" t="str">
        <f t="shared" si="2"/>
        <v>'Valuation'!Y181</v>
      </c>
    </row>
    <row r="2585" spans="1:6">
      <c r="A2585" s="58" t="s">
        <v>829</v>
      </c>
      <c r="B2585" s="58" t="s">
        <v>2373</v>
      </c>
      <c r="C2585" s="58" t="s">
        <v>2889</v>
      </c>
      <c r="D2585" s="58">
        <v>7</v>
      </c>
      <c r="E2585" s="58">
        <f>Valuation!Z181</f>
        <v>0</v>
      </c>
      <c r="F2585" s="58" t="str">
        <f t="shared" si="2"/>
        <v>'Valuation'!Z181</v>
      </c>
    </row>
    <row r="2586" spans="1:6">
      <c r="A2586" s="58" t="s">
        <v>829</v>
      </c>
      <c r="B2586" s="58" t="s">
        <v>2374</v>
      </c>
      <c r="C2586" s="58" t="s">
        <v>2889</v>
      </c>
      <c r="D2586" s="58">
        <v>8</v>
      </c>
      <c r="E2586" s="58">
        <f>Valuation!AA181</f>
        <v>0</v>
      </c>
      <c r="F2586" s="58" t="str">
        <f t="shared" si="2"/>
        <v>'Valuation'!AA181</v>
      </c>
    </row>
    <row r="2587" spans="1:6">
      <c r="A2587" s="58" t="s">
        <v>829</v>
      </c>
      <c r="B2587" s="58" t="s">
        <v>2375</v>
      </c>
      <c r="C2587" s="58" t="s">
        <v>2889</v>
      </c>
      <c r="D2587" s="58">
        <v>9</v>
      </c>
      <c r="E2587" s="58">
        <f>Valuation!AB181</f>
        <v>0</v>
      </c>
      <c r="F2587" s="58" t="str">
        <f t="shared" si="2"/>
        <v>'Valuation'!AB181</v>
      </c>
    </row>
    <row r="2588" spans="1:6">
      <c r="A2588" s="58" t="s">
        <v>829</v>
      </c>
      <c r="B2588" s="58" t="s">
        <v>2890</v>
      </c>
      <c r="C2588" s="58" t="s">
        <v>2891</v>
      </c>
      <c r="D2588" s="58">
        <v>0</v>
      </c>
      <c r="E2588" s="58">
        <f>Valuation!S189</f>
        <v>0</v>
      </c>
      <c r="F2588" s="58" t="str">
        <f t="shared" si="2"/>
        <v>'Valuation'!S189</v>
      </c>
    </row>
    <row r="2589" spans="1:6">
      <c r="A2589" s="58" t="s">
        <v>829</v>
      </c>
      <c r="B2589" s="58" t="s">
        <v>2892</v>
      </c>
      <c r="C2589" s="58" t="s">
        <v>2891</v>
      </c>
      <c r="D2589" s="58">
        <v>-11</v>
      </c>
      <c r="E2589" s="58">
        <f>Valuation!H189</f>
        <v>0</v>
      </c>
      <c r="F2589" s="58" t="str">
        <f t="shared" si="2"/>
        <v>'Valuation'!H189</v>
      </c>
    </row>
    <row r="2590" spans="1:6">
      <c r="A2590" s="58" t="s">
        <v>829</v>
      </c>
      <c r="B2590" s="58" t="s">
        <v>2893</v>
      </c>
      <c r="C2590" s="58" t="s">
        <v>2891</v>
      </c>
      <c r="D2590" s="58">
        <v>-10</v>
      </c>
      <c r="E2590" s="58">
        <f>Valuation!I189</f>
        <v>0</v>
      </c>
      <c r="F2590" s="58" t="str">
        <f t="shared" si="2"/>
        <v>'Valuation'!I189</v>
      </c>
    </row>
    <row r="2591" spans="1:6">
      <c r="A2591" s="58" t="s">
        <v>829</v>
      </c>
      <c r="B2591" s="58" t="s">
        <v>2894</v>
      </c>
      <c r="C2591" s="58" t="s">
        <v>2891</v>
      </c>
      <c r="D2591" s="58">
        <v>-9</v>
      </c>
      <c r="E2591" s="58">
        <f>Valuation!J189</f>
        <v>0</v>
      </c>
      <c r="F2591" s="58" t="str">
        <f t="shared" si="2"/>
        <v>'Valuation'!J189</v>
      </c>
    </row>
    <row r="2592" spans="1:6">
      <c r="A2592" s="58" t="s">
        <v>829</v>
      </c>
      <c r="B2592" s="58" t="s">
        <v>2895</v>
      </c>
      <c r="C2592" s="58" t="s">
        <v>2891</v>
      </c>
      <c r="D2592" s="58">
        <v>-8</v>
      </c>
      <c r="E2592" s="58">
        <f>Valuation!K189</f>
        <v>0</v>
      </c>
      <c r="F2592" s="58" t="str">
        <f t="shared" si="2"/>
        <v>'Valuation'!K189</v>
      </c>
    </row>
    <row r="2593" spans="1:6">
      <c r="A2593" s="58" t="s">
        <v>829</v>
      </c>
      <c r="B2593" s="58" t="s">
        <v>2896</v>
      </c>
      <c r="C2593" s="58" t="s">
        <v>2891</v>
      </c>
      <c r="D2593" s="58">
        <v>-7</v>
      </c>
      <c r="E2593" s="58">
        <f>Valuation!L189</f>
        <v>0</v>
      </c>
      <c r="F2593" s="58" t="str">
        <f t="shared" si="2"/>
        <v>'Valuation'!L189</v>
      </c>
    </row>
    <row r="2594" spans="1:6">
      <c r="A2594" s="58" t="s">
        <v>829</v>
      </c>
      <c r="B2594" s="58" t="s">
        <v>2897</v>
      </c>
      <c r="C2594" s="58" t="s">
        <v>2891</v>
      </c>
      <c r="D2594" s="58">
        <v>-6</v>
      </c>
      <c r="E2594" s="58">
        <f>Valuation!M189</f>
        <v>0</v>
      </c>
      <c r="F2594" s="58" t="str">
        <f t="shared" si="2"/>
        <v>'Valuation'!M189</v>
      </c>
    </row>
    <row r="2595" spans="1:6">
      <c r="A2595" s="58" t="s">
        <v>829</v>
      </c>
      <c r="B2595" s="58" t="s">
        <v>2898</v>
      </c>
      <c r="C2595" s="58" t="s">
        <v>2891</v>
      </c>
      <c r="D2595" s="58">
        <v>-5</v>
      </c>
      <c r="E2595" s="58">
        <f>Valuation!N189</f>
        <v>0</v>
      </c>
      <c r="F2595" s="58" t="str">
        <f t="shared" si="2"/>
        <v>'Valuation'!N189</v>
      </c>
    </row>
    <row r="2596" spans="1:6">
      <c r="A2596" s="58" t="s">
        <v>829</v>
      </c>
      <c r="B2596" s="58" t="s">
        <v>2899</v>
      </c>
      <c r="C2596" s="58" t="s">
        <v>2891</v>
      </c>
      <c r="D2596" s="58">
        <v>-4</v>
      </c>
      <c r="E2596" s="58">
        <f>Valuation!O189</f>
        <v>0</v>
      </c>
      <c r="F2596" s="58" t="str">
        <f t="shared" si="2"/>
        <v>'Valuation'!O189</v>
      </c>
    </row>
    <row r="2597" spans="1:6">
      <c r="A2597" s="58" t="s">
        <v>829</v>
      </c>
      <c r="B2597" s="58" t="s">
        <v>2900</v>
      </c>
      <c r="C2597" s="58" t="s">
        <v>2891</v>
      </c>
      <c r="D2597" s="58">
        <v>-3</v>
      </c>
      <c r="E2597" s="58">
        <f>Valuation!P189</f>
        <v>0</v>
      </c>
      <c r="F2597" s="58" t="str">
        <f t="shared" si="2"/>
        <v>'Valuation'!P189</v>
      </c>
    </row>
    <row r="2598" spans="1:6">
      <c r="A2598" s="58" t="s">
        <v>829</v>
      </c>
      <c r="B2598" s="58" t="s">
        <v>2901</v>
      </c>
      <c r="C2598" s="58" t="s">
        <v>2891</v>
      </c>
      <c r="D2598" s="58">
        <v>-2</v>
      </c>
      <c r="E2598" s="58">
        <f>Valuation!Q189</f>
        <v>0</v>
      </c>
      <c r="F2598" s="58" t="str">
        <f t="shared" si="2"/>
        <v>'Valuation'!Q189</v>
      </c>
    </row>
    <row r="2599" spans="1:6">
      <c r="A2599" s="58" t="s">
        <v>829</v>
      </c>
      <c r="B2599" s="58" t="s">
        <v>2902</v>
      </c>
      <c r="C2599" s="58" t="s">
        <v>2891</v>
      </c>
      <c r="D2599" s="58">
        <v>-1</v>
      </c>
      <c r="E2599" s="58">
        <f>Valuation!R189</f>
        <v>0</v>
      </c>
      <c r="F2599" s="58" t="str">
        <f t="shared" si="2"/>
        <v>'Valuation'!R189</v>
      </c>
    </row>
    <row r="2600" spans="1:6">
      <c r="A2600" s="58" t="s">
        <v>829</v>
      </c>
      <c r="B2600" s="58" t="s">
        <v>2903</v>
      </c>
      <c r="C2600" s="58" t="s">
        <v>2891</v>
      </c>
      <c r="D2600" s="58">
        <v>1</v>
      </c>
      <c r="E2600" s="58">
        <f>Valuation!T189</f>
        <v>0</v>
      </c>
      <c r="F2600" s="58" t="str">
        <f t="shared" si="2"/>
        <v>'Valuation'!T189</v>
      </c>
    </row>
    <row r="2601" spans="1:6">
      <c r="A2601" s="58" t="s">
        <v>829</v>
      </c>
      <c r="B2601" s="58" t="s">
        <v>2904</v>
      </c>
      <c r="C2601" s="58" t="s">
        <v>2891</v>
      </c>
      <c r="D2601" s="58">
        <v>2</v>
      </c>
      <c r="E2601" s="58">
        <f>Valuation!U189</f>
        <v>0</v>
      </c>
      <c r="F2601" s="58" t="str">
        <f t="shared" si="2"/>
        <v>'Valuation'!U189</v>
      </c>
    </row>
    <row r="2602" spans="1:6">
      <c r="A2602" s="58" t="s">
        <v>829</v>
      </c>
      <c r="B2602" s="58" t="s">
        <v>2905</v>
      </c>
      <c r="C2602" s="58" t="s">
        <v>2891</v>
      </c>
      <c r="D2602" s="58">
        <v>3</v>
      </c>
      <c r="E2602" s="58">
        <f>Valuation!V189</f>
        <v>0</v>
      </c>
      <c r="F2602" s="58" t="str">
        <f t="shared" si="2"/>
        <v>'Valuation'!V189</v>
      </c>
    </row>
    <row r="2603" spans="1:6">
      <c r="A2603" s="58" t="s">
        <v>829</v>
      </c>
      <c r="B2603" s="58" t="s">
        <v>2906</v>
      </c>
      <c r="C2603" s="58" t="s">
        <v>2891</v>
      </c>
      <c r="D2603" s="58">
        <v>4</v>
      </c>
      <c r="E2603" s="58">
        <f>Valuation!W189</f>
        <v>0</v>
      </c>
      <c r="F2603" s="58" t="str">
        <f t="shared" si="2"/>
        <v>'Valuation'!W189</v>
      </c>
    </row>
    <row r="2604" spans="1:6">
      <c r="A2604" s="58" t="s">
        <v>829</v>
      </c>
      <c r="B2604" s="58" t="s">
        <v>2907</v>
      </c>
      <c r="C2604" s="58" t="s">
        <v>2891</v>
      </c>
      <c r="D2604" s="58">
        <v>5</v>
      </c>
      <c r="E2604" s="58">
        <f>Valuation!X189</f>
        <v>0</v>
      </c>
      <c r="F2604" s="58" t="str">
        <f t="shared" si="2"/>
        <v>'Valuation'!X189</v>
      </c>
    </row>
    <row r="2605" spans="1:6">
      <c r="A2605" s="58" t="s">
        <v>829</v>
      </c>
      <c r="B2605" s="58" t="s">
        <v>2908</v>
      </c>
      <c r="C2605" s="58" t="s">
        <v>2891</v>
      </c>
      <c r="D2605" s="58">
        <v>6</v>
      </c>
      <c r="E2605" s="58">
        <f>Valuation!Y189</f>
        <v>0</v>
      </c>
      <c r="F2605" s="58" t="str">
        <f t="shared" si="2"/>
        <v>'Valuation'!Y189</v>
      </c>
    </row>
    <row r="2606" spans="1:6">
      <c r="A2606" s="58" t="s">
        <v>829</v>
      </c>
      <c r="B2606" s="58" t="s">
        <v>2909</v>
      </c>
      <c r="C2606" s="58" t="s">
        <v>2891</v>
      </c>
      <c r="D2606" s="58">
        <v>7</v>
      </c>
      <c r="E2606" s="58">
        <f>Valuation!Z189</f>
        <v>0</v>
      </c>
      <c r="F2606" s="58" t="str">
        <f t="shared" si="2"/>
        <v>'Valuation'!Z189</v>
      </c>
    </row>
    <row r="2607" spans="1:6">
      <c r="A2607" s="58" t="s">
        <v>829</v>
      </c>
      <c r="B2607" s="58" t="s">
        <v>2910</v>
      </c>
      <c r="C2607" s="58" t="s">
        <v>2891</v>
      </c>
      <c r="D2607" s="58">
        <v>8</v>
      </c>
      <c r="E2607" s="58">
        <f>Valuation!AA189</f>
        <v>0</v>
      </c>
      <c r="F2607" s="58" t="str">
        <f t="shared" si="2"/>
        <v>'Valuation'!AA189</v>
      </c>
    </row>
    <row r="2608" spans="1:6">
      <c r="A2608" s="58" t="s">
        <v>829</v>
      </c>
      <c r="B2608" s="58" t="s">
        <v>2911</v>
      </c>
      <c r="C2608" s="58" t="s">
        <v>2891</v>
      </c>
      <c r="D2608" s="58">
        <v>9</v>
      </c>
      <c r="E2608" s="58">
        <f>Valuation!AB189</f>
        <v>0</v>
      </c>
      <c r="F2608" s="58" t="str">
        <f t="shared" si="2"/>
        <v>'Valuation'!AB189</v>
      </c>
    </row>
    <row r="2609" spans="1:6">
      <c r="A2609" s="58" t="s">
        <v>3238</v>
      </c>
      <c r="B2609" s="58" t="s">
        <v>2252</v>
      </c>
      <c r="C2609" s="58" t="s">
        <v>1216</v>
      </c>
      <c r="D2609" s="58">
        <v>0</v>
      </c>
      <c r="E2609" s="58">
        <f ca="1">Ratios!Q27</f>
        <v>8.3520049124010468E-2</v>
      </c>
      <c r="F2609" s="58" t="str">
        <f t="shared" si="2"/>
        <v>'Ratios'!Q27</v>
      </c>
    </row>
    <row r="2610" spans="1:6">
      <c r="A2610" s="58" t="s">
        <v>3238</v>
      </c>
      <c r="B2610" s="58" t="s">
        <v>3252</v>
      </c>
      <c r="C2610" s="58" t="s">
        <v>1216</v>
      </c>
      <c r="D2610" s="58">
        <v>-11</v>
      </c>
      <c r="E2610" s="58" t="e">
        <f>Ratios!F27</f>
        <v>#DIV/0!</v>
      </c>
      <c r="F2610" s="58" t="str">
        <f t="shared" si="2"/>
        <v>'Ratios'!F27</v>
      </c>
    </row>
    <row r="2611" spans="1:6">
      <c r="A2611" s="58" t="s">
        <v>3238</v>
      </c>
      <c r="B2611" s="58" t="s">
        <v>3253</v>
      </c>
      <c r="C2611" s="58" t="s">
        <v>1216</v>
      </c>
      <c r="D2611" s="58">
        <v>-10</v>
      </c>
      <c r="E2611" s="58" t="e">
        <f>Ratios!G27</f>
        <v>#DIV/0!</v>
      </c>
      <c r="F2611" s="58" t="str">
        <f t="shared" si="2"/>
        <v>'Ratios'!G27</v>
      </c>
    </row>
    <row r="2612" spans="1:6">
      <c r="A2612" s="58" t="s">
        <v>3238</v>
      </c>
      <c r="B2612" s="58" t="s">
        <v>2243</v>
      </c>
      <c r="C2612" s="58" t="s">
        <v>1216</v>
      </c>
      <c r="D2612" s="58">
        <v>-9</v>
      </c>
      <c r="E2612" s="58" t="e">
        <f>Ratios!H27</f>
        <v>#DIV/0!</v>
      </c>
      <c r="F2612" s="58" t="str">
        <f t="shared" si="2"/>
        <v>'Ratios'!H27</v>
      </c>
    </row>
    <row r="2613" spans="1:6">
      <c r="A2613" s="58" t="s">
        <v>3238</v>
      </c>
      <c r="B2613" s="58" t="s">
        <v>2244</v>
      </c>
      <c r="C2613" s="58" t="s">
        <v>1216</v>
      </c>
      <c r="D2613" s="58">
        <v>-8</v>
      </c>
      <c r="E2613" s="58" t="e">
        <f>Ratios!I27</f>
        <v>#DIV/0!</v>
      </c>
      <c r="F2613" s="58" t="str">
        <f t="shared" si="2"/>
        <v>'Ratios'!I27</v>
      </c>
    </row>
    <row r="2614" spans="1:6">
      <c r="A2614" s="58" t="s">
        <v>3238</v>
      </c>
      <c r="B2614" s="58" t="s">
        <v>2245</v>
      </c>
      <c r="C2614" s="58" t="s">
        <v>1216</v>
      </c>
      <c r="D2614" s="58">
        <v>-7</v>
      </c>
      <c r="E2614" s="58" t="e">
        <f>Ratios!J27</f>
        <v>#DIV/0!</v>
      </c>
      <c r="F2614" s="58" t="str">
        <f t="shared" si="2"/>
        <v>'Ratios'!J27</v>
      </c>
    </row>
    <row r="2615" spans="1:6">
      <c r="A2615" s="58" t="s">
        <v>3238</v>
      </c>
      <c r="B2615" s="58" t="s">
        <v>2246</v>
      </c>
      <c r="C2615" s="58" t="s">
        <v>1216</v>
      </c>
      <c r="D2615" s="58">
        <v>-6</v>
      </c>
      <c r="E2615" s="58">
        <f>Ratios!K27</f>
        <v>0.24779468344343281</v>
      </c>
      <c r="F2615" s="58" t="str">
        <f t="shared" si="2"/>
        <v>'Ratios'!K27</v>
      </c>
    </row>
    <row r="2616" spans="1:6">
      <c r="A2616" s="58" t="s">
        <v>3238</v>
      </c>
      <c r="B2616" s="58" t="s">
        <v>2247</v>
      </c>
      <c r="C2616" s="58" t="s">
        <v>1216</v>
      </c>
      <c r="D2616" s="58">
        <v>-5</v>
      </c>
      <c r="E2616" s="58">
        <f>Ratios!L27</f>
        <v>0.46229298914565881</v>
      </c>
      <c r="F2616" s="58" t="str">
        <f t="shared" si="2"/>
        <v>'Ratios'!L27</v>
      </c>
    </row>
    <row r="2617" spans="1:6">
      <c r="A2617" s="58" t="s">
        <v>3238</v>
      </c>
      <c r="B2617" s="58" t="s">
        <v>2248</v>
      </c>
      <c r="C2617" s="58" t="s">
        <v>1216</v>
      </c>
      <c r="D2617" s="58">
        <v>-4</v>
      </c>
      <c r="E2617" s="58">
        <f>Ratios!M27</f>
        <v>-0.82178399152465964</v>
      </c>
      <c r="F2617" s="58" t="str">
        <f t="shared" si="2"/>
        <v>'Ratios'!M27</v>
      </c>
    </row>
    <row r="2618" spans="1:6">
      <c r="A2618" s="58" t="s">
        <v>3238</v>
      </c>
      <c r="B2618" s="58" t="s">
        <v>2249</v>
      </c>
      <c r="C2618" s="58" t="s">
        <v>1216</v>
      </c>
      <c r="D2618" s="58">
        <v>-3</v>
      </c>
      <c r="E2618" s="58">
        <f>Ratios!N27</f>
        <v>3.0521013658870222E-2</v>
      </c>
      <c r="F2618" s="58" t="str">
        <f t="shared" si="2"/>
        <v>'Ratios'!N27</v>
      </c>
    </row>
    <row r="2619" spans="1:6">
      <c r="A2619" s="58" t="s">
        <v>3238</v>
      </c>
      <c r="B2619" s="58" t="s">
        <v>2250</v>
      </c>
      <c r="C2619" s="58" t="s">
        <v>1216</v>
      </c>
      <c r="D2619" s="58">
        <v>-2</v>
      </c>
      <c r="E2619" s="58">
        <f>Ratios!O27</f>
        <v>0.39290904913873004</v>
      </c>
      <c r="F2619" s="58" t="str">
        <f t="shared" si="2"/>
        <v>'Ratios'!O27</v>
      </c>
    </row>
    <row r="2620" spans="1:6">
      <c r="A2620" s="58" t="s">
        <v>3238</v>
      </c>
      <c r="B2620" s="58" t="s">
        <v>2251</v>
      </c>
      <c r="C2620" s="58" t="s">
        <v>1216</v>
      </c>
      <c r="D2620" s="58">
        <v>-1</v>
      </c>
      <c r="E2620" s="58">
        <f>Ratios!P27</f>
        <v>0.17550062140343181</v>
      </c>
      <c r="F2620" s="58" t="str">
        <f t="shared" si="2"/>
        <v>'Ratios'!P27</v>
      </c>
    </row>
    <row r="2621" spans="1:6">
      <c r="A2621" s="58" t="s">
        <v>3238</v>
      </c>
      <c r="B2621" s="58" t="s">
        <v>2253</v>
      </c>
      <c r="C2621" s="58" t="s">
        <v>1216</v>
      </c>
      <c r="D2621" s="58">
        <v>1</v>
      </c>
      <c r="E2621" s="58" t="e">
        <f ca="1">Ratios!R27</f>
        <v>#NAME?</v>
      </c>
      <c r="F2621" s="58" t="str">
        <f t="shared" si="2"/>
        <v>'Ratios'!R27</v>
      </c>
    </row>
    <row r="2622" spans="1:6">
      <c r="A2622" s="58" t="s">
        <v>3238</v>
      </c>
      <c r="B2622" s="58" t="s">
        <v>2241</v>
      </c>
      <c r="C2622" s="58" t="s">
        <v>1216</v>
      </c>
      <c r="D2622" s="58">
        <v>2</v>
      </c>
      <c r="E2622" s="58" t="e">
        <f ca="1">Ratios!S27</f>
        <v>#NAME?</v>
      </c>
      <c r="F2622" s="58" t="str">
        <f t="shared" si="2"/>
        <v>'Ratios'!S27</v>
      </c>
    </row>
    <row r="2623" spans="1:6">
      <c r="A2623" s="58" t="s">
        <v>3238</v>
      </c>
      <c r="B2623" s="58" t="s">
        <v>2254</v>
      </c>
      <c r="C2623" s="58" t="s">
        <v>1216</v>
      </c>
      <c r="D2623" s="58">
        <v>3</v>
      </c>
      <c r="E2623" s="58" t="e">
        <f ca="1">Ratios!T27</f>
        <v>#NAME?</v>
      </c>
      <c r="F2623" s="58" t="str">
        <f t="shared" si="2"/>
        <v>'Ratios'!T27</v>
      </c>
    </row>
    <row r="2624" spans="1:6">
      <c r="A2624" s="58" t="s">
        <v>3238</v>
      </c>
      <c r="B2624" s="58" t="s">
        <v>2255</v>
      </c>
      <c r="C2624" s="58" t="s">
        <v>1216</v>
      </c>
      <c r="D2624" s="58">
        <v>4</v>
      </c>
      <c r="E2624" s="58" t="e">
        <f ca="1">Ratios!U27</f>
        <v>#NAME?</v>
      </c>
      <c r="F2624" s="58" t="str">
        <f t="shared" si="2"/>
        <v>'Ratios'!U27</v>
      </c>
    </row>
    <row r="2625" spans="1:6">
      <c r="A2625" s="58" t="s">
        <v>3238</v>
      </c>
      <c r="B2625" s="58" t="s">
        <v>2256</v>
      </c>
      <c r="C2625" s="58" t="s">
        <v>1216</v>
      </c>
      <c r="D2625" s="58">
        <v>5</v>
      </c>
      <c r="E2625" s="58" t="e">
        <f ca="1">Ratios!V27</f>
        <v>#NAME?</v>
      </c>
      <c r="F2625" s="58" t="str">
        <f t="shared" si="2"/>
        <v>'Ratios'!V27</v>
      </c>
    </row>
    <row r="2626" spans="1:6">
      <c r="A2626" s="58" t="s">
        <v>3238</v>
      </c>
      <c r="B2626" s="58" t="s">
        <v>2257</v>
      </c>
      <c r="C2626" s="58" t="s">
        <v>1216</v>
      </c>
      <c r="D2626" s="58">
        <v>6</v>
      </c>
      <c r="E2626" s="58" t="e">
        <f ca="1">Ratios!W27</f>
        <v>#NAME?</v>
      </c>
      <c r="F2626" s="58" t="str">
        <f t="shared" si="2"/>
        <v>'Ratios'!W27</v>
      </c>
    </row>
    <row r="2627" spans="1:6">
      <c r="A2627" s="58" t="s">
        <v>3238</v>
      </c>
      <c r="B2627" s="58" t="s">
        <v>2258</v>
      </c>
      <c r="C2627" s="58" t="s">
        <v>1216</v>
      </c>
      <c r="D2627" s="58">
        <v>7</v>
      </c>
      <c r="E2627" s="58" t="e">
        <f ca="1">Ratios!X27</f>
        <v>#NAME?</v>
      </c>
      <c r="F2627" s="58" t="str">
        <f t="shared" ref="F2627:F2690" si="3">"'"&amp;A2627&amp;"'"&amp;"!"&amp;B2627</f>
        <v>'Ratios'!X27</v>
      </c>
    </row>
    <row r="2628" spans="1:6">
      <c r="A2628" s="58" t="s">
        <v>3238</v>
      </c>
      <c r="B2628" s="58" t="s">
        <v>2259</v>
      </c>
      <c r="C2628" s="58" t="s">
        <v>1216</v>
      </c>
      <c r="D2628" s="58">
        <v>8</v>
      </c>
      <c r="E2628" s="58" t="e">
        <f ca="1">Ratios!Y27</f>
        <v>#NAME?</v>
      </c>
      <c r="F2628" s="58" t="str">
        <f t="shared" si="3"/>
        <v>'Ratios'!Y27</v>
      </c>
    </row>
    <row r="2629" spans="1:6">
      <c r="A2629" s="58" t="s">
        <v>3238</v>
      </c>
      <c r="B2629" s="58" t="s">
        <v>2259</v>
      </c>
      <c r="C2629" s="58" t="s">
        <v>1216</v>
      </c>
      <c r="D2629" s="58">
        <v>9</v>
      </c>
      <c r="E2629" s="58" t="e">
        <f ca="1">Ratios!Y27</f>
        <v>#NAME?</v>
      </c>
      <c r="F2629" s="58" t="str">
        <f t="shared" si="3"/>
        <v>'Ratios'!Y27</v>
      </c>
    </row>
    <row r="2630" spans="1:6">
      <c r="A2630" s="58" t="s">
        <v>829</v>
      </c>
      <c r="B2630" s="58" t="s">
        <v>2912</v>
      </c>
      <c r="C2630" s="58" t="s">
        <v>22</v>
      </c>
      <c r="D2630" s="58">
        <v>-11</v>
      </c>
      <c r="E2630" s="58">
        <f>Valuation!H65</f>
        <v>0</v>
      </c>
      <c r="F2630" s="58" t="str">
        <f t="shared" si="3"/>
        <v>'Valuation'!H64</v>
      </c>
    </row>
    <row r="2631" spans="1:6">
      <c r="A2631" s="58" t="s">
        <v>829</v>
      </c>
      <c r="B2631" s="58" t="s">
        <v>2913</v>
      </c>
      <c r="C2631" s="58" t="s">
        <v>22</v>
      </c>
      <c r="D2631" s="58">
        <v>-10</v>
      </c>
      <c r="E2631" s="58">
        <f>Valuation!I65</f>
        <v>0</v>
      </c>
      <c r="F2631" s="58" t="str">
        <f t="shared" si="3"/>
        <v>'Valuation'!I64</v>
      </c>
    </row>
    <row r="2632" spans="1:6">
      <c r="A2632" s="58" t="s">
        <v>829</v>
      </c>
      <c r="B2632" s="58" t="s">
        <v>2914</v>
      </c>
      <c r="C2632" s="58" t="s">
        <v>22</v>
      </c>
      <c r="D2632" s="58">
        <v>-9</v>
      </c>
      <c r="E2632" s="58">
        <f>Valuation!J65</f>
        <v>0</v>
      </c>
      <c r="F2632" s="58" t="str">
        <f t="shared" si="3"/>
        <v>'Valuation'!J64</v>
      </c>
    </row>
    <row r="2633" spans="1:6">
      <c r="A2633" s="58" t="s">
        <v>829</v>
      </c>
      <c r="B2633" s="58" t="s">
        <v>2915</v>
      </c>
      <c r="C2633" s="58" t="s">
        <v>22</v>
      </c>
      <c r="D2633" s="58">
        <v>-8</v>
      </c>
      <c r="E2633" s="58">
        <f>Valuation!K65</f>
        <v>0</v>
      </c>
      <c r="F2633" s="58" t="str">
        <f t="shared" si="3"/>
        <v>'Valuation'!K64</v>
      </c>
    </row>
    <row r="2634" spans="1:6">
      <c r="A2634" s="58" t="s">
        <v>829</v>
      </c>
      <c r="B2634" s="58" t="s">
        <v>2916</v>
      </c>
      <c r="C2634" s="58" t="s">
        <v>22</v>
      </c>
      <c r="D2634" s="58">
        <v>-7</v>
      </c>
      <c r="E2634" s="58">
        <f>Valuation!L65</f>
        <v>0</v>
      </c>
      <c r="F2634" s="58" t="str">
        <f t="shared" si="3"/>
        <v>'Valuation'!L64</v>
      </c>
    </row>
    <row r="2635" spans="1:6">
      <c r="A2635" s="58" t="s">
        <v>829</v>
      </c>
      <c r="B2635" s="58" t="s">
        <v>2917</v>
      </c>
      <c r="C2635" s="58" t="s">
        <v>22</v>
      </c>
      <c r="D2635" s="58">
        <v>-6</v>
      </c>
      <c r="E2635" s="58">
        <f>Valuation!M65</f>
        <v>121987.5</v>
      </c>
      <c r="F2635" s="58" t="str">
        <f t="shared" si="3"/>
        <v>'Valuation'!M64</v>
      </c>
    </row>
    <row r="2636" spans="1:6">
      <c r="A2636" s="58" t="s">
        <v>829</v>
      </c>
      <c r="B2636" s="58" t="s">
        <v>2918</v>
      </c>
      <c r="C2636" s="58" t="s">
        <v>22</v>
      </c>
      <c r="D2636" s="58">
        <v>-5</v>
      </c>
      <c r="E2636" s="58">
        <f>Valuation!N65</f>
        <v>-7072973.5</v>
      </c>
      <c r="F2636" s="58" t="str">
        <f t="shared" si="3"/>
        <v>'Valuation'!N64</v>
      </c>
    </row>
    <row r="2637" spans="1:6">
      <c r="A2637" s="58" t="s">
        <v>829</v>
      </c>
      <c r="B2637" s="58" t="s">
        <v>2919</v>
      </c>
      <c r="C2637" s="58" t="s">
        <v>22</v>
      </c>
      <c r="D2637" s="58">
        <v>-4</v>
      </c>
      <c r="E2637" s="58">
        <f>Valuation!O65</f>
        <v>5697651.4000000004</v>
      </c>
      <c r="F2637" s="58" t="str">
        <f t="shared" si="3"/>
        <v>'Valuation'!O64</v>
      </c>
    </row>
    <row r="2638" spans="1:6">
      <c r="A2638" s="58" t="s">
        <v>829</v>
      </c>
      <c r="B2638" s="58" t="s">
        <v>2920</v>
      </c>
      <c r="C2638" s="58" t="s">
        <v>22</v>
      </c>
      <c r="D2638" s="58">
        <v>-3</v>
      </c>
      <c r="E2638" s="58">
        <f>Valuation!P65</f>
        <v>309623.39999999944</v>
      </c>
      <c r="F2638" s="58" t="str">
        <f t="shared" si="3"/>
        <v>'Valuation'!P64</v>
      </c>
    </row>
    <row r="2639" spans="1:6">
      <c r="A2639" s="58" t="s">
        <v>829</v>
      </c>
      <c r="B2639" s="58" t="s">
        <v>2921</v>
      </c>
      <c r="C2639" s="58" t="s">
        <v>22</v>
      </c>
      <c r="D2639" s="58">
        <v>-2</v>
      </c>
      <c r="E2639" s="58">
        <f>Valuation!Q65</f>
        <v>-1424421.7999999998</v>
      </c>
      <c r="F2639" s="58" t="str">
        <f t="shared" si="3"/>
        <v>'Valuation'!Q64</v>
      </c>
    </row>
    <row r="2640" spans="1:6">
      <c r="A2640" s="58" t="s">
        <v>829</v>
      </c>
      <c r="B2640" s="58" t="s">
        <v>2922</v>
      </c>
      <c r="C2640" s="58" t="s">
        <v>22</v>
      </c>
      <c r="D2640" s="58">
        <v>-1</v>
      </c>
      <c r="E2640" s="58">
        <f>Valuation!R65</f>
        <v>-606561.25</v>
      </c>
      <c r="F2640" s="58" t="str">
        <f t="shared" si="3"/>
        <v>'Valuation'!R64</v>
      </c>
    </row>
    <row r="2641" spans="1:6">
      <c r="A2641" s="58" t="s">
        <v>829</v>
      </c>
      <c r="B2641" s="58" t="s">
        <v>2923</v>
      </c>
      <c r="C2641" s="58" t="s">
        <v>22</v>
      </c>
      <c r="D2641" s="58">
        <v>1</v>
      </c>
      <c r="E2641" s="58" t="e">
        <f ca="1">Valuation!T65</f>
        <v>#VALUE!</v>
      </c>
      <c r="F2641" s="58" t="str">
        <f t="shared" si="3"/>
        <v>'Valuation'!T64</v>
      </c>
    </row>
    <row r="2642" spans="1:6">
      <c r="A2642" s="58" t="s">
        <v>829</v>
      </c>
      <c r="B2642" s="58" t="s">
        <v>2924</v>
      </c>
      <c r="C2642" s="58" t="s">
        <v>22</v>
      </c>
      <c r="D2642" s="58">
        <v>2</v>
      </c>
      <c r="E2642" s="58" t="e">
        <f ca="1">Valuation!U65</f>
        <v>#VALUE!</v>
      </c>
      <c r="F2642" s="58" t="str">
        <f t="shared" si="3"/>
        <v>'Valuation'!U64</v>
      </c>
    </row>
    <row r="2643" spans="1:6">
      <c r="A2643" s="58" t="s">
        <v>829</v>
      </c>
      <c r="B2643" s="58" t="s">
        <v>2925</v>
      </c>
      <c r="C2643" s="58" t="s">
        <v>22</v>
      </c>
      <c r="D2643" s="58">
        <v>3</v>
      </c>
      <c r="E2643" s="58" t="e">
        <f ca="1">Valuation!V65</f>
        <v>#VALUE!</v>
      </c>
      <c r="F2643" s="58" t="str">
        <f t="shared" si="3"/>
        <v>'Valuation'!V64</v>
      </c>
    </row>
    <row r="2644" spans="1:6">
      <c r="A2644" s="58" t="s">
        <v>829</v>
      </c>
      <c r="B2644" s="58" t="s">
        <v>2926</v>
      </c>
      <c r="C2644" s="58" t="s">
        <v>22</v>
      </c>
      <c r="D2644" s="58">
        <v>4</v>
      </c>
      <c r="E2644" s="58" t="e">
        <f ca="1">Valuation!W65</f>
        <v>#VALUE!</v>
      </c>
      <c r="F2644" s="58" t="str">
        <f t="shared" si="3"/>
        <v>'Valuation'!W64</v>
      </c>
    </row>
    <row r="2645" spans="1:6">
      <c r="A2645" s="58" t="s">
        <v>829</v>
      </c>
      <c r="B2645" s="58" t="s">
        <v>2927</v>
      </c>
      <c r="C2645" s="58" t="s">
        <v>22</v>
      </c>
      <c r="D2645" s="58">
        <v>5</v>
      </c>
      <c r="E2645" s="58" t="e">
        <f ca="1">Valuation!X65</f>
        <v>#VALUE!</v>
      </c>
      <c r="F2645" s="58" t="str">
        <f t="shared" si="3"/>
        <v>'Valuation'!X64</v>
      </c>
    </row>
    <row r="2646" spans="1:6">
      <c r="A2646" s="58" t="s">
        <v>829</v>
      </c>
      <c r="B2646" s="58" t="s">
        <v>2928</v>
      </c>
      <c r="C2646" s="58" t="s">
        <v>22</v>
      </c>
      <c r="D2646" s="58">
        <v>6</v>
      </c>
      <c r="E2646" s="58" t="e">
        <f ca="1">Valuation!Y65</f>
        <v>#VALUE!</v>
      </c>
      <c r="F2646" s="58" t="str">
        <f t="shared" si="3"/>
        <v>'Valuation'!Y64</v>
      </c>
    </row>
    <row r="2647" spans="1:6">
      <c r="A2647" s="58" t="s">
        <v>829</v>
      </c>
      <c r="B2647" s="58" t="s">
        <v>2929</v>
      </c>
      <c r="C2647" s="58" t="s">
        <v>22</v>
      </c>
      <c r="D2647" s="58">
        <v>7</v>
      </c>
      <c r="E2647" s="58" t="e">
        <f ca="1">Valuation!Z65</f>
        <v>#VALUE!</v>
      </c>
      <c r="F2647" s="58" t="str">
        <f t="shared" si="3"/>
        <v>'Valuation'!Z64</v>
      </c>
    </row>
    <row r="2648" spans="1:6">
      <c r="A2648" s="58" t="s">
        <v>829</v>
      </c>
      <c r="B2648" s="58" t="s">
        <v>2930</v>
      </c>
      <c r="C2648" s="58" t="s">
        <v>22</v>
      </c>
      <c r="D2648" s="58">
        <v>8</v>
      </c>
      <c r="E2648" s="58" t="e">
        <f ca="1">Valuation!AA65</f>
        <v>#VALUE!</v>
      </c>
      <c r="F2648" s="58" t="str">
        <f t="shared" si="3"/>
        <v>'Valuation'!AA64</v>
      </c>
    </row>
    <row r="2649" spans="1:6">
      <c r="A2649" s="58" t="s">
        <v>829</v>
      </c>
      <c r="B2649" s="58" t="s">
        <v>2931</v>
      </c>
      <c r="C2649" s="58" t="s">
        <v>22</v>
      </c>
      <c r="D2649" s="58">
        <v>9</v>
      </c>
      <c r="E2649" s="58" t="e">
        <f ca="1">Valuation!AB65</f>
        <v>#VALUE!</v>
      </c>
      <c r="F2649" s="58" t="str">
        <f t="shared" si="3"/>
        <v>'Valuation'!AB64</v>
      </c>
    </row>
    <row r="2650" spans="1:6">
      <c r="A2650" s="58" t="s">
        <v>829</v>
      </c>
      <c r="B2650" s="58" t="s">
        <v>2932</v>
      </c>
      <c r="C2650" s="58" t="s">
        <v>22</v>
      </c>
      <c r="D2650" s="58">
        <v>0</v>
      </c>
      <c r="E2650" s="58">
        <f ca="1">Valuation!S65</f>
        <v>270810.31220891373</v>
      </c>
      <c r="F2650" s="58" t="str">
        <f t="shared" si="3"/>
        <v>'Valuation'!S64</v>
      </c>
    </row>
    <row r="2651" spans="1:6">
      <c r="A2651" s="58" t="s">
        <v>829</v>
      </c>
      <c r="B2651" s="58" t="s">
        <v>2376</v>
      </c>
      <c r="C2651" s="58" t="s">
        <v>23</v>
      </c>
      <c r="D2651" s="58">
        <v>-11</v>
      </c>
      <c r="E2651" s="58">
        <f>Valuation!H69</f>
        <v>0</v>
      </c>
      <c r="F2651" s="58" t="str">
        <f t="shared" si="3"/>
        <v>'Valuation'!H68</v>
      </c>
    </row>
    <row r="2652" spans="1:6">
      <c r="A2652" s="58" t="s">
        <v>829</v>
      </c>
      <c r="B2652" s="58" t="s">
        <v>2378</v>
      </c>
      <c r="C2652" s="58" t="s">
        <v>23</v>
      </c>
      <c r="D2652" s="58">
        <v>-10</v>
      </c>
      <c r="E2652" s="58">
        <f>Valuation!I69</f>
        <v>0</v>
      </c>
      <c r="F2652" s="58" t="str">
        <f t="shared" si="3"/>
        <v>'Valuation'!I68</v>
      </c>
    </row>
    <row r="2653" spans="1:6">
      <c r="A2653" s="58" t="s">
        <v>829</v>
      </c>
      <c r="B2653" s="58" t="s">
        <v>2379</v>
      </c>
      <c r="C2653" s="58" t="s">
        <v>23</v>
      </c>
      <c r="D2653" s="58">
        <v>-9</v>
      </c>
      <c r="E2653" s="58">
        <f>Valuation!J69</f>
        <v>0</v>
      </c>
      <c r="F2653" s="58" t="str">
        <f t="shared" si="3"/>
        <v>'Valuation'!J68</v>
      </c>
    </row>
    <row r="2654" spans="1:6">
      <c r="A2654" s="58" t="s">
        <v>829</v>
      </c>
      <c r="B2654" s="58" t="s">
        <v>2380</v>
      </c>
      <c r="C2654" s="58" t="s">
        <v>23</v>
      </c>
      <c r="D2654" s="58">
        <v>-8</v>
      </c>
      <c r="E2654" s="58">
        <f>Valuation!K69</f>
        <v>0</v>
      </c>
      <c r="F2654" s="58" t="str">
        <f t="shared" si="3"/>
        <v>'Valuation'!K68</v>
      </c>
    </row>
    <row r="2655" spans="1:6">
      <c r="A2655" s="58" t="s">
        <v>829</v>
      </c>
      <c r="B2655" s="58" t="s">
        <v>2381</v>
      </c>
      <c r="C2655" s="58" t="s">
        <v>23</v>
      </c>
      <c r="D2655" s="58">
        <v>-7</v>
      </c>
      <c r="E2655" s="58">
        <f>Valuation!L69</f>
        <v>0</v>
      </c>
      <c r="F2655" s="58" t="str">
        <f t="shared" si="3"/>
        <v>'Valuation'!L68</v>
      </c>
    </row>
    <row r="2656" spans="1:6">
      <c r="A2656" s="58" t="s">
        <v>829</v>
      </c>
      <c r="B2656" s="58" t="s">
        <v>2382</v>
      </c>
      <c r="C2656" s="58" t="s">
        <v>23</v>
      </c>
      <c r="D2656" s="58">
        <v>-6</v>
      </c>
      <c r="E2656" s="58">
        <f>Valuation!M69</f>
        <v>121987.5</v>
      </c>
      <c r="F2656" s="58" t="str">
        <f t="shared" si="3"/>
        <v>'Valuation'!M68</v>
      </c>
    </row>
    <row r="2657" spans="1:6">
      <c r="A2657" s="58" t="s">
        <v>829</v>
      </c>
      <c r="B2657" s="58" t="s">
        <v>2383</v>
      </c>
      <c r="C2657" s="58" t="s">
        <v>23</v>
      </c>
      <c r="D2657" s="58">
        <v>-5</v>
      </c>
      <c r="E2657" s="58">
        <f>Valuation!N69</f>
        <v>-7039358.5</v>
      </c>
      <c r="F2657" s="58" t="str">
        <f t="shared" si="3"/>
        <v>'Valuation'!N68</v>
      </c>
    </row>
    <row r="2658" spans="1:6">
      <c r="A2658" s="58" t="s">
        <v>829</v>
      </c>
      <c r="B2658" s="58" t="s">
        <v>2384</v>
      </c>
      <c r="C2658" s="58" t="s">
        <v>23</v>
      </c>
      <c r="D2658" s="58">
        <v>-4</v>
      </c>
      <c r="E2658" s="58">
        <f>Valuation!O69</f>
        <v>5626740.4000000004</v>
      </c>
      <c r="F2658" s="58" t="str">
        <f t="shared" si="3"/>
        <v>'Valuation'!O68</v>
      </c>
    </row>
    <row r="2659" spans="1:6">
      <c r="A2659" s="58" t="s">
        <v>829</v>
      </c>
      <c r="B2659" s="58" t="s">
        <v>2385</v>
      </c>
      <c r="C2659" s="58" t="s">
        <v>23</v>
      </c>
      <c r="D2659" s="58">
        <v>-3</v>
      </c>
      <c r="E2659" s="58">
        <f>Valuation!P69</f>
        <v>123473.39999999944</v>
      </c>
      <c r="F2659" s="58" t="str">
        <f t="shared" si="3"/>
        <v>'Valuation'!P68</v>
      </c>
    </row>
    <row r="2660" spans="1:6">
      <c r="A2660" s="58" t="s">
        <v>829</v>
      </c>
      <c r="B2660" s="58" t="s">
        <v>2386</v>
      </c>
      <c r="C2660" s="58" t="s">
        <v>23</v>
      </c>
      <c r="D2660" s="58">
        <v>-2</v>
      </c>
      <c r="E2660" s="58">
        <f>Valuation!Q69</f>
        <v>-1455151.7999999998</v>
      </c>
      <c r="F2660" s="58" t="str">
        <f t="shared" si="3"/>
        <v>'Valuation'!Q68</v>
      </c>
    </row>
    <row r="2661" spans="1:6">
      <c r="A2661" s="58" t="s">
        <v>829</v>
      </c>
      <c r="B2661" s="58" t="s">
        <v>2387</v>
      </c>
      <c r="C2661" s="58" t="s">
        <v>23</v>
      </c>
      <c r="D2661" s="58">
        <v>-1</v>
      </c>
      <c r="E2661" s="58">
        <f>Valuation!R69</f>
        <v>-1348599.25</v>
      </c>
      <c r="F2661" s="58" t="str">
        <f t="shared" si="3"/>
        <v>'Valuation'!R68</v>
      </c>
    </row>
    <row r="2662" spans="1:6">
      <c r="A2662" s="58" t="s">
        <v>829</v>
      </c>
      <c r="B2662" s="58" t="s">
        <v>2388</v>
      </c>
      <c r="C2662" s="58" t="s">
        <v>23</v>
      </c>
      <c r="D2662" s="58">
        <v>1</v>
      </c>
      <c r="E2662" s="58" t="e">
        <f ca="1">Valuation!T69</f>
        <v>#VALUE!</v>
      </c>
      <c r="F2662" s="58" t="str">
        <f t="shared" si="3"/>
        <v>'Valuation'!T68</v>
      </c>
    </row>
    <row r="2663" spans="1:6">
      <c r="A2663" s="58" t="s">
        <v>829</v>
      </c>
      <c r="B2663" s="58" t="s">
        <v>2389</v>
      </c>
      <c r="C2663" s="58" t="s">
        <v>23</v>
      </c>
      <c r="D2663" s="58">
        <v>2</v>
      </c>
      <c r="E2663" s="58" t="e">
        <f ca="1">Valuation!U69</f>
        <v>#VALUE!</v>
      </c>
      <c r="F2663" s="58" t="str">
        <f t="shared" si="3"/>
        <v>'Valuation'!U68</v>
      </c>
    </row>
    <row r="2664" spans="1:6">
      <c r="A2664" s="58" t="s">
        <v>829</v>
      </c>
      <c r="B2664" s="58" t="s">
        <v>2390</v>
      </c>
      <c r="C2664" s="58" t="s">
        <v>23</v>
      </c>
      <c r="D2664" s="58">
        <v>3</v>
      </c>
      <c r="E2664" s="58" t="e">
        <f ca="1">Valuation!V69</f>
        <v>#VALUE!</v>
      </c>
      <c r="F2664" s="58" t="str">
        <f t="shared" si="3"/>
        <v>'Valuation'!V68</v>
      </c>
    </row>
    <row r="2665" spans="1:6">
      <c r="A2665" s="58" t="s">
        <v>829</v>
      </c>
      <c r="B2665" s="58" t="s">
        <v>2391</v>
      </c>
      <c r="C2665" s="58" t="s">
        <v>23</v>
      </c>
      <c r="D2665" s="58">
        <v>4</v>
      </c>
      <c r="E2665" s="58" t="e">
        <f ca="1">Valuation!W69</f>
        <v>#VALUE!</v>
      </c>
      <c r="F2665" s="58" t="str">
        <f t="shared" si="3"/>
        <v>'Valuation'!W68</v>
      </c>
    </row>
    <row r="2666" spans="1:6">
      <c r="A2666" s="58" t="s">
        <v>829</v>
      </c>
      <c r="B2666" s="58" t="s">
        <v>2392</v>
      </c>
      <c r="C2666" s="58" t="s">
        <v>23</v>
      </c>
      <c r="D2666" s="58">
        <v>5</v>
      </c>
      <c r="E2666" s="58" t="e">
        <f ca="1">Valuation!X69</f>
        <v>#VALUE!</v>
      </c>
      <c r="F2666" s="58" t="str">
        <f t="shared" si="3"/>
        <v>'Valuation'!X68</v>
      </c>
    </row>
    <row r="2667" spans="1:6">
      <c r="A2667" s="58" t="s">
        <v>829</v>
      </c>
      <c r="B2667" s="58" t="s">
        <v>2393</v>
      </c>
      <c r="C2667" s="58" t="s">
        <v>23</v>
      </c>
      <c r="D2667" s="58">
        <v>6</v>
      </c>
      <c r="E2667" s="58" t="e">
        <f ca="1">Valuation!Y69</f>
        <v>#VALUE!</v>
      </c>
      <c r="F2667" s="58" t="str">
        <f t="shared" si="3"/>
        <v>'Valuation'!Y68</v>
      </c>
    </row>
    <row r="2668" spans="1:6">
      <c r="A2668" s="58" t="s">
        <v>829</v>
      </c>
      <c r="B2668" s="58" t="s">
        <v>2394</v>
      </c>
      <c r="C2668" s="58" t="s">
        <v>23</v>
      </c>
      <c r="D2668" s="58">
        <v>7</v>
      </c>
      <c r="E2668" s="58" t="e">
        <f ca="1">Valuation!Z69</f>
        <v>#VALUE!</v>
      </c>
      <c r="F2668" s="58" t="str">
        <f t="shared" si="3"/>
        <v>'Valuation'!Z68</v>
      </c>
    </row>
    <row r="2669" spans="1:6">
      <c r="A2669" s="58" t="s">
        <v>829</v>
      </c>
      <c r="B2669" s="58" t="s">
        <v>2395</v>
      </c>
      <c r="C2669" s="58" t="s">
        <v>23</v>
      </c>
      <c r="D2669" s="58">
        <v>8</v>
      </c>
      <c r="E2669" s="58" t="e">
        <f ca="1">Valuation!AA69</f>
        <v>#VALUE!</v>
      </c>
      <c r="F2669" s="58" t="str">
        <f t="shared" si="3"/>
        <v>'Valuation'!AA68</v>
      </c>
    </row>
    <row r="2670" spans="1:6">
      <c r="A2670" s="58" t="s">
        <v>829</v>
      </c>
      <c r="B2670" s="58" t="s">
        <v>2396</v>
      </c>
      <c r="C2670" s="58" t="s">
        <v>23</v>
      </c>
      <c r="D2670" s="58">
        <v>9</v>
      </c>
      <c r="E2670" s="58" t="e">
        <f ca="1">Valuation!AB69</f>
        <v>#VALUE!</v>
      </c>
      <c r="F2670" s="58" t="str">
        <f t="shared" si="3"/>
        <v>'Valuation'!AB68</v>
      </c>
    </row>
    <row r="2671" spans="1:6">
      <c r="A2671" s="58" t="s">
        <v>829</v>
      </c>
      <c r="B2671" s="58" t="s">
        <v>2397</v>
      </c>
      <c r="C2671" s="58" t="s">
        <v>23</v>
      </c>
      <c r="D2671" s="58">
        <v>0</v>
      </c>
      <c r="E2671" s="58">
        <f ca="1">Valuation!S69</f>
        <v>270810.31220891373</v>
      </c>
      <c r="F2671" s="58" t="str">
        <f t="shared" si="3"/>
        <v>'Valuation'!S68</v>
      </c>
    </row>
    <row r="2672" spans="1:6">
      <c r="A2672" s="58" t="s">
        <v>829</v>
      </c>
      <c r="B2672" s="58" t="s">
        <v>2933</v>
      </c>
      <c r="C2672" s="58" t="s">
        <v>2934</v>
      </c>
      <c r="D2672" s="58">
        <v>0</v>
      </c>
      <c r="E2672" s="58">
        <f>Valuation!S184</f>
        <v>0</v>
      </c>
      <c r="F2672" s="58" t="str">
        <f t="shared" si="3"/>
        <v>'Valuation'!S184</v>
      </c>
    </row>
    <row r="2673" spans="1:6">
      <c r="A2673" s="58" t="s">
        <v>829</v>
      </c>
      <c r="B2673" s="58" t="s">
        <v>2935</v>
      </c>
      <c r="C2673" s="58" t="s">
        <v>2934</v>
      </c>
      <c r="D2673" s="58">
        <v>-11</v>
      </c>
      <c r="E2673" s="58">
        <f>Valuation!H184</f>
        <v>0</v>
      </c>
      <c r="F2673" s="58" t="str">
        <f t="shared" si="3"/>
        <v>'Valuation'!H184</v>
      </c>
    </row>
    <row r="2674" spans="1:6">
      <c r="A2674" s="58" t="s">
        <v>829</v>
      </c>
      <c r="B2674" s="58" t="s">
        <v>2936</v>
      </c>
      <c r="C2674" s="58" t="s">
        <v>2934</v>
      </c>
      <c r="D2674" s="58">
        <v>-10</v>
      </c>
      <c r="E2674" s="58">
        <f>Valuation!I184</f>
        <v>0</v>
      </c>
      <c r="F2674" s="58" t="str">
        <f t="shared" si="3"/>
        <v>'Valuation'!I184</v>
      </c>
    </row>
    <row r="2675" spans="1:6">
      <c r="A2675" s="58" t="s">
        <v>829</v>
      </c>
      <c r="B2675" s="58" t="s">
        <v>2937</v>
      </c>
      <c r="C2675" s="58" t="s">
        <v>2934</v>
      </c>
      <c r="D2675" s="58">
        <v>-9</v>
      </c>
      <c r="E2675" s="58">
        <f>Valuation!J184</f>
        <v>0</v>
      </c>
      <c r="F2675" s="58" t="str">
        <f t="shared" si="3"/>
        <v>'Valuation'!J184</v>
      </c>
    </row>
    <row r="2676" spans="1:6">
      <c r="A2676" s="58" t="s">
        <v>829</v>
      </c>
      <c r="B2676" s="58" t="s">
        <v>2938</v>
      </c>
      <c r="C2676" s="58" t="s">
        <v>2934</v>
      </c>
      <c r="D2676" s="58">
        <v>-8</v>
      </c>
      <c r="E2676" s="58">
        <f>Valuation!K184</f>
        <v>0</v>
      </c>
      <c r="F2676" s="58" t="str">
        <f t="shared" si="3"/>
        <v>'Valuation'!K184</v>
      </c>
    </row>
    <row r="2677" spans="1:6">
      <c r="A2677" s="58" t="s">
        <v>829</v>
      </c>
      <c r="B2677" s="58" t="s">
        <v>2939</v>
      </c>
      <c r="C2677" s="58" t="s">
        <v>2934</v>
      </c>
      <c r="D2677" s="58">
        <v>-7</v>
      </c>
      <c r="E2677" s="58">
        <f>Valuation!L184</f>
        <v>0</v>
      </c>
      <c r="F2677" s="58" t="str">
        <f t="shared" si="3"/>
        <v>'Valuation'!L184</v>
      </c>
    </row>
    <row r="2678" spans="1:6">
      <c r="A2678" s="58" t="s">
        <v>829</v>
      </c>
      <c r="B2678" s="58" t="s">
        <v>2940</v>
      </c>
      <c r="C2678" s="58" t="s">
        <v>2934</v>
      </c>
      <c r="D2678" s="58">
        <v>-6</v>
      </c>
      <c r="E2678" s="58">
        <f>Valuation!M184</f>
        <v>0</v>
      </c>
      <c r="F2678" s="58" t="str">
        <f t="shared" si="3"/>
        <v>'Valuation'!M184</v>
      </c>
    </row>
    <row r="2679" spans="1:6">
      <c r="A2679" s="58" t="s">
        <v>829</v>
      </c>
      <c r="B2679" s="58" t="s">
        <v>2941</v>
      </c>
      <c r="C2679" s="58" t="s">
        <v>2934</v>
      </c>
      <c r="D2679" s="58">
        <v>-5</v>
      </c>
      <c r="E2679" s="58">
        <f>Valuation!N184</f>
        <v>0</v>
      </c>
      <c r="F2679" s="58" t="str">
        <f t="shared" si="3"/>
        <v>'Valuation'!N184</v>
      </c>
    </row>
    <row r="2680" spans="1:6">
      <c r="A2680" s="58" t="s">
        <v>829</v>
      </c>
      <c r="B2680" s="58" t="s">
        <v>2942</v>
      </c>
      <c r="C2680" s="58" t="s">
        <v>2934</v>
      </c>
      <c r="D2680" s="58">
        <v>-4</v>
      </c>
      <c r="E2680" s="58">
        <f>Valuation!O184</f>
        <v>0</v>
      </c>
      <c r="F2680" s="58" t="str">
        <f t="shared" si="3"/>
        <v>'Valuation'!O184</v>
      </c>
    </row>
    <row r="2681" spans="1:6">
      <c r="A2681" s="58" t="s">
        <v>829</v>
      </c>
      <c r="B2681" s="58" t="s">
        <v>2943</v>
      </c>
      <c r="C2681" s="58" t="s">
        <v>2934</v>
      </c>
      <c r="D2681" s="58">
        <v>-3</v>
      </c>
      <c r="E2681" s="58">
        <f>Valuation!P184</f>
        <v>0</v>
      </c>
      <c r="F2681" s="58" t="str">
        <f t="shared" si="3"/>
        <v>'Valuation'!P184</v>
      </c>
    </row>
    <row r="2682" spans="1:6">
      <c r="A2682" s="58" t="s">
        <v>829</v>
      </c>
      <c r="B2682" s="58" t="s">
        <v>2944</v>
      </c>
      <c r="C2682" s="58" t="s">
        <v>2934</v>
      </c>
      <c r="D2682" s="58">
        <v>-2</v>
      </c>
      <c r="E2682" s="58">
        <f>Valuation!Q184</f>
        <v>0</v>
      </c>
      <c r="F2682" s="58" t="str">
        <f t="shared" si="3"/>
        <v>'Valuation'!Q184</v>
      </c>
    </row>
    <row r="2683" spans="1:6">
      <c r="A2683" s="58" t="s">
        <v>829</v>
      </c>
      <c r="B2683" s="58" t="s">
        <v>2945</v>
      </c>
      <c r="C2683" s="58" t="s">
        <v>2934</v>
      </c>
      <c r="D2683" s="58">
        <v>-1</v>
      </c>
      <c r="E2683" s="58">
        <f>Valuation!R184</f>
        <v>0</v>
      </c>
      <c r="F2683" s="58" t="str">
        <f t="shared" si="3"/>
        <v>'Valuation'!R184</v>
      </c>
    </row>
    <row r="2684" spans="1:6">
      <c r="A2684" s="58" t="s">
        <v>829</v>
      </c>
      <c r="B2684" s="58" t="s">
        <v>2946</v>
      </c>
      <c r="C2684" s="58" t="s">
        <v>2934</v>
      </c>
      <c r="D2684" s="58">
        <v>1</v>
      </c>
      <c r="E2684" s="58">
        <f>Valuation!T184</f>
        <v>0</v>
      </c>
      <c r="F2684" s="58" t="str">
        <f t="shared" si="3"/>
        <v>'Valuation'!T184</v>
      </c>
    </row>
    <row r="2685" spans="1:6">
      <c r="A2685" s="58" t="s">
        <v>829</v>
      </c>
      <c r="B2685" s="58" t="s">
        <v>2947</v>
      </c>
      <c r="C2685" s="58" t="s">
        <v>2934</v>
      </c>
      <c r="D2685" s="58">
        <v>2</v>
      </c>
      <c r="E2685" s="58">
        <f>Valuation!U184</f>
        <v>0</v>
      </c>
      <c r="F2685" s="58" t="str">
        <f t="shared" si="3"/>
        <v>'Valuation'!U184</v>
      </c>
    </row>
    <row r="2686" spans="1:6">
      <c r="A2686" s="58" t="s">
        <v>829</v>
      </c>
      <c r="B2686" s="58" t="s">
        <v>2948</v>
      </c>
      <c r="C2686" s="58" t="s">
        <v>2934</v>
      </c>
      <c r="D2686" s="58">
        <v>3</v>
      </c>
      <c r="E2686" s="58">
        <f>Valuation!V184</f>
        <v>0</v>
      </c>
      <c r="F2686" s="58" t="str">
        <f t="shared" si="3"/>
        <v>'Valuation'!V184</v>
      </c>
    </row>
    <row r="2687" spans="1:6">
      <c r="A2687" s="58" t="s">
        <v>829</v>
      </c>
      <c r="B2687" s="58" t="s">
        <v>2949</v>
      </c>
      <c r="C2687" s="58" t="s">
        <v>2934</v>
      </c>
      <c r="D2687" s="58">
        <v>4</v>
      </c>
      <c r="E2687" s="58">
        <f>Valuation!W184</f>
        <v>0</v>
      </c>
      <c r="F2687" s="58" t="str">
        <f t="shared" si="3"/>
        <v>'Valuation'!W184</v>
      </c>
    </row>
    <row r="2688" spans="1:6">
      <c r="A2688" s="58" t="s">
        <v>829</v>
      </c>
      <c r="B2688" s="58" t="s">
        <v>2950</v>
      </c>
      <c r="C2688" s="58" t="s">
        <v>2934</v>
      </c>
      <c r="D2688" s="58">
        <v>5</v>
      </c>
      <c r="E2688" s="58">
        <f>Valuation!X184</f>
        <v>0</v>
      </c>
      <c r="F2688" s="58" t="str">
        <f t="shared" si="3"/>
        <v>'Valuation'!X184</v>
      </c>
    </row>
    <row r="2689" spans="1:6">
      <c r="A2689" s="58" t="s">
        <v>829</v>
      </c>
      <c r="B2689" s="58" t="s">
        <v>2951</v>
      </c>
      <c r="C2689" s="58" t="s">
        <v>2934</v>
      </c>
      <c r="D2689" s="58">
        <v>6</v>
      </c>
      <c r="E2689" s="58">
        <f>Valuation!Y184</f>
        <v>0</v>
      </c>
      <c r="F2689" s="58" t="str">
        <f t="shared" si="3"/>
        <v>'Valuation'!Y184</v>
      </c>
    </row>
    <row r="2690" spans="1:6">
      <c r="A2690" s="58" t="s">
        <v>829</v>
      </c>
      <c r="B2690" s="58" t="s">
        <v>2952</v>
      </c>
      <c r="C2690" s="58" t="s">
        <v>2934</v>
      </c>
      <c r="D2690" s="58">
        <v>7</v>
      </c>
      <c r="E2690" s="58">
        <f>Valuation!Z184</f>
        <v>0</v>
      </c>
      <c r="F2690" s="58" t="str">
        <f t="shared" si="3"/>
        <v>'Valuation'!Z184</v>
      </c>
    </row>
    <row r="2691" spans="1:6">
      <c r="A2691" s="58" t="s">
        <v>829</v>
      </c>
      <c r="B2691" s="58" t="s">
        <v>2953</v>
      </c>
      <c r="C2691" s="58" t="s">
        <v>2934</v>
      </c>
      <c r="D2691" s="58">
        <v>8</v>
      </c>
      <c r="E2691" s="58">
        <f>Valuation!AA184</f>
        <v>0</v>
      </c>
      <c r="F2691" s="58" t="str">
        <f t="shared" ref="F2691:F2754" si="4">"'"&amp;A2691&amp;"'"&amp;"!"&amp;B2691</f>
        <v>'Valuation'!AA184</v>
      </c>
    </row>
    <row r="2692" spans="1:6">
      <c r="A2692" s="58" t="s">
        <v>829</v>
      </c>
      <c r="B2692" s="58" t="s">
        <v>2954</v>
      </c>
      <c r="C2692" s="58" t="s">
        <v>2934</v>
      </c>
      <c r="D2692" s="58">
        <v>9</v>
      </c>
      <c r="E2692" s="58">
        <f>Valuation!AB184</f>
        <v>0</v>
      </c>
      <c r="F2692" s="58" t="str">
        <f t="shared" si="4"/>
        <v>'Valuation'!AB184</v>
      </c>
    </row>
    <row r="2693" spans="1:6">
      <c r="A2693" s="58" t="s">
        <v>829</v>
      </c>
      <c r="B2693" s="58" t="s">
        <v>2955</v>
      </c>
      <c r="C2693" s="58" t="s">
        <v>2956</v>
      </c>
      <c r="D2693" s="58">
        <v>0</v>
      </c>
      <c r="E2693" s="58">
        <f>Valuation!S185</f>
        <v>0</v>
      </c>
      <c r="F2693" s="58" t="str">
        <f t="shared" si="4"/>
        <v>'Valuation'!S185</v>
      </c>
    </row>
    <row r="2694" spans="1:6">
      <c r="A2694" s="58" t="s">
        <v>829</v>
      </c>
      <c r="B2694" s="58" t="s">
        <v>2957</v>
      </c>
      <c r="C2694" s="58" t="s">
        <v>2956</v>
      </c>
      <c r="D2694" s="58">
        <v>-11</v>
      </c>
      <c r="E2694" s="58">
        <f>Valuation!H185</f>
        <v>0</v>
      </c>
      <c r="F2694" s="58" t="str">
        <f t="shared" si="4"/>
        <v>'Valuation'!H185</v>
      </c>
    </row>
    <row r="2695" spans="1:6">
      <c r="A2695" s="58" t="s">
        <v>829</v>
      </c>
      <c r="B2695" s="58" t="s">
        <v>2958</v>
      </c>
      <c r="C2695" s="58" t="s">
        <v>2956</v>
      </c>
      <c r="D2695" s="58">
        <v>-10</v>
      </c>
      <c r="E2695" s="58">
        <f>Valuation!I185</f>
        <v>0</v>
      </c>
      <c r="F2695" s="58" t="str">
        <f t="shared" si="4"/>
        <v>'Valuation'!I185</v>
      </c>
    </row>
    <row r="2696" spans="1:6">
      <c r="A2696" s="58" t="s">
        <v>829</v>
      </c>
      <c r="B2696" s="58" t="s">
        <v>2959</v>
      </c>
      <c r="C2696" s="58" t="s">
        <v>2956</v>
      </c>
      <c r="D2696" s="58">
        <v>-9</v>
      </c>
      <c r="E2696" s="58">
        <f>Valuation!J185</f>
        <v>0</v>
      </c>
      <c r="F2696" s="58" t="str">
        <f t="shared" si="4"/>
        <v>'Valuation'!J185</v>
      </c>
    </row>
    <row r="2697" spans="1:6">
      <c r="A2697" s="58" t="s">
        <v>829</v>
      </c>
      <c r="B2697" s="58" t="s">
        <v>2960</v>
      </c>
      <c r="C2697" s="58" t="s">
        <v>2956</v>
      </c>
      <c r="D2697" s="58">
        <v>-8</v>
      </c>
      <c r="E2697" s="58">
        <f>Valuation!K185</f>
        <v>0</v>
      </c>
      <c r="F2697" s="58" t="str">
        <f t="shared" si="4"/>
        <v>'Valuation'!K185</v>
      </c>
    </row>
    <row r="2698" spans="1:6">
      <c r="A2698" s="58" t="s">
        <v>829</v>
      </c>
      <c r="B2698" s="58" t="s">
        <v>2961</v>
      </c>
      <c r="C2698" s="58" t="s">
        <v>2956</v>
      </c>
      <c r="D2698" s="58">
        <v>-7</v>
      </c>
      <c r="E2698" s="58">
        <f>Valuation!L185</f>
        <v>0</v>
      </c>
      <c r="F2698" s="58" t="str">
        <f t="shared" si="4"/>
        <v>'Valuation'!L185</v>
      </c>
    </row>
    <row r="2699" spans="1:6">
      <c r="A2699" s="58" t="s">
        <v>829</v>
      </c>
      <c r="B2699" s="58" t="s">
        <v>2962</v>
      </c>
      <c r="C2699" s="58" t="s">
        <v>2956</v>
      </c>
      <c r="D2699" s="58">
        <v>-6</v>
      </c>
      <c r="E2699" s="58">
        <f>Valuation!M185</f>
        <v>0</v>
      </c>
      <c r="F2699" s="58" t="str">
        <f t="shared" si="4"/>
        <v>'Valuation'!M185</v>
      </c>
    </row>
    <row r="2700" spans="1:6">
      <c r="A2700" s="58" t="s">
        <v>829</v>
      </c>
      <c r="B2700" s="58" t="s">
        <v>2963</v>
      </c>
      <c r="C2700" s="58" t="s">
        <v>2956</v>
      </c>
      <c r="D2700" s="58">
        <v>-5</v>
      </c>
      <c r="E2700" s="58">
        <f>Valuation!N185</f>
        <v>0</v>
      </c>
      <c r="F2700" s="58" t="str">
        <f t="shared" si="4"/>
        <v>'Valuation'!N185</v>
      </c>
    </row>
    <row r="2701" spans="1:6">
      <c r="A2701" s="58" t="s">
        <v>829</v>
      </c>
      <c r="B2701" s="58" t="s">
        <v>2964</v>
      </c>
      <c r="C2701" s="58" t="s">
        <v>2956</v>
      </c>
      <c r="D2701" s="58">
        <v>-4</v>
      </c>
      <c r="E2701" s="58">
        <f>Valuation!O185</f>
        <v>0</v>
      </c>
      <c r="F2701" s="58" t="str">
        <f t="shared" si="4"/>
        <v>'Valuation'!O185</v>
      </c>
    </row>
    <row r="2702" spans="1:6">
      <c r="A2702" s="58" t="s">
        <v>829</v>
      </c>
      <c r="B2702" s="58" t="s">
        <v>2965</v>
      </c>
      <c r="C2702" s="58" t="s">
        <v>2956</v>
      </c>
      <c r="D2702" s="58">
        <v>-3</v>
      </c>
      <c r="E2702" s="58">
        <f>Valuation!P185</f>
        <v>0</v>
      </c>
      <c r="F2702" s="58" t="str">
        <f t="shared" si="4"/>
        <v>'Valuation'!P185</v>
      </c>
    </row>
    <row r="2703" spans="1:6">
      <c r="A2703" s="58" t="s">
        <v>829</v>
      </c>
      <c r="B2703" s="58" t="s">
        <v>2966</v>
      </c>
      <c r="C2703" s="58" t="s">
        <v>2956</v>
      </c>
      <c r="D2703" s="58">
        <v>-2</v>
      </c>
      <c r="E2703" s="58">
        <f>Valuation!Q185</f>
        <v>0</v>
      </c>
      <c r="F2703" s="58" t="str">
        <f t="shared" si="4"/>
        <v>'Valuation'!Q185</v>
      </c>
    </row>
    <row r="2704" spans="1:6">
      <c r="A2704" s="58" t="s">
        <v>829</v>
      </c>
      <c r="B2704" s="58" t="s">
        <v>2967</v>
      </c>
      <c r="C2704" s="58" t="s">
        <v>2956</v>
      </c>
      <c r="D2704" s="58">
        <v>-1</v>
      </c>
      <c r="E2704" s="58">
        <f>Valuation!R185</f>
        <v>0</v>
      </c>
      <c r="F2704" s="58" t="str">
        <f t="shared" si="4"/>
        <v>'Valuation'!R185</v>
      </c>
    </row>
    <row r="2705" spans="1:6">
      <c r="A2705" s="58" t="s">
        <v>829</v>
      </c>
      <c r="B2705" s="58" t="s">
        <v>2968</v>
      </c>
      <c r="C2705" s="58" t="s">
        <v>2956</v>
      </c>
      <c r="D2705" s="58">
        <v>1</v>
      </c>
      <c r="E2705" s="58">
        <f>Valuation!T185</f>
        <v>0</v>
      </c>
      <c r="F2705" s="58" t="str">
        <f t="shared" si="4"/>
        <v>'Valuation'!T185</v>
      </c>
    </row>
    <row r="2706" spans="1:6">
      <c r="A2706" s="58" t="s">
        <v>829</v>
      </c>
      <c r="B2706" s="58" t="s">
        <v>2969</v>
      </c>
      <c r="C2706" s="58" t="s">
        <v>2956</v>
      </c>
      <c r="D2706" s="58">
        <v>2</v>
      </c>
      <c r="E2706" s="58">
        <f>Valuation!U185</f>
        <v>0</v>
      </c>
      <c r="F2706" s="58" t="str">
        <f t="shared" si="4"/>
        <v>'Valuation'!U185</v>
      </c>
    </row>
    <row r="2707" spans="1:6">
      <c r="A2707" s="58" t="s">
        <v>829</v>
      </c>
      <c r="B2707" s="58" t="s">
        <v>2970</v>
      </c>
      <c r="C2707" s="58" t="s">
        <v>2956</v>
      </c>
      <c r="D2707" s="58">
        <v>3</v>
      </c>
      <c r="E2707" s="58">
        <f>Valuation!V185</f>
        <v>0</v>
      </c>
      <c r="F2707" s="58" t="str">
        <f t="shared" si="4"/>
        <v>'Valuation'!V185</v>
      </c>
    </row>
    <row r="2708" spans="1:6">
      <c r="A2708" s="58" t="s">
        <v>829</v>
      </c>
      <c r="B2708" s="58" t="s">
        <v>2971</v>
      </c>
      <c r="C2708" s="58" t="s">
        <v>2956</v>
      </c>
      <c r="D2708" s="58">
        <v>4</v>
      </c>
      <c r="E2708" s="58">
        <f>Valuation!W185</f>
        <v>0</v>
      </c>
      <c r="F2708" s="58" t="str">
        <f t="shared" si="4"/>
        <v>'Valuation'!W185</v>
      </c>
    </row>
    <row r="2709" spans="1:6">
      <c r="A2709" s="58" t="s">
        <v>829</v>
      </c>
      <c r="B2709" s="58" t="s">
        <v>2972</v>
      </c>
      <c r="C2709" s="58" t="s">
        <v>2956</v>
      </c>
      <c r="D2709" s="58">
        <v>5</v>
      </c>
      <c r="E2709" s="58">
        <f>Valuation!X185</f>
        <v>0</v>
      </c>
      <c r="F2709" s="58" t="str">
        <f t="shared" si="4"/>
        <v>'Valuation'!X185</v>
      </c>
    </row>
    <row r="2710" spans="1:6">
      <c r="A2710" s="58" t="s">
        <v>829</v>
      </c>
      <c r="B2710" s="58" t="s">
        <v>2973</v>
      </c>
      <c r="C2710" s="58" t="s">
        <v>2956</v>
      </c>
      <c r="D2710" s="58">
        <v>6</v>
      </c>
      <c r="E2710" s="58">
        <f>Valuation!Y185</f>
        <v>0</v>
      </c>
      <c r="F2710" s="58" t="str">
        <f t="shared" si="4"/>
        <v>'Valuation'!Y185</v>
      </c>
    </row>
    <row r="2711" spans="1:6">
      <c r="A2711" s="58" t="s">
        <v>829</v>
      </c>
      <c r="B2711" s="58" t="s">
        <v>2974</v>
      </c>
      <c r="C2711" s="58" t="s">
        <v>2956</v>
      </c>
      <c r="D2711" s="58">
        <v>7</v>
      </c>
      <c r="E2711" s="58">
        <f>Valuation!Z185</f>
        <v>0</v>
      </c>
      <c r="F2711" s="58" t="str">
        <f t="shared" si="4"/>
        <v>'Valuation'!Z185</v>
      </c>
    </row>
    <row r="2712" spans="1:6">
      <c r="A2712" s="58" t="s">
        <v>829</v>
      </c>
      <c r="B2712" s="58" t="s">
        <v>2975</v>
      </c>
      <c r="C2712" s="58" t="s">
        <v>2956</v>
      </c>
      <c r="D2712" s="58">
        <v>8</v>
      </c>
      <c r="E2712" s="58">
        <f>Valuation!AA185</f>
        <v>0</v>
      </c>
      <c r="F2712" s="58" t="str">
        <f t="shared" si="4"/>
        <v>'Valuation'!AA185</v>
      </c>
    </row>
    <row r="2713" spans="1:6">
      <c r="A2713" s="58" t="s">
        <v>829</v>
      </c>
      <c r="B2713" s="58" t="s">
        <v>2976</v>
      </c>
      <c r="C2713" s="58" t="s">
        <v>2956</v>
      </c>
      <c r="D2713" s="58">
        <v>9</v>
      </c>
      <c r="E2713" s="58">
        <f>Valuation!AB185</f>
        <v>0</v>
      </c>
      <c r="F2713" s="58" t="str">
        <f t="shared" si="4"/>
        <v>'Valuation'!AB185</v>
      </c>
    </row>
    <row r="2714" spans="1:6">
      <c r="A2714" s="58" t="s">
        <v>829</v>
      </c>
      <c r="B2714" s="58" t="s">
        <v>2977</v>
      </c>
      <c r="C2714" s="58" t="s">
        <v>2978</v>
      </c>
      <c r="D2714" s="58">
        <v>0</v>
      </c>
      <c r="E2714" s="58">
        <f>Valuation!S187</f>
        <v>0</v>
      </c>
      <c r="F2714" s="58" t="str">
        <f t="shared" si="4"/>
        <v>'Valuation'!S187</v>
      </c>
    </row>
    <row r="2715" spans="1:6">
      <c r="A2715" s="58" t="s">
        <v>829</v>
      </c>
      <c r="B2715" s="58" t="s">
        <v>2979</v>
      </c>
      <c r="C2715" s="58" t="s">
        <v>2978</v>
      </c>
      <c r="D2715" s="58">
        <v>-11</v>
      </c>
      <c r="E2715" s="58">
        <f>Valuation!H187</f>
        <v>0</v>
      </c>
      <c r="F2715" s="58" t="str">
        <f t="shared" si="4"/>
        <v>'Valuation'!H187</v>
      </c>
    </row>
    <row r="2716" spans="1:6">
      <c r="A2716" s="58" t="s">
        <v>829</v>
      </c>
      <c r="B2716" s="58" t="s">
        <v>2980</v>
      </c>
      <c r="C2716" s="58" t="s">
        <v>2978</v>
      </c>
      <c r="D2716" s="58">
        <v>-10</v>
      </c>
      <c r="E2716" s="58">
        <f>Valuation!I187</f>
        <v>0</v>
      </c>
      <c r="F2716" s="58" t="str">
        <f t="shared" si="4"/>
        <v>'Valuation'!I187</v>
      </c>
    </row>
    <row r="2717" spans="1:6">
      <c r="A2717" s="58" t="s">
        <v>829</v>
      </c>
      <c r="B2717" s="58" t="s">
        <v>2981</v>
      </c>
      <c r="C2717" s="58" t="s">
        <v>2978</v>
      </c>
      <c r="D2717" s="58">
        <v>-9</v>
      </c>
      <c r="E2717" s="58">
        <f>Valuation!J187</f>
        <v>0</v>
      </c>
      <c r="F2717" s="58" t="str">
        <f t="shared" si="4"/>
        <v>'Valuation'!J187</v>
      </c>
    </row>
    <row r="2718" spans="1:6">
      <c r="A2718" s="58" t="s">
        <v>829</v>
      </c>
      <c r="B2718" s="58" t="s">
        <v>2982</v>
      </c>
      <c r="C2718" s="58" t="s">
        <v>2978</v>
      </c>
      <c r="D2718" s="58">
        <v>-8</v>
      </c>
      <c r="E2718" s="58">
        <f>Valuation!K187</f>
        <v>0</v>
      </c>
      <c r="F2718" s="58" t="str">
        <f t="shared" si="4"/>
        <v>'Valuation'!K187</v>
      </c>
    </row>
    <row r="2719" spans="1:6">
      <c r="A2719" s="58" t="s">
        <v>829</v>
      </c>
      <c r="B2719" s="58" t="s">
        <v>2983</v>
      </c>
      <c r="C2719" s="58" t="s">
        <v>2978</v>
      </c>
      <c r="D2719" s="58">
        <v>-7</v>
      </c>
      <c r="E2719" s="58">
        <f>Valuation!L187</f>
        <v>0</v>
      </c>
      <c r="F2719" s="58" t="str">
        <f t="shared" si="4"/>
        <v>'Valuation'!L187</v>
      </c>
    </row>
    <row r="2720" spans="1:6">
      <c r="A2720" s="58" t="s">
        <v>829</v>
      </c>
      <c r="B2720" s="58" t="s">
        <v>2984</v>
      </c>
      <c r="C2720" s="58" t="s">
        <v>2978</v>
      </c>
      <c r="D2720" s="58">
        <v>-6</v>
      </c>
      <c r="E2720" s="58">
        <f>Valuation!M187</f>
        <v>0</v>
      </c>
      <c r="F2720" s="58" t="str">
        <f t="shared" si="4"/>
        <v>'Valuation'!M187</v>
      </c>
    </row>
    <row r="2721" spans="1:6">
      <c r="A2721" s="58" t="s">
        <v>829</v>
      </c>
      <c r="B2721" s="58" t="s">
        <v>2985</v>
      </c>
      <c r="C2721" s="58" t="s">
        <v>2978</v>
      </c>
      <c r="D2721" s="58">
        <v>-5</v>
      </c>
      <c r="E2721" s="58">
        <f>Valuation!N187</f>
        <v>0</v>
      </c>
      <c r="F2721" s="58" t="str">
        <f t="shared" si="4"/>
        <v>'Valuation'!N187</v>
      </c>
    </row>
    <row r="2722" spans="1:6">
      <c r="A2722" s="58" t="s">
        <v>829</v>
      </c>
      <c r="B2722" s="58" t="s">
        <v>2986</v>
      </c>
      <c r="C2722" s="58" t="s">
        <v>2978</v>
      </c>
      <c r="D2722" s="58">
        <v>-4</v>
      </c>
      <c r="E2722" s="58">
        <f>Valuation!O187</f>
        <v>0</v>
      </c>
      <c r="F2722" s="58" t="str">
        <f t="shared" si="4"/>
        <v>'Valuation'!O187</v>
      </c>
    </row>
    <row r="2723" spans="1:6">
      <c r="A2723" s="58" t="s">
        <v>829</v>
      </c>
      <c r="B2723" s="58" t="s">
        <v>2987</v>
      </c>
      <c r="C2723" s="58" t="s">
        <v>2978</v>
      </c>
      <c r="D2723" s="58">
        <v>-3</v>
      </c>
      <c r="E2723" s="58">
        <f>Valuation!P187</f>
        <v>0</v>
      </c>
      <c r="F2723" s="58" t="str">
        <f t="shared" si="4"/>
        <v>'Valuation'!P187</v>
      </c>
    </row>
    <row r="2724" spans="1:6">
      <c r="A2724" s="58" t="s">
        <v>829</v>
      </c>
      <c r="B2724" s="58" t="s">
        <v>2988</v>
      </c>
      <c r="C2724" s="58" t="s">
        <v>2978</v>
      </c>
      <c r="D2724" s="58">
        <v>-2</v>
      </c>
      <c r="E2724" s="58">
        <f>Valuation!Q187</f>
        <v>0</v>
      </c>
      <c r="F2724" s="58" t="str">
        <f t="shared" si="4"/>
        <v>'Valuation'!Q187</v>
      </c>
    </row>
    <row r="2725" spans="1:6">
      <c r="A2725" s="58" t="s">
        <v>829</v>
      </c>
      <c r="B2725" s="58" t="s">
        <v>2989</v>
      </c>
      <c r="C2725" s="58" t="s">
        <v>2978</v>
      </c>
      <c r="D2725" s="58">
        <v>-1</v>
      </c>
      <c r="E2725" s="58">
        <f>Valuation!R187</f>
        <v>0</v>
      </c>
      <c r="F2725" s="58" t="str">
        <f t="shared" si="4"/>
        <v>'Valuation'!R187</v>
      </c>
    </row>
    <row r="2726" spans="1:6">
      <c r="A2726" s="58" t="s">
        <v>829</v>
      </c>
      <c r="B2726" s="58" t="s">
        <v>2990</v>
      </c>
      <c r="C2726" s="58" t="s">
        <v>2978</v>
      </c>
      <c r="D2726" s="58">
        <v>1</v>
      </c>
      <c r="E2726" s="58">
        <f>Valuation!T187</f>
        <v>0</v>
      </c>
      <c r="F2726" s="58" t="str">
        <f t="shared" si="4"/>
        <v>'Valuation'!T187</v>
      </c>
    </row>
    <row r="2727" spans="1:6">
      <c r="A2727" s="58" t="s">
        <v>829</v>
      </c>
      <c r="B2727" s="58" t="s">
        <v>2991</v>
      </c>
      <c r="C2727" s="58" t="s">
        <v>2978</v>
      </c>
      <c r="D2727" s="58">
        <v>2</v>
      </c>
      <c r="E2727" s="58">
        <f>Valuation!U187</f>
        <v>0</v>
      </c>
      <c r="F2727" s="58" t="str">
        <f t="shared" si="4"/>
        <v>'Valuation'!U187</v>
      </c>
    </row>
    <row r="2728" spans="1:6">
      <c r="A2728" s="58" t="s">
        <v>829</v>
      </c>
      <c r="B2728" s="58" t="s">
        <v>2992</v>
      </c>
      <c r="C2728" s="58" t="s">
        <v>2978</v>
      </c>
      <c r="D2728" s="58">
        <v>3</v>
      </c>
      <c r="E2728" s="58">
        <f>Valuation!V187</f>
        <v>0</v>
      </c>
      <c r="F2728" s="58" t="str">
        <f t="shared" si="4"/>
        <v>'Valuation'!V187</v>
      </c>
    </row>
    <row r="2729" spans="1:6">
      <c r="A2729" s="58" t="s">
        <v>829</v>
      </c>
      <c r="B2729" s="58" t="s">
        <v>2993</v>
      </c>
      <c r="C2729" s="58" t="s">
        <v>2978</v>
      </c>
      <c r="D2729" s="58">
        <v>4</v>
      </c>
      <c r="E2729" s="58">
        <f>Valuation!W187</f>
        <v>0</v>
      </c>
      <c r="F2729" s="58" t="str">
        <f t="shared" si="4"/>
        <v>'Valuation'!W187</v>
      </c>
    </row>
    <row r="2730" spans="1:6">
      <c r="A2730" s="58" t="s">
        <v>829</v>
      </c>
      <c r="B2730" s="58" t="s">
        <v>2994</v>
      </c>
      <c r="C2730" s="58" t="s">
        <v>2978</v>
      </c>
      <c r="D2730" s="58">
        <v>5</v>
      </c>
      <c r="E2730" s="58">
        <f>Valuation!X187</f>
        <v>0</v>
      </c>
      <c r="F2730" s="58" t="str">
        <f t="shared" si="4"/>
        <v>'Valuation'!X187</v>
      </c>
    </row>
    <row r="2731" spans="1:6">
      <c r="A2731" s="58" t="s">
        <v>829</v>
      </c>
      <c r="B2731" s="58" t="s">
        <v>2995</v>
      </c>
      <c r="C2731" s="58" t="s">
        <v>2978</v>
      </c>
      <c r="D2731" s="58">
        <v>6</v>
      </c>
      <c r="E2731" s="58">
        <f>Valuation!Y187</f>
        <v>0</v>
      </c>
      <c r="F2731" s="58" t="str">
        <f t="shared" si="4"/>
        <v>'Valuation'!Y187</v>
      </c>
    </row>
    <row r="2732" spans="1:6">
      <c r="A2732" s="58" t="s">
        <v>829</v>
      </c>
      <c r="B2732" s="58" t="s">
        <v>2996</v>
      </c>
      <c r="C2732" s="58" t="s">
        <v>2978</v>
      </c>
      <c r="D2732" s="58">
        <v>7</v>
      </c>
      <c r="E2732" s="58">
        <f>Valuation!Z187</f>
        <v>0</v>
      </c>
      <c r="F2732" s="58" t="str">
        <f t="shared" si="4"/>
        <v>'Valuation'!Z187</v>
      </c>
    </row>
    <row r="2733" spans="1:6">
      <c r="A2733" s="58" t="s">
        <v>829</v>
      </c>
      <c r="B2733" s="58" t="s">
        <v>2997</v>
      </c>
      <c r="C2733" s="58" t="s">
        <v>2978</v>
      </c>
      <c r="D2733" s="58">
        <v>8</v>
      </c>
      <c r="E2733" s="58">
        <f>Valuation!AA187</f>
        <v>0</v>
      </c>
      <c r="F2733" s="58" t="str">
        <f t="shared" si="4"/>
        <v>'Valuation'!AA187</v>
      </c>
    </row>
    <row r="2734" spans="1:6">
      <c r="A2734" s="58" t="s">
        <v>829</v>
      </c>
      <c r="B2734" s="58" t="s">
        <v>2998</v>
      </c>
      <c r="C2734" s="58" t="s">
        <v>2978</v>
      </c>
      <c r="D2734" s="58">
        <v>9</v>
      </c>
      <c r="E2734" s="58">
        <f>Valuation!AB187</f>
        <v>0</v>
      </c>
      <c r="F2734" s="58" t="str">
        <f t="shared" si="4"/>
        <v>'Valuation'!AB187</v>
      </c>
    </row>
    <row r="2735" spans="1:6">
      <c r="A2735" s="58" t="s">
        <v>829</v>
      </c>
      <c r="B2735" s="58" t="s">
        <v>2420</v>
      </c>
      <c r="C2735" s="58" t="s">
        <v>2999</v>
      </c>
      <c r="D2735" s="58">
        <v>0</v>
      </c>
      <c r="E2735" s="58">
        <f>Valuation!S176</f>
        <v>0</v>
      </c>
      <c r="F2735" s="58" t="str">
        <f t="shared" si="4"/>
        <v>'Valuation'!S176</v>
      </c>
    </row>
    <row r="2736" spans="1:6">
      <c r="A2736" s="58" t="s">
        <v>829</v>
      </c>
      <c r="B2736" s="58" t="s">
        <v>2422</v>
      </c>
      <c r="C2736" s="58" t="s">
        <v>2999</v>
      </c>
      <c r="D2736" s="58">
        <v>-11</v>
      </c>
      <c r="E2736" s="685">
        <f>Valuation!H176</f>
        <v>0</v>
      </c>
      <c r="F2736" s="58" t="str">
        <f t="shared" si="4"/>
        <v>'Valuation'!H176</v>
      </c>
    </row>
    <row r="2737" spans="1:6">
      <c r="A2737" s="58" t="s">
        <v>829</v>
      </c>
      <c r="B2737" s="58" t="s">
        <v>2423</v>
      </c>
      <c r="C2737" s="58" t="s">
        <v>2999</v>
      </c>
      <c r="D2737" s="58">
        <v>-10</v>
      </c>
      <c r="E2737" s="685">
        <f>Valuation!I176</f>
        <v>0</v>
      </c>
      <c r="F2737" s="58" t="str">
        <f t="shared" si="4"/>
        <v>'Valuation'!I176</v>
      </c>
    </row>
    <row r="2738" spans="1:6">
      <c r="A2738" s="58" t="s">
        <v>829</v>
      </c>
      <c r="B2738" s="58" t="s">
        <v>2424</v>
      </c>
      <c r="C2738" s="58" t="s">
        <v>2999</v>
      </c>
      <c r="D2738" s="58">
        <v>-9</v>
      </c>
      <c r="E2738" s="685">
        <f>Valuation!J176</f>
        <v>0</v>
      </c>
      <c r="F2738" s="58" t="str">
        <f t="shared" si="4"/>
        <v>'Valuation'!J176</v>
      </c>
    </row>
    <row r="2739" spans="1:6">
      <c r="A2739" s="58" t="s">
        <v>829</v>
      </c>
      <c r="B2739" s="58" t="s">
        <v>2425</v>
      </c>
      <c r="C2739" s="58" t="s">
        <v>2999</v>
      </c>
      <c r="D2739" s="58">
        <v>-8</v>
      </c>
      <c r="E2739" s="685">
        <f>Valuation!K176</f>
        <v>0</v>
      </c>
      <c r="F2739" s="58" t="str">
        <f t="shared" si="4"/>
        <v>'Valuation'!K176</v>
      </c>
    </row>
    <row r="2740" spans="1:6">
      <c r="A2740" s="58" t="s">
        <v>829</v>
      </c>
      <c r="B2740" s="58" t="s">
        <v>2426</v>
      </c>
      <c r="C2740" s="58" t="s">
        <v>2999</v>
      </c>
      <c r="D2740" s="58">
        <v>-7</v>
      </c>
      <c r="E2740" s="685">
        <f>Valuation!L176</f>
        <v>0</v>
      </c>
      <c r="F2740" s="58" t="str">
        <f t="shared" si="4"/>
        <v>'Valuation'!L176</v>
      </c>
    </row>
    <row r="2741" spans="1:6">
      <c r="A2741" s="58" t="s">
        <v>829</v>
      </c>
      <c r="B2741" s="58" t="s">
        <v>2427</v>
      </c>
      <c r="C2741" s="58" t="s">
        <v>2999</v>
      </c>
      <c r="D2741" s="58">
        <v>-6</v>
      </c>
      <c r="E2741" s="685">
        <f>Valuation!M176</f>
        <v>0</v>
      </c>
      <c r="F2741" s="58" t="str">
        <f t="shared" si="4"/>
        <v>'Valuation'!M176</v>
      </c>
    </row>
    <row r="2742" spans="1:6">
      <c r="A2742" s="58" t="s">
        <v>829</v>
      </c>
      <c r="B2742" s="58" t="s">
        <v>2428</v>
      </c>
      <c r="C2742" s="58" t="s">
        <v>2999</v>
      </c>
      <c r="D2742" s="58">
        <v>-5</v>
      </c>
      <c r="E2742" s="685">
        <f>Valuation!N176</f>
        <v>0</v>
      </c>
      <c r="F2742" s="58" t="str">
        <f t="shared" si="4"/>
        <v>'Valuation'!N176</v>
      </c>
    </row>
    <row r="2743" spans="1:6">
      <c r="A2743" s="58" t="s">
        <v>829</v>
      </c>
      <c r="B2743" s="58" t="s">
        <v>2429</v>
      </c>
      <c r="C2743" s="58" t="s">
        <v>2999</v>
      </c>
      <c r="D2743" s="58">
        <v>-4</v>
      </c>
      <c r="E2743" s="685">
        <f>Valuation!O176</f>
        <v>0</v>
      </c>
      <c r="F2743" s="58" t="str">
        <f t="shared" si="4"/>
        <v>'Valuation'!O176</v>
      </c>
    </row>
    <row r="2744" spans="1:6">
      <c r="A2744" s="58" t="s">
        <v>829</v>
      </c>
      <c r="B2744" s="58" t="s">
        <v>2430</v>
      </c>
      <c r="C2744" s="58" t="s">
        <v>2999</v>
      </c>
      <c r="D2744" s="58">
        <v>-3</v>
      </c>
      <c r="E2744" s="685">
        <f>Valuation!P176</f>
        <v>0</v>
      </c>
      <c r="F2744" s="58" t="str">
        <f t="shared" si="4"/>
        <v>'Valuation'!P176</v>
      </c>
    </row>
    <row r="2745" spans="1:6">
      <c r="A2745" s="58" t="s">
        <v>829</v>
      </c>
      <c r="B2745" s="58" t="s">
        <v>2431</v>
      </c>
      <c r="C2745" s="58" t="s">
        <v>2999</v>
      </c>
      <c r="D2745" s="58">
        <v>-2</v>
      </c>
      <c r="E2745" s="685">
        <f>Valuation!Q176</f>
        <v>0</v>
      </c>
      <c r="F2745" s="58" t="str">
        <f t="shared" si="4"/>
        <v>'Valuation'!Q176</v>
      </c>
    </row>
    <row r="2746" spans="1:6">
      <c r="A2746" s="58" t="s">
        <v>829</v>
      </c>
      <c r="B2746" s="58" t="s">
        <v>2432</v>
      </c>
      <c r="C2746" s="58" t="s">
        <v>2999</v>
      </c>
      <c r="D2746" s="58">
        <v>-1</v>
      </c>
      <c r="E2746" s="685">
        <f>Valuation!R176</f>
        <v>0</v>
      </c>
      <c r="F2746" s="58" t="str">
        <f t="shared" si="4"/>
        <v>'Valuation'!R176</v>
      </c>
    </row>
    <row r="2747" spans="1:6">
      <c r="A2747" s="58" t="s">
        <v>829</v>
      </c>
      <c r="B2747" s="58" t="s">
        <v>2433</v>
      </c>
      <c r="C2747" s="58" t="s">
        <v>2999</v>
      </c>
      <c r="D2747" s="58">
        <v>1</v>
      </c>
      <c r="E2747" s="58">
        <f>Valuation!T176</f>
        <v>0</v>
      </c>
      <c r="F2747" s="58" t="str">
        <f t="shared" si="4"/>
        <v>'Valuation'!T176</v>
      </c>
    </row>
    <row r="2748" spans="1:6">
      <c r="A2748" s="58" t="s">
        <v>829</v>
      </c>
      <c r="B2748" s="58" t="s">
        <v>2434</v>
      </c>
      <c r="C2748" s="58" t="s">
        <v>2999</v>
      </c>
      <c r="D2748" s="58">
        <v>2</v>
      </c>
      <c r="E2748" s="58">
        <f>Valuation!U176</f>
        <v>0</v>
      </c>
      <c r="F2748" s="58" t="str">
        <f t="shared" si="4"/>
        <v>'Valuation'!U176</v>
      </c>
    </row>
    <row r="2749" spans="1:6">
      <c r="A2749" s="58" t="s">
        <v>829</v>
      </c>
      <c r="B2749" s="58" t="s">
        <v>2435</v>
      </c>
      <c r="C2749" s="58" t="s">
        <v>2999</v>
      </c>
      <c r="D2749" s="58">
        <v>3</v>
      </c>
      <c r="E2749" s="58">
        <f>Valuation!V176</f>
        <v>0</v>
      </c>
      <c r="F2749" s="58" t="str">
        <f t="shared" si="4"/>
        <v>'Valuation'!V176</v>
      </c>
    </row>
    <row r="2750" spans="1:6">
      <c r="A2750" s="58" t="s">
        <v>829</v>
      </c>
      <c r="B2750" s="58" t="s">
        <v>2436</v>
      </c>
      <c r="C2750" s="58" t="s">
        <v>2999</v>
      </c>
      <c r="D2750" s="58">
        <v>4</v>
      </c>
      <c r="E2750" s="58">
        <f>Valuation!W176</f>
        <v>0</v>
      </c>
      <c r="F2750" s="58" t="str">
        <f t="shared" si="4"/>
        <v>'Valuation'!W176</v>
      </c>
    </row>
    <row r="2751" spans="1:6">
      <c r="A2751" s="58" t="s">
        <v>829</v>
      </c>
      <c r="B2751" s="58" t="s">
        <v>2437</v>
      </c>
      <c r="C2751" s="58" t="s">
        <v>2999</v>
      </c>
      <c r="D2751" s="58">
        <v>5</v>
      </c>
      <c r="E2751" s="58">
        <f>Valuation!X176</f>
        <v>0</v>
      </c>
      <c r="F2751" s="58" t="str">
        <f t="shared" si="4"/>
        <v>'Valuation'!X176</v>
      </c>
    </row>
    <row r="2752" spans="1:6">
      <c r="A2752" s="58" t="s">
        <v>829</v>
      </c>
      <c r="B2752" s="58" t="s">
        <v>2438</v>
      </c>
      <c r="C2752" s="58" t="s">
        <v>2999</v>
      </c>
      <c r="D2752" s="58">
        <v>6</v>
      </c>
      <c r="E2752" s="58">
        <f>Valuation!Y176</f>
        <v>0</v>
      </c>
      <c r="F2752" s="58" t="str">
        <f t="shared" si="4"/>
        <v>'Valuation'!Y176</v>
      </c>
    </row>
    <row r="2753" spans="1:6">
      <c r="A2753" s="58" t="s">
        <v>829</v>
      </c>
      <c r="B2753" s="58" t="s">
        <v>2439</v>
      </c>
      <c r="C2753" s="58" t="s">
        <v>2999</v>
      </c>
      <c r="D2753" s="58">
        <v>7</v>
      </c>
      <c r="E2753" s="58">
        <f>Valuation!Z176</f>
        <v>0</v>
      </c>
      <c r="F2753" s="58" t="str">
        <f t="shared" si="4"/>
        <v>'Valuation'!Z176</v>
      </c>
    </row>
    <row r="2754" spans="1:6">
      <c r="A2754" s="58" t="s">
        <v>829</v>
      </c>
      <c r="B2754" s="58" t="s">
        <v>2440</v>
      </c>
      <c r="C2754" s="58" t="s">
        <v>2999</v>
      </c>
      <c r="D2754" s="58">
        <v>8</v>
      </c>
      <c r="E2754" s="58">
        <f>Valuation!AA176</f>
        <v>0</v>
      </c>
      <c r="F2754" s="58" t="str">
        <f t="shared" si="4"/>
        <v>'Valuation'!AA176</v>
      </c>
    </row>
    <row r="2755" spans="1:6">
      <c r="A2755" s="58" t="s">
        <v>829</v>
      </c>
      <c r="B2755" s="58" t="s">
        <v>2441</v>
      </c>
      <c r="C2755" s="58" t="s">
        <v>2999</v>
      </c>
      <c r="D2755" s="58">
        <v>9</v>
      </c>
      <c r="E2755" s="58">
        <f>Valuation!AB176</f>
        <v>0</v>
      </c>
      <c r="F2755" s="58" t="str">
        <f t="shared" ref="F2755:F2818" si="5">"'"&amp;A2755&amp;"'"&amp;"!"&amp;B2755</f>
        <v>'Valuation'!AB176</v>
      </c>
    </row>
    <row r="2756" spans="1:6">
      <c r="A2756" s="58" t="s">
        <v>829</v>
      </c>
      <c r="B2756" s="58" t="s">
        <v>3000</v>
      </c>
      <c r="C2756" s="58" t="s">
        <v>838</v>
      </c>
      <c r="D2756" s="58">
        <v>-11</v>
      </c>
      <c r="E2756" s="58">
        <f>Valuation!H72</f>
        <v>0</v>
      </c>
      <c r="F2756" s="58" t="str">
        <f t="shared" si="5"/>
        <v>'Valuation'!H71</v>
      </c>
    </row>
    <row r="2757" spans="1:6">
      <c r="A2757" s="58" t="s">
        <v>829</v>
      </c>
      <c r="B2757" s="58" t="s">
        <v>3001</v>
      </c>
      <c r="C2757" s="58" t="s">
        <v>838</v>
      </c>
      <c r="D2757" s="58">
        <v>-10</v>
      </c>
      <c r="E2757" s="58">
        <f>Valuation!I72</f>
        <v>0</v>
      </c>
      <c r="F2757" s="58" t="str">
        <f t="shared" si="5"/>
        <v>'Valuation'!I71</v>
      </c>
    </row>
    <row r="2758" spans="1:6">
      <c r="A2758" s="58" t="s">
        <v>829</v>
      </c>
      <c r="B2758" s="58" t="s">
        <v>3002</v>
      </c>
      <c r="C2758" s="58" t="s">
        <v>838</v>
      </c>
      <c r="D2758" s="58">
        <v>-9</v>
      </c>
      <c r="E2758" s="58">
        <f>Valuation!J72</f>
        <v>0</v>
      </c>
      <c r="F2758" s="58" t="str">
        <f t="shared" si="5"/>
        <v>'Valuation'!J71</v>
      </c>
    </row>
    <row r="2759" spans="1:6">
      <c r="A2759" s="58" t="s">
        <v>829</v>
      </c>
      <c r="B2759" s="58" t="s">
        <v>3003</v>
      </c>
      <c r="C2759" s="58" t="s">
        <v>838</v>
      </c>
      <c r="D2759" s="58">
        <v>-8</v>
      </c>
      <c r="E2759" s="58">
        <f>Valuation!K72</f>
        <v>0</v>
      </c>
      <c r="F2759" s="58" t="str">
        <f t="shared" si="5"/>
        <v>'Valuation'!K71</v>
      </c>
    </row>
    <row r="2760" spans="1:6">
      <c r="A2760" s="58" t="s">
        <v>829</v>
      </c>
      <c r="B2760" s="58" t="s">
        <v>3004</v>
      </c>
      <c r="C2760" s="58" t="s">
        <v>838</v>
      </c>
      <c r="D2760" s="58">
        <v>-7</v>
      </c>
      <c r="E2760" s="58">
        <f>Valuation!L72</f>
        <v>0</v>
      </c>
      <c r="F2760" s="58" t="str">
        <f t="shared" si="5"/>
        <v>'Valuation'!L71</v>
      </c>
    </row>
    <row r="2761" spans="1:6">
      <c r="A2761" s="58" t="s">
        <v>829</v>
      </c>
      <c r="B2761" s="58" t="s">
        <v>3005</v>
      </c>
      <c r="C2761" s="58" t="s">
        <v>838</v>
      </c>
      <c r="D2761" s="58">
        <v>-6</v>
      </c>
      <c r="E2761" s="58">
        <f>Valuation!M72</f>
        <v>78903</v>
      </c>
      <c r="F2761" s="58" t="str">
        <f t="shared" si="5"/>
        <v>'Valuation'!M71</v>
      </c>
    </row>
    <row r="2762" spans="1:6">
      <c r="A2762" s="58" t="s">
        <v>829</v>
      </c>
      <c r="B2762" s="58" t="s">
        <v>3006</v>
      </c>
      <c r="C2762" s="58" t="s">
        <v>838</v>
      </c>
      <c r="D2762" s="58">
        <v>-5</v>
      </c>
      <c r="E2762" s="58">
        <f>Valuation!N72</f>
        <v>1150337</v>
      </c>
      <c r="F2762" s="58" t="str">
        <f t="shared" si="5"/>
        <v>'Valuation'!N71</v>
      </c>
    </row>
    <row r="2763" spans="1:6">
      <c r="A2763" s="58" t="s">
        <v>829</v>
      </c>
      <c r="B2763" s="58" t="s">
        <v>3007</v>
      </c>
      <c r="C2763" s="58" t="s">
        <v>838</v>
      </c>
      <c r="D2763" s="58">
        <v>-4</v>
      </c>
      <c r="E2763" s="58">
        <f>Valuation!O72</f>
        <v>2451043</v>
      </c>
      <c r="F2763" s="58" t="str">
        <f t="shared" si="5"/>
        <v>'Valuation'!O71</v>
      </c>
    </row>
    <row r="2764" spans="1:6">
      <c r="A2764" s="58" t="s">
        <v>829</v>
      </c>
      <c r="B2764" s="58" t="s">
        <v>3008</v>
      </c>
      <c r="C2764" s="58" t="s">
        <v>838</v>
      </c>
      <c r="D2764" s="58">
        <v>-3</v>
      </c>
      <c r="E2764" s="58">
        <f>Valuation!P72</f>
        <v>925619</v>
      </c>
      <c r="F2764" s="58" t="str">
        <f t="shared" si="5"/>
        <v>'Valuation'!P71</v>
      </c>
    </row>
    <row r="2765" spans="1:6">
      <c r="A2765" s="58" t="s">
        <v>829</v>
      </c>
      <c r="B2765" s="58" t="s">
        <v>3009</v>
      </c>
      <c r="C2765" s="58" t="s">
        <v>838</v>
      </c>
      <c r="D2765" s="58">
        <v>-2</v>
      </c>
      <c r="E2765" s="58">
        <f>Valuation!Q72</f>
        <v>931555</v>
      </c>
      <c r="F2765" s="58" t="str">
        <f t="shared" si="5"/>
        <v>'Valuation'!Q71</v>
      </c>
    </row>
    <row r="2766" spans="1:6">
      <c r="A2766" s="58" t="s">
        <v>829</v>
      </c>
      <c r="B2766" s="58" t="s">
        <v>3010</v>
      </c>
      <c r="C2766" s="58" t="s">
        <v>838</v>
      </c>
      <c r="D2766" s="58">
        <v>-1</v>
      </c>
      <c r="E2766" s="58">
        <f>Valuation!R72</f>
        <v>839440</v>
      </c>
      <c r="F2766" s="58" t="str">
        <f t="shared" si="5"/>
        <v>'Valuation'!R71</v>
      </c>
    </row>
    <row r="2767" spans="1:6">
      <c r="A2767" s="58" t="s">
        <v>829</v>
      </c>
      <c r="B2767" s="58" t="s">
        <v>3011</v>
      </c>
      <c r="C2767" s="58" t="s">
        <v>838</v>
      </c>
      <c r="D2767" s="58">
        <v>1</v>
      </c>
      <c r="E2767" s="58">
        <f>Valuation!T72</f>
        <v>0</v>
      </c>
      <c r="F2767" s="58" t="str">
        <f t="shared" si="5"/>
        <v>'Valuation'!T71</v>
      </c>
    </row>
    <row r="2768" spans="1:6">
      <c r="A2768" s="58" t="s">
        <v>829</v>
      </c>
      <c r="B2768" s="58" t="s">
        <v>3012</v>
      </c>
      <c r="C2768" s="58" t="s">
        <v>838</v>
      </c>
      <c r="D2768" s="58">
        <v>2</v>
      </c>
      <c r="E2768" s="58">
        <f>Valuation!U72</f>
        <v>0</v>
      </c>
      <c r="F2768" s="58" t="str">
        <f t="shared" si="5"/>
        <v>'Valuation'!U71</v>
      </c>
    </row>
    <row r="2769" spans="1:6">
      <c r="A2769" s="58" t="s">
        <v>829</v>
      </c>
      <c r="B2769" s="58" t="s">
        <v>3013</v>
      </c>
      <c r="C2769" s="58" t="s">
        <v>838</v>
      </c>
      <c r="D2769" s="58">
        <v>3</v>
      </c>
      <c r="E2769" s="58">
        <f>Valuation!V72</f>
        <v>0</v>
      </c>
      <c r="F2769" s="58" t="str">
        <f t="shared" si="5"/>
        <v>'Valuation'!V71</v>
      </c>
    </row>
    <row r="2770" spans="1:6">
      <c r="A2770" s="58" t="s">
        <v>829</v>
      </c>
      <c r="B2770" s="58" t="s">
        <v>3014</v>
      </c>
      <c r="C2770" s="58" t="s">
        <v>838</v>
      </c>
      <c r="D2770" s="58">
        <v>4</v>
      </c>
      <c r="E2770" s="58">
        <f>Valuation!W72</f>
        <v>0</v>
      </c>
      <c r="F2770" s="58" t="str">
        <f t="shared" si="5"/>
        <v>'Valuation'!W71</v>
      </c>
    </row>
    <row r="2771" spans="1:6">
      <c r="A2771" s="58" t="s">
        <v>829</v>
      </c>
      <c r="B2771" s="58" t="s">
        <v>3015</v>
      </c>
      <c r="C2771" s="58" t="s">
        <v>838</v>
      </c>
      <c r="D2771" s="58">
        <v>5</v>
      </c>
      <c r="E2771" s="58">
        <f>Valuation!X72</f>
        <v>0</v>
      </c>
      <c r="F2771" s="58" t="str">
        <f t="shared" si="5"/>
        <v>'Valuation'!X71</v>
      </c>
    </row>
    <row r="2772" spans="1:6">
      <c r="A2772" s="58" t="s">
        <v>829</v>
      </c>
      <c r="B2772" s="58" t="s">
        <v>3016</v>
      </c>
      <c r="C2772" s="58" t="s">
        <v>838</v>
      </c>
      <c r="D2772" s="58">
        <v>6</v>
      </c>
      <c r="E2772" s="58">
        <f>Valuation!Y72</f>
        <v>0</v>
      </c>
      <c r="F2772" s="58" t="str">
        <f t="shared" si="5"/>
        <v>'Valuation'!Y71</v>
      </c>
    </row>
    <row r="2773" spans="1:6">
      <c r="A2773" s="58" t="s">
        <v>829</v>
      </c>
      <c r="B2773" s="58" t="s">
        <v>3017</v>
      </c>
      <c r="C2773" s="58" t="s">
        <v>838</v>
      </c>
      <c r="D2773" s="58">
        <v>7</v>
      </c>
      <c r="E2773" s="58">
        <f>Valuation!Z72</f>
        <v>0</v>
      </c>
      <c r="F2773" s="58" t="str">
        <f t="shared" si="5"/>
        <v>'Valuation'!Z71</v>
      </c>
    </row>
    <row r="2774" spans="1:6">
      <c r="A2774" s="58" t="s">
        <v>829</v>
      </c>
      <c r="B2774" s="58" t="s">
        <v>3018</v>
      </c>
      <c r="C2774" s="58" t="s">
        <v>838</v>
      </c>
      <c r="D2774" s="58">
        <v>8</v>
      </c>
      <c r="E2774" s="58">
        <f>Valuation!AA72</f>
        <v>0</v>
      </c>
      <c r="F2774" s="58" t="str">
        <f t="shared" si="5"/>
        <v>'Valuation'!AA71</v>
      </c>
    </row>
    <row r="2775" spans="1:6">
      <c r="A2775" s="58" t="s">
        <v>829</v>
      </c>
      <c r="B2775" s="58" t="s">
        <v>3019</v>
      </c>
      <c r="C2775" s="58" t="s">
        <v>838</v>
      </c>
      <c r="D2775" s="58">
        <v>9</v>
      </c>
      <c r="E2775" s="58">
        <f>Valuation!AB72</f>
        <v>0</v>
      </c>
      <c r="F2775" s="58" t="str">
        <f t="shared" si="5"/>
        <v>'Valuation'!AB71</v>
      </c>
    </row>
    <row r="2776" spans="1:6">
      <c r="A2776" s="58" t="s">
        <v>829</v>
      </c>
      <c r="B2776" s="58" t="s">
        <v>3020</v>
      </c>
      <c r="C2776" s="58" t="s">
        <v>838</v>
      </c>
      <c r="D2776" s="58">
        <v>0</v>
      </c>
      <c r="E2776" s="58">
        <f>Valuation!S72</f>
        <v>0</v>
      </c>
      <c r="F2776" s="58" t="str">
        <f t="shared" si="5"/>
        <v>'Valuation'!S71</v>
      </c>
    </row>
    <row r="2777" spans="1:6">
      <c r="A2777" s="58" t="s">
        <v>829</v>
      </c>
      <c r="B2777" s="58" t="s">
        <v>3089</v>
      </c>
      <c r="C2777" s="58" t="s">
        <v>1039</v>
      </c>
      <c r="D2777" s="58">
        <v>-11</v>
      </c>
      <c r="E2777" s="58">
        <f>Valuation!H85</f>
        <v>0</v>
      </c>
      <c r="F2777" s="58" t="str">
        <f t="shared" si="5"/>
        <v>'Valuation'!H84</v>
      </c>
    </row>
    <row r="2778" spans="1:6">
      <c r="A2778" s="58" t="s">
        <v>829</v>
      </c>
      <c r="B2778" s="58" t="s">
        <v>3090</v>
      </c>
      <c r="C2778" s="58" t="s">
        <v>1039</v>
      </c>
      <c r="D2778" s="58">
        <v>-10</v>
      </c>
      <c r="E2778" s="58">
        <f>Valuation!I85</f>
        <v>0</v>
      </c>
      <c r="F2778" s="58" t="str">
        <f t="shared" si="5"/>
        <v>'Valuation'!I84</v>
      </c>
    </row>
    <row r="2779" spans="1:6">
      <c r="A2779" s="58" t="s">
        <v>829</v>
      </c>
      <c r="B2779" s="58" t="s">
        <v>3091</v>
      </c>
      <c r="C2779" s="58" t="s">
        <v>1039</v>
      </c>
      <c r="D2779" s="58">
        <v>-9</v>
      </c>
      <c r="E2779" s="58">
        <f>Valuation!J85</f>
        <v>0</v>
      </c>
      <c r="F2779" s="58" t="str">
        <f t="shared" si="5"/>
        <v>'Valuation'!J84</v>
      </c>
    </row>
    <row r="2780" spans="1:6">
      <c r="A2780" s="58" t="s">
        <v>829</v>
      </c>
      <c r="B2780" s="58" t="s">
        <v>3092</v>
      </c>
      <c r="C2780" s="58" t="s">
        <v>1039</v>
      </c>
      <c r="D2780" s="58">
        <v>-8</v>
      </c>
      <c r="E2780" s="58">
        <f>Valuation!K85</f>
        <v>0</v>
      </c>
      <c r="F2780" s="58" t="str">
        <f t="shared" si="5"/>
        <v>'Valuation'!K84</v>
      </c>
    </row>
    <row r="2781" spans="1:6">
      <c r="A2781" s="58" t="s">
        <v>829</v>
      </c>
      <c r="B2781" s="58" t="s">
        <v>3093</v>
      </c>
      <c r="C2781" s="58" t="s">
        <v>1039</v>
      </c>
      <c r="D2781" s="58">
        <v>-7</v>
      </c>
      <c r="E2781" s="58">
        <f>Valuation!L85</f>
        <v>0</v>
      </c>
      <c r="F2781" s="58" t="str">
        <f t="shared" si="5"/>
        <v>'Valuation'!L84</v>
      </c>
    </row>
    <row r="2782" spans="1:6">
      <c r="A2782" s="58" t="s">
        <v>829</v>
      </c>
      <c r="B2782" s="58" t="s">
        <v>3094</v>
      </c>
      <c r="C2782" s="58" t="s">
        <v>1039</v>
      </c>
      <c r="D2782" s="58">
        <v>-6</v>
      </c>
      <c r="E2782" s="58">
        <f>Valuation!M85</f>
        <v>433334</v>
      </c>
      <c r="F2782" s="58" t="str">
        <f t="shared" si="5"/>
        <v>'Valuation'!M84</v>
      </c>
    </row>
    <row r="2783" spans="1:6">
      <c r="A2783" s="58" t="s">
        <v>829</v>
      </c>
      <c r="B2783" s="58" t="s">
        <v>3095</v>
      </c>
      <c r="C2783" s="58" t="s">
        <v>1039</v>
      </c>
      <c r="D2783" s="58">
        <v>-5</v>
      </c>
      <c r="E2783" s="58">
        <f>Valuation!N85</f>
        <v>1940500</v>
      </c>
      <c r="F2783" s="58" t="str">
        <f t="shared" si="5"/>
        <v>'Valuation'!N84</v>
      </c>
    </row>
    <row r="2784" spans="1:6">
      <c r="A2784" s="58" t="s">
        <v>829</v>
      </c>
      <c r="B2784" s="58" t="s">
        <v>3096</v>
      </c>
      <c r="C2784" s="58" t="s">
        <v>1039</v>
      </c>
      <c r="D2784" s="58">
        <v>-4</v>
      </c>
      <c r="E2784" s="58">
        <f>Valuation!O85</f>
        <v>1826113</v>
      </c>
      <c r="F2784" s="58" t="str">
        <f t="shared" si="5"/>
        <v>'Valuation'!O84</v>
      </c>
    </row>
    <row r="2785" spans="1:6">
      <c r="A2785" s="58" t="s">
        <v>829</v>
      </c>
      <c r="B2785" s="58" t="s">
        <v>3097</v>
      </c>
      <c r="C2785" s="58" t="s">
        <v>1039</v>
      </c>
      <c r="D2785" s="58">
        <v>-3</v>
      </c>
      <c r="E2785" s="58">
        <f>Valuation!P85</f>
        <v>2085043</v>
      </c>
      <c r="F2785" s="58" t="str">
        <f t="shared" si="5"/>
        <v>'Valuation'!P84</v>
      </c>
    </row>
    <row r="2786" spans="1:6">
      <c r="A2786" s="58" t="s">
        <v>829</v>
      </c>
      <c r="B2786" s="58" t="s">
        <v>3098</v>
      </c>
      <c r="C2786" s="58" t="s">
        <v>1039</v>
      </c>
      <c r="D2786" s="58">
        <v>-2</v>
      </c>
      <c r="E2786" s="58">
        <f>Valuation!Q85</f>
        <v>3042744</v>
      </c>
      <c r="F2786" s="58" t="str">
        <f t="shared" si="5"/>
        <v>'Valuation'!Q84</v>
      </c>
    </row>
    <row r="2787" spans="1:6">
      <c r="A2787" s="58" t="s">
        <v>829</v>
      </c>
      <c r="B2787" s="58" t="s">
        <v>3099</v>
      </c>
      <c r="C2787" s="58" t="s">
        <v>1039</v>
      </c>
      <c r="D2787" s="58">
        <v>-1</v>
      </c>
      <c r="E2787" s="58">
        <f>Valuation!R85</f>
        <v>2829068</v>
      </c>
      <c r="F2787" s="58" t="str">
        <f t="shared" si="5"/>
        <v>'Valuation'!R84</v>
      </c>
    </row>
    <row r="2788" spans="1:6">
      <c r="A2788" s="58" t="s">
        <v>829</v>
      </c>
      <c r="B2788" s="58" t="s">
        <v>3100</v>
      </c>
      <c r="C2788" s="58" t="s">
        <v>1039</v>
      </c>
      <c r="D2788" s="58">
        <v>1</v>
      </c>
      <c r="E2788" s="58">
        <f>Valuation!T85</f>
        <v>3119047.47</v>
      </c>
      <c r="F2788" s="58" t="str">
        <f t="shared" si="5"/>
        <v>'Valuation'!T84</v>
      </c>
    </row>
    <row r="2789" spans="1:6">
      <c r="A2789" s="58" t="s">
        <v>829</v>
      </c>
      <c r="B2789" s="58" t="s">
        <v>3101</v>
      </c>
      <c r="C2789" s="58" t="s">
        <v>1039</v>
      </c>
      <c r="D2789" s="58">
        <v>2</v>
      </c>
      <c r="E2789" s="58">
        <f>Valuation!U85</f>
        <v>3274999.8435000004</v>
      </c>
      <c r="F2789" s="58" t="str">
        <f t="shared" si="5"/>
        <v>'Valuation'!U84</v>
      </c>
    </row>
    <row r="2790" spans="1:6">
      <c r="A2790" s="58" t="s">
        <v>829</v>
      </c>
      <c r="B2790" s="58" t="s">
        <v>3102</v>
      </c>
      <c r="C2790" s="58" t="s">
        <v>1039</v>
      </c>
      <c r="D2790" s="58">
        <v>3</v>
      </c>
      <c r="E2790" s="58">
        <f>Valuation!V85</f>
        <v>3438749.8356750007</v>
      </c>
      <c r="F2790" s="58" t="str">
        <f t="shared" si="5"/>
        <v>'Valuation'!V84</v>
      </c>
    </row>
    <row r="2791" spans="1:6">
      <c r="A2791" s="58" t="s">
        <v>829</v>
      </c>
      <c r="B2791" s="58" t="s">
        <v>3103</v>
      </c>
      <c r="C2791" s="58" t="s">
        <v>1039</v>
      </c>
      <c r="D2791" s="58">
        <v>4</v>
      </c>
      <c r="E2791" s="58">
        <f>Valuation!W85</f>
        <v>3610687.3274587509</v>
      </c>
      <c r="F2791" s="58" t="str">
        <f t="shared" si="5"/>
        <v>'Valuation'!W84</v>
      </c>
    </row>
    <row r="2792" spans="1:6">
      <c r="A2792" s="58" t="s">
        <v>829</v>
      </c>
      <c r="B2792" s="58" t="s">
        <v>3104</v>
      </c>
      <c r="C2792" s="58" t="s">
        <v>1039</v>
      </c>
      <c r="D2792" s="58">
        <v>5</v>
      </c>
      <c r="E2792" s="58">
        <f>Valuation!X85</f>
        <v>3791221.6938316887</v>
      </c>
      <c r="F2792" s="58" t="str">
        <f t="shared" si="5"/>
        <v>'Valuation'!X84</v>
      </c>
    </row>
    <row r="2793" spans="1:6">
      <c r="A2793" s="58" t="s">
        <v>829</v>
      </c>
      <c r="B2793" s="58" t="s">
        <v>3105</v>
      </c>
      <c r="C2793" s="58" t="s">
        <v>1039</v>
      </c>
      <c r="D2793" s="58">
        <v>6</v>
      </c>
      <c r="E2793" s="58">
        <f>Valuation!Y85</f>
        <v>3980782.7785232733</v>
      </c>
      <c r="F2793" s="58" t="str">
        <f t="shared" si="5"/>
        <v>'Valuation'!Y84</v>
      </c>
    </row>
    <row r="2794" spans="1:6">
      <c r="A2794" s="58" t="s">
        <v>829</v>
      </c>
      <c r="B2794" s="58" t="s">
        <v>3106</v>
      </c>
      <c r="C2794" s="58" t="s">
        <v>1039</v>
      </c>
      <c r="D2794" s="58">
        <v>7</v>
      </c>
      <c r="E2794" s="58">
        <f>Valuation!Z85</f>
        <v>4179821.9174494371</v>
      </c>
      <c r="F2794" s="58" t="str">
        <f t="shared" si="5"/>
        <v>'Valuation'!Z84</v>
      </c>
    </row>
    <row r="2795" spans="1:6">
      <c r="A2795" s="58" t="s">
        <v>829</v>
      </c>
      <c r="B2795" s="58" t="s">
        <v>3107</v>
      </c>
      <c r="C2795" s="58" t="s">
        <v>1039</v>
      </c>
      <c r="D2795" s="58">
        <v>8</v>
      </c>
      <c r="E2795" s="58">
        <f>Valuation!AA85</f>
        <v>4388813.0133219091</v>
      </c>
      <c r="F2795" s="58" t="str">
        <f t="shared" si="5"/>
        <v>'Valuation'!AA84</v>
      </c>
    </row>
    <row r="2796" spans="1:6">
      <c r="A2796" s="58" t="s">
        <v>829</v>
      </c>
      <c r="B2796" s="58" t="s">
        <v>3108</v>
      </c>
      <c r="C2796" s="58" t="s">
        <v>1039</v>
      </c>
      <c r="D2796" s="58">
        <v>9</v>
      </c>
      <c r="E2796" s="58">
        <f>Valuation!AB85</f>
        <v>4608253.6639880044</v>
      </c>
      <c r="F2796" s="58" t="str">
        <f t="shared" si="5"/>
        <v>'Valuation'!AB84</v>
      </c>
    </row>
    <row r="2797" spans="1:6">
      <c r="A2797" s="58" t="s">
        <v>829</v>
      </c>
      <c r="B2797" s="58" t="s">
        <v>3109</v>
      </c>
      <c r="C2797" s="58" t="s">
        <v>1039</v>
      </c>
      <c r="D2797" s="58">
        <v>0</v>
      </c>
      <c r="E2797" s="58">
        <f>Valuation!S85</f>
        <v>2970521.4</v>
      </c>
      <c r="F2797" s="58" t="str">
        <f t="shared" si="5"/>
        <v>'Valuation'!S84</v>
      </c>
    </row>
    <row r="2798" spans="1:6">
      <c r="A2798" s="58" t="s">
        <v>829</v>
      </c>
      <c r="B2798" s="58" t="s">
        <v>3021</v>
      </c>
      <c r="C2798" s="58" t="s">
        <v>1038</v>
      </c>
      <c r="D2798" s="58">
        <v>-11</v>
      </c>
      <c r="E2798" s="58">
        <f>Valuation!H91</f>
        <v>0</v>
      </c>
      <c r="F2798" s="58" t="str">
        <f t="shared" si="5"/>
        <v>'Valuation'!H90</v>
      </c>
    </row>
    <row r="2799" spans="1:6">
      <c r="A2799" s="58" t="s">
        <v>829</v>
      </c>
      <c r="B2799" s="58" t="s">
        <v>3022</v>
      </c>
      <c r="C2799" s="58" t="s">
        <v>1038</v>
      </c>
      <c r="D2799" s="58">
        <v>-10</v>
      </c>
      <c r="E2799" s="58">
        <f>Valuation!I91</f>
        <v>0</v>
      </c>
      <c r="F2799" s="58" t="str">
        <f t="shared" si="5"/>
        <v>'Valuation'!I90</v>
      </c>
    </row>
    <row r="2800" spans="1:6">
      <c r="A2800" s="58" t="s">
        <v>829</v>
      </c>
      <c r="B2800" s="58" t="s">
        <v>3023</v>
      </c>
      <c r="C2800" s="58" t="s">
        <v>1038</v>
      </c>
      <c r="D2800" s="58">
        <v>-9</v>
      </c>
      <c r="E2800" s="58">
        <f>Valuation!J91</f>
        <v>0</v>
      </c>
      <c r="F2800" s="58" t="str">
        <f t="shared" si="5"/>
        <v>'Valuation'!J90</v>
      </c>
    </row>
    <row r="2801" spans="1:6">
      <c r="A2801" s="58" t="s">
        <v>829</v>
      </c>
      <c r="B2801" s="58" t="s">
        <v>3024</v>
      </c>
      <c r="C2801" s="58" t="s">
        <v>1038</v>
      </c>
      <c r="D2801" s="58">
        <v>-8</v>
      </c>
      <c r="E2801" s="58">
        <f>Valuation!K91</f>
        <v>0</v>
      </c>
      <c r="F2801" s="58" t="str">
        <f t="shared" si="5"/>
        <v>'Valuation'!K90</v>
      </c>
    </row>
    <row r="2802" spans="1:6">
      <c r="A2802" s="58" t="s">
        <v>829</v>
      </c>
      <c r="B2802" s="58" t="s">
        <v>3025</v>
      </c>
      <c r="C2802" s="58" t="s">
        <v>1038</v>
      </c>
      <c r="D2802" s="58">
        <v>-7</v>
      </c>
      <c r="E2802" s="58">
        <f>Valuation!L91</f>
        <v>0</v>
      </c>
      <c r="F2802" s="58" t="str">
        <f t="shared" si="5"/>
        <v>'Valuation'!L90</v>
      </c>
    </row>
    <row r="2803" spans="1:6">
      <c r="A2803" s="58" t="s">
        <v>829</v>
      </c>
      <c r="B2803" s="58" t="s">
        <v>3026</v>
      </c>
      <c r="C2803" s="58" t="s">
        <v>1038</v>
      </c>
      <c r="D2803" s="58">
        <v>-6</v>
      </c>
      <c r="E2803" s="58">
        <f>Valuation!M91</f>
        <v>0</v>
      </c>
      <c r="F2803" s="58" t="str">
        <f t="shared" si="5"/>
        <v>'Valuation'!M90</v>
      </c>
    </row>
    <row r="2804" spans="1:6">
      <c r="A2804" s="58" t="s">
        <v>829</v>
      </c>
      <c r="B2804" s="58" t="s">
        <v>3027</v>
      </c>
      <c r="C2804" s="58" t="s">
        <v>1038</v>
      </c>
      <c r="D2804" s="58">
        <v>-5</v>
      </c>
      <c r="E2804" s="58">
        <f>Valuation!N91</f>
        <v>0</v>
      </c>
      <c r="F2804" s="58" t="str">
        <f t="shared" si="5"/>
        <v>'Valuation'!N90</v>
      </c>
    </row>
    <row r="2805" spans="1:6">
      <c r="A2805" s="58" t="s">
        <v>829</v>
      </c>
      <c r="B2805" s="58" t="s">
        <v>3028</v>
      </c>
      <c r="C2805" s="58" t="s">
        <v>1038</v>
      </c>
      <c r="D2805" s="58">
        <v>-4</v>
      </c>
      <c r="E2805" s="58">
        <f>Valuation!O91</f>
        <v>14828</v>
      </c>
      <c r="F2805" s="58" t="str">
        <f t="shared" si="5"/>
        <v>'Valuation'!O90</v>
      </c>
    </row>
    <row r="2806" spans="1:6">
      <c r="A2806" s="58" t="s">
        <v>829</v>
      </c>
      <c r="B2806" s="58" t="s">
        <v>3029</v>
      </c>
      <c r="C2806" s="58" t="s">
        <v>1038</v>
      </c>
      <c r="D2806" s="58">
        <v>-3</v>
      </c>
      <c r="E2806" s="58">
        <f>Valuation!P91</f>
        <v>19531</v>
      </c>
      <c r="F2806" s="58" t="str">
        <f t="shared" si="5"/>
        <v>'Valuation'!P90</v>
      </c>
    </row>
    <row r="2807" spans="1:6">
      <c r="A2807" s="58" t="s">
        <v>829</v>
      </c>
      <c r="B2807" s="58" t="s">
        <v>3030</v>
      </c>
      <c r="C2807" s="58" t="s">
        <v>1038</v>
      </c>
      <c r="D2807" s="58">
        <v>-2</v>
      </c>
      <c r="E2807" s="58">
        <f>Valuation!Q91</f>
        <v>89708</v>
      </c>
      <c r="F2807" s="58" t="str">
        <f t="shared" si="5"/>
        <v>'Valuation'!Q90</v>
      </c>
    </row>
    <row r="2808" spans="1:6">
      <c r="A2808" s="58" t="s">
        <v>829</v>
      </c>
      <c r="B2808" s="58" t="s">
        <v>3031</v>
      </c>
      <c r="C2808" s="58" t="s">
        <v>1038</v>
      </c>
      <c r="D2808" s="58">
        <v>-1</v>
      </c>
      <c r="E2808" s="58">
        <f>Valuation!R91</f>
        <v>240458</v>
      </c>
      <c r="F2808" s="58" t="str">
        <f t="shared" si="5"/>
        <v>'Valuation'!R90</v>
      </c>
    </row>
    <row r="2809" spans="1:6">
      <c r="A2809" s="58" t="s">
        <v>829</v>
      </c>
      <c r="B2809" s="58" t="s">
        <v>3032</v>
      </c>
      <c r="C2809" s="58" t="s">
        <v>1038</v>
      </c>
      <c r="D2809" s="58">
        <v>1</v>
      </c>
      <c r="E2809" s="58">
        <f>Valuation!T91</f>
        <v>250172.50320000001</v>
      </c>
      <c r="F2809" s="58" t="str">
        <f t="shared" si="5"/>
        <v>'Valuation'!T90</v>
      </c>
    </row>
    <row r="2810" spans="1:6">
      <c r="A2810" s="58" t="s">
        <v>829</v>
      </c>
      <c r="B2810" s="58" t="s">
        <v>3033</v>
      </c>
      <c r="C2810" s="58" t="s">
        <v>1038</v>
      </c>
      <c r="D2810" s="58">
        <v>2</v>
      </c>
      <c r="E2810" s="58">
        <f>Valuation!U91</f>
        <v>255175.95326400001</v>
      </c>
      <c r="F2810" s="58" t="str">
        <f t="shared" si="5"/>
        <v>'Valuation'!U90</v>
      </c>
    </row>
    <row r="2811" spans="1:6">
      <c r="A2811" s="58" t="s">
        <v>829</v>
      </c>
      <c r="B2811" s="58" t="s">
        <v>3034</v>
      </c>
      <c r="C2811" s="58" t="s">
        <v>1038</v>
      </c>
      <c r="D2811" s="58">
        <v>3</v>
      </c>
      <c r="E2811" s="58">
        <f>Valuation!V91</f>
        <v>260279.47232928002</v>
      </c>
      <c r="F2811" s="58" t="str">
        <f t="shared" si="5"/>
        <v>'Valuation'!V90</v>
      </c>
    </row>
    <row r="2812" spans="1:6">
      <c r="A2812" s="58" t="s">
        <v>829</v>
      </c>
      <c r="B2812" s="58" t="s">
        <v>3035</v>
      </c>
      <c r="C2812" s="58" t="s">
        <v>1038</v>
      </c>
      <c r="D2812" s="58">
        <v>4</v>
      </c>
      <c r="E2812" s="58">
        <f>Valuation!W91</f>
        <v>265485.06177586562</v>
      </c>
      <c r="F2812" s="58" t="str">
        <f t="shared" si="5"/>
        <v>'Valuation'!W90</v>
      </c>
    </row>
    <row r="2813" spans="1:6">
      <c r="A2813" s="58" t="s">
        <v>829</v>
      </c>
      <c r="B2813" s="58" t="s">
        <v>3036</v>
      </c>
      <c r="C2813" s="58" t="s">
        <v>1038</v>
      </c>
      <c r="D2813" s="58">
        <v>5</v>
      </c>
      <c r="E2813" s="58">
        <f>Valuation!X91</f>
        <v>270794.76301138295</v>
      </c>
      <c r="F2813" s="58" t="str">
        <f t="shared" si="5"/>
        <v>'Valuation'!X90</v>
      </c>
    </row>
    <row r="2814" spans="1:6">
      <c r="A2814" s="58" t="s">
        <v>829</v>
      </c>
      <c r="B2814" s="58" t="s">
        <v>3037</v>
      </c>
      <c r="C2814" s="58" t="s">
        <v>1038</v>
      </c>
      <c r="D2814" s="58">
        <v>6</v>
      </c>
      <c r="E2814" s="58">
        <f>Valuation!Y91</f>
        <v>276210.65827161062</v>
      </c>
      <c r="F2814" s="58" t="str">
        <f t="shared" si="5"/>
        <v>'Valuation'!Y90</v>
      </c>
    </row>
    <row r="2815" spans="1:6">
      <c r="A2815" s="58" t="s">
        <v>829</v>
      </c>
      <c r="B2815" s="58" t="s">
        <v>3038</v>
      </c>
      <c r="C2815" s="58" t="s">
        <v>1038</v>
      </c>
      <c r="D2815" s="58">
        <v>7</v>
      </c>
      <c r="E2815" s="58">
        <f>Valuation!Z91</f>
        <v>281734.87143704284</v>
      </c>
      <c r="F2815" s="58" t="str">
        <f t="shared" si="5"/>
        <v>'Valuation'!Z90</v>
      </c>
    </row>
    <row r="2816" spans="1:6">
      <c r="A2816" s="58" t="s">
        <v>829</v>
      </c>
      <c r="B2816" s="58" t="s">
        <v>3039</v>
      </c>
      <c r="C2816" s="58" t="s">
        <v>1038</v>
      </c>
      <c r="D2816" s="58">
        <v>8</v>
      </c>
      <c r="E2816" s="58">
        <f>Valuation!AA91</f>
        <v>287369.56886578369</v>
      </c>
      <c r="F2816" s="58" t="str">
        <f t="shared" si="5"/>
        <v>'Valuation'!AA90</v>
      </c>
    </row>
    <row r="2817" spans="1:6">
      <c r="A2817" s="58" t="s">
        <v>829</v>
      </c>
      <c r="B2817" s="58" t="s">
        <v>3040</v>
      </c>
      <c r="C2817" s="58" t="s">
        <v>1038</v>
      </c>
      <c r="D2817" s="58">
        <v>9</v>
      </c>
      <c r="E2817" s="58">
        <f>Valuation!AB91</f>
        <v>293116.96024309937</v>
      </c>
      <c r="F2817" s="58" t="str">
        <f t="shared" si="5"/>
        <v>'Valuation'!AB90</v>
      </c>
    </row>
    <row r="2818" spans="1:6">
      <c r="A2818" s="58" t="s">
        <v>829</v>
      </c>
      <c r="B2818" s="58" t="s">
        <v>3041</v>
      </c>
      <c r="C2818" s="58" t="s">
        <v>1038</v>
      </c>
      <c r="D2818" s="58">
        <v>0</v>
      </c>
      <c r="E2818" s="58">
        <f>Valuation!S91</f>
        <v>245267.16</v>
      </c>
      <c r="F2818" s="58" t="str">
        <f t="shared" si="5"/>
        <v>'Valuation'!S90</v>
      </c>
    </row>
    <row r="2819" spans="1:6">
      <c r="A2819" s="58" t="s">
        <v>829</v>
      </c>
      <c r="B2819" s="58" t="s">
        <v>1891</v>
      </c>
      <c r="C2819" s="58" t="s">
        <v>3042</v>
      </c>
      <c r="D2819" s="58">
        <v>0</v>
      </c>
      <c r="E2819" s="58">
        <f ca="1">Valuation!S24</f>
        <v>867577.59048379795</v>
      </c>
      <c r="F2819" s="58" t="str">
        <f t="shared" ref="F2819:F2882" si="6">"'"&amp;A2819&amp;"'"&amp;"!"&amp;B2819</f>
        <v>'Valuation'!S24</v>
      </c>
    </row>
    <row r="2820" spans="1:6">
      <c r="A2820" s="58" t="s">
        <v>829</v>
      </c>
      <c r="B2820" s="58" t="s">
        <v>1870</v>
      </c>
      <c r="C2820" s="58" t="s">
        <v>3042</v>
      </c>
      <c r="D2820" s="58">
        <v>-11</v>
      </c>
      <c r="E2820" s="58">
        <f>Valuation!H24</f>
        <v>0</v>
      </c>
      <c r="F2820" s="58" t="str">
        <f t="shared" si="6"/>
        <v>'Valuation'!H24</v>
      </c>
    </row>
    <row r="2821" spans="1:6">
      <c r="A2821" s="58" t="s">
        <v>829</v>
      </c>
      <c r="B2821" s="58" t="s">
        <v>1872</v>
      </c>
      <c r="C2821" s="58" t="s">
        <v>3042</v>
      </c>
      <c r="D2821" s="58">
        <v>-10</v>
      </c>
      <c r="E2821" s="58">
        <f>Valuation!I24</f>
        <v>0</v>
      </c>
      <c r="F2821" s="58" t="str">
        <f t="shared" si="6"/>
        <v>'Valuation'!I24</v>
      </c>
    </row>
    <row r="2822" spans="1:6">
      <c r="A2822" s="58" t="s">
        <v>829</v>
      </c>
      <c r="B2822" s="58" t="s">
        <v>1873</v>
      </c>
      <c r="C2822" s="58" t="s">
        <v>3042</v>
      </c>
      <c r="D2822" s="58">
        <v>-9</v>
      </c>
      <c r="E2822" s="58">
        <f>Valuation!J24</f>
        <v>0</v>
      </c>
      <c r="F2822" s="58" t="str">
        <f t="shared" si="6"/>
        <v>'Valuation'!J24</v>
      </c>
    </row>
    <row r="2823" spans="1:6">
      <c r="A2823" s="58" t="s">
        <v>829</v>
      </c>
      <c r="B2823" s="58" t="s">
        <v>1874</v>
      </c>
      <c r="C2823" s="58" t="s">
        <v>3042</v>
      </c>
      <c r="D2823" s="58">
        <v>-8</v>
      </c>
      <c r="E2823" s="58">
        <f>Valuation!K24</f>
        <v>0</v>
      </c>
      <c r="F2823" s="58" t="str">
        <f t="shared" si="6"/>
        <v>'Valuation'!K24</v>
      </c>
    </row>
    <row r="2824" spans="1:6">
      <c r="A2824" s="58" t="s">
        <v>829</v>
      </c>
      <c r="B2824" s="58" t="s">
        <v>1875</v>
      </c>
      <c r="C2824" s="58" t="s">
        <v>3042</v>
      </c>
      <c r="D2824" s="58">
        <v>-7</v>
      </c>
      <c r="E2824" s="58">
        <f>Valuation!L24</f>
        <v>0</v>
      </c>
      <c r="F2824" s="58" t="str">
        <f t="shared" si="6"/>
        <v>'Valuation'!L24</v>
      </c>
    </row>
    <row r="2825" spans="1:6">
      <c r="A2825" s="58" t="s">
        <v>829</v>
      </c>
      <c r="B2825" s="58" t="s">
        <v>1876</v>
      </c>
      <c r="C2825" s="58" t="s">
        <v>3042</v>
      </c>
      <c r="D2825" s="58">
        <v>-6</v>
      </c>
      <c r="E2825" s="58">
        <f>Valuation!M24</f>
        <v>408951</v>
      </c>
      <c r="F2825" s="58" t="str">
        <f t="shared" si="6"/>
        <v>'Valuation'!M24</v>
      </c>
    </row>
    <row r="2826" spans="1:6">
      <c r="A2826" s="58" t="s">
        <v>829</v>
      </c>
      <c r="B2826" s="58" t="s">
        <v>1877</v>
      </c>
      <c r="C2826" s="58" t="s">
        <v>3042</v>
      </c>
      <c r="D2826" s="58">
        <v>-5</v>
      </c>
      <c r="E2826" s="58">
        <f>Valuation!N24</f>
        <v>3076570</v>
      </c>
      <c r="F2826" s="58" t="str">
        <f t="shared" si="6"/>
        <v>'Valuation'!N24</v>
      </c>
    </row>
    <row r="2827" spans="1:6">
      <c r="A2827" s="58" t="s">
        <v>829</v>
      </c>
      <c r="B2827" s="58" t="s">
        <v>1878</v>
      </c>
      <c r="C2827" s="58" t="s">
        <v>3042</v>
      </c>
      <c r="D2827" s="58">
        <v>-4</v>
      </c>
      <c r="E2827" s="58">
        <f>Valuation!O24</f>
        <v>-2710208</v>
      </c>
      <c r="F2827" s="58" t="str">
        <f t="shared" si="6"/>
        <v>'Valuation'!O24</v>
      </c>
    </row>
    <row r="2828" spans="1:6">
      <c r="A2828" s="58" t="s">
        <v>829</v>
      </c>
      <c r="B2828" s="58" t="s">
        <v>1879</v>
      </c>
      <c r="C2828" s="58" t="s">
        <v>3042</v>
      </c>
      <c r="D2828" s="58">
        <v>-3</v>
      </c>
      <c r="E2828" s="58">
        <f>Valuation!P24</f>
        <v>-161662</v>
      </c>
      <c r="F2828" s="58" t="str">
        <f t="shared" si="6"/>
        <v>'Valuation'!P24</v>
      </c>
    </row>
    <row r="2829" spans="1:6">
      <c r="A2829" s="58" t="s">
        <v>829</v>
      </c>
      <c r="B2829" s="58" t="s">
        <v>1880</v>
      </c>
      <c r="C2829" s="58" t="s">
        <v>3042</v>
      </c>
      <c r="D2829" s="58">
        <v>-2</v>
      </c>
      <c r="E2829" s="58">
        <f>Valuation!Q24</f>
        <v>2307160</v>
      </c>
      <c r="F2829" s="58" t="str">
        <f t="shared" si="6"/>
        <v>'Valuation'!Q24</v>
      </c>
    </row>
    <row r="2830" spans="1:6">
      <c r="A2830" s="58" t="s">
        <v>829</v>
      </c>
      <c r="B2830" s="58" t="s">
        <v>1881</v>
      </c>
      <c r="C2830" s="58" t="s">
        <v>3042</v>
      </c>
      <c r="D2830" s="58">
        <v>-1</v>
      </c>
      <c r="E2830" s="58">
        <f>Valuation!R24</f>
        <v>1435441</v>
      </c>
      <c r="F2830" s="58" t="str">
        <f t="shared" si="6"/>
        <v>'Valuation'!R24</v>
      </c>
    </row>
    <row r="2831" spans="1:6">
      <c r="A2831" s="58" t="s">
        <v>829</v>
      </c>
      <c r="B2831" s="58" t="s">
        <v>1882</v>
      </c>
      <c r="C2831" s="58" t="s">
        <v>3042</v>
      </c>
      <c r="D2831" s="58">
        <v>1</v>
      </c>
      <c r="E2831" s="58" t="e">
        <f ca="1">Valuation!T24</f>
        <v>#NAME?</v>
      </c>
      <c r="F2831" s="58" t="str">
        <f t="shared" si="6"/>
        <v>'Valuation'!T24</v>
      </c>
    </row>
    <row r="2832" spans="1:6">
      <c r="A2832" s="58" t="s">
        <v>829</v>
      </c>
      <c r="B2832" s="58" t="s">
        <v>1883</v>
      </c>
      <c r="C2832" s="58" t="s">
        <v>3042</v>
      </c>
      <c r="D2832" s="58">
        <v>2</v>
      </c>
      <c r="E2832" s="58" t="e">
        <f ca="1">Valuation!U24</f>
        <v>#NAME?</v>
      </c>
      <c r="F2832" s="58" t="str">
        <f t="shared" si="6"/>
        <v>'Valuation'!U24</v>
      </c>
    </row>
    <row r="2833" spans="1:6">
      <c r="A2833" s="58" t="s">
        <v>829</v>
      </c>
      <c r="B2833" s="58" t="s">
        <v>1884</v>
      </c>
      <c r="C2833" s="58" t="s">
        <v>3042</v>
      </c>
      <c r="D2833" s="58">
        <v>3</v>
      </c>
      <c r="E2833" s="58" t="e">
        <f ca="1">Valuation!V24</f>
        <v>#NAME?</v>
      </c>
      <c r="F2833" s="58" t="str">
        <f t="shared" si="6"/>
        <v>'Valuation'!V24</v>
      </c>
    </row>
    <row r="2834" spans="1:6">
      <c r="A2834" s="58" t="s">
        <v>829</v>
      </c>
      <c r="B2834" s="58" t="s">
        <v>1885</v>
      </c>
      <c r="C2834" s="58" t="s">
        <v>3042</v>
      </c>
      <c r="D2834" s="58">
        <v>4</v>
      </c>
      <c r="E2834" s="58" t="e">
        <f ca="1">Valuation!W24</f>
        <v>#NAME?</v>
      </c>
      <c r="F2834" s="58" t="str">
        <f t="shared" si="6"/>
        <v>'Valuation'!W24</v>
      </c>
    </row>
    <row r="2835" spans="1:6">
      <c r="A2835" s="58" t="s">
        <v>829</v>
      </c>
      <c r="B2835" s="58" t="s">
        <v>1886</v>
      </c>
      <c r="C2835" s="58" t="s">
        <v>3042</v>
      </c>
      <c r="D2835" s="58">
        <v>5</v>
      </c>
      <c r="E2835" s="58" t="e">
        <f ca="1">Valuation!X24</f>
        <v>#NAME?</v>
      </c>
      <c r="F2835" s="58" t="str">
        <f t="shared" si="6"/>
        <v>'Valuation'!X24</v>
      </c>
    </row>
    <row r="2836" spans="1:6">
      <c r="A2836" s="58" t="s">
        <v>829</v>
      </c>
      <c r="B2836" s="58" t="s">
        <v>1887</v>
      </c>
      <c r="C2836" s="58" t="s">
        <v>3042</v>
      </c>
      <c r="D2836" s="58">
        <v>6</v>
      </c>
      <c r="E2836" s="58" t="e">
        <f ca="1">Valuation!Y24</f>
        <v>#NAME?</v>
      </c>
      <c r="F2836" s="58" t="str">
        <f t="shared" si="6"/>
        <v>'Valuation'!Y24</v>
      </c>
    </row>
    <row r="2837" spans="1:6">
      <c r="A2837" s="58" t="s">
        <v>829</v>
      </c>
      <c r="B2837" s="58" t="s">
        <v>1888</v>
      </c>
      <c r="C2837" s="58" t="s">
        <v>3042</v>
      </c>
      <c r="D2837" s="58">
        <v>7</v>
      </c>
      <c r="E2837" s="58" t="e">
        <f ca="1">Valuation!Z24</f>
        <v>#NAME?</v>
      </c>
      <c r="F2837" s="58" t="str">
        <f t="shared" si="6"/>
        <v>'Valuation'!Z24</v>
      </c>
    </row>
    <row r="2838" spans="1:6">
      <c r="A2838" s="58" t="s">
        <v>829</v>
      </c>
      <c r="B2838" s="58" t="s">
        <v>1889</v>
      </c>
      <c r="C2838" s="58" t="s">
        <v>3042</v>
      </c>
      <c r="D2838" s="58">
        <v>8</v>
      </c>
      <c r="E2838" s="58" t="e">
        <f ca="1">Valuation!AA24</f>
        <v>#NAME?</v>
      </c>
      <c r="F2838" s="58" t="str">
        <f t="shared" si="6"/>
        <v>'Valuation'!AA24</v>
      </c>
    </row>
    <row r="2839" spans="1:6">
      <c r="A2839" s="58" t="s">
        <v>829</v>
      </c>
      <c r="B2839" s="58" t="s">
        <v>1890</v>
      </c>
      <c r="C2839" s="58" t="s">
        <v>3042</v>
      </c>
      <c r="D2839" s="58">
        <v>9</v>
      </c>
      <c r="E2839" s="58" t="e">
        <f ca="1">Valuation!AB24</f>
        <v>#NAME?</v>
      </c>
      <c r="F2839" s="58" t="str">
        <f t="shared" si="6"/>
        <v>'Valuation'!AB24</v>
      </c>
    </row>
    <row r="2840" spans="1:6">
      <c r="A2840" s="58" t="s">
        <v>829</v>
      </c>
      <c r="B2840" s="58" t="s">
        <v>2443</v>
      </c>
      <c r="C2840" s="58" t="s">
        <v>3043</v>
      </c>
      <c r="D2840" s="58">
        <v>0</v>
      </c>
      <c r="E2840" s="58">
        <f ca="1">Valuation!S28</f>
        <v>867577.59048379795</v>
      </c>
      <c r="F2840" s="58" t="str">
        <f t="shared" si="6"/>
        <v>'Valuation'!S28</v>
      </c>
    </row>
    <row r="2841" spans="1:6">
      <c r="A2841" s="58" t="s">
        <v>829</v>
      </c>
      <c r="B2841" s="58" t="s">
        <v>2445</v>
      </c>
      <c r="C2841" s="58" t="s">
        <v>3043</v>
      </c>
      <c r="D2841" s="58">
        <v>-11</v>
      </c>
      <c r="E2841" s="58">
        <f>Valuation!H28</f>
        <v>0</v>
      </c>
      <c r="F2841" s="58" t="str">
        <f t="shared" si="6"/>
        <v>'Valuation'!H28</v>
      </c>
    </row>
    <row r="2842" spans="1:6">
      <c r="A2842" s="58" t="s">
        <v>829</v>
      </c>
      <c r="B2842" s="58" t="s">
        <v>2446</v>
      </c>
      <c r="C2842" s="58" t="s">
        <v>3043</v>
      </c>
      <c r="D2842" s="58">
        <v>-10</v>
      </c>
      <c r="E2842" s="58">
        <f>Valuation!I28</f>
        <v>0</v>
      </c>
      <c r="F2842" s="58" t="str">
        <f t="shared" si="6"/>
        <v>'Valuation'!I28</v>
      </c>
    </row>
    <row r="2843" spans="1:6">
      <c r="A2843" s="58" t="s">
        <v>829</v>
      </c>
      <c r="B2843" s="58" t="s">
        <v>2447</v>
      </c>
      <c r="C2843" s="58" t="s">
        <v>3043</v>
      </c>
      <c r="D2843" s="58">
        <v>-9</v>
      </c>
      <c r="E2843" s="58">
        <f>Valuation!J28</f>
        <v>0</v>
      </c>
      <c r="F2843" s="58" t="str">
        <f t="shared" si="6"/>
        <v>'Valuation'!J28</v>
      </c>
    </row>
    <row r="2844" spans="1:6">
      <c r="A2844" s="58" t="s">
        <v>829</v>
      </c>
      <c r="B2844" s="58" t="s">
        <v>2448</v>
      </c>
      <c r="C2844" s="58" t="s">
        <v>3043</v>
      </c>
      <c r="D2844" s="58">
        <v>-8</v>
      </c>
      <c r="E2844" s="58">
        <f>Valuation!K28</f>
        <v>0</v>
      </c>
      <c r="F2844" s="58" t="str">
        <f t="shared" si="6"/>
        <v>'Valuation'!K28</v>
      </c>
    </row>
    <row r="2845" spans="1:6">
      <c r="A2845" s="58" t="s">
        <v>829</v>
      </c>
      <c r="B2845" s="58" t="s">
        <v>2449</v>
      </c>
      <c r="C2845" s="58" t="s">
        <v>3043</v>
      </c>
      <c r="D2845" s="58">
        <v>-7</v>
      </c>
      <c r="E2845" s="58">
        <f>Valuation!L28</f>
        <v>0</v>
      </c>
      <c r="F2845" s="58" t="str">
        <f t="shared" si="6"/>
        <v>'Valuation'!L28</v>
      </c>
    </row>
    <row r="2846" spans="1:6">
      <c r="A2846" s="58" t="s">
        <v>829</v>
      </c>
      <c r="B2846" s="58" t="s">
        <v>2450</v>
      </c>
      <c r="C2846" s="58" t="s">
        <v>3043</v>
      </c>
      <c r="D2846" s="58">
        <v>-6</v>
      </c>
      <c r="E2846" s="58">
        <f>Valuation!M28</f>
        <v>406069</v>
      </c>
      <c r="F2846" s="58" t="str">
        <f t="shared" si="6"/>
        <v>'Valuation'!M28</v>
      </c>
    </row>
    <row r="2847" spans="1:6">
      <c r="A2847" s="58" t="s">
        <v>829</v>
      </c>
      <c r="B2847" s="58" t="s">
        <v>2451</v>
      </c>
      <c r="C2847" s="58" t="s">
        <v>3043</v>
      </c>
      <c r="D2847" s="58">
        <v>-5</v>
      </c>
      <c r="E2847" s="58">
        <f>Valuation!N28</f>
        <v>3056107</v>
      </c>
      <c r="F2847" s="58" t="str">
        <f t="shared" si="6"/>
        <v>'Valuation'!N28</v>
      </c>
    </row>
    <row r="2848" spans="1:6">
      <c r="A2848" s="58" t="s">
        <v>829</v>
      </c>
      <c r="B2848" s="58" t="s">
        <v>2452</v>
      </c>
      <c r="C2848" s="58" t="s">
        <v>3043</v>
      </c>
      <c r="D2848" s="58">
        <v>-4</v>
      </c>
      <c r="E2848" s="58">
        <f>Valuation!O28</f>
        <v>-2975681</v>
      </c>
      <c r="F2848" s="58" t="str">
        <f t="shared" si="6"/>
        <v>'Valuation'!O28</v>
      </c>
    </row>
    <row r="2849" spans="1:6">
      <c r="A2849" s="58" t="s">
        <v>829</v>
      </c>
      <c r="B2849" s="58" t="s">
        <v>2453</v>
      </c>
      <c r="C2849" s="58" t="s">
        <v>3043</v>
      </c>
      <c r="D2849" s="58">
        <v>-3</v>
      </c>
      <c r="E2849" s="58">
        <f>Valuation!P28</f>
        <v>5921</v>
      </c>
      <c r="F2849" s="58" t="str">
        <f t="shared" si="6"/>
        <v>'Valuation'!P28</v>
      </c>
    </row>
    <row r="2850" spans="1:6">
      <c r="A2850" s="58" t="s">
        <v>829</v>
      </c>
      <c r="B2850" s="58" t="s">
        <v>2454</v>
      </c>
      <c r="C2850" s="58" t="s">
        <v>3043</v>
      </c>
      <c r="D2850" s="58">
        <v>-2</v>
      </c>
      <c r="E2850" s="58">
        <f>Valuation!Q28</f>
        <v>3023289</v>
      </c>
      <c r="F2850" s="58" t="str">
        <f t="shared" si="6"/>
        <v>'Valuation'!Q28</v>
      </c>
    </row>
    <row r="2851" spans="1:6">
      <c r="A2851" s="58" t="s">
        <v>829</v>
      </c>
      <c r="B2851" s="58" t="s">
        <v>2455</v>
      </c>
      <c r="C2851" s="58" t="s">
        <v>3043</v>
      </c>
      <c r="D2851" s="58">
        <v>-1</v>
      </c>
      <c r="E2851" s="58">
        <f>Valuation!R28</f>
        <v>1607478</v>
      </c>
      <c r="F2851" s="58" t="str">
        <f t="shared" si="6"/>
        <v>'Valuation'!R28</v>
      </c>
    </row>
    <row r="2852" spans="1:6">
      <c r="A2852" s="58" t="s">
        <v>829</v>
      </c>
      <c r="B2852" s="58" t="s">
        <v>2456</v>
      </c>
      <c r="C2852" s="58" t="s">
        <v>3043</v>
      </c>
      <c r="D2852" s="58">
        <v>1</v>
      </c>
      <c r="E2852" s="58" t="e">
        <f ca="1">Valuation!T28</f>
        <v>#NAME?</v>
      </c>
      <c r="F2852" s="58" t="str">
        <f t="shared" si="6"/>
        <v>'Valuation'!T28</v>
      </c>
    </row>
    <row r="2853" spans="1:6">
      <c r="A2853" s="58" t="s">
        <v>829</v>
      </c>
      <c r="B2853" s="58" t="s">
        <v>2457</v>
      </c>
      <c r="C2853" s="58" t="s">
        <v>3043</v>
      </c>
      <c r="D2853" s="58">
        <v>2</v>
      </c>
      <c r="E2853" s="58" t="e">
        <f ca="1">Valuation!U28</f>
        <v>#NAME?</v>
      </c>
      <c r="F2853" s="58" t="str">
        <f t="shared" si="6"/>
        <v>'Valuation'!U28</v>
      </c>
    </row>
    <row r="2854" spans="1:6">
      <c r="A2854" s="58" t="s">
        <v>829</v>
      </c>
      <c r="B2854" s="58" t="s">
        <v>2458</v>
      </c>
      <c r="C2854" s="58" t="s">
        <v>3043</v>
      </c>
      <c r="D2854" s="58">
        <v>3</v>
      </c>
      <c r="E2854" s="58" t="e">
        <f ca="1">Valuation!V28</f>
        <v>#NAME?</v>
      </c>
      <c r="F2854" s="58" t="str">
        <f t="shared" si="6"/>
        <v>'Valuation'!V28</v>
      </c>
    </row>
    <row r="2855" spans="1:6">
      <c r="A2855" s="58" t="s">
        <v>829</v>
      </c>
      <c r="B2855" s="58" t="s">
        <v>2459</v>
      </c>
      <c r="C2855" s="58" t="s">
        <v>3043</v>
      </c>
      <c r="D2855" s="58">
        <v>4</v>
      </c>
      <c r="E2855" s="58" t="e">
        <f ca="1">Valuation!W28</f>
        <v>#NAME?</v>
      </c>
      <c r="F2855" s="58" t="str">
        <f t="shared" si="6"/>
        <v>'Valuation'!W28</v>
      </c>
    </row>
    <row r="2856" spans="1:6">
      <c r="A2856" s="58" t="s">
        <v>829</v>
      </c>
      <c r="B2856" s="58" t="s">
        <v>2460</v>
      </c>
      <c r="C2856" s="58" t="s">
        <v>3043</v>
      </c>
      <c r="D2856" s="58">
        <v>5</v>
      </c>
      <c r="E2856" s="58" t="e">
        <f ca="1">Valuation!X28</f>
        <v>#NAME?</v>
      </c>
      <c r="F2856" s="58" t="str">
        <f t="shared" si="6"/>
        <v>'Valuation'!X28</v>
      </c>
    </row>
    <row r="2857" spans="1:6">
      <c r="A2857" s="58" t="s">
        <v>829</v>
      </c>
      <c r="B2857" s="58" t="s">
        <v>2461</v>
      </c>
      <c r="C2857" s="58" t="s">
        <v>3043</v>
      </c>
      <c r="D2857" s="58">
        <v>6</v>
      </c>
      <c r="E2857" s="58" t="e">
        <f ca="1">Valuation!Y28</f>
        <v>#NAME?</v>
      </c>
      <c r="F2857" s="58" t="str">
        <f t="shared" si="6"/>
        <v>'Valuation'!Y28</v>
      </c>
    </row>
    <row r="2858" spans="1:6">
      <c r="A2858" s="58" t="s">
        <v>829</v>
      </c>
      <c r="B2858" s="58" t="s">
        <v>2462</v>
      </c>
      <c r="C2858" s="58" t="s">
        <v>3043</v>
      </c>
      <c r="D2858" s="58">
        <v>7</v>
      </c>
      <c r="E2858" s="58" t="e">
        <f ca="1">Valuation!Z28</f>
        <v>#NAME?</v>
      </c>
      <c r="F2858" s="58" t="str">
        <f t="shared" si="6"/>
        <v>'Valuation'!Z28</v>
      </c>
    </row>
    <row r="2859" spans="1:6">
      <c r="A2859" s="58" t="s">
        <v>829</v>
      </c>
      <c r="B2859" s="58" t="s">
        <v>2463</v>
      </c>
      <c r="C2859" s="58" t="s">
        <v>3043</v>
      </c>
      <c r="D2859" s="58">
        <v>8</v>
      </c>
      <c r="E2859" s="58" t="e">
        <f ca="1">Valuation!AA28</f>
        <v>#NAME?</v>
      </c>
      <c r="F2859" s="58" t="str">
        <f t="shared" si="6"/>
        <v>'Valuation'!AA28</v>
      </c>
    </row>
    <row r="2860" spans="1:6">
      <c r="A2860" s="58" t="s">
        <v>829</v>
      </c>
      <c r="B2860" s="58" t="s">
        <v>2464</v>
      </c>
      <c r="C2860" s="58" t="s">
        <v>3043</v>
      </c>
      <c r="D2860" s="58">
        <v>9</v>
      </c>
      <c r="E2860" s="58" t="e">
        <f ca="1">Valuation!AB28</f>
        <v>#NAME?</v>
      </c>
      <c r="F2860" s="58" t="str">
        <f t="shared" si="6"/>
        <v>'Valuation'!AB28</v>
      </c>
    </row>
    <row r="2861" spans="1:6">
      <c r="A2861" s="58" t="s">
        <v>829</v>
      </c>
      <c r="B2861" s="58" t="s">
        <v>1913</v>
      </c>
      <c r="C2861" s="58" t="s">
        <v>3044</v>
      </c>
      <c r="D2861" s="58">
        <v>0</v>
      </c>
      <c r="E2861" s="58">
        <f ca="1">Valuation!S25</f>
        <v>0.12752398069360274</v>
      </c>
      <c r="F2861" s="58" t="str">
        <f t="shared" si="6"/>
        <v>'Valuation'!S25</v>
      </c>
    </row>
    <row r="2862" spans="1:6">
      <c r="A2862" s="58" t="s">
        <v>829</v>
      </c>
      <c r="B2862" s="58" t="s">
        <v>1892</v>
      </c>
      <c r="C2862" s="58" t="s">
        <v>3044</v>
      </c>
      <c r="D2862" s="58">
        <v>-11</v>
      </c>
      <c r="E2862" s="58">
        <f>Valuation!H25</f>
        <v>0</v>
      </c>
      <c r="F2862" s="58" t="str">
        <f t="shared" si="6"/>
        <v>'Valuation'!H25</v>
      </c>
    </row>
    <row r="2863" spans="1:6">
      <c r="A2863" s="58" t="s">
        <v>829</v>
      </c>
      <c r="B2863" s="58" t="s">
        <v>1894</v>
      </c>
      <c r="C2863" s="58" t="s">
        <v>3044</v>
      </c>
      <c r="D2863" s="58">
        <v>-10</v>
      </c>
      <c r="E2863" s="58">
        <f>Valuation!I25</f>
        <v>0</v>
      </c>
      <c r="F2863" s="58" t="str">
        <f t="shared" si="6"/>
        <v>'Valuation'!I25</v>
      </c>
    </row>
    <row r="2864" spans="1:6">
      <c r="A2864" s="58" t="s">
        <v>829</v>
      </c>
      <c r="B2864" s="58" t="s">
        <v>1895</v>
      </c>
      <c r="C2864" s="58" t="s">
        <v>3044</v>
      </c>
      <c r="D2864" s="58">
        <v>-9</v>
      </c>
      <c r="E2864" s="58">
        <f>Valuation!J25</f>
        <v>0</v>
      </c>
      <c r="F2864" s="58" t="str">
        <f t="shared" si="6"/>
        <v>'Valuation'!J25</v>
      </c>
    </row>
    <row r="2865" spans="1:6">
      <c r="A2865" s="58" t="s">
        <v>829</v>
      </c>
      <c r="B2865" s="58" t="s">
        <v>1896</v>
      </c>
      <c r="C2865" s="58" t="s">
        <v>3044</v>
      </c>
      <c r="D2865" s="58">
        <v>-8</v>
      </c>
      <c r="E2865" s="58">
        <f>Valuation!K25</f>
        <v>0</v>
      </c>
      <c r="F2865" s="58" t="str">
        <f t="shared" si="6"/>
        <v>'Valuation'!K25</v>
      </c>
    </row>
    <row r="2866" spans="1:6">
      <c r="A2866" s="58" t="s">
        <v>829</v>
      </c>
      <c r="B2866" s="58" t="s">
        <v>1897</v>
      </c>
      <c r="C2866" s="58" t="s">
        <v>3044</v>
      </c>
      <c r="D2866" s="58">
        <v>-7</v>
      </c>
      <c r="E2866" s="58">
        <f>Valuation!L25</f>
        <v>0</v>
      </c>
      <c r="F2866" s="58" t="str">
        <f t="shared" si="6"/>
        <v>'Valuation'!L25</v>
      </c>
    </row>
    <row r="2867" spans="1:6">
      <c r="A2867" s="58" t="s">
        <v>829</v>
      </c>
      <c r="B2867" s="58" t="s">
        <v>1898</v>
      </c>
      <c r="C2867" s="58" t="s">
        <v>3044</v>
      </c>
      <c r="D2867" s="58">
        <v>-6</v>
      </c>
      <c r="E2867" s="58">
        <f>Valuation!M25</f>
        <v>0.32012296073287977</v>
      </c>
      <c r="F2867" s="58" t="str">
        <f t="shared" si="6"/>
        <v>'Valuation'!M25</v>
      </c>
    </row>
    <row r="2868" spans="1:6">
      <c r="A2868" s="58" t="s">
        <v>829</v>
      </c>
      <c r="B2868" s="58" t="s">
        <v>1899</v>
      </c>
      <c r="C2868" s="58" t="s">
        <v>3044</v>
      </c>
      <c r="D2868" s="58">
        <v>-5</v>
      </c>
      <c r="E2868" s="58">
        <f>Valuation!N25</f>
        <v>0.3924474745913103</v>
      </c>
      <c r="F2868" s="58" t="str">
        <f t="shared" si="6"/>
        <v>'Valuation'!N25</v>
      </c>
    </row>
    <row r="2869" spans="1:6">
      <c r="A2869" s="58" t="s">
        <v>829</v>
      </c>
      <c r="B2869" s="58" t="s">
        <v>1900</v>
      </c>
      <c r="C2869" s="58" t="s">
        <v>3044</v>
      </c>
      <c r="D2869" s="58">
        <v>-4</v>
      </c>
      <c r="E2869" s="58">
        <f>Valuation!O25</f>
        <v>-0.84847574109137536</v>
      </c>
      <c r="F2869" s="58" t="str">
        <f t="shared" si="6"/>
        <v>'Valuation'!O25</v>
      </c>
    </row>
    <row r="2870" spans="1:6">
      <c r="A2870" s="58" t="s">
        <v>829</v>
      </c>
      <c r="B2870" s="58" t="s">
        <v>1901</v>
      </c>
      <c r="C2870" s="58" t="s">
        <v>3044</v>
      </c>
      <c r="D2870" s="58">
        <v>-3</v>
      </c>
      <c r="E2870" s="58">
        <f>Valuation!P25</f>
        <v>-5.20083915013047E-2</v>
      </c>
      <c r="F2870" s="58" t="str">
        <f t="shared" si="6"/>
        <v>'Valuation'!P25</v>
      </c>
    </row>
    <row r="2871" spans="1:6">
      <c r="A2871" s="58" t="s">
        <v>829</v>
      </c>
      <c r="B2871" s="58" t="s">
        <v>1902</v>
      </c>
      <c r="C2871" s="58" t="s">
        <v>3044</v>
      </c>
      <c r="D2871" s="58">
        <v>-2</v>
      </c>
      <c r="E2871" s="58">
        <f>Valuation!Q25</f>
        <v>0.35148539890445318</v>
      </c>
      <c r="F2871" s="58" t="str">
        <f t="shared" si="6"/>
        <v>'Valuation'!Q25</v>
      </c>
    </row>
    <row r="2872" spans="1:6">
      <c r="A2872" s="58" t="s">
        <v>829</v>
      </c>
      <c r="B2872" s="58" t="s">
        <v>1903</v>
      </c>
      <c r="C2872" s="58" t="s">
        <v>3044</v>
      </c>
      <c r="D2872" s="58">
        <v>-1</v>
      </c>
      <c r="E2872" s="58">
        <f>Valuation!R25</f>
        <v>0.19988525794334611</v>
      </c>
      <c r="F2872" s="58" t="str">
        <f t="shared" si="6"/>
        <v>'Valuation'!R25</v>
      </c>
    </row>
    <row r="2873" spans="1:6">
      <c r="A2873" s="58" t="s">
        <v>829</v>
      </c>
      <c r="B2873" s="58" t="s">
        <v>1904</v>
      </c>
      <c r="C2873" s="58" t="s">
        <v>3044</v>
      </c>
      <c r="D2873" s="58">
        <v>1</v>
      </c>
      <c r="E2873" s="58" t="e">
        <f ca="1">Valuation!T25</f>
        <v>#NAME?</v>
      </c>
      <c r="F2873" s="58" t="str">
        <f t="shared" si="6"/>
        <v>'Valuation'!T25</v>
      </c>
    </row>
    <row r="2874" spans="1:6">
      <c r="A2874" s="58" t="s">
        <v>829</v>
      </c>
      <c r="B2874" s="58" t="s">
        <v>1905</v>
      </c>
      <c r="C2874" s="58" t="s">
        <v>3044</v>
      </c>
      <c r="D2874" s="58">
        <v>2</v>
      </c>
      <c r="E2874" s="58" t="e">
        <f ca="1">Valuation!U25</f>
        <v>#NAME?</v>
      </c>
      <c r="F2874" s="58" t="str">
        <f t="shared" si="6"/>
        <v>'Valuation'!U25</v>
      </c>
    </row>
    <row r="2875" spans="1:6">
      <c r="A2875" s="58" t="s">
        <v>829</v>
      </c>
      <c r="B2875" s="58" t="s">
        <v>1906</v>
      </c>
      <c r="C2875" s="58" t="s">
        <v>3044</v>
      </c>
      <c r="D2875" s="58">
        <v>3</v>
      </c>
      <c r="E2875" s="58" t="e">
        <f ca="1">Valuation!V25</f>
        <v>#NAME?</v>
      </c>
      <c r="F2875" s="58" t="str">
        <f t="shared" si="6"/>
        <v>'Valuation'!V25</v>
      </c>
    </row>
    <row r="2876" spans="1:6">
      <c r="A2876" s="58" t="s">
        <v>829</v>
      </c>
      <c r="B2876" s="58" t="s">
        <v>1907</v>
      </c>
      <c r="C2876" s="58" t="s">
        <v>3044</v>
      </c>
      <c r="D2876" s="58">
        <v>4</v>
      </c>
      <c r="E2876" s="58" t="e">
        <f ca="1">Valuation!W25</f>
        <v>#NAME?</v>
      </c>
      <c r="F2876" s="58" t="str">
        <f t="shared" si="6"/>
        <v>'Valuation'!W25</v>
      </c>
    </row>
    <row r="2877" spans="1:6">
      <c r="A2877" s="58" t="s">
        <v>829</v>
      </c>
      <c r="B2877" s="58" t="s">
        <v>1908</v>
      </c>
      <c r="C2877" s="58" t="s">
        <v>3044</v>
      </c>
      <c r="D2877" s="58">
        <v>5</v>
      </c>
      <c r="E2877" s="58" t="e">
        <f ca="1">Valuation!X25</f>
        <v>#NAME?</v>
      </c>
      <c r="F2877" s="58" t="str">
        <f t="shared" si="6"/>
        <v>'Valuation'!X25</v>
      </c>
    </row>
    <row r="2878" spans="1:6">
      <c r="A2878" s="58" t="s">
        <v>829</v>
      </c>
      <c r="B2878" s="58" t="s">
        <v>1909</v>
      </c>
      <c r="C2878" s="58" t="s">
        <v>3044</v>
      </c>
      <c r="D2878" s="58">
        <v>6</v>
      </c>
      <c r="E2878" s="58" t="e">
        <f ca="1">Valuation!Y25</f>
        <v>#NAME?</v>
      </c>
      <c r="F2878" s="58" t="str">
        <f t="shared" si="6"/>
        <v>'Valuation'!Y25</v>
      </c>
    </row>
    <row r="2879" spans="1:6">
      <c r="A2879" s="58" t="s">
        <v>829</v>
      </c>
      <c r="B2879" s="58" t="s">
        <v>1910</v>
      </c>
      <c r="C2879" s="58" t="s">
        <v>3044</v>
      </c>
      <c r="D2879" s="58">
        <v>7</v>
      </c>
      <c r="E2879" s="58" t="e">
        <f ca="1">Valuation!Z25</f>
        <v>#NAME?</v>
      </c>
      <c r="F2879" s="58" t="str">
        <f t="shared" si="6"/>
        <v>'Valuation'!Z25</v>
      </c>
    </row>
    <row r="2880" spans="1:6">
      <c r="A2880" s="58" t="s">
        <v>829</v>
      </c>
      <c r="B2880" s="58" t="s">
        <v>1911</v>
      </c>
      <c r="C2880" s="58" t="s">
        <v>3044</v>
      </c>
      <c r="D2880" s="58">
        <v>8</v>
      </c>
      <c r="E2880" s="58" t="e">
        <f ca="1">Valuation!AA25</f>
        <v>#NAME?</v>
      </c>
      <c r="F2880" s="58" t="str">
        <f t="shared" si="6"/>
        <v>'Valuation'!AA25</v>
      </c>
    </row>
    <row r="2881" spans="1:6">
      <c r="A2881" s="58" t="s">
        <v>829</v>
      </c>
      <c r="B2881" s="58" t="s">
        <v>1912</v>
      </c>
      <c r="C2881" s="58" t="s">
        <v>3044</v>
      </c>
      <c r="D2881" s="58">
        <v>9</v>
      </c>
      <c r="E2881" s="58" t="e">
        <f ca="1">Valuation!AB25</f>
        <v>#NAME?</v>
      </c>
      <c r="F2881" s="58" t="str">
        <f t="shared" si="6"/>
        <v>'Valuation'!AB25</v>
      </c>
    </row>
    <row r="2882" spans="1:6">
      <c r="A2882" s="58" t="s">
        <v>829</v>
      </c>
      <c r="B2882" s="58" t="s">
        <v>3241</v>
      </c>
      <c r="C2882" s="58" t="s">
        <v>1191</v>
      </c>
      <c r="D2882" s="58" t="s">
        <v>1138</v>
      </c>
      <c r="E2882" s="58">
        <f>Valuation!R113</f>
        <v>0</v>
      </c>
      <c r="F2882" s="58" t="str">
        <f t="shared" si="6"/>
        <v>'Valuation'!R113</v>
      </c>
    </row>
    <row r="2883" spans="1:6">
      <c r="A2883" s="58" t="s">
        <v>829</v>
      </c>
      <c r="B2883" s="58" t="s">
        <v>3241</v>
      </c>
      <c r="C2883" s="58" t="s">
        <v>1192</v>
      </c>
      <c r="D2883" s="58" t="s">
        <v>1138</v>
      </c>
      <c r="E2883" s="58">
        <f>Valuation!R113</f>
        <v>0</v>
      </c>
      <c r="F2883" s="58" t="str">
        <f t="shared" ref="F2883:F2946" si="7">"'"&amp;A2883&amp;"'"&amp;"!"&amp;B2883</f>
        <v>'Valuation'!R113</v>
      </c>
    </row>
    <row r="2884" spans="1:6">
      <c r="A2884" s="58" t="s">
        <v>829</v>
      </c>
      <c r="B2884" s="58" t="s">
        <v>3045</v>
      </c>
      <c r="C2884" s="58" t="s">
        <v>3046</v>
      </c>
      <c r="D2884" s="58">
        <v>0</v>
      </c>
      <c r="E2884" s="58">
        <f>Valuation!S193</f>
        <v>0</v>
      </c>
      <c r="F2884" s="58" t="str">
        <f t="shared" si="7"/>
        <v>'Valuation'!S193</v>
      </c>
    </row>
    <row r="2885" spans="1:6">
      <c r="A2885" s="58" t="s">
        <v>829</v>
      </c>
      <c r="B2885" s="58" t="s">
        <v>3047</v>
      </c>
      <c r="C2885" s="58" t="s">
        <v>3046</v>
      </c>
      <c r="D2885" s="58">
        <v>-11</v>
      </c>
      <c r="E2885" s="58">
        <f>Valuation!H193</f>
        <v>0</v>
      </c>
      <c r="F2885" s="58" t="str">
        <f t="shared" si="7"/>
        <v>'Valuation'!H193</v>
      </c>
    </row>
    <row r="2886" spans="1:6">
      <c r="A2886" s="58" t="s">
        <v>829</v>
      </c>
      <c r="B2886" s="58" t="s">
        <v>3048</v>
      </c>
      <c r="C2886" s="58" t="s">
        <v>3046</v>
      </c>
      <c r="D2886" s="58">
        <v>-10</v>
      </c>
      <c r="E2886" s="58">
        <f>Valuation!I193</f>
        <v>0</v>
      </c>
      <c r="F2886" s="58" t="str">
        <f t="shared" si="7"/>
        <v>'Valuation'!I193</v>
      </c>
    </row>
    <row r="2887" spans="1:6">
      <c r="A2887" s="58" t="s">
        <v>829</v>
      </c>
      <c r="B2887" s="58" t="s">
        <v>3049</v>
      </c>
      <c r="C2887" s="58" t="s">
        <v>3046</v>
      </c>
      <c r="D2887" s="58">
        <v>-9</v>
      </c>
      <c r="E2887" s="58">
        <f>Valuation!J193</f>
        <v>0</v>
      </c>
      <c r="F2887" s="58" t="str">
        <f t="shared" si="7"/>
        <v>'Valuation'!J193</v>
      </c>
    </row>
    <row r="2888" spans="1:6">
      <c r="A2888" s="58" t="s">
        <v>829</v>
      </c>
      <c r="B2888" s="58" t="s">
        <v>3050</v>
      </c>
      <c r="C2888" s="58" t="s">
        <v>3046</v>
      </c>
      <c r="D2888" s="58">
        <v>-8</v>
      </c>
      <c r="E2888" s="58">
        <f>Valuation!K193</f>
        <v>0</v>
      </c>
      <c r="F2888" s="58" t="str">
        <f t="shared" si="7"/>
        <v>'Valuation'!K193</v>
      </c>
    </row>
    <row r="2889" spans="1:6">
      <c r="A2889" s="58" t="s">
        <v>829</v>
      </c>
      <c r="B2889" s="58" t="s">
        <v>3051</v>
      </c>
      <c r="C2889" s="58" t="s">
        <v>3046</v>
      </c>
      <c r="D2889" s="58">
        <v>-7</v>
      </c>
      <c r="E2889" s="58">
        <f>Valuation!L193</f>
        <v>0</v>
      </c>
      <c r="F2889" s="58" t="str">
        <f t="shared" si="7"/>
        <v>'Valuation'!L193</v>
      </c>
    </row>
    <row r="2890" spans="1:6">
      <c r="A2890" s="58" t="s">
        <v>829</v>
      </c>
      <c r="B2890" s="58" t="s">
        <v>3052</v>
      </c>
      <c r="C2890" s="58" t="s">
        <v>3046</v>
      </c>
      <c r="D2890" s="58">
        <v>-6</v>
      </c>
      <c r="E2890" s="58">
        <f>Valuation!M193</f>
        <v>0</v>
      </c>
      <c r="F2890" s="58" t="str">
        <f t="shared" si="7"/>
        <v>'Valuation'!M193</v>
      </c>
    </row>
    <row r="2891" spans="1:6">
      <c r="A2891" s="58" t="s">
        <v>829</v>
      </c>
      <c r="B2891" s="58" t="s">
        <v>3053</v>
      </c>
      <c r="C2891" s="58" t="s">
        <v>3046</v>
      </c>
      <c r="D2891" s="58">
        <v>-5</v>
      </c>
      <c r="E2891" s="58">
        <f>Valuation!N193</f>
        <v>0</v>
      </c>
      <c r="F2891" s="58" t="str">
        <f t="shared" si="7"/>
        <v>'Valuation'!N193</v>
      </c>
    </row>
    <row r="2892" spans="1:6">
      <c r="A2892" s="58" t="s">
        <v>829</v>
      </c>
      <c r="B2892" s="58" t="s">
        <v>3054</v>
      </c>
      <c r="C2892" s="58" t="s">
        <v>3046</v>
      </c>
      <c r="D2892" s="58">
        <v>-4</v>
      </c>
      <c r="E2892" s="58">
        <f>Valuation!O193</f>
        <v>0</v>
      </c>
      <c r="F2892" s="58" t="str">
        <f t="shared" si="7"/>
        <v>'Valuation'!O193</v>
      </c>
    </row>
    <row r="2893" spans="1:6">
      <c r="A2893" s="58" t="s">
        <v>829</v>
      </c>
      <c r="B2893" s="58" t="s">
        <v>3055</v>
      </c>
      <c r="C2893" s="58" t="s">
        <v>3046</v>
      </c>
      <c r="D2893" s="58">
        <v>-3</v>
      </c>
      <c r="E2893" s="58">
        <f>Valuation!P193</f>
        <v>0</v>
      </c>
      <c r="F2893" s="58" t="str">
        <f t="shared" si="7"/>
        <v>'Valuation'!P193</v>
      </c>
    </row>
    <row r="2894" spans="1:6">
      <c r="A2894" s="58" t="s">
        <v>829</v>
      </c>
      <c r="B2894" s="58" t="s">
        <v>3056</v>
      </c>
      <c r="C2894" s="58" t="s">
        <v>3046</v>
      </c>
      <c r="D2894" s="58">
        <v>-2</v>
      </c>
      <c r="E2894" s="58">
        <f>Valuation!Q193</f>
        <v>0</v>
      </c>
      <c r="F2894" s="58" t="str">
        <f t="shared" si="7"/>
        <v>'Valuation'!Q193</v>
      </c>
    </row>
    <row r="2895" spans="1:6">
      <c r="A2895" s="58" t="s">
        <v>829</v>
      </c>
      <c r="B2895" s="58" t="s">
        <v>3057</v>
      </c>
      <c r="C2895" s="58" t="s">
        <v>3046</v>
      </c>
      <c r="D2895" s="58">
        <v>-1</v>
      </c>
      <c r="E2895" s="58">
        <f>Valuation!R193</f>
        <v>0</v>
      </c>
      <c r="F2895" s="58" t="str">
        <f t="shared" si="7"/>
        <v>'Valuation'!R193</v>
      </c>
    </row>
    <row r="2896" spans="1:6">
      <c r="A2896" s="58" t="s">
        <v>829</v>
      </c>
      <c r="B2896" s="58" t="s">
        <v>3058</v>
      </c>
      <c r="C2896" s="58" t="s">
        <v>3046</v>
      </c>
      <c r="D2896" s="58">
        <v>1</v>
      </c>
      <c r="E2896" s="58">
        <f>Valuation!T193</f>
        <v>0</v>
      </c>
      <c r="F2896" s="58" t="str">
        <f t="shared" si="7"/>
        <v>'Valuation'!T193</v>
      </c>
    </row>
    <row r="2897" spans="1:6">
      <c r="A2897" s="58" t="s">
        <v>829</v>
      </c>
      <c r="B2897" s="58" t="s">
        <v>3059</v>
      </c>
      <c r="C2897" s="58" t="s">
        <v>3046</v>
      </c>
      <c r="D2897" s="58">
        <v>2</v>
      </c>
      <c r="E2897" s="58">
        <f>Valuation!U193</f>
        <v>0</v>
      </c>
      <c r="F2897" s="58" t="str">
        <f t="shared" si="7"/>
        <v>'Valuation'!U193</v>
      </c>
    </row>
    <row r="2898" spans="1:6">
      <c r="A2898" s="58" t="s">
        <v>829</v>
      </c>
      <c r="B2898" s="58" t="s">
        <v>3060</v>
      </c>
      <c r="C2898" s="58" t="s">
        <v>3046</v>
      </c>
      <c r="D2898" s="58">
        <v>3</v>
      </c>
      <c r="E2898" s="58">
        <f>Valuation!V193</f>
        <v>0</v>
      </c>
      <c r="F2898" s="58" t="str">
        <f t="shared" si="7"/>
        <v>'Valuation'!V193</v>
      </c>
    </row>
    <row r="2899" spans="1:6">
      <c r="A2899" s="58" t="s">
        <v>829</v>
      </c>
      <c r="B2899" s="58" t="s">
        <v>3061</v>
      </c>
      <c r="C2899" s="58" t="s">
        <v>3046</v>
      </c>
      <c r="D2899" s="58">
        <v>4</v>
      </c>
      <c r="E2899" s="58">
        <f>Valuation!W193</f>
        <v>0</v>
      </c>
      <c r="F2899" s="58" t="str">
        <f t="shared" si="7"/>
        <v>'Valuation'!W193</v>
      </c>
    </row>
    <row r="2900" spans="1:6">
      <c r="A2900" s="58" t="s">
        <v>829</v>
      </c>
      <c r="B2900" s="58" t="s">
        <v>3062</v>
      </c>
      <c r="C2900" s="58" t="s">
        <v>3046</v>
      </c>
      <c r="D2900" s="58">
        <v>5</v>
      </c>
      <c r="E2900" s="58">
        <f>Valuation!X193</f>
        <v>0</v>
      </c>
      <c r="F2900" s="58" t="str">
        <f t="shared" si="7"/>
        <v>'Valuation'!X193</v>
      </c>
    </row>
    <row r="2901" spans="1:6">
      <c r="A2901" s="58" t="s">
        <v>829</v>
      </c>
      <c r="B2901" s="58" t="s">
        <v>3063</v>
      </c>
      <c r="C2901" s="58" t="s">
        <v>3046</v>
      </c>
      <c r="D2901" s="58">
        <v>6</v>
      </c>
      <c r="E2901" s="58">
        <f>Valuation!Y193</f>
        <v>0</v>
      </c>
      <c r="F2901" s="58" t="str">
        <f t="shared" si="7"/>
        <v>'Valuation'!Y193</v>
      </c>
    </row>
    <row r="2902" spans="1:6">
      <c r="A2902" s="58" t="s">
        <v>829</v>
      </c>
      <c r="B2902" s="58" t="s">
        <v>3064</v>
      </c>
      <c r="C2902" s="58" t="s">
        <v>3046</v>
      </c>
      <c r="D2902" s="58">
        <v>7</v>
      </c>
      <c r="E2902" s="58">
        <f>Valuation!Z193</f>
        <v>0</v>
      </c>
      <c r="F2902" s="58" t="str">
        <f t="shared" si="7"/>
        <v>'Valuation'!Z193</v>
      </c>
    </row>
    <row r="2903" spans="1:6">
      <c r="A2903" s="58" t="s">
        <v>829</v>
      </c>
      <c r="B2903" s="58" t="s">
        <v>3065</v>
      </c>
      <c r="C2903" s="58" t="s">
        <v>3046</v>
      </c>
      <c r="D2903" s="58">
        <v>8</v>
      </c>
      <c r="E2903" s="58">
        <f>Valuation!AA193</f>
        <v>0</v>
      </c>
      <c r="F2903" s="58" t="str">
        <f t="shared" si="7"/>
        <v>'Valuation'!AA193</v>
      </c>
    </row>
    <row r="2904" spans="1:6">
      <c r="A2904" s="58" t="s">
        <v>829</v>
      </c>
      <c r="B2904" s="58" t="s">
        <v>3066</v>
      </c>
      <c r="C2904" s="58" t="s">
        <v>3046</v>
      </c>
      <c r="D2904" s="58">
        <v>9</v>
      </c>
      <c r="E2904" s="58">
        <f>Valuation!AB193</f>
        <v>0</v>
      </c>
      <c r="F2904" s="58" t="str">
        <f t="shared" si="7"/>
        <v>'Valuation'!AB193</v>
      </c>
    </row>
    <row r="2905" spans="1:6">
      <c r="A2905" s="58" t="s">
        <v>829</v>
      </c>
      <c r="B2905" s="58" t="s">
        <v>2487</v>
      </c>
      <c r="C2905" s="58" t="s">
        <v>1043</v>
      </c>
      <c r="D2905" s="58">
        <v>0</v>
      </c>
      <c r="E2905" s="58">
        <f>Valuation!S81</f>
        <v>1259563</v>
      </c>
      <c r="F2905" s="58" t="str">
        <f t="shared" si="7"/>
        <v>'Valuation'!S80</v>
      </c>
    </row>
    <row r="2906" spans="1:6">
      <c r="A2906" s="58" t="s">
        <v>829</v>
      </c>
      <c r="B2906" s="58" t="s">
        <v>2466</v>
      </c>
      <c r="C2906" s="58" t="s">
        <v>1043</v>
      </c>
      <c r="D2906" s="58">
        <v>-11</v>
      </c>
      <c r="E2906" s="58">
        <f>Valuation!H81</f>
        <v>0</v>
      </c>
      <c r="F2906" s="58" t="str">
        <f t="shared" si="7"/>
        <v>'Valuation'!H80</v>
      </c>
    </row>
    <row r="2907" spans="1:6">
      <c r="A2907" s="58" t="s">
        <v>829</v>
      </c>
      <c r="B2907" s="58" t="s">
        <v>2468</v>
      </c>
      <c r="C2907" s="58" t="s">
        <v>1043</v>
      </c>
      <c r="D2907" s="58">
        <v>-10</v>
      </c>
      <c r="E2907" s="58">
        <f>Valuation!I81</f>
        <v>0</v>
      </c>
      <c r="F2907" s="58" t="str">
        <f t="shared" si="7"/>
        <v>'Valuation'!I80</v>
      </c>
    </row>
    <row r="2908" spans="1:6">
      <c r="A2908" s="58" t="s">
        <v>829</v>
      </c>
      <c r="B2908" s="58" t="s">
        <v>2469</v>
      </c>
      <c r="C2908" s="58" t="s">
        <v>1043</v>
      </c>
      <c r="D2908" s="58">
        <v>-9</v>
      </c>
      <c r="E2908" s="58">
        <f>Valuation!J81</f>
        <v>0</v>
      </c>
      <c r="F2908" s="58" t="str">
        <f t="shared" si="7"/>
        <v>'Valuation'!J80</v>
      </c>
    </row>
    <row r="2909" spans="1:6">
      <c r="A2909" s="58" t="s">
        <v>829</v>
      </c>
      <c r="B2909" s="58" t="s">
        <v>2470</v>
      </c>
      <c r="C2909" s="58" t="s">
        <v>1043</v>
      </c>
      <c r="D2909" s="58">
        <v>-8</v>
      </c>
      <c r="E2909" s="58">
        <f>Valuation!K81</f>
        <v>0</v>
      </c>
      <c r="F2909" s="58" t="str">
        <f t="shared" si="7"/>
        <v>'Valuation'!K80</v>
      </c>
    </row>
    <row r="2910" spans="1:6">
      <c r="A2910" s="58" t="s">
        <v>829</v>
      </c>
      <c r="B2910" s="58" t="s">
        <v>2471</v>
      </c>
      <c r="C2910" s="58" t="s">
        <v>1043</v>
      </c>
      <c r="D2910" s="58">
        <v>-7</v>
      </c>
      <c r="E2910" s="58">
        <f>Valuation!L81</f>
        <v>0</v>
      </c>
      <c r="F2910" s="58" t="str">
        <f t="shared" si="7"/>
        <v>'Valuation'!L80</v>
      </c>
    </row>
    <row r="2911" spans="1:6">
      <c r="A2911" s="58" t="s">
        <v>829</v>
      </c>
      <c r="B2911" s="58" t="s">
        <v>2472</v>
      </c>
      <c r="C2911" s="58" t="s">
        <v>1043</v>
      </c>
      <c r="D2911" s="58">
        <v>-6</v>
      </c>
      <c r="E2911" s="58">
        <f>Valuation!M81</f>
        <v>0</v>
      </c>
      <c r="F2911" s="58" t="str">
        <f t="shared" si="7"/>
        <v>'Valuation'!M80</v>
      </c>
    </row>
    <row r="2912" spans="1:6">
      <c r="A2912" s="58" t="s">
        <v>829</v>
      </c>
      <c r="B2912" s="58" t="s">
        <v>2473</v>
      </c>
      <c r="C2912" s="58" t="s">
        <v>1043</v>
      </c>
      <c r="D2912" s="58">
        <v>-5</v>
      </c>
      <c r="E2912" s="58">
        <f>Valuation!N81</f>
        <v>176689</v>
      </c>
      <c r="F2912" s="58" t="str">
        <f t="shared" si="7"/>
        <v>'Valuation'!N80</v>
      </c>
    </row>
    <row r="2913" spans="1:6">
      <c r="A2913" s="58" t="s">
        <v>829</v>
      </c>
      <c r="B2913" s="58" t="s">
        <v>2474</v>
      </c>
      <c r="C2913" s="58" t="s">
        <v>1043</v>
      </c>
      <c r="D2913" s="58">
        <v>-4</v>
      </c>
      <c r="E2913" s="58">
        <f>Valuation!O81</f>
        <v>135429</v>
      </c>
      <c r="F2913" s="58" t="str">
        <f t="shared" si="7"/>
        <v>'Valuation'!O80</v>
      </c>
    </row>
    <row r="2914" spans="1:6">
      <c r="A2914" s="58" t="s">
        <v>829</v>
      </c>
      <c r="B2914" s="58" t="s">
        <v>2475</v>
      </c>
      <c r="C2914" s="58" t="s">
        <v>1043</v>
      </c>
      <c r="D2914" s="58">
        <v>-3</v>
      </c>
      <c r="E2914" s="58">
        <f>Valuation!P81</f>
        <v>86422</v>
      </c>
      <c r="F2914" s="58" t="str">
        <f t="shared" si="7"/>
        <v>'Valuation'!P80</v>
      </c>
    </row>
    <row r="2915" spans="1:6">
      <c r="A2915" s="58" t="s">
        <v>829</v>
      </c>
      <c r="B2915" s="58" t="s">
        <v>2476</v>
      </c>
      <c r="C2915" s="58" t="s">
        <v>1043</v>
      </c>
      <c r="D2915" s="58">
        <v>-2</v>
      </c>
      <c r="E2915" s="58">
        <f>Valuation!Q81</f>
        <v>46804</v>
      </c>
      <c r="F2915" s="58" t="str">
        <f t="shared" si="7"/>
        <v>'Valuation'!Q80</v>
      </c>
    </row>
    <row r="2916" spans="1:6">
      <c r="A2916" s="58" t="s">
        <v>829</v>
      </c>
      <c r="B2916" s="58" t="s">
        <v>2477</v>
      </c>
      <c r="C2916" s="58" t="s">
        <v>1043</v>
      </c>
      <c r="D2916" s="58">
        <v>-1</v>
      </c>
      <c r="E2916" s="58">
        <f>Valuation!R81</f>
        <v>1397794</v>
      </c>
      <c r="F2916" s="58" t="str">
        <f t="shared" si="7"/>
        <v>'Valuation'!R80</v>
      </c>
    </row>
    <row r="2917" spans="1:6">
      <c r="A2917" s="58" t="s">
        <v>829</v>
      </c>
      <c r="B2917" s="58" t="s">
        <v>2478</v>
      </c>
      <c r="C2917" s="58" t="s">
        <v>1043</v>
      </c>
      <c r="D2917" s="58">
        <v>1</v>
      </c>
      <c r="E2917" s="58">
        <f>Valuation!T81</f>
        <v>1129222</v>
      </c>
      <c r="F2917" s="58" t="str">
        <f t="shared" si="7"/>
        <v>'Valuation'!T80</v>
      </c>
    </row>
    <row r="2918" spans="1:6">
      <c r="A2918" s="58" t="s">
        <v>829</v>
      </c>
      <c r="B2918" s="58" t="s">
        <v>2479</v>
      </c>
      <c r="C2918" s="58" t="s">
        <v>1043</v>
      </c>
      <c r="D2918" s="58">
        <v>2</v>
      </c>
      <c r="E2918" s="58">
        <f>Valuation!U81</f>
        <v>1001741</v>
      </c>
      <c r="F2918" s="58" t="str">
        <f t="shared" si="7"/>
        <v>'Valuation'!U80</v>
      </c>
    </row>
    <row r="2919" spans="1:6">
      <c r="A2919" s="58" t="s">
        <v>829</v>
      </c>
      <c r="B2919" s="58" t="s">
        <v>2480</v>
      </c>
      <c r="C2919" s="58" t="s">
        <v>1043</v>
      </c>
      <c r="D2919" s="58">
        <v>3</v>
      </c>
      <c r="E2919" s="58">
        <f>Valuation!V81</f>
        <v>877698</v>
      </c>
      <c r="F2919" s="58" t="str">
        <f t="shared" si="7"/>
        <v>'Valuation'!V80</v>
      </c>
    </row>
    <row r="2920" spans="1:6">
      <c r="A2920" s="58" t="s">
        <v>829</v>
      </c>
      <c r="B2920" s="58" t="s">
        <v>2481</v>
      </c>
      <c r="C2920" s="58" t="s">
        <v>1043</v>
      </c>
      <c r="D2920" s="58">
        <v>4</v>
      </c>
      <c r="E2920" s="58">
        <f>Valuation!W81</f>
        <v>754174</v>
      </c>
      <c r="F2920" s="58" t="str">
        <f t="shared" si="7"/>
        <v>'Valuation'!W80</v>
      </c>
    </row>
    <row r="2921" spans="1:6">
      <c r="A2921" s="58" t="s">
        <v>829</v>
      </c>
      <c r="B2921" s="58" t="s">
        <v>2482</v>
      </c>
      <c r="C2921" s="58" t="s">
        <v>1043</v>
      </c>
      <c r="D2921" s="58">
        <v>5</v>
      </c>
      <c r="E2921" s="58">
        <f>Valuation!X81</f>
        <v>636826.19999999995</v>
      </c>
      <c r="F2921" s="58" t="str">
        <f t="shared" si="7"/>
        <v>'Valuation'!X80</v>
      </c>
    </row>
    <row r="2922" spans="1:6">
      <c r="A2922" s="58" t="s">
        <v>829</v>
      </c>
      <c r="B2922" s="58" t="s">
        <v>2483</v>
      </c>
      <c r="C2922" s="58" t="s">
        <v>1043</v>
      </c>
      <c r="D2922" s="58">
        <v>6</v>
      </c>
      <c r="E2922" s="58">
        <f>Valuation!Y81</f>
        <v>525345.78999999992</v>
      </c>
      <c r="F2922" s="58" t="str">
        <f t="shared" si="7"/>
        <v>'Valuation'!Y80</v>
      </c>
    </row>
    <row r="2923" spans="1:6">
      <c r="A2923" s="58" t="s">
        <v>829</v>
      </c>
      <c r="B2923" s="58" t="s">
        <v>2484</v>
      </c>
      <c r="C2923" s="58" t="s">
        <v>1043</v>
      </c>
      <c r="D2923" s="58">
        <v>7</v>
      </c>
      <c r="E2923" s="58">
        <f>Valuation!Z81</f>
        <v>419439.40049999993</v>
      </c>
      <c r="F2923" s="58" t="str">
        <f t="shared" si="7"/>
        <v>'Valuation'!Z80</v>
      </c>
    </row>
    <row r="2924" spans="1:6">
      <c r="A2924" s="58" t="s">
        <v>829</v>
      </c>
      <c r="B2924" s="58" t="s">
        <v>2485</v>
      </c>
      <c r="C2924" s="58" t="s">
        <v>1043</v>
      </c>
      <c r="D2924" s="58">
        <v>8</v>
      </c>
      <c r="E2924" s="58">
        <f>Valuation!AA81</f>
        <v>318828.33047499997</v>
      </c>
      <c r="F2924" s="58" t="str">
        <f t="shared" si="7"/>
        <v>'Valuation'!AA80</v>
      </c>
    </row>
    <row r="2925" spans="1:6">
      <c r="A2925" s="58" t="s">
        <v>829</v>
      </c>
      <c r="B2925" s="58" t="s">
        <v>2486</v>
      </c>
      <c r="C2925" s="58" t="s">
        <v>1043</v>
      </c>
      <c r="D2925" s="58">
        <v>9</v>
      </c>
      <c r="E2925" s="58">
        <f>Valuation!AB81</f>
        <v>223247.81395124999</v>
      </c>
      <c r="F2925" s="58" t="str">
        <f t="shared" si="7"/>
        <v>'Valuation'!AB80</v>
      </c>
    </row>
    <row r="2926" spans="1:6">
      <c r="A2926" s="58" t="s">
        <v>829</v>
      </c>
      <c r="B2926" s="58" t="s">
        <v>3067</v>
      </c>
      <c r="C2926" s="58" t="s">
        <v>3068</v>
      </c>
      <c r="D2926" s="58">
        <v>0</v>
      </c>
      <c r="E2926" s="58">
        <f>Valuation!S188</f>
        <v>0</v>
      </c>
      <c r="F2926" s="58" t="str">
        <f t="shared" si="7"/>
        <v>'Valuation'!S188</v>
      </c>
    </row>
    <row r="2927" spans="1:6">
      <c r="A2927" s="58" t="s">
        <v>829</v>
      </c>
      <c r="B2927" s="58" t="s">
        <v>3069</v>
      </c>
      <c r="C2927" s="58" t="s">
        <v>3068</v>
      </c>
      <c r="D2927" s="58">
        <v>-11</v>
      </c>
      <c r="E2927" s="58">
        <f>Valuation!H188</f>
        <v>0</v>
      </c>
      <c r="F2927" s="58" t="str">
        <f t="shared" si="7"/>
        <v>'Valuation'!H188</v>
      </c>
    </row>
    <row r="2928" spans="1:6">
      <c r="A2928" s="58" t="s">
        <v>829</v>
      </c>
      <c r="B2928" s="58" t="s">
        <v>3070</v>
      </c>
      <c r="C2928" s="58" t="s">
        <v>3068</v>
      </c>
      <c r="D2928" s="58">
        <v>-10</v>
      </c>
      <c r="E2928" s="58">
        <f>Valuation!I188</f>
        <v>0</v>
      </c>
      <c r="F2928" s="58" t="str">
        <f t="shared" si="7"/>
        <v>'Valuation'!I188</v>
      </c>
    </row>
    <row r="2929" spans="1:6">
      <c r="A2929" s="58" t="s">
        <v>829</v>
      </c>
      <c r="B2929" s="58" t="s">
        <v>3071</v>
      </c>
      <c r="C2929" s="58" t="s">
        <v>3068</v>
      </c>
      <c r="D2929" s="58">
        <v>-9</v>
      </c>
      <c r="E2929" s="58">
        <f>Valuation!J188</f>
        <v>0</v>
      </c>
      <c r="F2929" s="58" t="str">
        <f t="shared" si="7"/>
        <v>'Valuation'!J188</v>
      </c>
    </row>
    <row r="2930" spans="1:6">
      <c r="A2930" s="58" t="s">
        <v>829</v>
      </c>
      <c r="B2930" s="58" t="s">
        <v>3072</v>
      </c>
      <c r="C2930" s="58" t="s">
        <v>3068</v>
      </c>
      <c r="D2930" s="58">
        <v>-8</v>
      </c>
      <c r="E2930" s="58">
        <f>Valuation!K188</f>
        <v>0</v>
      </c>
      <c r="F2930" s="58" t="str">
        <f t="shared" si="7"/>
        <v>'Valuation'!K188</v>
      </c>
    </row>
    <row r="2931" spans="1:6">
      <c r="A2931" s="58" t="s">
        <v>829</v>
      </c>
      <c r="B2931" s="58" t="s">
        <v>3073</v>
      </c>
      <c r="C2931" s="58" t="s">
        <v>3068</v>
      </c>
      <c r="D2931" s="58">
        <v>-7</v>
      </c>
      <c r="E2931" s="58">
        <f>Valuation!L188</f>
        <v>0</v>
      </c>
      <c r="F2931" s="58" t="str">
        <f t="shared" si="7"/>
        <v>'Valuation'!L188</v>
      </c>
    </row>
    <row r="2932" spans="1:6">
      <c r="A2932" s="58" t="s">
        <v>829</v>
      </c>
      <c r="B2932" s="58" t="s">
        <v>3074</v>
      </c>
      <c r="C2932" s="58" t="s">
        <v>3068</v>
      </c>
      <c r="D2932" s="58">
        <v>-6</v>
      </c>
      <c r="E2932" s="58">
        <f>Valuation!M188</f>
        <v>0</v>
      </c>
      <c r="F2932" s="58" t="str">
        <f t="shared" si="7"/>
        <v>'Valuation'!M188</v>
      </c>
    </row>
    <row r="2933" spans="1:6">
      <c r="A2933" s="58" t="s">
        <v>829</v>
      </c>
      <c r="B2933" s="58" t="s">
        <v>3075</v>
      </c>
      <c r="C2933" s="58" t="s">
        <v>3068</v>
      </c>
      <c r="D2933" s="58">
        <v>-5</v>
      </c>
      <c r="E2933" s="58">
        <f>Valuation!N188</f>
        <v>0</v>
      </c>
      <c r="F2933" s="58" t="str">
        <f t="shared" si="7"/>
        <v>'Valuation'!N188</v>
      </c>
    </row>
    <row r="2934" spans="1:6">
      <c r="A2934" s="58" t="s">
        <v>829</v>
      </c>
      <c r="B2934" s="58" t="s">
        <v>3076</v>
      </c>
      <c r="C2934" s="58" t="s">
        <v>3068</v>
      </c>
      <c r="D2934" s="58">
        <v>-4</v>
      </c>
      <c r="E2934" s="58">
        <f>Valuation!O188</f>
        <v>0</v>
      </c>
      <c r="F2934" s="58" t="str">
        <f t="shared" si="7"/>
        <v>'Valuation'!O188</v>
      </c>
    </row>
    <row r="2935" spans="1:6">
      <c r="A2935" s="58" t="s">
        <v>829</v>
      </c>
      <c r="B2935" s="58" t="s">
        <v>3077</v>
      </c>
      <c r="C2935" s="58" t="s">
        <v>3068</v>
      </c>
      <c r="D2935" s="58">
        <v>-3</v>
      </c>
      <c r="E2935" s="58">
        <f>Valuation!P188</f>
        <v>0</v>
      </c>
      <c r="F2935" s="58" t="str">
        <f t="shared" si="7"/>
        <v>'Valuation'!P188</v>
      </c>
    </row>
    <row r="2936" spans="1:6">
      <c r="A2936" s="58" t="s">
        <v>829</v>
      </c>
      <c r="B2936" s="58" t="s">
        <v>3078</v>
      </c>
      <c r="C2936" s="58" t="s">
        <v>3068</v>
      </c>
      <c r="D2936" s="58">
        <v>-2</v>
      </c>
      <c r="E2936" s="58">
        <f>Valuation!Q188</f>
        <v>0</v>
      </c>
      <c r="F2936" s="58" t="str">
        <f t="shared" si="7"/>
        <v>'Valuation'!Q188</v>
      </c>
    </row>
    <row r="2937" spans="1:6">
      <c r="A2937" s="58" t="s">
        <v>829</v>
      </c>
      <c r="B2937" s="58" t="s">
        <v>3079</v>
      </c>
      <c r="C2937" s="58" t="s">
        <v>3068</v>
      </c>
      <c r="D2937" s="58">
        <v>-1</v>
      </c>
      <c r="E2937" s="58">
        <f>Valuation!R188</f>
        <v>0</v>
      </c>
      <c r="F2937" s="58" t="str">
        <f t="shared" si="7"/>
        <v>'Valuation'!R188</v>
      </c>
    </row>
    <row r="2938" spans="1:6">
      <c r="A2938" s="58" t="s">
        <v>829</v>
      </c>
      <c r="B2938" s="58" t="s">
        <v>3080</v>
      </c>
      <c r="C2938" s="58" t="s">
        <v>3068</v>
      </c>
      <c r="D2938" s="58">
        <v>1</v>
      </c>
      <c r="E2938" s="58">
        <f>Valuation!T188</f>
        <v>0</v>
      </c>
      <c r="F2938" s="58" t="str">
        <f t="shared" si="7"/>
        <v>'Valuation'!T188</v>
      </c>
    </row>
    <row r="2939" spans="1:6">
      <c r="A2939" s="58" t="s">
        <v>829</v>
      </c>
      <c r="B2939" s="58" t="s">
        <v>3081</v>
      </c>
      <c r="C2939" s="58" t="s">
        <v>3068</v>
      </c>
      <c r="D2939" s="58">
        <v>2</v>
      </c>
      <c r="E2939" s="58">
        <f>Valuation!U188</f>
        <v>0</v>
      </c>
      <c r="F2939" s="58" t="str">
        <f t="shared" si="7"/>
        <v>'Valuation'!U188</v>
      </c>
    </row>
    <row r="2940" spans="1:6">
      <c r="A2940" s="58" t="s">
        <v>829</v>
      </c>
      <c r="B2940" s="58" t="s">
        <v>3082</v>
      </c>
      <c r="C2940" s="58" t="s">
        <v>3068</v>
      </c>
      <c r="D2940" s="58">
        <v>3</v>
      </c>
      <c r="E2940" s="58">
        <f>Valuation!V188</f>
        <v>0</v>
      </c>
      <c r="F2940" s="58" t="str">
        <f t="shared" si="7"/>
        <v>'Valuation'!V188</v>
      </c>
    </row>
    <row r="2941" spans="1:6">
      <c r="A2941" s="58" t="s">
        <v>829</v>
      </c>
      <c r="B2941" s="58" t="s">
        <v>3083</v>
      </c>
      <c r="C2941" s="58" t="s">
        <v>3068</v>
      </c>
      <c r="D2941" s="58">
        <v>4</v>
      </c>
      <c r="E2941" s="58">
        <f>Valuation!W188</f>
        <v>0</v>
      </c>
      <c r="F2941" s="58" t="str">
        <f t="shared" si="7"/>
        <v>'Valuation'!W188</v>
      </c>
    </row>
    <row r="2942" spans="1:6">
      <c r="A2942" s="58" t="s">
        <v>829</v>
      </c>
      <c r="B2942" s="58" t="s">
        <v>3084</v>
      </c>
      <c r="C2942" s="58" t="s">
        <v>3068</v>
      </c>
      <c r="D2942" s="58">
        <v>5</v>
      </c>
      <c r="E2942" s="58">
        <f>Valuation!X188</f>
        <v>0</v>
      </c>
      <c r="F2942" s="58" t="str">
        <f t="shared" si="7"/>
        <v>'Valuation'!X188</v>
      </c>
    </row>
    <row r="2943" spans="1:6">
      <c r="A2943" s="58" t="s">
        <v>829</v>
      </c>
      <c r="B2943" s="58" t="s">
        <v>3085</v>
      </c>
      <c r="C2943" s="58" t="s">
        <v>3068</v>
      </c>
      <c r="D2943" s="58">
        <v>6</v>
      </c>
      <c r="E2943" s="58">
        <f>Valuation!Y188</f>
        <v>0</v>
      </c>
      <c r="F2943" s="58" t="str">
        <f t="shared" si="7"/>
        <v>'Valuation'!Y188</v>
      </c>
    </row>
    <row r="2944" spans="1:6">
      <c r="A2944" s="58" t="s">
        <v>829</v>
      </c>
      <c r="B2944" s="58" t="s">
        <v>3086</v>
      </c>
      <c r="C2944" s="58" t="s">
        <v>3068</v>
      </c>
      <c r="D2944" s="58">
        <v>7</v>
      </c>
      <c r="E2944" s="58">
        <f>Valuation!Z188</f>
        <v>0</v>
      </c>
      <c r="F2944" s="58" t="str">
        <f t="shared" si="7"/>
        <v>'Valuation'!Z188</v>
      </c>
    </row>
    <row r="2945" spans="1:6">
      <c r="A2945" s="58" t="s">
        <v>829</v>
      </c>
      <c r="B2945" s="58" t="s">
        <v>3087</v>
      </c>
      <c r="C2945" s="58" t="s">
        <v>3068</v>
      </c>
      <c r="D2945" s="58">
        <v>8</v>
      </c>
      <c r="E2945" s="58">
        <f>Valuation!AA188</f>
        <v>0</v>
      </c>
      <c r="F2945" s="58" t="str">
        <f t="shared" si="7"/>
        <v>'Valuation'!AA188</v>
      </c>
    </row>
    <row r="2946" spans="1:6">
      <c r="A2946" s="58" t="s">
        <v>829</v>
      </c>
      <c r="B2946" s="58" t="s">
        <v>3088</v>
      </c>
      <c r="C2946" s="58" t="s">
        <v>3068</v>
      </c>
      <c r="D2946" s="58">
        <v>9</v>
      </c>
      <c r="E2946" s="58">
        <f>Valuation!AB188</f>
        <v>0</v>
      </c>
      <c r="F2946" s="58" t="str">
        <f t="shared" si="7"/>
        <v>'Valuation'!AB188</v>
      </c>
    </row>
    <row r="2947" spans="1:6">
      <c r="A2947" s="58" t="s">
        <v>829</v>
      </c>
      <c r="B2947" s="58" t="s">
        <v>2488</v>
      </c>
      <c r="C2947" s="58" t="s">
        <v>1036</v>
      </c>
      <c r="D2947" s="58">
        <v>-11</v>
      </c>
      <c r="E2947" s="58">
        <f>Valuation!H84</f>
        <v>0</v>
      </c>
      <c r="F2947" s="58" t="str">
        <f t="shared" ref="F2947:F3010" si="8">"'"&amp;A2947&amp;"'"&amp;"!"&amp;B2947</f>
        <v>'Valuation'!H83</v>
      </c>
    </row>
    <row r="2948" spans="1:6">
      <c r="A2948" s="58" t="s">
        <v>829</v>
      </c>
      <c r="B2948" s="58" t="s">
        <v>2490</v>
      </c>
      <c r="C2948" s="58" t="s">
        <v>1036</v>
      </c>
      <c r="D2948" s="58">
        <v>-10</v>
      </c>
      <c r="E2948" s="58">
        <f>Valuation!I84</f>
        <v>0</v>
      </c>
      <c r="F2948" s="58" t="str">
        <f t="shared" si="8"/>
        <v>'Valuation'!I83</v>
      </c>
    </row>
    <row r="2949" spans="1:6">
      <c r="A2949" s="58" t="s">
        <v>829</v>
      </c>
      <c r="B2949" s="58" t="s">
        <v>2491</v>
      </c>
      <c r="C2949" s="58" t="s">
        <v>1036</v>
      </c>
      <c r="D2949" s="58">
        <v>-9</v>
      </c>
      <c r="E2949" s="58">
        <f>Valuation!J84</f>
        <v>0</v>
      </c>
      <c r="F2949" s="58" t="str">
        <f t="shared" si="8"/>
        <v>'Valuation'!J83</v>
      </c>
    </row>
    <row r="2950" spans="1:6">
      <c r="A2950" s="58" t="s">
        <v>829</v>
      </c>
      <c r="B2950" s="58" t="s">
        <v>2492</v>
      </c>
      <c r="C2950" s="58" t="s">
        <v>1036</v>
      </c>
      <c r="D2950" s="58">
        <v>-8</v>
      </c>
      <c r="E2950" s="58">
        <f>Valuation!K84</f>
        <v>0</v>
      </c>
      <c r="F2950" s="58" t="str">
        <f t="shared" si="8"/>
        <v>'Valuation'!K83</v>
      </c>
    </row>
    <row r="2951" spans="1:6">
      <c r="A2951" s="58" t="s">
        <v>829</v>
      </c>
      <c r="B2951" s="58" t="s">
        <v>2493</v>
      </c>
      <c r="C2951" s="58" t="s">
        <v>1036</v>
      </c>
      <c r="D2951" s="58">
        <v>-7</v>
      </c>
      <c r="E2951" s="58">
        <f>Valuation!L84</f>
        <v>0</v>
      </c>
      <c r="F2951" s="58" t="str">
        <f t="shared" si="8"/>
        <v>'Valuation'!L83</v>
      </c>
    </row>
    <row r="2952" spans="1:6">
      <c r="A2952" s="58" t="s">
        <v>829</v>
      </c>
      <c r="B2952" s="58" t="s">
        <v>2494</v>
      </c>
      <c r="C2952" s="58" t="s">
        <v>1036</v>
      </c>
      <c r="D2952" s="58">
        <v>-6</v>
      </c>
      <c r="E2952" s="58">
        <f>Valuation!M84</f>
        <v>3903747</v>
      </c>
      <c r="F2952" s="58" t="str">
        <f t="shared" si="8"/>
        <v>'Valuation'!M83</v>
      </c>
    </row>
    <row r="2953" spans="1:6">
      <c r="A2953" s="58" t="s">
        <v>829</v>
      </c>
      <c r="B2953" s="58" t="s">
        <v>2495</v>
      </c>
      <c r="C2953" s="58" t="s">
        <v>1036</v>
      </c>
      <c r="D2953" s="58">
        <v>-5</v>
      </c>
      <c r="E2953" s="58">
        <f>Valuation!N84</f>
        <v>10760467</v>
      </c>
      <c r="F2953" s="58" t="str">
        <f t="shared" si="8"/>
        <v>'Valuation'!N83</v>
      </c>
    </row>
    <row r="2954" spans="1:6">
      <c r="A2954" s="58" t="s">
        <v>829</v>
      </c>
      <c r="B2954" s="58" t="s">
        <v>2496</v>
      </c>
      <c r="C2954" s="58" t="s">
        <v>1036</v>
      </c>
      <c r="D2954" s="58">
        <v>-4</v>
      </c>
      <c r="E2954" s="58">
        <f>Valuation!O84</f>
        <v>5327524</v>
      </c>
      <c r="F2954" s="58" t="str">
        <f t="shared" si="8"/>
        <v>'Valuation'!O83</v>
      </c>
    </row>
    <row r="2955" spans="1:6">
      <c r="A2955" s="58" t="s">
        <v>829</v>
      </c>
      <c r="B2955" s="58" t="s">
        <v>2497</v>
      </c>
      <c r="C2955" s="58" t="s">
        <v>1036</v>
      </c>
      <c r="D2955" s="58">
        <v>-3</v>
      </c>
      <c r="E2955" s="58">
        <f>Valuation!P84</f>
        <v>4732396</v>
      </c>
      <c r="F2955" s="58" t="str">
        <f t="shared" si="8"/>
        <v>'Valuation'!P83</v>
      </c>
    </row>
    <row r="2956" spans="1:6">
      <c r="A2956" s="58" t="s">
        <v>829</v>
      </c>
      <c r="B2956" s="58" t="s">
        <v>2498</v>
      </c>
      <c r="C2956" s="58" t="s">
        <v>1036</v>
      </c>
      <c r="D2956" s="58">
        <v>-2</v>
      </c>
      <c r="E2956" s="58">
        <f>Valuation!Q84</f>
        <v>7547802</v>
      </c>
      <c r="F2956" s="58" t="str">
        <f t="shared" si="8"/>
        <v>'Valuation'!Q83</v>
      </c>
    </row>
    <row r="2957" spans="1:6">
      <c r="A2957" s="58" t="s">
        <v>829</v>
      </c>
      <c r="B2957" s="58" t="s">
        <v>2499</v>
      </c>
      <c r="C2957" s="58" t="s">
        <v>1036</v>
      </c>
      <c r="D2957" s="58">
        <v>-1</v>
      </c>
      <c r="E2957" s="58">
        <f>Valuation!R84</f>
        <v>6797099</v>
      </c>
      <c r="F2957" s="58" t="str">
        <f t="shared" si="8"/>
        <v>'Valuation'!R83</v>
      </c>
    </row>
    <row r="2958" spans="1:6">
      <c r="A2958" s="58" t="s">
        <v>829</v>
      </c>
      <c r="B2958" s="58" t="s">
        <v>2500</v>
      </c>
      <c r="C2958" s="58" t="s">
        <v>1036</v>
      </c>
      <c r="D2958" s="58">
        <v>1</v>
      </c>
      <c r="E2958" s="58">
        <f>Valuation!T84</f>
        <v>7493801.6475000009</v>
      </c>
      <c r="F2958" s="58" t="str">
        <f t="shared" si="8"/>
        <v>'Valuation'!T83</v>
      </c>
    </row>
    <row r="2959" spans="1:6">
      <c r="A2959" s="58" t="s">
        <v>829</v>
      </c>
      <c r="B2959" s="58" t="s">
        <v>2501</v>
      </c>
      <c r="C2959" s="58" t="s">
        <v>1036</v>
      </c>
      <c r="D2959" s="58">
        <v>2</v>
      </c>
      <c r="E2959" s="58">
        <f>Valuation!U84</f>
        <v>7868491.7298750011</v>
      </c>
      <c r="F2959" s="58" t="str">
        <f t="shared" si="8"/>
        <v>'Valuation'!U83</v>
      </c>
    </row>
    <row r="2960" spans="1:6">
      <c r="A2960" s="58" t="s">
        <v>829</v>
      </c>
      <c r="B2960" s="58" t="s">
        <v>2502</v>
      </c>
      <c r="C2960" s="58" t="s">
        <v>1036</v>
      </c>
      <c r="D2960" s="58">
        <v>3</v>
      </c>
      <c r="E2960" s="58">
        <f>Valuation!V84</f>
        <v>8261916.3163687512</v>
      </c>
      <c r="F2960" s="58" t="str">
        <f t="shared" si="8"/>
        <v>'Valuation'!V83</v>
      </c>
    </row>
    <row r="2961" spans="1:6">
      <c r="A2961" s="58" t="s">
        <v>829</v>
      </c>
      <c r="B2961" s="58" t="s">
        <v>2503</v>
      </c>
      <c r="C2961" s="58" t="s">
        <v>1036</v>
      </c>
      <c r="D2961" s="58">
        <v>4</v>
      </c>
      <c r="E2961" s="58">
        <f>Valuation!W84</f>
        <v>8675012.1321871895</v>
      </c>
      <c r="F2961" s="58" t="str">
        <f t="shared" si="8"/>
        <v>'Valuation'!W83</v>
      </c>
    </row>
    <row r="2962" spans="1:6">
      <c r="A2962" s="58" t="s">
        <v>829</v>
      </c>
      <c r="B2962" s="58" t="s">
        <v>2504</v>
      </c>
      <c r="C2962" s="58" t="s">
        <v>1036</v>
      </c>
      <c r="D2962" s="58">
        <v>5</v>
      </c>
      <c r="E2962" s="58">
        <f>Valuation!X84</f>
        <v>9108762.7387965489</v>
      </c>
      <c r="F2962" s="58" t="str">
        <f t="shared" si="8"/>
        <v>'Valuation'!X83</v>
      </c>
    </row>
    <row r="2963" spans="1:6">
      <c r="A2963" s="58" t="s">
        <v>829</v>
      </c>
      <c r="B2963" s="58" t="s">
        <v>2505</v>
      </c>
      <c r="C2963" s="58" t="s">
        <v>1036</v>
      </c>
      <c r="D2963" s="58">
        <v>6</v>
      </c>
      <c r="E2963" s="58">
        <f>Valuation!Y84</f>
        <v>9564200.8757363763</v>
      </c>
      <c r="F2963" s="58" t="str">
        <f t="shared" si="8"/>
        <v>'Valuation'!Y83</v>
      </c>
    </row>
    <row r="2964" spans="1:6">
      <c r="A2964" s="58" t="s">
        <v>829</v>
      </c>
      <c r="B2964" s="58" t="s">
        <v>2506</v>
      </c>
      <c r="C2964" s="58" t="s">
        <v>1036</v>
      </c>
      <c r="D2964" s="58">
        <v>7</v>
      </c>
      <c r="E2964" s="58">
        <f>Valuation!Z84</f>
        <v>10042410.919523196</v>
      </c>
      <c r="F2964" s="58" t="str">
        <f t="shared" si="8"/>
        <v>'Valuation'!Z83</v>
      </c>
    </row>
    <row r="2965" spans="1:6">
      <c r="A2965" s="58" t="s">
        <v>829</v>
      </c>
      <c r="B2965" s="58" t="s">
        <v>2507</v>
      </c>
      <c r="C2965" s="58" t="s">
        <v>1036</v>
      </c>
      <c r="D2965" s="58">
        <v>8</v>
      </c>
      <c r="E2965" s="58">
        <f>Valuation!AA84</f>
        <v>10544531.465499356</v>
      </c>
      <c r="F2965" s="58" t="str">
        <f t="shared" si="8"/>
        <v>'Valuation'!AA83</v>
      </c>
    </row>
    <row r="2966" spans="1:6">
      <c r="A2966" s="58" t="s">
        <v>829</v>
      </c>
      <c r="B2966" s="58" t="s">
        <v>2508</v>
      </c>
      <c r="C2966" s="58" t="s">
        <v>1036</v>
      </c>
      <c r="D2966" s="58">
        <v>9</v>
      </c>
      <c r="E2966" s="58">
        <f>Valuation!AB84</f>
        <v>11071758.038774325</v>
      </c>
      <c r="F2966" s="58" t="str">
        <f t="shared" si="8"/>
        <v>'Valuation'!AB83</v>
      </c>
    </row>
    <row r="2967" spans="1:6">
      <c r="A2967" s="58" t="s">
        <v>829</v>
      </c>
      <c r="B2967" s="58" t="s">
        <v>2509</v>
      </c>
      <c r="C2967" s="58" t="s">
        <v>1036</v>
      </c>
      <c r="D2967" s="58">
        <v>0</v>
      </c>
      <c r="E2967" s="58">
        <f>Valuation!S84</f>
        <v>7136953.9500000002</v>
      </c>
      <c r="F2967" s="58" t="str">
        <f t="shared" si="8"/>
        <v>'Valuation'!S83</v>
      </c>
    </row>
    <row r="2968" spans="1:6">
      <c r="A2968" s="58" t="s">
        <v>829</v>
      </c>
      <c r="B2968" s="58" t="s">
        <v>2510</v>
      </c>
      <c r="C2968" s="58" t="s">
        <v>3110</v>
      </c>
      <c r="D2968" s="58">
        <v>0</v>
      </c>
      <c r="E2968" s="58">
        <f>Valuation!S183</f>
        <v>0</v>
      </c>
      <c r="F2968" s="58" t="str">
        <f t="shared" si="8"/>
        <v>'Valuation'!S183</v>
      </c>
    </row>
    <row r="2969" spans="1:6">
      <c r="A2969" s="58" t="s">
        <v>829</v>
      </c>
      <c r="B2969" s="58" t="s">
        <v>2512</v>
      </c>
      <c r="C2969" s="58" t="s">
        <v>3110</v>
      </c>
      <c r="D2969" s="58">
        <v>-11</v>
      </c>
      <c r="E2969" s="58">
        <f>Valuation!H183</f>
        <v>0</v>
      </c>
      <c r="F2969" s="58" t="str">
        <f t="shared" si="8"/>
        <v>'Valuation'!H183</v>
      </c>
    </row>
    <row r="2970" spans="1:6">
      <c r="A2970" s="58" t="s">
        <v>829</v>
      </c>
      <c r="B2970" s="58" t="s">
        <v>2513</v>
      </c>
      <c r="C2970" s="58" t="s">
        <v>3110</v>
      </c>
      <c r="D2970" s="58">
        <v>-10</v>
      </c>
      <c r="E2970" s="58">
        <f>Valuation!I183</f>
        <v>0</v>
      </c>
      <c r="F2970" s="58" t="str">
        <f t="shared" si="8"/>
        <v>'Valuation'!I183</v>
      </c>
    </row>
    <row r="2971" spans="1:6">
      <c r="A2971" s="58" t="s">
        <v>829</v>
      </c>
      <c r="B2971" s="58" t="s">
        <v>2514</v>
      </c>
      <c r="C2971" s="58" t="s">
        <v>3110</v>
      </c>
      <c r="D2971" s="58">
        <v>-9</v>
      </c>
      <c r="E2971" s="58">
        <f>Valuation!J183</f>
        <v>0</v>
      </c>
      <c r="F2971" s="58" t="str">
        <f t="shared" si="8"/>
        <v>'Valuation'!J183</v>
      </c>
    </row>
    <row r="2972" spans="1:6">
      <c r="A2972" s="58" t="s">
        <v>829</v>
      </c>
      <c r="B2972" s="58" t="s">
        <v>2515</v>
      </c>
      <c r="C2972" s="58" t="s">
        <v>3110</v>
      </c>
      <c r="D2972" s="58">
        <v>-8</v>
      </c>
      <c r="E2972" s="58">
        <f>Valuation!K183</f>
        <v>0</v>
      </c>
      <c r="F2972" s="58" t="str">
        <f t="shared" si="8"/>
        <v>'Valuation'!K183</v>
      </c>
    </row>
    <row r="2973" spans="1:6">
      <c r="A2973" s="58" t="s">
        <v>829</v>
      </c>
      <c r="B2973" s="58" t="s">
        <v>2516</v>
      </c>
      <c r="C2973" s="58" t="s">
        <v>3110</v>
      </c>
      <c r="D2973" s="58">
        <v>-7</v>
      </c>
      <c r="E2973" s="58">
        <f>Valuation!L183</f>
        <v>0</v>
      </c>
      <c r="F2973" s="58" t="str">
        <f t="shared" si="8"/>
        <v>'Valuation'!L183</v>
      </c>
    </row>
    <row r="2974" spans="1:6">
      <c r="A2974" s="58" t="s">
        <v>829</v>
      </c>
      <c r="B2974" s="58" t="s">
        <v>2517</v>
      </c>
      <c r="C2974" s="58" t="s">
        <v>3110</v>
      </c>
      <c r="D2974" s="58">
        <v>-6</v>
      </c>
      <c r="E2974" s="58">
        <f>Valuation!M183</f>
        <v>0</v>
      </c>
      <c r="F2974" s="58" t="str">
        <f t="shared" si="8"/>
        <v>'Valuation'!M183</v>
      </c>
    </row>
    <row r="2975" spans="1:6">
      <c r="A2975" s="58" t="s">
        <v>829</v>
      </c>
      <c r="B2975" s="58" t="s">
        <v>2518</v>
      </c>
      <c r="C2975" s="58" t="s">
        <v>3110</v>
      </c>
      <c r="D2975" s="58">
        <v>-5</v>
      </c>
      <c r="E2975" s="58">
        <f>Valuation!N183</f>
        <v>0</v>
      </c>
      <c r="F2975" s="58" t="str">
        <f t="shared" si="8"/>
        <v>'Valuation'!N183</v>
      </c>
    </row>
    <row r="2976" spans="1:6">
      <c r="A2976" s="58" t="s">
        <v>829</v>
      </c>
      <c r="B2976" s="58" t="s">
        <v>2519</v>
      </c>
      <c r="C2976" s="58" t="s">
        <v>3110</v>
      </c>
      <c r="D2976" s="58">
        <v>-4</v>
      </c>
      <c r="E2976" s="58">
        <f>Valuation!O183</f>
        <v>0</v>
      </c>
      <c r="F2976" s="58" t="str">
        <f t="shared" si="8"/>
        <v>'Valuation'!O183</v>
      </c>
    </row>
    <row r="2977" spans="1:6">
      <c r="A2977" s="58" t="s">
        <v>829</v>
      </c>
      <c r="B2977" s="58" t="s">
        <v>2520</v>
      </c>
      <c r="C2977" s="58" t="s">
        <v>3110</v>
      </c>
      <c r="D2977" s="58">
        <v>-3</v>
      </c>
      <c r="E2977" s="58">
        <f>Valuation!P183</f>
        <v>0</v>
      </c>
      <c r="F2977" s="58" t="str">
        <f t="shared" si="8"/>
        <v>'Valuation'!P183</v>
      </c>
    </row>
    <row r="2978" spans="1:6">
      <c r="A2978" s="58" t="s">
        <v>829</v>
      </c>
      <c r="B2978" s="58" t="s">
        <v>2521</v>
      </c>
      <c r="C2978" s="58" t="s">
        <v>3110</v>
      </c>
      <c r="D2978" s="58">
        <v>-2</v>
      </c>
      <c r="E2978" s="58">
        <f>Valuation!Q183</f>
        <v>0</v>
      </c>
      <c r="F2978" s="58" t="str">
        <f t="shared" si="8"/>
        <v>'Valuation'!Q183</v>
      </c>
    </row>
    <row r="2979" spans="1:6">
      <c r="A2979" s="58" t="s">
        <v>829</v>
      </c>
      <c r="B2979" s="58" t="s">
        <v>2522</v>
      </c>
      <c r="C2979" s="58" t="s">
        <v>3110</v>
      </c>
      <c r="D2979" s="58">
        <v>-1</v>
      </c>
      <c r="E2979" s="58">
        <f>Valuation!R183</f>
        <v>0</v>
      </c>
      <c r="F2979" s="58" t="str">
        <f t="shared" si="8"/>
        <v>'Valuation'!R183</v>
      </c>
    </row>
    <row r="2980" spans="1:6">
      <c r="A2980" s="58" t="s">
        <v>829</v>
      </c>
      <c r="B2980" s="58" t="s">
        <v>2523</v>
      </c>
      <c r="C2980" s="58" t="s">
        <v>3110</v>
      </c>
      <c r="D2980" s="58">
        <v>1</v>
      </c>
      <c r="E2980" s="58">
        <f>Valuation!T183</f>
        <v>0</v>
      </c>
      <c r="F2980" s="58" t="str">
        <f t="shared" si="8"/>
        <v>'Valuation'!T183</v>
      </c>
    </row>
    <row r="2981" spans="1:6">
      <c r="A2981" s="58" t="s">
        <v>829</v>
      </c>
      <c r="B2981" s="58" t="s">
        <v>2524</v>
      </c>
      <c r="C2981" s="58" t="s">
        <v>3110</v>
      </c>
      <c r="D2981" s="58">
        <v>2</v>
      </c>
      <c r="E2981" s="58">
        <f>Valuation!U183</f>
        <v>0</v>
      </c>
      <c r="F2981" s="58" t="str">
        <f t="shared" si="8"/>
        <v>'Valuation'!U183</v>
      </c>
    </row>
    <row r="2982" spans="1:6">
      <c r="A2982" s="58" t="s">
        <v>829</v>
      </c>
      <c r="B2982" s="58" t="s">
        <v>2525</v>
      </c>
      <c r="C2982" s="58" t="s">
        <v>3110</v>
      </c>
      <c r="D2982" s="58">
        <v>3</v>
      </c>
      <c r="E2982" s="58">
        <f>Valuation!V183</f>
        <v>0</v>
      </c>
      <c r="F2982" s="58" t="str">
        <f t="shared" si="8"/>
        <v>'Valuation'!V183</v>
      </c>
    </row>
    <row r="2983" spans="1:6">
      <c r="A2983" s="58" t="s">
        <v>829</v>
      </c>
      <c r="B2983" s="58" t="s">
        <v>2526</v>
      </c>
      <c r="C2983" s="58" t="s">
        <v>3110</v>
      </c>
      <c r="D2983" s="58">
        <v>4</v>
      </c>
      <c r="E2983" s="58">
        <f>Valuation!W183</f>
        <v>0</v>
      </c>
      <c r="F2983" s="58" t="str">
        <f t="shared" si="8"/>
        <v>'Valuation'!W183</v>
      </c>
    </row>
    <row r="2984" spans="1:6">
      <c r="A2984" s="58" t="s">
        <v>829</v>
      </c>
      <c r="B2984" s="58" t="s">
        <v>2527</v>
      </c>
      <c r="C2984" s="58" t="s">
        <v>3110</v>
      </c>
      <c r="D2984" s="58">
        <v>5</v>
      </c>
      <c r="E2984" s="58">
        <f>Valuation!X183</f>
        <v>0</v>
      </c>
      <c r="F2984" s="58" t="str">
        <f t="shared" si="8"/>
        <v>'Valuation'!X183</v>
      </c>
    </row>
    <row r="2985" spans="1:6">
      <c r="A2985" s="58" t="s">
        <v>829</v>
      </c>
      <c r="B2985" s="58" t="s">
        <v>2528</v>
      </c>
      <c r="C2985" s="58" t="s">
        <v>3110</v>
      </c>
      <c r="D2985" s="58">
        <v>6</v>
      </c>
      <c r="E2985" s="58">
        <f>Valuation!Y183</f>
        <v>0</v>
      </c>
      <c r="F2985" s="58" t="str">
        <f t="shared" si="8"/>
        <v>'Valuation'!Y183</v>
      </c>
    </row>
    <row r="2986" spans="1:6">
      <c r="A2986" s="58" t="s">
        <v>829</v>
      </c>
      <c r="B2986" s="58" t="s">
        <v>2529</v>
      </c>
      <c r="C2986" s="58" t="s">
        <v>3110</v>
      </c>
      <c r="D2986" s="58">
        <v>7</v>
      </c>
      <c r="E2986" s="58">
        <f>Valuation!Z183</f>
        <v>0</v>
      </c>
      <c r="F2986" s="58" t="str">
        <f t="shared" si="8"/>
        <v>'Valuation'!Z183</v>
      </c>
    </row>
    <row r="2987" spans="1:6">
      <c r="A2987" s="58" t="s">
        <v>829</v>
      </c>
      <c r="B2987" s="58" t="s">
        <v>2530</v>
      </c>
      <c r="C2987" s="58" t="s">
        <v>3110</v>
      </c>
      <c r="D2987" s="58">
        <v>8</v>
      </c>
      <c r="E2987" s="58">
        <f>Valuation!AA183</f>
        <v>0</v>
      </c>
      <c r="F2987" s="58" t="str">
        <f t="shared" si="8"/>
        <v>'Valuation'!AA183</v>
      </c>
    </row>
    <row r="2988" spans="1:6">
      <c r="A2988" s="58" t="s">
        <v>829</v>
      </c>
      <c r="B2988" s="58" t="s">
        <v>2531</v>
      </c>
      <c r="C2988" s="58" t="s">
        <v>3110</v>
      </c>
      <c r="D2988" s="58">
        <v>9</v>
      </c>
      <c r="E2988" s="58">
        <f>Valuation!AB183</f>
        <v>0</v>
      </c>
      <c r="F2988" s="58" t="str">
        <f t="shared" si="8"/>
        <v>'Valuation'!AB183</v>
      </c>
    </row>
    <row r="2989" spans="1:6">
      <c r="A2989" s="58" t="s">
        <v>829</v>
      </c>
      <c r="B2989" s="58" t="s">
        <v>2532</v>
      </c>
      <c r="C2989" s="58" t="s">
        <v>1037</v>
      </c>
      <c r="D2989" s="58">
        <v>-11</v>
      </c>
      <c r="E2989" s="58">
        <f>Valuation!H90</f>
        <v>0</v>
      </c>
      <c r="F2989" s="58" t="str">
        <f t="shared" si="8"/>
        <v>'Valuation'!H89</v>
      </c>
    </row>
    <row r="2990" spans="1:6">
      <c r="A2990" s="58" t="s">
        <v>829</v>
      </c>
      <c r="B2990" s="58" t="s">
        <v>2534</v>
      </c>
      <c r="C2990" s="58" t="s">
        <v>1037</v>
      </c>
      <c r="D2990" s="58">
        <v>-10</v>
      </c>
      <c r="E2990" s="58">
        <f>Valuation!I90</f>
        <v>0</v>
      </c>
      <c r="F2990" s="58" t="str">
        <f t="shared" si="8"/>
        <v>'Valuation'!I89</v>
      </c>
    </row>
    <row r="2991" spans="1:6">
      <c r="A2991" s="58" t="s">
        <v>829</v>
      </c>
      <c r="B2991" s="58" t="s">
        <v>2535</v>
      </c>
      <c r="C2991" s="58" t="s">
        <v>1037</v>
      </c>
      <c r="D2991" s="58">
        <v>-9</v>
      </c>
      <c r="E2991" s="58">
        <f>Valuation!J90</f>
        <v>0</v>
      </c>
      <c r="F2991" s="58" t="str">
        <f t="shared" si="8"/>
        <v>'Valuation'!J89</v>
      </c>
    </row>
    <row r="2992" spans="1:6">
      <c r="A2992" s="58" t="s">
        <v>829</v>
      </c>
      <c r="B2992" s="58" t="s">
        <v>2536</v>
      </c>
      <c r="C2992" s="58" t="s">
        <v>1037</v>
      </c>
      <c r="D2992" s="58">
        <v>-8</v>
      </c>
      <c r="E2992" s="58">
        <f>Valuation!K90</f>
        <v>0</v>
      </c>
      <c r="F2992" s="58" t="str">
        <f t="shared" si="8"/>
        <v>'Valuation'!K89</v>
      </c>
    </row>
    <row r="2993" spans="1:6">
      <c r="A2993" s="58" t="s">
        <v>829</v>
      </c>
      <c r="B2993" s="58" t="s">
        <v>2537</v>
      </c>
      <c r="C2993" s="58" t="s">
        <v>1037</v>
      </c>
      <c r="D2993" s="58">
        <v>-7</v>
      </c>
      <c r="E2993" s="58">
        <f>Valuation!L90</f>
        <v>0</v>
      </c>
      <c r="F2993" s="58" t="str">
        <f t="shared" si="8"/>
        <v>'Valuation'!L89</v>
      </c>
    </row>
    <row r="2994" spans="1:6">
      <c r="A2994" s="58" t="s">
        <v>829</v>
      </c>
      <c r="B2994" s="58" t="s">
        <v>2538</v>
      </c>
      <c r="C2994" s="58" t="s">
        <v>1037</v>
      </c>
      <c r="D2994" s="58">
        <v>-6</v>
      </c>
      <c r="E2994" s="58">
        <f>Valuation!M90</f>
        <v>4244252</v>
      </c>
      <c r="F2994" s="58" t="str">
        <f t="shared" si="8"/>
        <v>'Valuation'!M89</v>
      </c>
    </row>
    <row r="2995" spans="1:6">
      <c r="A2995" s="58" t="s">
        <v>829</v>
      </c>
      <c r="B2995" s="58" t="s">
        <v>2539</v>
      </c>
      <c r="C2995" s="58" t="s">
        <v>1037</v>
      </c>
      <c r="D2995" s="58">
        <v>-5</v>
      </c>
      <c r="E2995" s="58">
        <f>Valuation!N90</f>
        <v>11453280</v>
      </c>
      <c r="F2995" s="58" t="str">
        <f t="shared" si="8"/>
        <v>'Valuation'!N89</v>
      </c>
    </row>
    <row r="2996" spans="1:6">
      <c r="A2996" s="58" t="s">
        <v>829</v>
      </c>
      <c r="B2996" s="58" t="s">
        <v>2540</v>
      </c>
      <c r="C2996" s="58" t="s">
        <v>1037</v>
      </c>
      <c r="D2996" s="58">
        <v>-4</v>
      </c>
      <c r="E2996" s="58">
        <f>Valuation!O90</f>
        <v>5388106</v>
      </c>
      <c r="F2996" s="58" t="str">
        <f t="shared" si="8"/>
        <v>'Valuation'!O89</v>
      </c>
    </row>
    <row r="2997" spans="1:6">
      <c r="A2997" s="58" t="s">
        <v>829</v>
      </c>
      <c r="B2997" s="58" t="s">
        <v>2541</v>
      </c>
      <c r="C2997" s="58" t="s">
        <v>1037</v>
      </c>
      <c r="D2997" s="58">
        <v>-3</v>
      </c>
      <c r="E2997" s="58">
        <f>Valuation!P90</f>
        <v>5095598</v>
      </c>
      <c r="F2997" s="58" t="str">
        <f t="shared" si="8"/>
        <v>'Valuation'!P89</v>
      </c>
    </row>
    <row r="2998" spans="1:6">
      <c r="A2998" s="58" t="s">
        <v>829</v>
      </c>
      <c r="B2998" s="58" t="s">
        <v>2542</v>
      </c>
      <c r="C2998" s="58" t="s">
        <v>1037</v>
      </c>
      <c r="D2998" s="58">
        <v>-2</v>
      </c>
      <c r="E2998" s="58">
        <f>Valuation!Q90</f>
        <v>7577894</v>
      </c>
      <c r="F2998" s="58" t="str">
        <f t="shared" si="8"/>
        <v>'Valuation'!Q89</v>
      </c>
    </row>
    <row r="2999" spans="1:6">
      <c r="A2999" s="58" t="s">
        <v>829</v>
      </c>
      <c r="B2999" s="58" t="s">
        <v>2543</v>
      </c>
      <c r="C2999" s="58" t="s">
        <v>1037</v>
      </c>
      <c r="D2999" s="58">
        <v>-1</v>
      </c>
      <c r="E2999" s="58">
        <f>Valuation!R90</f>
        <v>6861987</v>
      </c>
      <c r="F2999" s="58" t="str">
        <f t="shared" si="8"/>
        <v>'Valuation'!R89</v>
      </c>
    </row>
    <row r="3000" spans="1:6">
      <c r="A3000" s="58" t="s">
        <v>829</v>
      </c>
      <c r="B3000" s="58" t="s">
        <v>2544</v>
      </c>
      <c r="C3000" s="58" t="s">
        <v>1037</v>
      </c>
      <c r="D3000" s="58">
        <v>1</v>
      </c>
      <c r="E3000" s="58">
        <f>Valuation!T90</f>
        <v>7565340.6675000004</v>
      </c>
      <c r="F3000" s="58" t="str">
        <f t="shared" si="8"/>
        <v>'Valuation'!T89</v>
      </c>
    </row>
    <row r="3001" spans="1:6">
      <c r="A3001" s="58" t="s">
        <v>829</v>
      </c>
      <c r="B3001" s="58" t="s">
        <v>2545</v>
      </c>
      <c r="C3001" s="58" t="s">
        <v>1037</v>
      </c>
      <c r="D3001" s="58">
        <v>2</v>
      </c>
      <c r="E3001" s="58">
        <f>Valuation!U90</f>
        <v>7943607.700875001</v>
      </c>
      <c r="F3001" s="58" t="str">
        <f t="shared" si="8"/>
        <v>'Valuation'!U89</v>
      </c>
    </row>
    <row r="3002" spans="1:6">
      <c r="A3002" s="58" t="s">
        <v>829</v>
      </c>
      <c r="B3002" s="58" t="s">
        <v>2546</v>
      </c>
      <c r="C3002" s="58" t="s">
        <v>1037</v>
      </c>
      <c r="D3002" s="58">
        <v>3</v>
      </c>
      <c r="E3002" s="58">
        <f>Valuation!V90</f>
        <v>8340788.0859187515</v>
      </c>
      <c r="F3002" s="58" t="str">
        <f t="shared" si="8"/>
        <v>'Valuation'!V89</v>
      </c>
    </row>
    <row r="3003" spans="1:6">
      <c r="A3003" s="58" t="s">
        <v>829</v>
      </c>
      <c r="B3003" s="58" t="s">
        <v>2547</v>
      </c>
      <c r="C3003" s="58" t="s">
        <v>1037</v>
      </c>
      <c r="D3003" s="58">
        <v>4</v>
      </c>
      <c r="E3003" s="58">
        <f>Valuation!W90</f>
        <v>8757827.4902146887</v>
      </c>
      <c r="F3003" s="58" t="str">
        <f t="shared" si="8"/>
        <v>'Valuation'!W89</v>
      </c>
    </row>
    <row r="3004" spans="1:6">
      <c r="A3004" s="58" t="s">
        <v>829</v>
      </c>
      <c r="B3004" s="58" t="s">
        <v>2548</v>
      </c>
      <c r="C3004" s="58" t="s">
        <v>1037</v>
      </c>
      <c r="D3004" s="58">
        <v>5</v>
      </c>
      <c r="E3004" s="58">
        <f>Valuation!X90</f>
        <v>9195718.864725424</v>
      </c>
      <c r="F3004" s="58" t="str">
        <f t="shared" si="8"/>
        <v>'Valuation'!X89</v>
      </c>
    </row>
    <row r="3005" spans="1:6">
      <c r="A3005" s="58" t="s">
        <v>829</v>
      </c>
      <c r="B3005" s="58" t="s">
        <v>2549</v>
      </c>
      <c r="C3005" s="58" t="s">
        <v>1037</v>
      </c>
      <c r="D3005" s="58">
        <v>6</v>
      </c>
      <c r="E3005" s="58">
        <f>Valuation!Y90</f>
        <v>9655504.8079616949</v>
      </c>
      <c r="F3005" s="58" t="str">
        <f t="shared" si="8"/>
        <v>'Valuation'!Y89</v>
      </c>
    </row>
    <row r="3006" spans="1:6">
      <c r="A3006" s="58" t="s">
        <v>829</v>
      </c>
      <c r="B3006" s="58" t="s">
        <v>2550</v>
      </c>
      <c r="C3006" s="58" t="s">
        <v>1037</v>
      </c>
      <c r="D3006" s="58">
        <v>7</v>
      </c>
      <c r="E3006" s="58">
        <f>Valuation!Z90</f>
        <v>10138280.04835978</v>
      </c>
      <c r="F3006" s="58" t="str">
        <f t="shared" si="8"/>
        <v>'Valuation'!Z89</v>
      </c>
    </row>
    <row r="3007" spans="1:6">
      <c r="A3007" s="58" t="s">
        <v>829</v>
      </c>
      <c r="B3007" s="58" t="s">
        <v>2551</v>
      </c>
      <c r="C3007" s="58" t="s">
        <v>1037</v>
      </c>
      <c r="D3007" s="58">
        <v>8</v>
      </c>
      <c r="E3007" s="58">
        <f>Valuation!AA90</f>
        <v>10645194.050777769</v>
      </c>
      <c r="F3007" s="58" t="str">
        <f t="shared" si="8"/>
        <v>'Valuation'!AA89</v>
      </c>
    </row>
    <row r="3008" spans="1:6">
      <c r="A3008" s="58" t="s">
        <v>829</v>
      </c>
      <c r="B3008" s="58" t="s">
        <v>2552</v>
      </c>
      <c r="C3008" s="58" t="s">
        <v>1037</v>
      </c>
      <c r="D3008" s="58">
        <v>9</v>
      </c>
      <c r="E3008" s="58">
        <f>Valuation!AB90</f>
        <v>11177453.753316658</v>
      </c>
      <c r="F3008" s="58" t="str">
        <f t="shared" si="8"/>
        <v>'Valuation'!AB89</v>
      </c>
    </row>
    <row r="3009" spans="1:6">
      <c r="A3009" s="58" t="s">
        <v>829</v>
      </c>
      <c r="B3009" s="58" t="s">
        <v>2553</v>
      </c>
      <c r="C3009" s="58" t="s">
        <v>1037</v>
      </c>
      <c r="D3009" s="58">
        <v>0</v>
      </c>
      <c r="E3009" s="58">
        <f>Valuation!S90</f>
        <v>7205086.3500000006</v>
      </c>
      <c r="F3009" s="58" t="str">
        <f t="shared" si="8"/>
        <v>'Valuation'!S89</v>
      </c>
    </row>
    <row r="3010" spans="1:6">
      <c r="A3010" s="58" t="s">
        <v>829</v>
      </c>
      <c r="B3010" s="58" t="s">
        <v>2554</v>
      </c>
      <c r="C3010" s="58" t="s">
        <v>3111</v>
      </c>
      <c r="D3010" s="58">
        <v>0</v>
      </c>
      <c r="E3010" s="58">
        <f>Valuation!S180</f>
        <v>0</v>
      </c>
      <c r="F3010" s="58" t="str">
        <f t="shared" si="8"/>
        <v>'Valuation'!S180</v>
      </c>
    </row>
    <row r="3011" spans="1:6">
      <c r="A3011" s="58" t="s">
        <v>829</v>
      </c>
      <c r="B3011" s="58" t="s">
        <v>2556</v>
      </c>
      <c r="C3011" s="58" t="s">
        <v>3111</v>
      </c>
      <c r="D3011" s="58">
        <v>-11</v>
      </c>
      <c r="E3011" s="58">
        <f>Valuation!H180</f>
        <v>0</v>
      </c>
      <c r="F3011" s="58" t="str">
        <f t="shared" ref="F3011:F3074" si="9">"'"&amp;A3011&amp;"'"&amp;"!"&amp;B3011</f>
        <v>'Valuation'!H180</v>
      </c>
    </row>
    <row r="3012" spans="1:6">
      <c r="A3012" s="58" t="s">
        <v>829</v>
      </c>
      <c r="B3012" s="58" t="s">
        <v>2557</v>
      </c>
      <c r="C3012" s="58" t="s">
        <v>3111</v>
      </c>
      <c r="D3012" s="58">
        <v>-10</v>
      </c>
      <c r="E3012" s="58">
        <f>Valuation!I180</f>
        <v>0</v>
      </c>
      <c r="F3012" s="58" t="str">
        <f t="shared" si="9"/>
        <v>'Valuation'!I180</v>
      </c>
    </row>
    <row r="3013" spans="1:6">
      <c r="A3013" s="58" t="s">
        <v>829</v>
      </c>
      <c r="B3013" s="58" t="s">
        <v>2558</v>
      </c>
      <c r="C3013" s="58" t="s">
        <v>3111</v>
      </c>
      <c r="D3013" s="58">
        <v>-9</v>
      </c>
      <c r="E3013" s="58">
        <f>Valuation!J180</f>
        <v>0</v>
      </c>
      <c r="F3013" s="58" t="str">
        <f t="shared" si="9"/>
        <v>'Valuation'!J180</v>
      </c>
    </row>
    <row r="3014" spans="1:6">
      <c r="A3014" s="58" t="s">
        <v>829</v>
      </c>
      <c r="B3014" s="58" t="s">
        <v>2559</v>
      </c>
      <c r="C3014" s="58" t="s">
        <v>3111</v>
      </c>
      <c r="D3014" s="58">
        <v>-8</v>
      </c>
      <c r="E3014" s="58">
        <f>Valuation!K180</f>
        <v>0</v>
      </c>
      <c r="F3014" s="58" t="str">
        <f t="shared" si="9"/>
        <v>'Valuation'!K180</v>
      </c>
    </row>
    <row r="3015" spans="1:6">
      <c r="A3015" s="58" t="s">
        <v>829</v>
      </c>
      <c r="B3015" s="58" t="s">
        <v>2560</v>
      </c>
      <c r="C3015" s="58" t="s">
        <v>3111</v>
      </c>
      <c r="D3015" s="58">
        <v>-7</v>
      </c>
      <c r="E3015" s="58">
        <f>Valuation!L180</f>
        <v>0</v>
      </c>
      <c r="F3015" s="58" t="str">
        <f t="shared" si="9"/>
        <v>'Valuation'!L180</v>
      </c>
    </row>
    <row r="3016" spans="1:6">
      <c r="A3016" s="58" t="s">
        <v>829</v>
      </c>
      <c r="B3016" s="58" t="s">
        <v>2561</v>
      </c>
      <c r="C3016" s="58" t="s">
        <v>3111</v>
      </c>
      <c r="D3016" s="58">
        <v>-6</v>
      </c>
      <c r="E3016" s="58">
        <f>Valuation!M180</f>
        <v>0</v>
      </c>
      <c r="F3016" s="58" t="str">
        <f t="shared" si="9"/>
        <v>'Valuation'!M180</v>
      </c>
    </row>
    <row r="3017" spans="1:6">
      <c r="A3017" s="58" t="s">
        <v>829</v>
      </c>
      <c r="B3017" s="58" t="s">
        <v>2562</v>
      </c>
      <c r="C3017" s="58" t="s">
        <v>3111</v>
      </c>
      <c r="D3017" s="58">
        <v>-5</v>
      </c>
      <c r="E3017" s="58">
        <f>Valuation!N180</f>
        <v>0</v>
      </c>
      <c r="F3017" s="58" t="str">
        <f t="shared" si="9"/>
        <v>'Valuation'!N180</v>
      </c>
    </row>
    <row r="3018" spans="1:6">
      <c r="A3018" s="58" t="s">
        <v>829</v>
      </c>
      <c r="B3018" s="58" t="s">
        <v>2563</v>
      </c>
      <c r="C3018" s="58" t="s">
        <v>3111</v>
      </c>
      <c r="D3018" s="58">
        <v>-4</v>
      </c>
      <c r="E3018" s="58">
        <f>Valuation!O180</f>
        <v>0</v>
      </c>
      <c r="F3018" s="58" t="str">
        <f t="shared" si="9"/>
        <v>'Valuation'!O180</v>
      </c>
    </row>
    <row r="3019" spans="1:6">
      <c r="A3019" s="58" t="s">
        <v>829</v>
      </c>
      <c r="B3019" s="58" t="s">
        <v>2564</v>
      </c>
      <c r="C3019" s="58" t="s">
        <v>3111</v>
      </c>
      <c r="D3019" s="58">
        <v>-3</v>
      </c>
      <c r="E3019" s="58">
        <f>Valuation!P180</f>
        <v>0</v>
      </c>
      <c r="F3019" s="58" t="str">
        <f t="shared" si="9"/>
        <v>'Valuation'!P180</v>
      </c>
    </row>
    <row r="3020" spans="1:6">
      <c r="A3020" s="58" t="s">
        <v>829</v>
      </c>
      <c r="B3020" s="58" t="s">
        <v>2565</v>
      </c>
      <c r="C3020" s="58" t="s">
        <v>3111</v>
      </c>
      <c r="D3020" s="58">
        <v>-2</v>
      </c>
      <c r="E3020" s="58">
        <f>Valuation!Q180</f>
        <v>0</v>
      </c>
      <c r="F3020" s="58" t="str">
        <f t="shared" si="9"/>
        <v>'Valuation'!Q180</v>
      </c>
    </row>
    <row r="3021" spans="1:6">
      <c r="A3021" s="58" t="s">
        <v>829</v>
      </c>
      <c r="B3021" s="58" t="s">
        <v>2566</v>
      </c>
      <c r="C3021" s="58" t="s">
        <v>3111</v>
      </c>
      <c r="D3021" s="58">
        <v>-1</v>
      </c>
      <c r="E3021" s="58">
        <f>Valuation!R180</f>
        <v>0</v>
      </c>
      <c r="F3021" s="58" t="str">
        <f t="shared" si="9"/>
        <v>'Valuation'!R180</v>
      </c>
    </row>
    <row r="3022" spans="1:6">
      <c r="A3022" s="58" t="s">
        <v>829</v>
      </c>
      <c r="B3022" s="58" t="s">
        <v>2567</v>
      </c>
      <c r="C3022" s="58" t="s">
        <v>3111</v>
      </c>
      <c r="D3022" s="58">
        <v>1</v>
      </c>
      <c r="E3022" s="58">
        <f>Valuation!T180</f>
        <v>0</v>
      </c>
      <c r="F3022" s="58" t="str">
        <f t="shared" si="9"/>
        <v>'Valuation'!T180</v>
      </c>
    </row>
    <row r="3023" spans="1:6">
      <c r="A3023" s="58" t="s">
        <v>829</v>
      </c>
      <c r="B3023" s="58" t="s">
        <v>2568</v>
      </c>
      <c r="C3023" s="58" t="s">
        <v>3111</v>
      </c>
      <c r="D3023" s="58">
        <v>2</v>
      </c>
      <c r="E3023" s="58">
        <f>Valuation!U180</f>
        <v>0</v>
      </c>
      <c r="F3023" s="58" t="str">
        <f t="shared" si="9"/>
        <v>'Valuation'!U180</v>
      </c>
    </row>
    <row r="3024" spans="1:6">
      <c r="A3024" s="58" t="s">
        <v>829</v>
      </c>
      <c r="B3024" s="58" t="s">
        <v>2569</v>
      </c>
      <c r="C3024" s="58" t="s">
        <v>3111</v>
      </c>
      <c r="D3024" s="58">
        <v>3</v>
      </c>
      <c r="E3024" s="58">
        <f>Valuation!V180</f>
        <v>0</v>
      </c>
      <c r="F3024" s="58" t="str">
        <f t="shared" si="9"/>
        <v>'Valuation'!V180</v>
      </c>
    </row>
    <row r="3025" spans="1:6">
      <c r="A3025" s="58" t="s">
        <v>829</v>
      </c>
      <c r="B3025" s="58" t="s">
        <v>2570</v>
      </c>
      <c r="C3025" s="58" t="s">
        <v>3111</v>
      </c>
      <c r="D3025" s="58">
        <v>4</v>
      </c>
      <c r="E3025" s="58">
        <f>Valuation!W180</f>
        <v>0</v>
      </c>
      <c r="F3025" s="58" t="str">
        <f t="shared" si="9"/>
        <v>'Valuation'!W180</v>
      </c>
    </row>
    <row r="3026" spans="1:6">
      <c r="A3026" s="58" t="s">
        <v>829</v>
      </c>
      <c r="B3026" s="58" t="s">
        <v>2571</v>
      </c>
      <c r="C3026" s="58" t="s">
        <v>3111</v>
      </c>
      <c r="D3026" s="58">
        <v>5</v>
      </c>
      <c r="E3026" s="58">
        <f>Valuation!X180</f>
        <v>0</v>
      </c>
      <c r="F3026" s="58" t="str">
        <f t="shared" si="9"/>
        <v>'Valuation'!X180</v>
      </c>
    </row>
    <row r="3027" spans="1:6">
      <c r="A3027" s="58" t="s">
        <v>829</v>
      </c>
      <c r="B3027" s="58" t="s">
        <v>2572</v>
      </c>
      <c r="C3027" s="58" t="s">
        <v>3111</v>
      </c>
      <c r="D3027" s="58">
        <v>6</v>
      </c>
      <c r="E3027" s="58">
        <f>Valuation!Y180</f>
        <v>0</v>
      </c>
      <c r="F3027" s="58" t="str">
        <f t="shared" si="9"/>
        <v>'Valuation'!Y180</v>
      </c>
    </row>
    <row r="3028" spans="1:6">
      <c r="A3028" s="58" t="s">
        <v>829</v>
      </c>
      <c r="B3028" s="58" t="s">
        <v>2573</v>
      </c>
      <c r="C3028" s="58" t="s">
        <v>3111</v>
      </c>
      <c r="D3028" s="58">
        <v>7</v>
      </c>
      <c r="E3028" s="58">
        <f>Valuation!Z180</f>
        <v>0</v>
      </c>
      <c r="F3028" s="58" t="str">
        <f t="shared" si="9"/>
        <v>'Valuation'!Z180</v>
      </c>
    </row>
    <row r="3029" spans="1:6">
      <c r="A3029" s="58" t="s">
        <v>829</v>
      </c>
      <c r="B3029" s="58" t="s">
        <v>2574</v>
      </c>
      <c r="C3029" s="58" t="s">
        <v>3111</v>
      </c>
      <c r="D3029" s="58">
        <v>8</v>
      </c>
      <c r="E3029" s="58">
        <f>Valuation!AA180</f>
        <v>0</v>
      </c>
      <c r="F3029" s="58" t="str">
        <f t="shared" si="9"/>
        <v>'Valuation'!AA180</v>
      </c>
    </row>
    <row r="3030" spans="1:6">
      <c r="A3030" s="58" t="s">
        <v>829</v>
      </c>
      <c r="B3030" s="58" t="s">
        <v>2575</v>
      </c>
      <c r="C3030" s="58" t="s">
        <v>3111</v>
      </c>
      <c r="D3030" s="58">
        <v>9</v>
      </c>
      <c r="E3030" s="58">
        <f>Valuation!AB180</f>
        <v>0</v>
      </c>
      <c r="F3030" s="58" t="str">
        <f t="shared" si="9"/>
        <v>'Valuation'!AB180</v>
      </c>
    </row>
    <row r="3031" spans="1:6">
      <c r="A3031" s="58" t="s">
        <v>829</v>
      </c>
      <c r="B3031" s="58" t="s">
        <v>2577</v>
      </c>
      <c r="C3031" s="58" t="s">
        <v>1193</v>
      </c>
      <c r="D3031" s="58" t="s">
        <v>1138</v>
      </c>
      <c r="E3031" s="58" t="e">
        <f ca="1">Valuation!Q104</f>
        <v>#NAME?</v>
      </c>
      <c r="F3031" s="58" t="str">
        <f t="shared" si="9"/>
        <v>'Valuation'!Q104</v>
      </c>
    </row>
    <row r="3032" spans="1:6">
      <c r="A3032" s="58" t="s">
        <v>829</v>
      </c>
      <c r="B3032" s="58" t="s">
        <v>2578</v>
      </c>
      <c r="C3032" s="58" t="s">
        <v>1194</v>
      </c>
      <c r="D3032" s="58" t="s">
        <v>1138</v>
      </c>
      <c r="E3032" s="58" t="e">
        <f ca="1">Valuation!Q105</f>
        <v>#NAME?</v>
      </c>
      <c r="F3032" s="58" t="str">
        <f t="shared" si="9"/>
        <v>'Valuation'!Q105</v>
      </c>
    </row>
    <row r="3033" spans="1:6">
      <c r="A3033" s="58" t="s">
        <v>829</v>
      </c>
      <c r="B3033" s="58" t="s">
        <v>2579</v>
      </c>
      <c r="C3033" s="58" t="s">
        <v>1195</v>
      </c>
      <c r="D3033" s="58" t="s">
        <v>1138</v>
      </c>
      <c r="E3033" s="58" t="e">
        <f ca="1">Valuation!Q106</f>
        <v>#NAME?</v>
      </c>
      <c r="F3033" s="58" t="str">
        <f t="shared" si="9"/>
        <v>'Valuation'!Q106</v>
      </c>
    </row>
    <row r="3034" spans="1:6">
      <c r="A3034" s="58" t="s">
        <v>829</v>
      </c>
      <c r="B3034" s="58" t="s">
        <v>2576</v>
      </c>
      <c r="C3034" s="58" t="s">
        <v>1196</v>
      </c>
      <c r="D3034" s="58" t="s">
        <v>1138</v>
      </c>
      <c r="E3034" s="58">
        <f>Valuation!AB104</f>
        <v>6.5000000000000002E-2</v>
      </c>
      <c r="F3034" s="58" t="str">
        <f t="shared" si="9"/>
        <v>'Valuation'!Z105</v>
      </c>
    </row>
    <row r="3035" spans="1:6">
      <c r="A3035" s="58" t="s">
        <v>829</v>
      </c>
      <c r="B3035" s="58" t="s">
        <v>3112</v>
      </c>
      <c r="C3035" s="58" t="s">
        <v>3113</v>
      </c>
      <c r="D3035" s="58">
        <v>0</v>
      </c>
      <c r="E3035" s="58">
        <f>Valuation!S191</f>
        <v>0</v>
      </c>
      <c r="F3035" s="58" t="str">
        <f t="shared" si="9"/>
        <v>'Valuation'!S191</v>
      </c>
    </row>
    <row r="3036" spans="1:6">
      <c r="A3036" s="58" t="s">
        <v>829</v>
      </c>
      <c r="B3036" s="58" t="s">
        <v>3114</v>
      </c>
      <c r="C3036" s="58" t="s">
        <v>3113</v>
      </c>
      <c r="D3036" s="58">
        <v>-11</v>
      </c>
      <c r="E3036" s="58">
        <f>Valuation!H191</f>
        <v>0</v>
      </c>
      <c r="F3036" s="58" t="str">
        <f t="shared" si="9"/>
        <v>'Valuation'!H191</v>
      </c>
    </row>
    <row r="3037" spans="1:6">
      <c r="A3037" s="58" t="s">
        <v>829</v>
      </c>
      <c r="B3037" s="58" t="s">
        <v>3115</v>
      </c>
      <c r="C3037" s="58" t="s">
        <v>3113</v>
      </c>
      <c r="D3037" s="58">
        <v>-10</v>
      </c>
      <c r="E3037" s="58">
        <f>Valuation!I191</f>
        <v>0</v>
      </c>
      <c r="F3037" s="58" t="str">
        <f t="shared" si="9"/>
        <v>'Valuation'!I191</v>
      </c>
    </row>
    <row r="3038" spans="1:6">
      <c r="A3038" s="58" t="s">
        <v>829</v>
      </c>
      <c r="B3038" s="58" t="s">
        <v>3116</v>
      </c>
      <c r="C3038" s="58" t="s">
        <v>3113</v>
      </c>
      <c r="D3038" s="58">
        <v>-9</v>
      </c>
      <c r="E3038" s="58">
        <f>Valuation!J191</f>
        <v>0</v>
      </c>
      <c r="F3038" s="58" t="str">
        <f t="shared" si="9"/>
        <v>'Valuation'!J191</v>
      </c>
    </row>
    <row r="3039" spans="1:6">
      <c r="A3039" s="58" t="s">
        <v>829</v>
      </c>
      <c r="B3039" s="58" t="s">
        <v>3117</v>
      </c>
      <c r="C3039" s="58" t="s">
        <v>3113</v>
      </c>
      <c r="D3039" s="58">
        <v>-8</v>
      </c>
      <c r="E3039" s="58">
        <f>Valuation!K191</f>
        <v>0</v>
      </c>
      <c r="F3039" s="58" t="str">
        <f t="shared" si="9"/>
        <v>'Valuation'!K191</v>
      </c>
    </row>
    <row r="3040" spans="1:6">
      <c r="A3040" s="58" t="s">
        <v>829</v>
      </c>
      <c r="B3040" s="58" t="s">
        <v>3118</v>
      </c>
      <c r="C3040" s="58" t="s">
        <v>3113</v>
      </c>
      <c r="D3040" s="58">
        <v>-7</v>
      </c>
      <c r="E3040" s="58">
        <f>Valuation!L191</f>
        <v>0</v>
      </c>
      <c r="F3040" s="58" t="str">
        <f t="shared" si="9"/>
        <v>'Valuation'!L191</v>
      </c>
    </row>
    <row r="3041" spans="1:6">
      <c r="A3041" s="58" t="s">
        <v>829</v>
      </c>
      <c r="B3041" s="58" t="s">
        <v>3119</v>
      </c>
      <c r="C3041" s="58" t="s">
        <v>3113</v>
      </c>
      <c r="D3041" s="58">
        <v>-6</v>
      </c>
      <c r="E3041" s="58">
        <f>Valuation!M191</f>
        <v>0</v>
      </c>
      <c r="F3041" s="58" t="str">
        <f t="shared" si="9"/>
        <v>'Valuation'!M191</v>
      </c>
    </row>
    <row r="3042" spans="1:6">
      <c r="A3042" s="58" t="s">
        <v>829</v>
      </c>
      <c r="B3042" s="58" t="s">
        <v>3120</v>
      </c>
      <c r="C3042" s="58" t="s">
        <v>3113</v>
      </c>
      <c r="D3042" s="58">
        <v>-5</v>
      </c>
      <c r="E3042" s="58">
        <f>Valuation!N191</f>
        <v>0</v>
      </c>
      <c r="F3042" s="58" t="str">
        <f t="shared" si="9"/>
        <v>'Valuation'!N191</v>
      </c>
    </row>
    <row r="3043" spans="1:6">
      <c r="A3043" s="58" t="s">
        <v>829</v>
      </c>
      <c r="B3043" s="58" t="s">
        <v>3121</v>
      </c>
      <c r="C3043" s="58" t="s">
        <v>3113</v>
      </c>
      <c r="D3043" s="58">
        <v>-4</v>
      </c>
      <c r="E3043" s="58">
        <f>Valuation!O191</f>
        <v>0</v>
      </c>
      <c r="F3043" s="58" t="str">
        <f t="shared" si="9"/>
        <v>'Valuation'!O191</v>
      </c>
    </row>
    <row r="3044" spans="1:6">
      <c r="A3044" s="58" t="s">
        <v>829</v>
      </c>
      <c r="B3044" s="58" t="s">
        <v>3122</v>
      </c>
      <c r="C3044" s="58" t="s">
        <v>3113</v>
      </c>
      <c r="D3044" s="58">
        <v>-3</v>
      </c>
      <c r="E3044" s="58">
        <f>Valuation!P191</f>
        <v>0</v>
      </c>
      <c r="F3044" s="58" t="str">
        <f t="shared" si="9"/>
        <v>'Valuation'!P191</v>
      </c>
    </row>
    <row r="3045" spans="1:6">
      <c r="A3045" s="58" t="s">
        <v>829</v>
      </c>
      <c r="B3045" s="58" t="s">
        <v>3123</v>
      </c>
      <c r="C3045" s="58" t="s">
        <v>3113</v>
      </c>
      <c r="D3045" s="58">
        <v>-2</v>
      </c>
      <c r="E3045" s="58">
        <f>Valuation!Q191</f>
        <v>0</v>
      </c>
      <c r="F3045" s="58" t="str">
        <f t="shared" si="9"/>
        <v>'Valuation'!Q191</v>
      </c>
    </row>
    <row r="3046" spans="1:6">
      <c r="A3046" s="58" t="s">
        <v>829</v>
      </c>
      <c r="B3046" s="58" t="s">
        <v>3124</v>
      </c>
      <c r="C3046" s="58" t="s">
        <v>3113</v>
      </c>
      <c r="D3046" s="58">
        <v>-1</v>
      </c>
      <c r="E3046" s="58">
        <f>Valuation!R191</f>
        <v>0</v>
      </c>
      <c r="F3046" s="58" t="str">
        <f t="shared" si="9"/>
        <v>'Valuation'!R191</v>
      </c>
    </row>
    <row r="3047" spans="1:6">
      <c r="A3047" s="58" t="s">
        <v>829</v>
      </c>
      <c r="B3047" s="58" t="s">
        <v>3125</v>
      </c>
      <c r="C3047" s="58" t="s">
        <v>3113</v>
      </c>
      <c r="D3047" s="58">
        <v>1</v>
      </c>
      <c r="E3047" s="58">
        <f>Valuation!T191</f>
        <v>0</v>
      </c>
      <c r="F3047" s="58" t="str">
        <f t="shared" si="9"/>
        <v>'Valuation'!T191</v>
      </c>
    </row>
    <row r="3048" spans="1:6">
      <c r="A3048" s="58" t="s">
        <v>829</v>
      </c>
      <c r="B3048" s="58" t="s">
        <v>3126</v>
      </c>
      <c r="C3048" s="58" t="s">
        <v>3113</v>
      </c>
      <c r="D3048" s="58">
        <v>2</v>
      </c>
      <c r="E3048" s="58">
        <f>Valuation!U191</f>
        <v>0</v>
      </c>
      <c r="F3048" s="58" t="str">
        <f t="shared" si="9"/>
        <v>'Valuation'!U191</v>
      </c>
    </row>
    <row r="3049" spans="1:6">
      <c r="A3049" s="58" t="s">
        <v>829</v>
      </c>
      <c r="B3049" s="58" t="s">
        <v>3127</v>
      </c>
      <c r="C3049" s="58" t="s">
        <v>3113</v>
      </c>
      <c r="D3049" s="58">
        <v>3</v>
      </c>
      <c r="E3049" s="58">
        <f>Valuation!V191</f>
        <v>0</v>
      </c>
      <c r="F3049" s="58" t="str">
        <f t="shared" si="9"/>
        <v>'Valuation'!V191</v>
      </c>
    </row>
    <row r="3050" spans="1:6">
      <c r="A3050" s="58" t="s">
        <v>829</v>
      </c>
      <c r="B3050" s="58" t="s">
        <v>3128</v>
      </c>
      <c r="C3050" s="58" t="s">
        <v>3113</v>
      </c>
      <c r="D3050" s="58">
        <v>4</v>
      </c>
      <c r="E3050" s="58">
        <f>Valuation!W191</f>
        <v>0</v>
      </c>
      <c r="F3050" s="58" t="str">
        <f t="shared" si="9"/>
        <v>'Valuation'!W191</v>
      </c>
    </row>
    <row r="3051" spans="1:6">
      <c r="A3051" s="58" t="s">
        <v>829</v>
      </c>
      <c r="B3051" s="58" t="s">
        <v>3129</v>
      </c>
      <c r="C3051" s="58" t="s">
        <v>3113</v>
      </c>
      <c r="D3051" s="58">
        <v>5</v>
      </c>
      <c r="E3051" s="58">
        <f>Valuation!X191</f>
        <v>0</v>
      </c>
      <c r="F3051" s="58" t="str">
        <f t="shared" si="9"/>
        <v>'Valuation'!X191</v>
      </c>
    </row>
    <row r="3052" spans="1:6">
      <c r="A3052" s="58" t="s">
        <v>829</v>
      </c>
      <c r="B3052" s="58" t="s">
        <v>3130</v>
      </c>
      <c r="C3052" s="58" t="s">
        <v>3113</v>
      </c>
      <c r="D3052" s="58">
        <v>6</v>
      </c>
      <c r="E3052" s="58">
        <f>Valuation!Y191</f>
        <v>0</v>
      </c>
      <c r="F3052" s="58" t="str">
        <f t="shared" si="9"/>
        <v>'Valuation'!Y191</v>
      </c>
    </row>
    <row r="3053" spans="1:6">
      <c r="A3053" s="58" t="s">
        <v>829</v>
      </c>
      <c r="B3053" s="58" t="s">
        <v>3131</v>
      </c>
      <c r="C3053" s="58" t="s">
        <v>3113</v>
      </c>
      <c r="D3053" s="58">
        <v>7</v>
      </c>
      <c r="E3053" s="58">
        <f>Valuation!Z191</f>
        <v>0</v>
      </c>
      <c r="F3053" s="58" t="str">
        <f t="shared" si="9"/>
        <v>'Valuation'!Z191</v>
      </c>
    </row>
    <row r="3054" spans="1:6">
      <c r="A3054" s="58" t="s">
        <v>829</v>
      </c>
      <c r="B3054" s="58" t="s">
        <v>3132</v>
      </c>
      <c r="C3054" s="58" t="s">
        <v>3113</v>
      </c>
      <c r="D3054" s="58">
        <v>8</v>
      </c>
      <c r="E3054" s="58">
        <f>Valuation!AA191</f>
        <v>0</v>
      </c>
      <c r="F3054" s="58" t="str">
        <f t="shared" si="9"/>
        <v>'Valuation'!AA191</v>
      </c>
    </row>
    <row r="3055" spans="1:6">
      <c r="A3055" s="58" t="s">
        <v>829</v>
      </c>
      <c r="B3055" s="58" t="s">
        <v>3133</v>
      </c>
      <c r="C3055" s="58" t="s">
        <v>3113</v>
      </c>
      <c r="D3055" s="58">
        <v>9</v>
      </c>
      <c r="E3055" s="58">
        <f>Valuation!AB191</f>
        <v>0</v>
      </c>
      <c r="F3055" s="58" t="str">
        <f t="shared" si="9"/>
        <v>'Valuation'!AB191</v>
      </c>
    </row>
    <row r="3056" spans="1:6">
      <c r="A3056" s="58" t="s">
        <v>829</v>
      </c>
      <c r="B3056" s="58" t="s">
        <v>3134</v>
      </c>
      <c r="C3056" s="58" t="s">
        <v>3135</v>
      </c>
      <c r="D3056" s="58">
        <v>0</v>
      </c>
      <c r="E3056" s="58">
        <f>Valuation!S190</f>
        <v>0</v>
      </c>
      <c r="F3056" s="58" t="str">
        <f t="shared" si="9"/>
        <v>'Valuation'!S190</v>
      </c>
    </row>
    <row r="3057" spans="1:6">
      <c r="A3057" s="58" t="s">
        <v>829</v>
      </c>
      <c r="B3057" s="58" t="s">
        <v>3136</v>
      </c>
      <c r="C3057" s="58" t="s">
        <v>3135</v>
      </c>
      <c r="D3057" s="58">
        <v>-11</v>
      </c>
      <c r="E3057" s="58">
        <f>Valuation!H190</f>
        <v>0</v>
      </c>
      <c r="F3057" s="58" t="str">
        <f t="shared" si="9"/>
        <v>'Valuation'!H190</v>
      </c>
    </row>
    <row r="3058" spans="1:6">
      <c r="A3058" s="58" t="s">
        <v>829</v>
      </c>
      <c r="B3058" s="58" t="s">
        <v>3137</v>
      </c>
      <c r="C3058" s="58" t="s">
        <v>3135</v>
      </c>
      <c r="D3058" s="58">
        <v>-10</v>
      </c>
      <c r="E3058" s="58">
        <f>Valuation!I190</f>
        <v>0</v>
      </c>
      <c r="F3058" s="58" t="str">
        <f t="shared" si="9"/>
        <v>'Valuation'!I190</v>
      </c>
    </row>
    <row r="3059" spans="1:6">
      <c r="A3059" s="58" t="s">
        <v>829</v>
      </c>
      <c r="B3059" s="58" t="s">
        <v>3138</v>
      </c>
      <c r="C3059" s="58" t="s">
        <v>3135</v>
      </c>
      <c r="D3059" s="58">
        <v>-9</v>
      </c>
      <c r="E3059" s="58">
        <f>Valuation!J190</f>
        <v>0</v>
      </c>
      <c r="F3059" s="58" t="str">
        <f t="shared" si="9"/>
        <v>'Valuation'!J190</v>
      </c>
    </row>
    <row r="3060" spans="1:6">
      <c r="A3060" s="58" t="s">
        <v>829</v>
      </c>
      <c r="B3060" s="58" t="s">
        <v>3139</v>
      </c>
      <c r="C3060" s="58" t="s">
        <v>3135</v>
      </c>
      <c r="D3060" s="58">
        <v>-8</v>
      </c>
      <c r="E3060" s="58">
        <f>Valuation!K190</f>
        <v>0</v>
      </c>
      <c r="F3060" s="58" t="str">
        <f t="shared" si="9"/>
        <v>'Valuation'!K190</v>
      </c>
    </row>
    <row r="3061" spans="1:6">
      <c r="A3061" s="58" t="s">
        <v>829</v>
      </c>
      <c r="B3061" s="58" t="s">
        <v>3140</v>
      </c>
      <c r="C3061" s="58" t="s">
        <v>3135</v>
      </c>
      <c r="D3061" s="58">
        <v>-7</v>
      </c>
      <c r="E3061" s="58">
        <f>Valuation!L190</f>
        <v>0</v>
      </c>
      <c r="F3061" s="58" t="str">
        <f t="shared" si="9"/>
        <v>'Valuation'!L190</v>
      </c>
    </row>
    <row r="3062" spans="1:6">
      <c r="A3062" s="58" t="s">
        <v>829</v>
      </c>
      <c r="B3062" s="58" t="s">
        <v>3141</v>
      </c>
      <c r="C3062" s="58" t="s">
        <v>3135</v>
      </c>
      <c r="D3062" s="58">
        <v>-6</v>
      </c>
      <c r="E3062" s="58">
        <f>Valuation!M190</f>
        <v>0</v>
      </c>
      <c r="F3062" s="58" t="str">
        <f t="shared" si="9"/>
        <v>'Valuation'!M190</v>
      </c>
    </row>
    <row r="3063" spans="1:6">
      <c r="A3063" s="58" t="s">
        <v>829</v>
      </c>
      <c r="B3063" s="58" t="s">
        <v>3142</v>
      </c>
      <c r="C3063" s="58" t="s">
        <v>3135</v>
      </c>
      <c r="D3063" s="58">
        <v>-5</v>
      </c>
      <c r="E3063" s="58">
        <f>Valuation!N190</f>
        <v>0</v>
      </c>
      <c r="F3063" s="58" t="str">
        <f t="shared" si="9"/>
        <v>'Valuation'!N190</v>
      </c>
    </row>
    <row r="3064" spans="1:6">
      <c r="A3064" s="58" t="s">
        <v>829</v>
      </c>
      <c r="B3064" s="58" t="s">
        <v>3143</v>
      </c>
      <c r="C3064" s="58" t="s">
        <v>3135</v>
      </c>
      <c r="D3064" s="58">
        <v>-4</v>
      </c>
      <c r="E3064" s="58">
        <f>Valuation!O190</f>
        <v>0</v>
      </c>
      <c r="F3064" s="58" t="str">
        <f t="shared" si="9"/>
        <v>'Valuation'!O190</v>
      </c>
    </row>
    <row r="3065" spans="1:6">
      <c r="A3065" s="58" t="s">
        <v>829</v>
      </c>
      <c r="B3065" s="58" t="s">
        <v>3144</v>
      </c>
      <c r="C3065" s="58" t="s">
        <v>3135</v>
      </c>
      <c r="D3065" s="58">
        <v>-3</v>
      </c>
      <c r="E3065" s="58">
        <f>Valuation!P190</f>
        <v>0</v>
      </c>
      <c r="F3065" s="58" t="str">
        <f t="shared" si="9"/>
        <v>'Valuation'!P190</v>
      </c>
    </row>
    <row r="3066" spans="1:6">
      <c r="A3066" s="58" t="s">
        <v>829</v>
      </c>
      <c r="B3066" s="58" t="s">
        <v>3145</v>
      </c>
      <c r="C3066" s="58" t="s">
        <v>3135</v>
      </c>
      <c r="D3066" s="58">
        <v>-2</v>
      </c>
      <c r="E3066" s="58">
        <f>Valuation!Q190</f>
        <v>0</v>
      </c>
      <c r="F3066" s="58" t="str">
        <f t="shared" si="9"/>
        <v>'Valuation'!Q190</v>
      </c>
    </row>
    <row r="3067" spans="1:6">
      <c r="A3067" s="58" t="s">
        <v>829</v>
      </c>
      <c r="B3067" s="58" t="s">
        <v>3146</v>
      </c>
      <c r="C3067" s="58" t="s">
        <v>3135</v>
      </c>
      <c r="D3067" s="58">
        <v>-1</v>
      </c>
      <c r="E3067" s="58">
        <f>Valuation!R190</f>
        <v>0</v>
      </c>
      <c r="F3067" s="58" t="str">
        <f t="shared" si="9"/>
        <v>'Valuation'!R190</v>
      </c>
    </row>
    <row r="3068" spans="1:6">
      <c r="A3068" s="58" t="s">
        <v>829</v>
      </c>
      <c r="B3068" s="58" t="s">
        <v>3147</v>
      </c>
      <c r="C3068" s="58" t="s">
        <v>3135</v>
      </c>
      <c r="D3068" s="58">
        <v>1</v>
      </c>
      <c r="E3068" s="58">
        <f>Valuation!T190</f>
        <v>0</v>
      </c>
      <c r="F3068" s="58" t="str">
        <f t="shared" si="9"/>
        <v>'Valuation'!T190</v>
      </c>
    </row>
    <row r="3069" spans="1:6">
      <c r="A3069" s="58" t="s">
        <v>829</v>
      </c>
      <c r="B3069" s="58" t="s">
        <v>3148</v>
      </c>
      <c r="C3069" s="58" t="s">
        <v>3135</v>
      </c>
      <c r="D3069" s="58">
        <v>2</v>
      </c>
      <c r="E3069" s="58">
        <f>Valuation!U190</f>
        <v>0</v>
      </c>
      <c r="F3069" s="58" t="str">
        <f t="shared" si="9"/>
        <v>'Valuation'!U190</v>
      </c>
    </row>
    <row r="3070" spans="1:6">
      <c r="A3070" s="58" t="s">
        <v>829</v>
      </c>
      <c r="B3070" s="58" t="s">
        <v>3149</v>
      </c>
      <c r="C3070" s="58" t="s">
        <v>3135</v>
      </c>
      <c r="D3070" s="58">
        <v>3</v>
      </c>
      <c r="E3070" s="58">
        <f>Valuation!V190</f>
        <v>0</v>
      </c>
      <c r="F3070" s="58" t="str">
        <f t="shared" si="9"/>
        <v>'Valuation'!V190</v>
      </c>
    </row>
    <row r="3071" spans="1:6">
      <c r="A3071" s="58" t="s">
        <v>829</v>
      </c>
      <c r="B3071" s="58" t="s">
        <v>3150</v>
      </c>
      <c r="C3071" s="58" t="s">
        <v>3135</v>
      </c>
      <c r="D3071" s="58">
        <v>4</v>
      </c>
      <c r="E3071" s="58">
        <f>Valuation!W190</f>
        <v>0</v>
      </c>
      <c r="F3071" s="58" t="str">
        <f t="shared" si="9"/>
        <v>'Valuation'!W190</v>
      </c>
    </row>
    <row r="3072" spans="1:6">
      <c r="A3072" s="58" t="s">
        <v>829</v>
      </c>
      <c r="B3072" s="58" t="s">
        <v>3151</v>
      </c>
      <c r="C3072" s="58" t="s">
        <v>3135</v>
      </c>
      <c r="D3072" s="58">
        <v>5</v>
      </c>
      <c r="E3072" s="58">
        <f>Valuation!X190</f>
        <v>0</v>
      </c>
      <c r="F3072" s="58" t="str">
        <f t="shared" si="9"/>
        <v>'Valuation'!X190</v>
      </c>
    </row>
    <row r="3073" spans="1:6">
      <c r="A3073" s="58" t="s">
        <v>829</v>
      </c>
      <c r="B3073" s="58" t="s">
        <v>3152</v>
      </c>
      <c r="C3073" s="58" t="s">
        <v>3135</v>
      </c>
      <c r="D3073" s="58">
        <v>6</v>
      </c>
      <c r="E3073" s="58">
        <f>Valuation!Y190</f>
        <v>0</v>
      </c>
      <c r="F3073" s="58" t="str">
        <f t="shared" si="9"/>
        <v>'Valuation'!Y190</v>
      </c>
    </row>
    <row r="3074" spans="1:6">
      <c r="A3074" s="58" t="s">
        <v>829</v>
      </c>
      <c r="B3074" s="58" t="s">
        <v>3153</v>
      </c>
      <c r="C3074" s="58" t="s">
        <v>3135</v>
      </c>
      <c r="D3074" s="58">
        <v>7</v>
      </c>
      <c r="E3074" s="58">
        <f>Valuation!Z190</f>
        <v>0</v>
      </c>
      <c r="F3074" s="58" t="str">
        <f t="shared" si="9"/>
        <v>'Valuation'!Z190</v>
      </c>
    </row>
    <row r="3075" spans="1:6">
      <c r="A3075" s="58" t="s">
        <v>829</v>
      </c>
      <c r="B3075" s="58" t="s">
        <v>3154</v>
      </c>
      <c r="C3075" s="58" t="s">
        <v>3135</v>
      </c>
      <c r="D3075" s="58">
        <v>8</v>
      </c>
      <c r="E3075" s="58">
        <f>Valuation!AA190</f>
        <v>0</v>
      </c>
      <c r="F3075" s="58" t="str">
        <f t="shared" ref="F3075:F3138" si="10">"'"&amp;A3075&amp;"'"&amp;"!"&amp;B3075</f>
        <v>'Valuation'!AA190</v>
      </c>
    </row>
    <row r="3076" spans="1:6">
      <c r="A3076" s="58" t="s">
        <v>829</v>
      </c>
      <c r="B3076" s="58" t="s">
        <v>3155</v>
      </c>
      <c r="C3076" s="58" t="s">
        <v>3135</v>
      </c>
      <c r="D3076" s="58">
        <v>9</v>
      </c>
      <c r="E3076" s="58">
        <f>Valuation!AB190</f>
        <v>0</v>
      </c>
      <c r="F3076" s="58" t="str">
        <f t="shared" si="10"/>
        <v>'Valuation'!AB190</v>
      </c>
    </row>
    <row r="3077" spans="1:6">
      <c r="A3077" s="58" t="s">
        <v>829</v>
      </c>
      <c r="B3077" s="58" t="s">
        <v>2580</v>
      </c>
      <c r="C3077" s="58" t="s">
        <v>1197</v>
      </c>
      <c r="D3077" s="58" t="s">
        <v>1138</v>
      </c>
      <c r="E3077" s="58">
        <f>Valuation!S40</f>
        <v>268000</v>
      </c>
      <c r="F3077" s="58" t="str">
        <f t="shared" si="10"/>
        <v>'Valuation'!S40</v>
      </c>
    </row>
    <row r="3078" spans="1:6">
      <c r="A3078" s="58" t="s">
        <v>829</v>
      </c>
      <c r="B3078" s="58" t="s">
        <v>2419</v>
      </c>
      <c r="C3078" s="58" t="s">
        <v>3156</v>
      </c>
      <c r="D3078" s="58">
        <v>0</v>
      </c>
      <c r="E3078" s="58">
        <f ca="1">Valuation!S83</f>
        <v>292525.43494157167</v>
      </c>
      <c r="F3078" s="58" t="str">
        <f t="shared" si="10"/>
        <v>'Valuation'!S82</v>
      </c>
    </row>
    <row r="3079" spans="1:6">
      <c r="A3079" s="58" t="s">
        <v>829</v>
      </c>
      <c r="B3079" s="58" t="s">
        <v>2398</v>
      </c>
      <c r="C3079" s="58" t="s">
        <v>3156</v>
      </c>
      <c r="D3079" s="58">
        <v>-11</v>
      </c>
      <c r="E3079" s="58">
        <f>Valuation!H83</f>
        <v>0</v>
      </c>
      <c r="F3079" s="58" t="str">
        <f t="shared" si="10"/>
        <v>'Valuation'!H82</v>
      </c>
    </row>
    <row r="3080" spans="1:6">
      <c r="A3080" s="58" t="s">
        <v>829</v>
      </c>
      <c r="B3080" s="58" t="s">
        <v>2400</v>
      </c>
      <c r="C3080" s="58" t="s">
        <v>3156</v>
      </c>
      <c r="D3080" s="58">
        <v>-10</v>
      </c>
      <c r="E3080" s="58">
        <f>Valuation!I83</f>
        <v>0</v>
      </c>
      <c r="F3080" s="58" t="str">
        <f t="shared" si="10"/>
        <v>'Valuation'!I82</v>
      </c>
    </row>
    <row r="3081" spans="1:6">
      <c r="A3081" s="58" t="s">
        <v>829</v>
      </c>
      <c r="B3081" s="58" t="s">
        <v>2401</v>
      </c>
      <c r="C3081" s="58" t="s">
        <v>3156</v>
      </c>
      <c r="D3081" s="58">
        <v>-9</v>
      </c>
      <c r="E3081" s="58">
        <f>Valuation!J83</f>
        <v>0</v>
      </c>
      <c r="F3081" s="58" t="str">
        <f t="shared" si="10"/>
        <v>'Valuation'!J82</v>
      </c>
    </row>
    <row r="3082" spans="1:6">
      <c r="A3082" s="58" t="s">
        <v>829</v>
      </c>
      <c r="B3082" s="58" t="s">
        <v>2402</v>
      </c>
      <c r="C3082" s="58" t="s">
        <v>3156</v>
      </c>
      <c r="D3082" s="58">
        <v>-8</v>
      </c>
      <c r="E3082" s="58">
        <f>Valuation!K83</f>
        <v>0</v>
      </c>
      <c r="F3082" s="58" t="str">
        <f t="shared" si="10"/>
        <v>'Valuation'!K82</v>
      </c>
    </row>
    <row r="3083" spans="1:6">
      <c r="A3083" s="58" t="s">
        <v>829</v>
      </c>
      <c r="B3083" s="58" t="s">
        <v>2403</v>
      </c>
      <c r="C3083" s="58" t="s">
        <v>3156</v>
      </c>
      <c r="D3083" s="58">
        <v>-7</v>
      </c>
      <c r="E3083" s="58">
        <f>Valuation!L83</f>
        <v>0</v>
      </c>
      <c r="F3083" s="58" t="str">
        <f t="shared" si="10"/>
        <v>'Valuation'!L82</v>
      </c>
    </row>
    <row r="3084" spans="1:6">
      <c r="A3084" s="58" t="s">
        <v>829</v>
      </c>
      <c r="B3084" s="58" t="s">
        <v>2404</v>
      </c>
      <c r="C3084" s="58" t="s">
        <v>3156</v>
      </c>
      <c r="D3084" s="58">
        <v>-6</v>
      </c>
      <c r="E3084" s="58">
        <f>Valuation!M83</f>
        <v>49250</v>
      </c>
      <c r="F3084" s="58" t="str">
        <f t="shared" si="10"/>
        <v>'Valuation'!M82</v>
      </c>
    </row>
    <row r="3085" spans="1:6">
      <c r="A3085" s="58" t="s">
        <v>829</v>
      </c>
      <c r="B3085" s="58" t="s">
        <v>2405</v>
      </c>
      <c r="C3085" s="58" t="s">
        <v>3156</v>
      </c>
      <c r="D3085" s="58">
        <v>-5</v>
      </c>
      <c r="E3085" s="58">
        <f>Valuation!N83</f>
        <v>59230</v>
      </c>
      <c r="F3085" s="58" t="str">
        <f t="shared" si="10"/>
        <v>'Valuation'!N82</v>
      </c>
    </row>
    <row r="3086" spans="1:6">
      <c r="A3086" s="58" t="s">
        <v>829</v>
      </c>
      <c r="B3086" s="58" t="s">
        <v>2406</v>
      </c>
      <c r="C3086" s="58" t="s">
        <v>3156</v>
      </c>
      <c r="D3086" s="58">
        <v>-4</v>
      </c>
      <c r="E3086" s="58">
        <f>Valuation!O83</f>
        <v>171853</v>
      </c>
      <c r="F3086" s="58" t="str">
        <f t="shared" si="10"/>
        <v>'Valuation'!O82</v>
      </c>
    </row>
    <row r="3087" spans="1:6">
      <c r="A3087" s="58" t="s">
        <v>829</v>
      </c>
      <c r="B3087" s="58" t="s">
        <v>2407</v>
      </c>
      <c r="C3087" s="58" t="s">
        <v>3156</v>
      </c>
      <c r="D3087" s="58">
        <v>-3</v>
      </c>
      <c r="E3087" s="58">
        <f>Valuation!P83</f>
        <v>192550</v>
      </c>
      <c r="F3087" s="58" t="str">
        <f t="shared" si="10"/>
        <v>'Valuation'!P82</v>
      </c>
    </row>
    <row r="3088" spans="1:6">
      <c r="A3088" s="58" t="s">
        <v>829</v>
      </c>
      <c r="B3088" s="58" t="s">
        <v>2408</v>
      </c>
      <c r="C3088" s="58" t="s">
        <v>3156</v>
      </c>
      <c r="D3088" s="58">
        <v>-2</v>
      </c>
      <c r="E3088" s="58">
        <f>Valuation!Q83</f>
        <v>200080</v>
      </c>
      <c r="F3088" s="58" t="str">
        <f t="shared" si="10"/>
        <v>'Valuation'!Q82</v>
      </c>
    </row>
    <row r="3089" spans="1:6">
      <c r="A3089" s="58" t="s">
        <v>829</v>
      </c>
      <c r="B3089" s="58" t="s">
        <v>2409</v>
      </c>
      <c r="C3089" s="58" t="s">
        <v>3156</v>
      </c>
      <c r="D3089" s="58">
        <v>-1</v>
      </c>
      <c r="E3089" s="58">
        <f>Valuation!R83</f>
        <v>264573</v>
      </c>
      <c r="F3089" s="58" t="str">
        <f t="shared" si="10"/>
        <v>'Valuation'!R82</v>
      </c>
    </row>
    <row r="3090" spans="1:6">
      <c r="A3090" s="58" t="s">
        <v>829</v>
      </c>
      <c r="B3090" s="58" t="s">
        <v>2410</v>
      </c>
      <c r="C3090" s="58" t="s">
        <v>3156</v>
      </c>
      <c r="D3090" s="58">
        <v>1</v>
      </c>
      <c r="E3090" s="58" t="e">
        <f ca="1">Valuation!T83</f>
        <v>#NAME?</v>
      </c>
      <c r="F3090" s="58" t="str">
        <f t="shared" si="10"/>
        <v>'Valuation'!T82</v>
      </c>
    </row>
    <row r="3091" spans="1:6">
      <c r="A3091" s="58" t="s">
        <v>829</v>
      </c>
      <c r="B3091" s="58" t="s">
        <v>2411</v>
      </c>
      <c r="C3091" s="58" t="s">
        <v>3156</v>
      </c>
      <c r="D3091" s="58">
        <v>2</v>
      </c>
      <c r="E3091" s="58" t="e">
        <f ca="1">Valuation!U83</f>
        <v>#NAME?</v>
      </c>
      <c r="F3091" s="58" t="str">
        <f t="shared" si="10"/>
        <v>'Valuation'!U82</v>
      </c>
    </row>
    <row r="3092" spans="1:6">
      <c r="A3092" s="58" t="s">
        <v>829</v>
      </c>
      <c r="B3092" s="58" t="s">
        <v>2412</v>
      </c>
      <c r="C3092" s="58" t="s">
        <v>3156</v>
      </c>
      <c r="D3092" s="58">
        <v>3</v>
      </c>
      <c r="E3092" s="58" t="e">
        <f ca="1">Valuation!V83</f>
        <v>#NAME?</v>
      </c>
      <c r="F3092" s="58" t="str">
        <f t="shared" si="10"/>
        <v>'Valuation'!V82</v>
      </c>
    </row>
    <row r="3093" spans="1:6">
      <c r="A3093" s="58" t="s">
        <v>829</v>
      </c>
      <c r="B3093" s="58" t="s">
        <v>2413</v>
      </c>
      <c r="C3093" s="58" t="s">
        <v>3156</v>
      </c>
      <c r="D3093" s="58">
        <v>4</v>
      </c>
      <c r="E3093" s="58" t="e">
        <f ca="1">Valuation!W83</f>
        <v>#NAME?</v>
      </c>
      <c r="F3093" s="58" t="str">
        <f t="shared" si="10"/>
        <v>'Valuation'!W82</v>
      </c>
    </row>
    <row r="3094" spans="1:6">
      <c r="A3094" s="58" t="s">
        <v>829</v>
      </c>
      <c r="B3094" s="58" t="s">
        <v>2414</v>
      </c>
      <c r="C3094" s="58" t="s">
        <v>3156</v>
      </c>
      <c r="D3094" s="58">
        <v>5</v>
      </c>
      <c r="E3094" s="58" t="e">
        <f ca="1">Valuation!X83</f>
        <v>#NAME?</v>
      </c>
      <c r="F3094" s="58" t="str">
        <f t="shared" si="10"/>
        <v>'Valuation'!X82</v>
      </c>
    </row>
    <row r="3095" spans="1:6">
      <c r="A3095" s="58" t="s">
        <v>829</v>
      </c>
      <c r="B3095" s="58" t="s">
        <v>2415</v>
      </c>
      <c r="C3095" s="58" t="s">
        <v>3156</v>
      </c>
      <c r="D3095" s="58">
        <v>6</v>
      </c>
      <c r="E3095" s="58" t="e">
        <f ca="1">Valuation!Y83</f>
        <v>#NAME?</v>
      </c>
      <c r="F3095" s="58" t="str">
        <f t="shared" si="10"/>
        <v>'Valuation'!Y82</v>
      </c>
    </row>
    <row r="3096" spans="1:6">
      <c r="A3096" s="58" t="s">
        <v>829</v>
      </c>
      <c r="B3096" s="58" t="s">
        <v>2416</v>
      </c>
      <c r="C3096" s="58" t="s">
        <v>3156</v>
      </c>
      <c r="D3096" s="58">
        <v>7</v>
      </c>
      <c r="E3096" s="58" t="e">
        <f ca="1">Valuation!Z83</f>
        <v>#NAME?</v>
      </c>
      <c r="F3096" s="58" t="str">
        <f t="shared" si="10"/>
        <v>'Valuation'!Z82</v>
      </c>
    </row>
    <row r="3097" spans="1:6">
      <c r="A3097" s="58" t="s">
        <v>829</v>
      </c>
      <c r="B3097" s="58" t="s">
        <v>2417</v>
      </c>
      <c r="C3097" s="58" t="s">
        <v>3156</v>
      </c>
      <c r="D3097" s="58">
        <v>8</v>
      </c>
      <c r="E3097" s="58" t="e">
        <f ca="1">Valuation!AA83</f>
        <v>#NAME?</v>
      </c>
      <c r="F3097" s="58" t="str">
        <f t="shared" si="10"/>
        <v>'Valuation'!AA82</v>
      </c>
    </row>
    <row r="3098" spans="1:6">
      <c r="A3098" s="58" t="s">
        <v>829</v>
      </c>
      <c r="B3098" s="58" t="s">
        <v>2418</v>
      </c>
      <c r="C3098" s="58" t="s">
        <v>3156</v>
      </c>
      <c r="D3098" s="58">
        <v>9</v>
      </c>
      <c r="E3098" s="58" t="e">
        <f ca="1">Valuation!AB83</f>
        <v>#NAME?</v>
      </c>
      <c r="F3098" s="58" t="str">
        <f t="shared" si="10"/>
        <v>'Valuation'!AB82</v>
      </c>
    </row>
    <row r="3099" spans="1:6">
      <c r="A3099" s="58" t="s">
        <v>829</v>
      </c>
      <c r="B3099" s="58" t="s">
        <v>2581</v>
      </c>
      <c r="C3099" s="58" t="s">
        <v>3157</v>
      </c>
      <c r="D3099" s="58">
        <v>0</v>
      </c>
      <c r="E3099" s="58">
        <f>Valuation!S179</f>
        <v>0</v>
      </c>
      <c r="F3099" s="58" t="str">
        <f t="shared" si="10"/>
        <v>'Valuation'!S179</v>
      </c>
    </row>
    <row r="3100" spans="1:6">
      <c r="A3100" s="58" t="s">
        <v>829</v>
      </c>
      <c r="B3100" s="58" t="s">
        <v>2583</v>
      </c>
      <c r="C3100" s="58" t="s">
        <v>3157</v>
      </c>
      <c r="D3100" s="58">
        <v>-11</v>
      </c>
      <c r="E3100" s="58">
        <f>Valuation!H179</f>
        <v>0</v>
      </c>
      <c r="F3100" s="58" t="str">
        <f t="shared" si="10"/>
        <v>'Valuation'!H179</v>
      </c>
    </row>
    <row r="3101" spans="1:6">
      <c r="A3101" s="58" t="s">
        <v>829</v>
      </c>
      <c r="B3101" s="58" t="s">
        <v>2584</v>
      </c>
      <c r="C3101" s="58" t="s">
        <v>3157</v>
      </c>
      <c r="D3101" s="58">
        <v>-10</v>
      </c>
      <c r="E3101" s="58">
        <f>Valuation!I179</f>
        <v>0</v>
      </c>
      <c r="F3101" s="58" t="str">
        <f t="shared" si="10"/>
        <v>'Valuation'!I179</v>
      </c>
    </row>
    <row r="3102" spans="1:6">
      <c r="A3102" s="58" t="s">
        <v>829</v>
      </c>
      <c r="B3102" s="58" t="s">
        <v>2585</v>
      </c>
      <c r="C3102" s="58" t="s">
        <v>3157</v>
      </c>
      <c r="D3102" s="58">
        <v>-9</v>
      </c>
      <c r="E3102" s="58">
        <f>Valuation!J179</f>
        <v>0</v>
      </c>
      <c r="F3102" s="58" t="str">
        <f t="shared" si="10"/>
        <v>'Valuation'!J179</v>
      </c>
    </row>
    <row r="3103" spans="1:6">
      <c r="A3103" s="58" t="s">
        <v>829</v>
      </c>
      <c r="B3103" s="58" t="s">
        <v>2586</v>
      </c>
      <c r="C3103" s="58" t="s">
        <v>3157</v>
      </c>
      <c r="D3103" s="58">
        <v>-8</v>
      </c>
      <c r="E3103" s="58">
        <f>Valuation!K179</f>
        <v>0</v>
      </c>
      <c r="F3103" s="58" t="str">
        <f t="shared" si="10"/>
        <v>'Valuation'!K179</v>
      </c>
    </row>
    <row r="3104" spans="1:6">
      <c r="A3104" s="58" t="s">
        <v>829</v>
      </c>
      <c r="B3104" s="58" t="s">
        <v>2587</v>
      </c>
      <c r="C3104" s="58" t="s">
        <v>3157</v>
      </c>
      <c r="D3104" s="58">
        <v>-7</v>
      </c>
      <c r="E3104" s="58">
        <f>Valuation!L179</f>
        <v>0</v>
      </c>
      <c r="F3104" s="58" t="str">
        <f t="shared" si="10"/>
        <v>'Valuation'!L179</v>
      </c>
    </row>
    <row r="3105" spans="1:6">
      <c r="A3105" s="58" t="s">
        <v>829</v>
      </c>
      <c r="B3105" s="58" t="s">
        <v>2588</v>
      </c>
      <c r="C3105" s="58" t="s">
        <v>3157</v>
      </c>
      <c r="D3105" s="58">
        <v>-6</v>
      </c>
      <c r="E3105" s="58">
        <f>Valuation!M179</f>
        <v>0</v>
      </c>
      <c r="F3105" s="58" t="str">
        <f t="shared" si="10"/>
        <v>'Valuation'!M179</v>
      </c>
    </row>
    <row r="3106" spans="1:6">
      <c r="A3106" s="58" t="s">
        <v>829</v>
      </c>
      <c r="B3106" s="58" t="s">
        <v>2589</v>
      </c>
      <c r="C3106" s="58" t="s">
        <v>3157</v>
      </c>
      <c r="D3106" s="58">
        <v>-5</v>
      </c>
      <c r="E3106" s="58">
        <f>Valuation!N179</f>
        <v>0</v>
      </c>
      <c r="F3106" s="58" t="str">
        <f t="shared" si="10"/>
        <v>'Valuation'!N179</v>
      </c>
    </row>
    <row r="3107" spans="1:6">
      <c r="A3107" s="58" t="s">
        <v>829</v>
      </c>
      <c r="B3107" s="58" t="s">
        <v>2590</v>
      </c>
      <c r="C3107" s="58" t="s">
        <v>3157</v>
      </c>
      <c r="D3107" s="58">
        <v>-4</v>
      </c>
      <c r="E3107" s="58">
        <f>Valuation!O179</f>
        <v>0</v>
      </c>
      <c r="F3107" s="58" t="str">
        <f t="shared" si="10"/>
        <v>'Valuation'!O179</v>
      </c>
    </row>
    <row r="3108" spans="1:6">
      <c r="A3108" s="58" t="s">
        <v>829</v>
      </c>
      <c r="B3108" s="58" t="s">
        <v>2591</v>
      </c>
      <c r="C3108" s="58" t="s">
        <v>3157</v>
      </c>
      <c r="D3108" s="58">
        <v>-3</v>
      </c>
      <c r="E3108" s="58">
        <f>Valuation!P179</f>
        <v>0</v>
      </c>
      <c r="F3108" s="58" t="str">
        <f t="shared" si="10"/>
        <v>'Valuation'!P179</v>
      </c>
    </row>
    <row r="3109" spans="1:6">
      <c r="A3109" s="58" t="s">
        <v>829</v>
      </c>
      <c r="B3109" s="58" t="s">
        <v>2592</v>
      </c>
      <c r="C3109" s="58" t="s">
        <v>3157</v>
      </c>
      <c r="D3109" s="58">
        <v>-2</v>
      </c>
      <c r="E3109" s="58">
        <f>Valuation!Q179</f>
        <v>0</v>
      </c>
      <c r="F3109" s="58" t="str">
        <f t="shared" si="10"/>
        <v>'Valuation'!Q179</v>
      </c>
    </row>
    <row r="3110" spans="1:6">
      <c r="A3110" s="58" t="s">
        <v>829</v>
      </c>
      <c r="B3110" s="58" t="s">
        <v>2593</v>
      </c>
      <c r="C3110" s="58" t="s">
        <v>3157</v>
      </c>
      <c r="D3110" s="58">
        <v>-1</v>
      </c>
      <c r="E3110" s="58">
        <f>Valuation!R179</f>
        <v>0</v>
      </c>
      <c r="F3110" s="58" t="str">
        <f t="shared" si="10"/>
        <v>'Valuation'!R179</v>
      </c>
    </row>
    <row r="3111" spans="1:6">
      <c r="A3111" s="58" t="s">
        <v>829</v>
      </c>
      <c r="B3111" s="58" t="s">
        <v>2594</v>
      </c>
      <c r="C3111" s="58" t="s">
        <v>3157</v>
      </c>
      <c r="D3111" s="58">
        <v>1</v>
      </c>
      <c r="E3111" s="58">
        <f>Valuation!T179</f>
        <v>0</v>
      </c>
      <c r="F3111" s="58" t="str">
        <f t="shared" si="10"/>
        <v>'Valuation'!T179</v>
      </c>
    </row>
    <row r="3112" spans="1:6">
      <c r="A3112" s="58" t="s">
        <v>829</v>
      </c>
      <c r="B3112" s="58" t="s">
        <v>2595</v>
      </c>
      <c r="C3112" s="58" t="s">
        <v>3157</v>
      </c>
      <c r="D3112" s="58">
        <v>2</v>
      </c>
      <c r="E3112" s="58">
        <f>Valuation!U179</f>
        <v>0</v>
      </c>
      <c r="F3112" s="58" t="str">
        <f t="shared" si="10"/>
        <v>'Valuation'!U179</v>
      </c>
    </row>
    <row r="3113" spans="1:6">
      <c r="A3113" s="58" t="s">
        <v>829</v>
      </c>
      <c r="B3113" s="58" t="s">
        <v>2596</v>
      </c>
      <c r="C3113" s="58" t="s">
        <v>3157</v>
      </c>
      <c r="D3113" s="58">
        <v>3</v>
      </c>
      <c r="E3113" s="58">
        <f>Valuation!V179</f>
        <v>0</v>
      </c>
      <c r="F3113" s="58" t="str">
        <f t="shared" si="10"/>
        <v>'Valuation'!V179</v>
      </c>
    </row>
    <row r="3114" spans="1:6">
      <c r="A3114" s="58" t="s">
        <v>829</v>
      </c>
      <c r="B3114" s="58" t="s">
        <v>2597</v>
      </c>
      <c r="C3114" s="58" t="s">
        <v>3157</v>
      </c>
      <c r="D3114" s="58">
        <v>4</v>
      </c>
      <c r="E3114" s="58">
        <f>Valuation!W179</f>
        <v>0</v>
      </c>
      <c r="F3114" s="58" t="str">
        <f t="shared" si="10"/>
        <v>'Valuation'!W179</v>
      </c>
    </row>
    <row r="3115" spans="1:6">
      <c r="A3115" s="58" t="s">
        <v>829</v>
      </c>
      <c r="B3115" s="58" t="s">
        <v>2598</v>
      </c>
      <c r="C3115" s="58" t="s">
        <v>3157</v>
      </c>
      <c r="D3115" s="58">
        <v>5</v>
      </c>
      <c r="E3115" s="58">
        <f>Valuation!X179</f>
        <v>0</v>
      </c>
      <c r="F3115" s="58" t="str">
        <f t="shared" si="10"/>
        <v>'Valuation'!X179</v>
      </c>
    </row>
    <row r="3116" spans="1:6">
      <c r="A3116" s="58" t="s">
        <v>829</v>
      </c>
      <c r="B3116" s="58" t="s">
        <v>2599</v>
      </c>
      <c r="C3116" s="58" t="s">
        <v>3157</v>
      </c>
      <c r="D3116" s="58">
        <v>6</v>
      </c>
      <c r="E3116" s="58">
        <f>Valuation!Y179</f>
        <v>0</v>
      </c>
      <c r="F3116" s="58" t="str">
        <f t="shared" si="10"/>
        <v>'Valuation'!Y179</v>
      </c>
    </row>
    <row r="3117" spans="1:6">
      <c r="A3117" s="58" t="s">
        <v>829</v>
      </c>
      <c r="B3117" s="58" t="s">
        <v>2600</v>
      </c>
      <c r="C3117" s="58" t="s">
        <v>3157</v>
      </c>
      <c r="D3117" s="58">
        <v>7</v>
      </c>
      <c r="E3117" s="58">
        <f>Valuation!Z179</f>
        <v>0</v>
      </c>
      <c r="F3117" s="58" t="str">
        <f t="shared" si="10"/>
        <v>'Valuation'!Z179</v>
      </c>
    </row>
    <row r="3118" spans="1:6">
      <c r="A3118" s="58" t="s">
        <v>829</v>
      </c>
      <c r="B3118" s="58" t="s">
        <v>2601</v>
      </c>
      <c r="C3118" s="58" t="s">
        <v>3157</v>
      </c>
      <c r="D3118" s="58">
        <v>8</v>
      </c>
      <c r="E3118" s="58">
        <f>Valuation!AA179</f>
        <v>0</v>
      </c>
      <c r="F3118" s="58" t="str">
        <f t="shared" si="10"/>
        <v>'Valuation'!AA179</v>
      </c>
    </row>
    <row r="3119" spans="1:6">
      <c r="A3119" s="58" t="s">
        <v>829</v>
      </c>
      <c r="B3119" s="58" t="s">
        <v>2602</v>
      </c>
      <c r="C3119" s="58" t="s">
        <v>3157</v>
      </c>
      <c r="D3119" s="58">
        <v>9</v>
      </c>
      <c r="E3119" s="58">
        <f>Valuation!AB179</f>
        <v>0</v>
      </c>
      <c r="F3119" s="58" t="str">
        <f t="shared" si="10"/>
        <v>'Valuation'!AB179</v>
      </c>
    </row>
    <row r="3120" spans="1:6">
      <c r="A3120" s="58" t="s">
        <v>829</v>
      </c>
      <c r="B3120" s="58" t="s">
        <v>1869</v>
      </c>
      <c r="C3120" s="58" t="s">
        <v>3158</v>
      </c>
      <c r="D3120" s="58">
        <v>0</v>
      </c>
      <c r="E3120" s="58">
        <f>Valuation!S46</f>
        <v>0</v>
      </c>
      <c r="F3120" s="58" t="str">
        <f t="shared" si="10"/>
        <v>'Valuation'!S46</v>
      </c>
    </row>
    <row r="3121" spans="1:6">
      <c r="A3121" s="58" t="s">
        <v>829</v>
      </c>
      <c r="B3121" s="58" t="s">
        <v>1849</v>
      </c>
      <c r="C3121" s="58" t="s">
        <v>3158</v>
      </c>
      <c r="D3121" s="58">
        <v>-11</v>
      </c>
      <c r="E3121" s="58">
        <f>Valuation!H46</f>
        <v>0</v>
      </c>
      <c r="F3121" s="58" t="str">
        <f t="shared" si="10"/>
        <v>'Valuation'!H46</v>
      </c>
    </row>
    <row r="3122" spans="1:6">
      <c r="A3122" s="58" t="s">
        <v>829</v>
      </c>
      <c r="B3122" s="58" t="s">
        <v>1850</v>
      </c>
      <c r="C3122" s="58" t="s">
        <v>3158</v>
      </c>
      <c r="D3122" s="58">
        <v>-10</v>
      </c>
      <c r="E3122" s="58">
        <f>Valuation!I46</f>
        <v>0</v>
      </c>
      <c r="F3122" s="58" t="str">
        <f t="shared" si="10"/>
        <v>'Valuation'!I46</v>
      </c>
    </row>
    <row r="3123" spans="1:6">
      <c r="A3123" s="58" t="s">
        <v>829</v>
      </c>
      <c r="B3123" s="58" t="s">
        <v>1851</v>
      </c>
      <c r="C3123" s="58" t="s">
        <v>3158</v>
      </c>
      <c r="D3123" s="58">
        <v>-9</v>
      </c>
      <c r="E3123" s="58">
        <f>Valuation!J46</f>
        <v>0</v>
      </c>
      <c r="F3123" s="58" t="str">
        <f t="shared" si="10"/>
        <v>'Valuation'!J46</v>
      </c>
    </row>
    <row r="3124" spans="1:6">
      <c r="A3124" s="58" t="s">
        <v>829</v>
      </c>
      <c r="B3124" s="58" t="s">
        <v>1852</v>
      </c>
      <c r="C3124" s="58" t="s">
        <v>3158</v>
      </c>
      <c r="D3124" s="58">
        <v>-8</v>
      </c>
      <c r="E3124" s="58">
        <f>Valuation!K46</f>
        <v>0</v>
      </c>
      <c r="F3124" s="58" t="str">
        <f t="shared" si="10"/>
        <v>'Valuation'!K46</v>
      </c>
    </row>
    <row r="3125" spans="1:6">
      <c r="A3125" s="58" t="s">
        <v>829</v>
      </c>
      <c r="B3125" s="58" t="s">
        <v>1853</v>
      </c>
      <c r="C3125" s="58" t="s">
        <v>3158</v>
      </c>
      <c r="D3125" s="58">
        <v>-7</v>
      </c>
      <c r="E3125" s="58">
        <f>Valuation!L46</f>
        <v>0</v>
      </c>
      <c r="F3125" s="58" t="str">
        <f t="shared" si="10"/>
        <v>'Valuation'!L46</v>
      </c>
    </row>
    <row r="3126" spans="1:6">
      <c r="A3126" s="58" t="s">
        <v>829</v>
      </c>
      <c r="B3126" s="58" t="s">
        <v>1854</v>
      </c>
      <c r="C3126" s="58" t="s">
        <v>3158</v>
      </c>
      <c r="D3126" s="58">
        <v>-6</v>
      </c>
      <c r="E3126" s="58">
        <f>Valuation!M46</f>
        <v>0</v>
      </c>
      <c r="F3126" s="58" t="str">
        <f t="shared" si="10"/>
        <v>'Valuation'!M46</v>
      </c>
    </row>
    <row r="3127" spans="1:6">
      <c r="A3127" s="58" t="s">
        <v>829</v>
      </c>
      <c r="B3127" s="58" t="s">
        <v>1855</v>
      </c>
      <c r="C3127" s="58" t="s">
        <v>3158</v>
      </c>
      <c r="D3127" s="58">
        <v>-5</v>
      </c>
      <c r="E3127" s="58">
        <f>Valuation!N46</f>
        <v>0</v>
      </c>
      <c r="F3127" s="58" t="str">
        <f t="shared" si="10"/>
        <v>'Valuation'!N46</v>
      </c>
    </row>
    <row r="3128" spans="1:6">
      <c r="A3128" s="58" t="s">
        <v>829</v>
      </c>
      <c r="B3128" s="58" t="s">
        <v>1856</v>
      </c>
      <c r="C3128" s="58" t="s">
        <v>3158</v>
      </c>
      <c r="D3128" s="58">
        <v>-4</v>
      </c>
      <c r="E3128" s="58">
        <f>Valuation!O46</f>
        <v>0</v>
      </c>
      <c r="F3128" s="58" t="str">
        <f t="shared" si="10"/>
        <v>'Valuation'!O46</v>
      </c>
    </row>
    <row r="3129" spans="1:6">
      <c r="A3129" s="58" t="s">
        <v>829</v>
      </c>
      <c r="B3129" s="58" t="s">
        <v>1857</v>
      </c>
      <c r="C3129" s="58" t="s">
        <v>3158</v>
      </c>
      <c r="D3129" s="58">
        <v>-3</v>
      </c>
      <c r="E3129" s="58">
        <f>Valuation!P46</f>
        <v>0</v>
      </c>
      <c r="F3129" s="58" t="str">
        <f t="shared" si="10"/>
        <v>'Valuation'!P46</v>
      </c>
    </row>
    <row r="3130" spans="1:6">
      <c r="A3130" s="58" t="s">
        <v>829</v>
      </c>
      <c r="B3130" s="58" t="s">
        <v>1858</v>
      </c>
      <c r="C3130" s="58" t="s">
        <v>3158</v>
      </c>
      <c r="D3130" s="58">
        <v>-2</v>
      </c>
      <c r="E3130" s="58">
        <f>Valuation!Q46</f>
        <v>0</v>
      </c>
      <c r="F3130" s="58" t="str">
        <f t="shared" si="10"/>
        <v>'Valuation'!Q46</v>
      </c>
    </row>
    <row r="3131" spans="1:6">
      <c r="A3131" s="58" t="s">
        <v>829</v>
      </c>
      <c r="B3131" s="58" t="s">
        <v>1859</v>
      </c>
      <c r="C3131" s="58" t="s">
        <v>3158</v>
      </c>
      <c r="D3131" s="58">
        <v>-1</v>
      </c>
      <c r="E3131" s="58">
        <f>Valuation!R46</f>
        <v>0</v>
      </c>
      <c r="F3131" s="58" t="str">
        <f t="shared" si="10"/>
        <v>'Valuation'!R46</v>
      </c>
    </row>
    <row r="3132" spans="1:6">
      <c r="A3132" s="58" t="s">
        <v>829</v>
      </c>
      <c r="B3132" s="58" t="s">
        <v>1860</v>
      </c>
      <c r="C3132" s="58" t="s">
        <v>3158</v>
      </c>
      <c r="D3132" s="58">
        <v>1</v>
      </c>
      <c r="E3132" s="58">
        <f>Valuation!T46</f>
        <v>0</v>
      </c>
      <c r="F3132" s="58" t="str">
        <f t="shared" si="10"/>
        <v>'Valuation'!T46</v>
      </c>
    </row>
    <row r="3133" spans="1:6">
      <c r="A3133" s="58" t="s">
        <v>829</v>
      </c>
      <c r="B3133" s="58" t="s">
        <v>1861</v>
      </c>
      <c r="C3133" s="58" t="s">
        <v>3158</v>
      </c>
      <c r="D3133" s="58">
        <v>2</v>
      </c>
      <c r="E3133" s="58">
        <f>Valuation!U46</f>
        <v>0</v>
      </c>
      <c r="F3133" s="58" t="str">
        <f t="shared" si="10"/>
        <v>'Valuation'!U46</v>
      </c>
    </row>
    <row r="3134" spans="1:6">
      <c r="A3134" s="58" t="s">
        <v>829</v>
      </c>
      <c r="B3134" s="58" t="s">
        <v>1862</v>
      </c>
      <c r="C3134" s="58" t="s">
        <v>3158</v>
      </c>
      <c r="D3134" s="58">
        <v>3</v>
      </c>
      <c r="E3134" s="58">
        <f>Valuation!V46</f>
        <v>0</v>
      </c>
      <c r="F3134" s="58" t="str">
        <f t="shared" si="10"/>
        <v>'Valuation'!V46</v>
      </c>
    </row>
    <row r="3135" spans="1:6">
      <c r="A3135" s="58" t="s">
        <v>829</v>
      </c>
      <c r="B3135" s="58" t="s">
        <v>1863</v>
      </c>
      <c r="C3135" s="58" t="s">
        <v>3158</v>
      </c>
      <c r="D3135" s="58">
        <v>4</v>
      </c>
      <c r="E3135" s="58">
        <f>Valuation!W46</f>
        <v>0</v>
      </c>
      <c r="F3135" s="58" t="str">
        <f t="shared" si="10"/>
        <v>'Valuation'!W46</v>
      </c>
    </row>
    <row r="3136" spans="1:6">
      <c r="A3136" s="58" t="s">
        <v>829</v>
      </c>
      <c r="B3136" s="58" t="s">
        <v>1864</v>
      </c>
      <c r="C3136" s="58" t="s">
        <v>3158</v>
      </c>
      <c r="D3136" s="58">
        <v>5</v>
      </c>
      <c r="E3136" s="58">
        <f>Valuation!X46</f>
        <v>0</v>
      </c>
      <c r="F3136" s="58" t="str">
        <f t="shared" si="10"/>
        <v>'Valuation'!X46</v>
      </c>
    </row>
    <row r="3137" spans="1:6">
      <c r="A3137" s="58" t="s">
        <v>829</v>
      </c>
      <c r="B3137" s="58" t="s">
        <v>1865</v>
      </c>
      <c r="C3137" s="58" t="s">
        <v>3158</v>
      </c>
      <c r="D3137" s="58">
        <v>6</v>
      </c>
      <c r="E3137" s="58">
        <f>Valuation!Y46</f>
        <v>0</v>
      </c>
      <c r="F3137" s="58" t="str">
        <f t="shared" si="10"/>
        <v>'Valuation'!Y46</v>
      </c>
    </row>
    <row r="3138" spans="1:6">
      <c r="A3138" s="58" t="s">
        <v>829</v>
      </c>
      <c r="B3138" s="58" t="s">
        <v>1866</v>
      </c>
      <c r="C3138" s="58" t="s">
        <v>3158</v>
      </c>
      <c r="D3138" s="58">
        <v>7</v>
      </c>
      <c r="E3138" s="58">
        <f>Valuation!Z46</f>
        <v>0</v>
      </c>
      <c r="F3138" s="58" t="str">
        <f t="shared" si="10"/>
        <v>'Valuation'!Z46</v>
      </c>
    </row>
    <row r="3139" spans="1:6">
      <c r="A3139" s="58" t="s">
        <v>829</v>
      </c>
      <c r="B3139" s="58" t="s">
        <v>1867</v>
      </c>
      <c r="C3139" s="58" t="s">
        <v>3158</v>
      </c>
      <c r="D3139" s="58">
        <v>8</v>
      </c>
      <c r="E3139" s="58">
        <f>Valuation!AA46</f>
        <v>0</v>
      </c>
      <c r="F3139" s="58" t="str">
        <f t="shared" ref="F3139:F3202" si="11">"'"&amp;A3139&amp;"'"&amp;"!"&amp;B3139</f>
        <v>'Valuation'!AA46</v>
      </c>
    </row>
    <row r="3140" spans="1:6">
      <c r="A3140" s="58" t="s">
        <v>829</v>
      </c>
      <c r="B3140" s="58" t="s">
        <v>1868</v>
      </c>
      <c r="C3140" s="58" t="s">
        <v>3158</v>
      </c>
      <c r="D3140" s="58">
        <v>9</v>
      </c>
      <c r="E3140" s="58">
        <f>Valuation!AB46</f>
        <v>0</v>
      </c>
      <c r="F3140" s="58" t="str">
        <f t="shared" si="11"/>
        <v>'Valuation'!AB46</v>
      </c>
    </row>
    <row r="3141" spans="1:6">
      <c r="A3141" s="58" t="s">
        <v>829</v>
      </c>
      <c r="B3141" s="58" t="s">
        <v>3159</v>
      </c>
      <c r="C3141" s="58" t="s">
        <v>3160</v>
      </c>
      <c r="D3141" s="58">
        <v>-11</v>
      </c>
      <c r="E3141" s="58">
        <f>Valuation!H20</f>
        <v>0</v>
      </c>
      <c r="F3141" s="58" t="str">
        <f t="shared" si="11"/>
        <v>'Valuation'!H20</v>
      </c>
    </row>
    <row r="3142" spans="1:6">
      <c r="A3142" s="58" t="s">
        <v>829</v>
      </c>
      <c r="B3142" s="58" t="s">
        <v>3161</v>
      </c>
      <c r="C3142" s="58" t="s">
        <v>3160</v>
      </c>
      <c r="D3142" s="58">
        <v>-10</v>
      </c>
      <c r="E3142" s="58">
        <f>Valuation!I20</f>
        <v>0</v>
      </c>
      <c r="F3142" s="58" t="str">
        <f t="shared" si="11"/>
        <v>'Valuation'!I20</v>
      </c>
    </row>
    <row r="3143" spans="1:6">
      <c r="A3143" s="58" t="s">
        <v>829</v>
      </c>
      <c r="B3143" s="58" t="s">
        <v>3162</v>
      </c>
      <c r="C3143" s="58" t="s">
        <v>3160</v>
      </c>
      <c r="D3143" s="58">
        <v>-9</v>
      </c>
      <c r="E3143" s="58">
        <f>Valuation!J20</f>
        <v>0</v>
      </c>
      <c r="F3143" s="58" t="str">
        <f t="shared" si="11"/>
        <v>'Valuation'!J20</v>
      </c>
    </row>
    <row r="3144" spans="1:6">
      <c r="A3144" s="58" t="s">
        <v>829</v>
      </c>
      <c r="B3144" s="58" t="s">
        <v>3163</v>
      </c>
      <c r="C3144" s="58" t="s">
        <v>3160</v>
      </c>
      <c r="D3144" s="58">
        <v>-8</v>
      </c>
      <c r="E3144" s="58">
        <f>Valuation!K20</f>
        <v>0</v>
      </c>
      <c r="F3144" s="58" t="str">
        <f t="shared" si="11"/>
        <v>'Valuation'!K20</v>
      </c>
    </row>
    <row r="3145" spans="1:6">
      <c r="A3145" s="58" t="s">
        <v>829</v>
      </c>
      <c r="B3145" s="58" t="s">
        <v>3164</v>
      </c>
      <c r="C3145" s="58" t="s">
        <v>3160</v>
      </c>
      <c r="D3145" s="58">
        <v>-7</v>
      </c>
      <c r="E3145" s="58">
        <f>Valuation!L20</f>
        <v>0</v>
      </c>
      <c r="F3145" s="58" t="str">
        <f t="shared" si="11"/>
        <v>'Valuation'!L20</v>
      </c>
    </row>
    <row r="3146" spans="1:6">
      <c r="A3146" s="58" t="s">
        <v>829</v>
      </c>
      <c r="B3146" s="58" t="s">
        <v>3165</v>
      </c>
      <c r="C3146" s="58" t="s">
        <v>3160</v>
      </c>
      <c r="D3146" s="58">
        <v>-6</v>
      </c>
      <c r="E3146" s="58">
        <f>Valuation!M20</f>
        <v>0</v>
      </c>
      <c r="F3146" s="58" t="str">
        <f t="shared" si="11"/>
        <v>'Valuation'!M20</v>
      </c>
    </row>
    <row r="3147" spans="1:6">
      <c r="A3147" s="58" t="s">
        <v>829</v>
      </c>
      <c r="B3147" s="58" t="s">
        <v>3166</v>
      </c>
      <c r="C3147" s="58" t="s">
        <v>3160</v>
      </c>
      <c r="D3147" s="58">
        <v>-5</v>
      </c>
      <c r="E3147" s="58">
        <f>Valuation!N20</f>
        <v>0</v>
      </c>
      <c r="F3147" s="58" t="str">
        <f t="shared" si="11"/>
        <v>'Valuation'!N20</v>
      </c>
    </row>
    <row r="3148" spans="1:6">
      <c r="A3148" s="58" t="s">
        <v>829</v>
      </c>
      <c r="B3148" s="58" t="s">
        <v>3167</v>
      </c>
      <c r="C3148" s="58" t="s">
        <v>3160</v>
      </c>
      <c r="D3148" s="58">
        <v>-4</v>
      </c>
      <c r="E3148" s="58">
        <f>Valuation!O20</f>
        <v>0</v>
      </c>
      <c r="F3148" s="58" t="str">
        <f t="shared" si="11"/>
        <v>'Valuation'!O20</v>
      </c>
    </row>
    <row r="3149" spans="1:6">
      <c r="A3149" s="58" t="s">
        <v>829</v>
      </c>
      <c r="B3149" s="58" t="s">
        <v>3168</v>
      </c>
      <c r="C3149" s="58" t="s">
        <v>3160</v>
      </c>
      <c r="D3149" s="58">
        <v>-3</v>
      </c>
      <c r="E3149" s="58">
        <f>Valuation!P20</f>
        <v>0</v>
      </c>
      <c r="F3149" s="58" t="str">
        <f t="shared" si="11"/>
        <v>'Valuation'!P20</v>
      </c>
    </row>
    <row r="3150" spans="1:6">
      <c r="A3150" s="58" t="s">
        <v>829</v>
      </c>
      <c r="B3150" s="58" t="s">
        <v>3169</v>
      </c>
      <c r="C3150" s="58" t="s">
        <v>3160</v>
      </c>
      <c r="D3150" s="58">
        <v>-2</v>
      </c>
      <c r="E3150" s="58">
        <f>Valuation!Q20</f>
        <v>0</v>
      </c>
      <c r="F3150" s="58" t="str">
        <f t="shared" si="11"/>
        <v>'Valuation'!Q20</v>
      </c>
    </row>
    <row r="3151" spans="1:6">
      <c r="A3151" s="58" t="s">
        <v>829</v>
      </c>
      <c r="B3151" s="58" t="s">
        <v>3170</v>
      </c>
      <c r="C3151" s="58" t="s">
        <v>3160</v>
      </c>
      <c r="D3151" s="58">
        <v>-1</v>
      </c>
      <c r="E3151" s="58">
        <f>Valuation!R20</f>
        <v>0</v>
      </c>
      <c r="F3151" s="58" t="str">
        <f t="shared" si="11"/>
        <v>'Valuation'!R20</v>
      </c>
    </row>
    <row r="3152" spans="1:6">
      <c r="A3152" s="58" t="s">
        <v>829</v>
      </c>
      <c r="B3152" s="58" t="s">
        <v>3171</v>
      </c>
      <c r="C3152" s="58" t="s">
        <v>3160</v>
      </c>
      <c r="D3152" s="58">
        <v>1</v>
      </c>
      <c r="E3152" s="58">
        <f>Valuation!T20</f>
        <v>0</v>
      </c>
      <c r="F3152" s="58" t="str">
        <f t="shared" si="11"/>
        <v>'Valuation'!T20</v>
      </c>
    </row>
    <row r="3153" spans="1:6">
      <c r="A3153" s="58" t="s">
        <v>829</v>
      </c>
      <c r="B3153" s="58" t="s">
        <v>3172</v>
      </c>
      <c r="C3153" s="58" t="s">
        <v>3160</v>
      </c>
      <c r="D3153" s="58">
        <v>2</v>
      </c>
      <c r="E3153" s="58">
        <f>Valuation!U20</f>
        <v>0</v>
      </c>
      <c r="F3153" s="58" t="str">
        <f t="shared" si="11"/>
        <v>'Valuation'!U20</v>
      </c>
    </row>
    <row r="3154" spans="1:6">
      <c r="A3154" s="58" t="s">
        <v>829</v>
      </c>
      <c r="B3154" s="58" t="s">
        <v>3173</v>
      </c>
      <c r="C3154" s="58" t="s">
        <v>3160</v>
      </c>
      <c r="D3154" s="58">
        <v>3</v>
      </c>
      <c r="E3154" s="58">
        <f>Valuation!V20</f>
        <v>0</v>
      </c>
      <c r="F3154" s="58" t="str">
        <f t="shared" si="11"/>
        <v>'Valuation'!V20</v>
      </c>
    </row>
    <row r="3155" spans="1:6">
      <c r="A3155" s="58" t="s">
        <v>829</v>
      </c>
      <c r="B3155" s="58" t="s">
        <v>3174</v>
      </c>
      <c r="C3155" s="58" t="s">
        <v>3160</v>
      </c>
      <c r="D3155" s="58">
        <v>4</v>
      </c>
      <c r="E3155" s="58">
        <f>Valuation!W20</f>
        <v>0</v>
      </c>
      <c r="F3155" s="58" t="str">
        <f t="shared" si="11"/>
        <v>'Valuation'!W20</v>
      </c>
    </row>
    <row r="3156" spans="1:6">
      <c r="A3156" s="58" t="s">
        <v>829</v>
      </c>
      <c r="B3156" s="58" t="s">
        <v>3175</v>
      </c>
      <c r="C3156" s="58" t="s">
        <v>3160</v>
      </c>
      <c r="D3156" s="58">
        <v>5</v>
      </c>
      <c r="E3156" s="58">
        <f>Valuation!X20</f>
        <v>0</v>
      </c>
      <c r="F3156" s="58" t="str">
        <f t="shared" si="11"/>
        <v>'Valuation'!X20</v>
      </c>
    </row>
    <row r="3157" spans="1:6">
      <c r="A3157" s="58" t="s">
        <v>829</v>
      </c>
      <c r="B3157" s="58" t="s">
        <v>3176</v>
      </c>
      <c r="C3157" s="58" t="s">
        <v>3160</v>
      </c>
      <c r="D3157" s="58">
        <v>6</v>
      </c>
      <c r="E3157" s="58">
        <f>Valuation!Y20</f>
        <v>0</v>
      </c>
      <c r="F3157" s="58" t="str">
        <f t="shared" si="11"/>
        <v>'Valuation'!Y20</v>
      </c>
    </row>
    <row r="3158" spans="1:6">
      <c r="A3158" s="58" t="s">
        <v>829</v>
      </c>
      <c r="B3158" s="58" t="s">
        <v>3177</v>
      </c>
      <c r="C3158" s="58" t="s">
        <v>3160</v>
      </c>
      <c r="D3158" s="58">
        <v>7</v>
      </c>
      <c r="E3158" s="58">
        <f>Valuation!Z20</f>
        <v>0</v>
      </c>
      <c r="F3158" s="58" t="str">
        <f t="shared" si="11"/>
        <v>'Valuation'!Z20</v>
      </c>
    </row>
    <row r="3159" spans="1:6">
      <c r="A3159" s="58" t="s">
        <v>829</v>
      </c>
      <c r="B3159" s="58" t="s">
        <v>3178</v>
      </c>
      <c r="C3159" s="58" t="s">
        <v>3160</v>
      </c>
      <c r="D3159" s="58">
        <v>8</v>
      </c>
      <c r="E3159" s="58">
        <f>Valuation!AA20</f>
        <v>0</v>
      </c>
      <c r="F3159" s="58" t="str">
        <f t="shared" si="11"/>
        <v>'Valuation'!AA20</v>
      </c>
    </row>
    <row r="3160" spans="1:6">
      <c r="A3160" s="58" t="s">
        <v>829</v>
      </c>
      <c r="B3160" s="58" t="s">
        <v>3179</v>
      </c>
      <c r="C3160" s="58" t="s">
        <v>3160</v>
      </c>
      <c r="D3160" s="58">
        <v>9</v>
      </c>
      <c r="E3160" s="58">
        <f>Valuation!AB20</f>
        <v>0</v>
      </c>
      <c r="F3160" s="58" t="str">
        <f t="shared" si="11"/>
        <v>'Valuation'!AB20</v>
      </c>
    </row>
    <row r="3161" spans="1:6">
      <c r="A3161" s="58" t="s">
        <v>829</v>
      </c>
      <c r="B3161" s="58" t="s">
        <v>3180</v>
      </c>
      <c r="C3161" s="58" t="s">
        <v>3160</v>
      </c>
      <c r="D3161" s="58">
        <v>0</v>
      </c>
      <c r="E3161" s="58">
        <f>Valuation!S20</f>
        <v>0</v>
      </c>
      <c r="F3161" s="58" t="str">
        <f t="shared" si="11"/>
        <v>'Valuation'!S20</v>
      </c>
    </row>
    <row r="3162" spans="1:6">
      <c r="A3162" s="58" t="s">
        <v>829</v>
      </c>
      <c r="B3162" s="58" t="s">
        <v>2605</v>
      </c>
      <c r="C3162" s="58" t="s">
        <v>5</v>
      </c>
      <c r="D3162" s="58">
        <v>0</v>
      </c>
      <c r="E3162" s="58">
        <f ca="1">Valuation!S11</f>
        <v>6803250.5397419743</v>
      </c>
      <c r="F3162" s="58" t="str">
        <f t="shared" si="11"/>
        <v>'Valuation'!S11</v>
      </c>
    </row>
    <row r="3163" spans="1:6">
      <c r="A3163" s="58" t="s">
        <v>829</v>
      </c>
      <c r="B3163" s="58" t="s">
        <v>2607</v>
      </c>
      <c r="C3163" s="58" t="s">
        <v>5</v>
      </c>
      <c r="D3163" s="58">
        <v>-11</v>
      </c>
      <c r="E3163" s="58">
        <f>Valuation!H11</f>
        <v>0</v>
      </c>
      <c r="F3163" s="58" t="str">
        <f t="shared" si="11"/>
        <v>'Valuation'!H11</v>
      </c>
    </row>
    <row r="3164" spans="1:6">
      <c r="A3164" s="58" t="s">
        <v>829</v>
      </c>
      <c r="B3164" s="58" t="s">
        <v>2608</v>
      </c>
      <c r="C3164" s="58" t="s">
        <v>5</v>
      </c>
      <c r="D3164" s="58">
        <v>-10</v>
      </c>
      <c r="E3164" s="58">
        <f>Valuation!I11</f>
        <v>0</v>
      </c>
      <c r="F3164" s="58" t="str">
        <f t="shared" si="11"/>
        <v>'Valuation'!I11</v>
      </c>
    </row>
    <row r="3165" spans="1:6">
      <c r="A3165" s="58" t="s">
        <v>829</v>
      </c>
      <c r="B3165" s="58" t="s">
        <v>2609</v>
      </c>
      <c r="C3165" s="58" t="s">
        <v>5</v>
      </c>
      <c r="D3165" s="58">
        <v>-9</v>
      </c>
      <c r="E3165" s="58">
        <f>Valuation!J11</f>
        <v>0</v>
      </c>
      <c r="F3165" s="58" t="str">
        <f t="shared" si="11"/>
        <v>'Valuation'!J11</v>
      </c>
    </row>
    <row r="3166" spans="1:6">
      <c r="A3166" s="58" t="s">
        <v>829</v>
      </c>
      <c r="B3166" s="58" t="s">
        <v>2610</v>
      </c>
      <c r="C3166" s="58" t="s">
        <v>5</v>
      </c>
      <c r="D3166" s="58">
        <v>-8</v>
      </c>
      <c r="E3166" s="58">
        <f>Valuation!K11</f>
        <v>0</v>
      </c>
      <c r="F3166" s="58" t="str">
        <f t="shared" si="11"/>
        <v>'Valuation'!K11</v>
      </c>
    </row>
    <row r="3167" spans="1:6">
      <c r="A3167" s="58" t="s">
        <v>829</v>
      </c>
      <c r="B3167" s="58" t="s">
        <v>2611</v>
      </c>
      <c r="C3167" s="58" t="s">
        <v>5</v>
      </c>
      <c r="D3167" s="58">
        <v>-7</v>
      </c>
      <c r="E3167" s="58">
        <f>Valuation!L11</f>
        <v>0</v>
      </c>
      <c r="F3167" s="58" t="str">
        <f t="shared" si="11"/>
        <v>'Valuation'!L11</v>
      </c>
    </row>
    <row r="3168" spans="1:6">
      <c r="A3168" s="58" t="s">
        <v>829</v>
      </c>
      <c r="B3168" s="58" t="s">
        <v>2612</v>
      </c>
      <c r="C3168" s="58" t="s">
        <v>5</v>
      </c>
      <c r="D3168" s="58">
        <v>-6</v>
      </c>
      <c r="E3168" s="58">
        <f>Valuation!M11</f>
        <v>1277481</v>
      </c>
      <c r="F3168" s="58" t="str">
        <f t="shared" si="11"/>
        <v>'Valuation'!M11</v>
      </c>
    </row>
    <row r="3169" spans="1:6">
      <c r="A3169" s="58" t="s">
        <v>829</v>
      </c>
      <c r="B3169" s="58" t="s">
        <v>2613</v>
      </c>
      <c r="C3169" s="58" t="s">
        <v>5</v>
      </c>
      <c r="D3169" s="58">
        <v>-5</v>
      </c>
      <c r="E3169" s="58">
        <f>Valuation!N11</f>
        <v>7839444</v>
      </c>
      <c r="F3169" s="58" t="str">
        <f t="shared" si="11"/>
        <v>'Valuation'!N11</v>
      </c>
    </row>
    <row r="3170" spans="1:6">
      <c r="A3170" s="58" t="s">
        <v>829</v>
      </c>
      <c r="B3170" s="58" t="s">
        <v>2614</v>
      </c>
      <c r="C3170" s="58" t="s">
        <v>5</v>
      </c>
      <c r="D3170" s="58">
        <v>-4</v>
      </c>
      <c r="E3170" s="58">
        <f>Valuation!O11</f>
        <v>3194208</v>
      </c>
      <c r="F3170" s="58" t="str">
        <f t="shared" si="11"/>
        <v>'Valuation'!O11</v>
      </c>
    </row>
    <row r="3171" spans="1:6">
      <c r="A3171" s="58" t="s">
        <v>829</v>
      </c>
      <c r="B3171" s="58" t="s">
        <v>2615</v>
      </c>
      <c r="C3171" s="58" t="s">
        <v>5</v>
      </c>
      <c r="D3171" s="58">
        <v>-3</v>
      </c>
      <c r="E3171" s="58">
        <f>Valuation!P11</f>
        <v>3108383</v>
      </c>
      <c r="F3171" s="58" t="str">
        <f t="shared" si="11"/>
        <v>'Valuation'!P11</v>
      </c>
    </row>
    <row r="3172" spans="1:6">
      <c r="A3172" s="58" t="s">
        <v>829</v>
      </c>
      <c r="B3172" s="58" t="s">
        <v>2616</v>
      </c>
      <c r="C3172" s="58" t="s">
        <v>5</v>
      </c>
      <c r="D3172" s="58">
        <v>-2</v>
      </c>
      <c r="E3172" s="58">
        <f>Valuation!Q11</f>
        <v>6564028</v>
      </c>
      <c r="F3172" s="58" t="str">
        <f t="shared" si="11"/>
        <v>'Valuation'!Q11</v>
      </c>
    </row>
    <row r="3173" spans="1:6">
      <c r="A3173" s="58" t="s">
        <v>829</v>
      </c>
      <c r="B3173" s="58" t="s">
        <v>2617</v>
      </c>
      <c r="C3173" s="58" t="s">
        <v>5</v>
      </c>
      <c r="D3173" s="58">
        <v>-1</v>
      </c>
      <c r="E3173" s="58">
        <f>Valuation!R11</f>
        <v>7181325</v>
      </c>
      <c r="F3173" s="58" t="str">
        <f t="shared" si="11"/>
        <v>'Valuation'!R11</v>
      </c>
    </row>
    <row r="3174" spans="1:6">
      <c r="A3174" s="58" t="s">
        <v>829</v>
      </c>
      <c r="B3174" s="58" t="s">
        <v>2618</v>
      </c>
      <c r="C3174" s="58" t="s">
        <v>5</v>
      </c>
      <c r="D3174" s="58">
        <v>1</v>
      </c>
      <c r="E3174" s="58" t="e">
        <f ca="1">Valuation!T11</f>
        <v>#NAME?</v>
      </c>
      <c r="F3174" s="58" t="str">
        <f t="shared" si="11"/>
        <v>'Valuation'!T11</v>
      </c>
    </row>
    <row r="3175" spans="1:6">
      <c r="A3175" s="58" t="s">
        <v>829</v>
      </c>
      <c r="B3175" s="58" t="s">
        <v>2619</v>
      </c>
      <c r="C3175" s="58" t="s">
        <v>5</v>
      </c>
      <c r="D3175" s="58">
        <v>2</v>
      </c>
      <c r="E3175" s="58" t="e">
        <f ca="1">Valuation!U11</f>
        <v>#NAME?</v>
      </c>
      <c r="F3175" s="58" t="str">
        <f t="shared" si="11"/>
        <v>'Valuation'!U11</v>
      </c>
    </row>
    <row r="3176" spans="1:6">
      <c r="A3176" s="58" t="s">
        <v>829</v>
      </c>
      <c r="B3176" s="58" t="s">
        <v>2620</v>
      </c>
      <c r="C3176" s="58" t="s">
        <v>5</v>
      </c>
      <c r="D3176" s="58">
        <v>3</v>
      </c>
      <c r="E3176" s="58" t="e">
        <f ca="1">Valuation!V11</f>
        <v>#NAME?</v>
      </c>
      <c r="F3176" s="58" t="str">
        <f t="shared" si="11"/>
        <v>'Valuation'!V11</v>
      </c>
    </row>
    <row r="3177" spans="1:6">
      <c r="A3177" s="58" t="s">
        <v>829</v>
      </c>
      <c r="B3177" s="58" t="s">
        <v>2621</v>
      </c>
      <c r="C3177" s="58" t="s">
        <v>5</v>
      </c>
      <c r="D3177" s="58">
        <v>4</v>
      </c>
      <c r="E3177" s="58" t="e">
        <f ca="1">Valuation!W11</f>
        <v>#NAME?</v>
      </c>
      <c r="F3177" s="58" t="str">
        <f t="shared" si="11"/>
        <v>'Valuation'!W11</v>
      </c>
    </row>
    <row r="3178" spans="1:6">
      <c r="A3178" s="58" t="s">
        <v>829</v>
      </c>
      <c r="B3178" s="58" t="s">
        <v>2622</v>
      </c>
      <c r="C3178" s="58" t="s">
        <v>5</v>
      </c>
      <c r="D3178" s="58">
        <v>5</v>
      </c>
      <c r="E3178" s="58" t="e">
        <f ca="1">Valuation!X11</f>
        <v>#NAME?</v>
      </c>
      <c r="F3178" s="58" t="str">
        <f t="shared" si="11"/>
        <v>'Valuation'!X11</v>
      </c>
    </row>
    <row r="3179" spans="1:6">
      <c r="A3179" s="58" t="s">
        <v>829</v>
      </c>
      <c r="B3179" s="58" t="s">
        <v>2623</v>
      </c>
      <c r="C3179" s="58" t="s">
        <v>5</v>
      </c>
      <c r="D3179" s="58">
        <v>6</v>
      </c>
      <c r="E3179" s="58" t="e">
        <f ca="1">Valuation!Y11</f>
        <v>#NAME?</v>
      </c>
      <c r="F3179" s="58" t="str">
        <f t="shared" si="11"/>
        <v>'Valuation'!Y11</v>
      </c>
    </row>
    <row r="3180" spans="1:6">
      <c r="A3180" s="58" t="s">
        <v>829</v>
      </c>
      <c r="B3180" s="58" t="s">
        <v>2624</v>
      </c>
      <c r="C3180" s="58" t="s">
        <v>5</v>
      </c>
      <c r="D3180" s="58">
        <v>7</v>
      </c>
      <c r="E3180" s="58" t="e">
        <f ca="1">Valuation!Z11</f>
        <v>#NAME?</v>
      </c>
      <c r="F3180" s="58" t="str">
        <f t="shared" si="11"/>
        <v>'Valuation'!Z11</v>
      </c>
    </row>
    <row r="3181" spans="1:6">
      <c r="A3181" s="58" t="s">
        <v>829</v>
      </c>
      <c r="B3181" s="58" t="s">
        <v>2625</v>
      </c>
      <c r="C3181" s="58" t="s">
        <v>5</v>
      </c>
      <c r="D3181" s="58">
        <v>8</v>
      </c>
      <c r="E3181" s="58" t="e">
        <f ca="1">Valuation!AA11</f>
        <v>#NAME?</v>
      </c>
      <c r="F3181" s="58" t="str">
        <f t="shared" si="11"/>
        <v>'Valuation'!AA11</v>
      </c>
    </row>
    <row r="3182" spans="1:6">
      <c r="A3182" s="58" t="s">
        <v>829</v>
      </c>
      <c r="B3182" s="58" t="s">
        <v>2626</v>
      </c>
      <c r="C3182" s="58" t="s">
        <v>5</v>
      </c>
      <c r="D3182" s="58">
        <v>9</v>
      </c>
      <c r="E3182" s="58" t="e">
        <f ca="1">Valuation!AB11</f>
        <v>#NAME?</v>
      </c>
      <c r="F3182" s="58" t="str">
        <f t="shared" si="11"/>
        <v>'Valuation'!AB11</v>
      </c>
    </row>
    <row r="3183" spans="1:6">
      <c r="A3183" s="58" t="s">
        <v>829</v>
      </c>
      <c r="B3183" s="58" t="s">
        <v>2627</v>
      </c>
      <c r="C3183" s="58" t="s">
        <v>62</v>
      </c>
      <c r="D3183" s="58">
        <v>0</v>
      </c>
      <c r="E3183" s="58">
        <f ca="1">Valuation!S12</f>
        <v>-5.2646894585334225E-2</v>
      </c>
      <c r="F3183" s="58" t="str">
        <f t="shared" si="11"/>
        <v>'Valuation'!S12</v>
      </c>
    </row>
    <row r="3184" spans="1:6">
      <c r="A3184" s="58" t="s">
        <v>829</v>
      </c>
      <c r="B3184" s="58" t="s">
        <v>2629</v>
      </c>
      <c r="C3184" s="58" t="s">
        <v>62</v>
      </c>
      <c r="D3184" s="58">
        <v>-11</v>
      </c>
      <c r="E3184" s="58" t="str">
        <f>Valuation!H12</f>
        <v/>
      </c>
      <c r="F3184" s="58" t="str">
        <f t="shared" si="11"/>
        <v>'Valuation'!H12</v>
      </c>
    </row>
    <row r="3185" spans="1:6">
      <c r="A3185" s="58" t="s">
        <v>829</v>
      </c>
      <c r="B3185" s="58" t="s">
        <v>2630</v>
      </c>
      <c r="C3185" s="58" t="s">
        <v>62</v>
      </c>
      <c r="D3185" s="58">
        <v>-10</v>
      </c>
      <c r="E3185" s="58" t="str">
        <f>Valuation!I12</f>
        <v/>
      </c>
      <c r="F3185" s="58" t="str">
        <f t="shared" si="11"/>
        <v>'Valuation'!I12</v>
      </c>
    </row>
    <row r="3186" spans="1:6">
      <c r="A3186" s="58" t="s">
        <v>829</v>
      </c>
      <c r="B3186" s="58" t="s">
        <v>2631</v>
      </c>
      <c r="C3186" s="58" t="s">
        <v>62</v>
      </c>
      <c r="D3186" s="58">
        <v>-9</v>
      </c>
      <c r="E3186" s="58" t="str">
        <f>Valuation!J12</f>
        <v/>
      </c>
      <c r="F3186" s="58" t="str">
        <f t="shared" si="11"/>
        <v>'Valuation'!J12</v>
      </c>
    </row>
    <row r="3187" spans="1:6">
      <c r="A3187" s="58" t="s">
        <v>829</v>
      </c>
      <c r="B3187" s="58" t="s">
        <v>2632</v>
      </c>
      <c r="C3187" s="58" t="s">
        <v>62</v>
      </c>
      <c r="D3187" s="58">
        <v>-8</v>
      </c>
      <c r="E3187" s="58" t="str">
        <f>Valuation!K12</f>
        <v/>
      </c>
      <c r="F3187" s="58" t="str">
        <f t="shared" si="11"/>
        <v>'Valuation'!K12</v>
      </c>
    </row>
    <row r="3188" spans="1:6">
      <c r="A3188" s="58" t="s">
        <v>829</v>
      </c>
      <c r="B3188" s="58" t="s">
        <v>2633</v>
      </c>
      <c r="C3188" s="58" t="s">
        <v>62</v>
      </c>
      <c r="D3188" s="58">
        <v>-7</v>
      </c>
      <c r="E3188" s="58" t="str">
        <f>Valuation!L12</f>
        <v/>
      </c>
      <c r="F3188" s="58" t="str">
        <f t="shared" si="11"/>
        <v>'Valuation'!L12</v>
      </c>
    </row>
    <row r="3189" spans="1:6">
      <c r="A3189" s="58" t="s">
        <v>829</v>
      </c>
      <c r="B3189" s="58" t="s">
        <v>2634</v>
      </c>
      <c r="C3189" s="58" t="s">
        <v>62</v>
      </c>
      <c r="D3189" s="58">
        <v>-6</v>
      </c>
      <c r="E3189" s="58" t="str">
        <f>Valuation!M12</f>
        <v/>
      </c>
      <c r="F3189" s="58" t="str">
        <f t="shared" si="11"/>
        <v>'Valuation'!M12</v>
      </c>
    </row>
    <row r="3190" spans="1:6">
      <c r="A3190" s="58" t="s">
        <v>829</v>
      </c>
      <c r="B3190" s="58" t="s">
        <v>2635</v>
      </c>
      <c r="C3190" s="58" t="s">
        <v>62</v>
      </c>
      <c r="D3190" s="58">
        <v>-5</v>
      </c>
      <c r="E3190" s="58">
        <f>Valuation!N12</f>
        <v>5.1366423453656065</v>
      </c>
      <c r="F3190" s="58" t="str">
        <f t="shared" si="11"/>
        <v>'Valuation'!N12</v>
      </c>
    </row>
    <row r="3191" spans="1:6">
      <c r="A3191" s="58" t="s">
        <v>829</v>
      </c>
      <c r="B3191" s="58" t="s">
        <v>2636</v>
      </c>
      <c r="C3191" s="58" t="s">
        <v>62</v>
      </c>
      <c r="D3191" s="58">
        <v>-4</v>
      </c>
      <c r="E3191" s="58">
        <f>Valuation!O12</f>
        <v>-0.59254661427519606</v>
      </c>
      <c r="F3191" s="58" t="str">
        <f t="shared" si="11"/>
        <v>'Valuation'!O12</v>
      </c>
    </row>
    <row r="3192" spans="1:6">
      <c r="A3192" s="58" t="s">
        <v>829</v>
      </c>
      <c r="B3192" s="58" t="s">
        <v>2637</v>
      </c>
      <c r="C3192" s="58" t="s">
        <v>62</v>
      </c>
      <c r="D3192" s="58">
        <v>-3</v>
      </c>
      <c r="E3192" s="58">
        <f>Valuation!P12</f>
        <v>-2.686894529097672E-2</v>
      </c>
      <c r="F3192" s="58" t="str">
        <f t="shared" si="11"/>
        <v>'Valuation'!P12</v>
      </c>
    </row>
    <row r="3193" spans="1:6">
      <c r="A3193" s="58" t="s">
        <v>829</v>
      </c>
      <c r="B3193" s="58" t="s">
        <v>2638</v>
      </c>
      <c r="C3193" s="58" t="s">
        <v>62</v>
      </c>
      <c r="D3193" s="58">
        <v>-2</v>
      </c>
      <c r="E3193" s="58">
        <f>Valuation!Q12</f>
        <v>1.1117178931939855</v>
      </c>
      <c r="F3193" s="58" t="str">
        <f t="shared" si="11"/>
        <v>'Valuation'!Q12</v>
      </c>
    </row>
    <row r="3194" spans="1:6">
      <c r="A3194" s="58" t="s">
        <v>829</v>
      </c>
      <c r="B3194" s="58" t="s">
        <v>2639</v>
      </c>
      <c r="C3194" s="58" t="s">
        <v>62</v>
      </c>
      <c r="D3194" s="58">
        <v>-1</v>
      </c>
      <c r="E3194" s="58">
        <f>Valuation!R12</f>
        <v>9.404240810672948E-2</v>
      </c>
      <c r="F3194" s="58" t="str">
        <f t="shared" si="11"/>
        <v>'Valuation'!R12</v>
      </c>
    </row>
    <row r="3195" spans="1:6">
      <c r="A3195" s="58" t="s">
        <v>829</v>
      </c>
      <c r="B3195" s="58" t="s">
        <v>2640</v>
      </c>
      <c r="C3195" s="58" t="s">
        <v>62</v>
      </c>
      <c r="D3195" s="58">
        <v>1</v>
      </c>
      <c r="E3195" s="58" t="str">
        <f ca="1">Valuation!T12</f>
        <v/>
      </c>
      <c r="F3195" s="58" t="str">
        <f t="shared" si="11"/>
        <v>'Valuation'!T12</v>
      </c>
    </row>
    <row r="3196" spans="1:6">
      <c r="A3196" s="58" t="s">
        <v>829</v>
      </c>
      <c r="B3196" s="58" t="s">
        <v>2641</v>
      </c>
      <c r="C3196" s="58" t="s">
        <v>62</v>
      </c>
      <c r="D3196" s="58">
        <v>2</v>
      </c>
      <c r="E3196" s="58" t="str">
        <f ca="1">Valuation!U12</f>
        <v/>
      </c>
      <c r="F3196" s="58" t="str">
        <f t="shared" si="11"/>
        <v>'Valuation'!U12</v>
      </c>
    </row>
    <row r="3197" spans="1:6">
      <c r="A3197" s="58" t="s">
        <v>829</v>
      </c>
      <c r="B3197" s="58" t="s">
        <v>2642</v>
      </c>
      <c r="C3197" s="58" t="s">
        <v>62</v>
      </c>
      <c r="D3197" s="58">
        <v>3</v>
      </c>
      <c r="E3197" s="58" t="str">
        <f ca="1">Valuation!V12</f>
        <v/>
      </c>
      <c r="F3197" s="58" t="str">
        <f t="shared" si="11"/>
        <v>'Valuation'!V12</v>
      </c>
    </row>
    <row r="3198" spans="1:6">
      <c r="A3198" s="58" t="s">
        <v>829</v>
      </c>
      <c r="B3198" s="58" t="s">
        <v>2643</v>
      </c>
      <c r="C3198" s="58" t="s">
        <v>62</v>
      </c>
      <c r="D3198" s="58">
        <v>4</v>
      </c>
      <c r="E3198" s="58" t="str">
        <f ca="1">Valuation!W12</f>
        <v/>
      </c>
      <c r="F3198" s="58" t="str">
        <f t="shared" si="11"/>
        <v>'Valuation'!W12</v>
      </c>
    </row>
    <row r="3199" spans="1:6">
      <c r="A3199" s="58" t="s">
        <v>829</v>
      </c>
      <c r="B3199" s="58" t="s">
        <v>2644</v>
      </c>
      <c r="C3199" s="58" t="s">
        <v>62</v>
      </c>
      <c r="D3199" s="58">
        <v>5</v>
      </c>
      <c r="E3199" s="58" t="str">
        <f ca="1">Valuation!X12</f>
        <v/>
      </c>
      <c r="F3199" s="58" t="str">
        <f t="shared" si="11"/>
        <v>'Valuation'!X12</v>
      </c>
    </row>
    <row r="3200" spans="1:6">
      <c r="A3200" s="58" t="s">
        <v>829</v>
      </c>
      <c r="B3200" s="58" t="s">
        <v>2645</v>
      </c>
      <c r="C3200" s="58" t="s">
        <v>62</v>
      </c>
      <c r="D3200" s="58">
        <v>6</v>
      </c>
      <c r="E3200" s="58" t="str">
        <f ca="1">Valuation!Y12</f>
        <v/>
      </c>
      <c r="F3200" s="58" t="str">
        <f t="shared" si="11"/>
        <v>'Valuation'!Y12</v>
      </c>
    </row>
    <row r="3201" spans="1:6">
      <c r="A3201" s="58" t="s">
        <v>829</v>
      </c>
      <c r="B3201" s="58" t="s">
        <v>2646</v>
      </c>
      <c r="C3201" s="58" t="s">
        <v>62</v>
      </c>
      <c r="D3201" s="58">
        <v>7</v>
      </c>
      <c r="E3201" s="58" t="str">
        <f ca="1">Valuation!Z12</f>
        <v/>
      </c>
      <c r="F3201" s="58" t="str">
        <f t="shared" si="11"/>
        <v>'Valuation'!Z12</v>
      </c>
    </row>
    <row r="3202" spans="1:6">
      <c r="A3202" s="58" t="s">
        <v>829</v>
      </c>
      <c r="B3202" s="58" t="s">
        <v>2647</v>
      </c>
      <c r="C3202" s="58" t="s">
        <v>62</v>
      </c>
      <c r="D3202" s="58">
        <v>8</v>
      </c>
      <c r="E3202" s="58" t="str">
        <f ca="1">Valuation!AA12</f>
        <v/>
      </c>
      <c r="F3202" s="58" t="str">
        <f t="shared" si="11"/>
        <v>'Valuation'!AA12</v>
      </c>
    </row>
    <row r="3203" spans="1:6">
      <c r="A3203" s="58" t="s">
        <v>829</v>
      </c>
      <c r="B3203" s="58" t="s">
        <v>2648</v>
      </c>
      <c r="C3203" s="58" t="s">
        <v>62</v>
      </c>
      <c r="D3203" s="58">
        <v>9</v>
      </c>
      <c r="E3203" s="58" t="str">
        <f ca="1">Valuation!AB12</f>
        <v/>
      </c>
      <c r="F3203" s="58" t="str">
        <f t="shared" ref="F3203:F3266" si="12">"'"&amp;A3203&amp;"'"&amp;"!"&amp;B3203</f>
        <v>'Valuation'!AB12</v>
      </c>
    </row>
    <row r="3204" spans="1:6">
      <c r="A3204" s="58" t="s">
        <v>829</v>
      </c>
      <c r="B3204" s="58" t="s">
        <v>2649</v>
      </c>
      <c r="C3204" s="58" t="s">
        <v>1066</v>
      </c>
      <c r="D3204" s="58">
        <v>0</v>
      </c>
      <c r="E3204" s="58">
        <f ca="1">Valuation!S16</f>
        <v>5682526.1228651665</v>
      </c>
      <c r="F3204" s="58" t="str">
        <f t="shared" si="12"/>
        <v>'Valuation'!S16</v>
      </c>
    </row>
    <row r="3205" spans="1:6">
      <c r="A3205" s="58" t="s">
        <v>829</v>
      </c>
      <c r="B3205" s="58" t="s">
        <v>2651</v>
      </c>
      <c r="C3205" s="58" t="s">
        <v>1066</v>
      </c>
      <c r="D3205" s="58">
        <v>-11</v>
      </c>
      <c r="E3205" s="58">
        <f>Valuation!H16</f>
        <v>0</v>
      </c>
      <c r="F3205" s="58" t="str">
        <f t="shared" si="12"/>
        <v>'Valuation'!H16</v>
      </c>
    </row>
    <row r="3206" spans="1:6">
      <c r="A3206" s="58" t="s">
        <v>829</v>
      </c>
      <c r="B3206" s="58" t="s">
        <v>2652</v>
      </c>
      <c r="C3206" s="58" t="s">
        <v>1066</v>
      </c>
      <c r="D3206" s="58">
        <v>-10</v>
      </c>
      <c r="E3206" s="58">
        <f>Valuation!I16</f>
        <v>0</v>
      </c>
      <c r="F3206" s="58" t="str">
        <f t="shared" si="12"/>
        <v>'Valuation'!I16</v>
      </c>
    </row>
    <row r="3207" spans="1:6">
      <c r="A3207" s="58" t="s">
        <v>829</v>
      </c>
      <c r="B3207" s="58" t="s">
        <v>2653</v>
      </c>
      <c r="C3207" s="58" t="s">
        <v>1066</v>
      </c>
      <c r="D3207" s="58">
        <v>-9</v>
      </c>
      <c r="E3207" s="58">
        <f>Valuation!J16</f>
        <v>0</v>
      </c>
      <c r="F3207" s="58" t="str">
        <f t="shared" si="12"/>
        <v>'Valuation'!J16</v>
      </c>
    </row>
    <row r="3208" spans="1:6">
      <c r="A3208" s="58" t="s">
        <v>829</v>
      </c>
      <c r="B3208" s="58" t="s">
        <v>2654</v>
      </c>
      <c r="C3208" s="58" t="s">
        <v>1066</v>
      </c>
      <c r="D3208" s="58">
        <v>-8</v>
      </c>
      <c r="E3208" s="58">
        <f>Valuation!K16</f>
        <v>0</v>
      </c>
      <c r="F3208" s="58" t="str">
        <f t="shared" si="12"/>
        <v>'Valuation'!K16</v>
      </c>
    </row>
    <row r="3209" spans="1:6">
      <c r="A3209" s="58" t="s">
        <v>829</v>
      </c>
      <c r="B3209" s="58" t="s">
        <v>2655</v>
      </c>
      <c r="C3209" s="58" t="s">
        <v>1066</v>
      </c>
      <c r="D3209" s="58">
        <v>-7</v>
      </c>
      <c r="E3209" s="58">
        <f>Valuation!L16</f>
        <v>0</v>
      </c>
      <c r="F3209" s="58" t="str">
        <f t="shared" si="12"/>
        <v>'Valuation'!L16</v>
      </c>
    </row>
    <row r="3210" spans="1:6">
      <c r="A3210" s="58" t="s">
        <v>829</v>
      </c>
      <c r="B3210" s="58" t="s">
        <v>2656</v>
      </c>
      <c r="C3210" s="58" t="s">
        <v>1066</v>
      </c>
      <c r="D3210" s="58">
        <v>-6</v>
      </c>
      <c r="E3210" s="58">
        <f>Valuation!M16</f>
        <v>837568</v>
      </c>
      <c r="F3210" s="58" t="str">
        <f t="shared" si="12"/>
        <v>'Valuation'!M16</v>
      </c>
    </row>
    <row r="3211" spans="1:6">
      <c r="A3211" s="58" t="s">
        <v>829</v>
      </c>
      <c r="B3211" s="58" t="s">
        <v>2657</v>
      </c>
      <c r="C3211" s="58" t="s">
        <v>1066</v>
      </c>
      <c r="D3211" s="58">
        <v>-5</v>
      </c>
      <c r="E3211" s="58">
        <f>Valuation!N16</f>
        <v>4699223</v>
      </c>
      <c r="F3211" s="58" t="str">
        <f t="shared" si="12"/>
        <v>'Valuation'!N16</v>
      </c>
    </row>
    <row r="3212" spans="1:6">
      <c r="A3212" s="58" t="s">
        <v>829</v>
      </c>
      <c r="B3212" s="58" t="s">
        <v>2658</v>
      </c>
      <c r="C3212" s="58" t="s">
        <v>1066</v>
      </c>
      <c r="D3212" s="58">
        <v>-4</v>
      </c>
      <c r="E3212" s="58">
        <f>Valuation!O16</f>
        <v>5750347</v>
      </c>
      <c r="F3212" s="58" t="str">
        <f t="shared" si="12"/>
        <v>'Valuation'!O16</v>
      </c>
    </row>
    <row r="3213" spans="1:6">
      <c r="A3213" s="58" t="s">
        <v>829</v>
      </c>
      <c r="B3213" s="58" t="s">
        <v>2659</v>
      </c>
      <c r="C3213" s="58" t="s">
        <v>1066</v>
      </c>
      <c r="D3213" s="58">
        <v>-3</v>
      </c>
      <c r="E3213" s="58">
        <f>Valuation!P16</f>
        <v>3130403</v>
      </c>
      <c r="F3213" s="58" t="str">
        <f t="shared" si="12"/>
        <v>'Valuation'!P16</v>
      </c>
    </row>
    <row r="3214" spans="1:6">
      <c r="A3214" s="58" t="s">
        <v>829</v>
      </c>
      <c r="B3214" s="58" t="s">
        <v>2660</v>
      </c>
      <c r="C3214" s="58" t="s">
        <v>1066</v>
      </c>
      <c r="D3214" s="58">
        <v>-2</v>
      </c>
      <c r="E3214" s="58">
        <f>Valuation!Q16</f>
        <v>4129350</v>
      </c>
      <c r="F3214" s="58" t="str">
        <f t="shared" si="12"/>
        <v>'Valuation'!Q16</v>
      </c>
    </row>
    <row r="3215" spans="1:6">
      <c r="A3215" s="58" t="s">
        <v>829</v>
      </c>
      <c r="B3215" s="58" t="s">
        <v>2661</v>
      </c>
      <c r="C3215" s="58" t="s">
        <v>1066</v>
      </c>
      <c r="D3215" s="58">
        <v>-1</v>
      </c>
      <c r="E3215" s="58">
        <f>Valuation!R16</f>
        <v>5557456</v>
      </c>
      <c r="F3215" s="58" t="str">
        <f t="shared" si="12"/>
        <v>'Valuation'!R16</v>
      </c>
    </row>
    <row r="3216" spans="1:6">
      <c r="A3216" s="58" t="s">
        <v>829</v>
      </c>
      <c r="B3216" s="58" t="s">
        <v>2662</v>
      </c>
      <c r="C3216" s="58" t="s">
        <v>1066</v>
      </c>
      <c r="D3216" s="58">
        <v>1</v>
      </c>
      <c r="E3216" s="58" t="e">
        <f ca="1">Valuation!T16</f>
        <v>#NAME?</v>
      </c>
      <c r="F3216" s="58" t="str">
        <f t="shared" si="12"/>
        <v>'Valuation'!T16</v>
      </c>
    </row>
    <row r="3217" spans="1:6">
      <c r="A3217" s="58" t="s">
        <v>829</v>
      </c>
      <c r="B3217" s="58" t="s">
        <v>2663</v>
      </c>
      <c r="C3217" s="58" t="s">
        <v>1066</v>
      </c>
      <c r="D3217" s="58">
        <v>2</v>
      </c>
      <c r="E3217" s="58" t="e">
        <f ca="1">Valuation!U16</f>
        <v>#NAME?</v>
      </c>
      <c r="F3217" s="58" t="str">
        <f t="shared" si="12"/>
        <v>'Valuation'!U16</v>
      </c>
    </row>
    <row r="3218" spans="1:6">
      <c r="A3218" s="58" t="s">
        <v>829</v>
      </c>
      <c r="B3218" s="58" t="s">
        <v>2664</v>
      </c>
      <c r="C3218" s="58" t="s">
        <v>1066</v>
      </c>
      <c r="D3218" s="58">
        <v>3</v>
      </c>
      <c r="E3218" s="58" t="e">
        <f ca="1">Valuation!V16</f>
        <v>#NAME?</v>
      </c>
      <c r="F3218" s="58" t="str">
        <f t="shared" si="12"/>
        <v>'Valuation'!V16</v>
      </c>
    </row>
    <row r="3219" spans="1:6">
      <c r="A3219" s="58" t="s">
        <v>829</v>
      </c>
      <c r="B3219" s="58" t="s">
        <v>2665</v>
      </c>
      <c r="C3219" s="58" t="s">
        <v>1066</v>
      </c>
      <c r="D3219" s="58">
        <v>4</v>
      </c>
      <c r="E3219" s="58" t="e">
        <f ca="1">Valuation!W16</f>
        <v>#NAME?</v>
      </c>
      <c r="F3219" s="58" t="str">
        <f t="shared" si="12"/>
        <v>'Valuation'!W16</v>
      </c>
    </row>
    <row r="3220" spans="1:6">
      <c r="A3220" s="58" t="s">
        <v>829</v>
      </c>
      <c r="B3220" s="58" t="s">
        <v>2666</v>
      </c>
      <c r="C3220" s="58" t="s">
        <v>1066</v>
      </c>
      <c r="D3220" s="58">
        <v>5</v>
      </c>
      <c r="E3220" s="58" t="e">
        <f ca="1">Valuation!X16</f>
        <v>#NAME?</v>
      </c>
      <c r="F3220" s="58" t="str">
        <f t="shared" si="12"/>
        <v>'Valuation'!X16</v>
      </c>
    </row>
    <row r="3221" spans="1:6">
      <c r="A3221" s="58" t="s">
        <v>829</v>
      </c>
      <c r="B3221" s="58" t="s">
        <v>2667</v>
      </c>
      <c r="C3221" s="58" t="s">
        <v>1066</v>
      </c>
      <c r="D3221" s="58">
        <v>6</v>
      </c>
      <c r="E3221" s="58" t="e">
        <f ca="1">Valuation!Y16</f>
        <v>#NAME?</v>
      </c>
      <c r="F3221" s="58" t="str">
        <f t="shared" si="12"/>
        <v>'Valuation'!Y16</v>
      </c>
    </row>
    <row r="3222" spans="1:6">
      <c r="A3222" s="58" t="s">
        <v>829</v>
      </c>
      <c r="B3222" s="58" t="s">
        <v>2668</v>
      </c>
      <c r="C3222" s="58" t="s">
        <v>1066</v>
      </c>
      <c r="D3222" s="58">
        <v>7</v>
      </c>
      <c r="E3222" s="58" t="e">
        <f ca="1">Valuation!Z16</f>
        <v>#NAME?</v>
      </c>
      <c r="F3222" s="58" t="str">
        <f t="shared" si="12"/>
        <v>'Valuation'!Z16</v>
      </c>
    </row>
    <row r="3223" spans="1:6">
      <c r="A3223" s="58" t="s">
        <v>829</v>
      </c>
      <c r="B3223" s="58" t="s">
        <v>2669</v>
      </c>
      <c r="C3223" s="58" t="s">
        <v>1066</v>
      </c>
      <c r="D3223" s="58">
        <v>8</v>
      </c>
      <c r="E3223" s="58" t="e">
        <f ca="1">Valuation!AA16</f>
        <v>#NAME?</v>
      </c>
      <c r="F3223" s="58" t="str">
        <f t="shared" si="12"/>
        <v>'Valuation'!AA16</v>
      </c>
    </row>
    <row r="3224" spans="1:6">
      <c r="A3224" s="58" t="s">
        <v>829</v>
      </c>
      <c r="B3224" s="58" t="s">
        <v>2670</v>
      </c>
      <c r="C3224" s="58" t="s">
        <v>1066</v>
      </c>
      <c r="D3224" s="58">
        <v>9</v>
      </c>
      <c r="E3224" s="58" t="e">
        <f ca="1">Valuation!AB16</f>
        <v>#NAME?</v>
      </c>
      <c r="F3224" s="58" t="str">
        <f t="shared" si="12"/>
        <v>'Valuation'!AB16</v>
      </c>
    </row>
    <row r="3225" spans="1:6">
      <c r="A3225" s="58" t="s">
        <v>829</v>
      </c>
      <c r="B3225" s="58" t="s">
        <v>3205</v>
      </c>
      <c r="C3225" s="58" t="s">
        <v>1198</v>
      </c>
      <c r="D3225" s="58" t="s">
        <v>1138</v>
      </c>
      <c r="E3225" s="58" t="str">
        <f>Valuation!V124</f>
        <v>0P0001M2C4</v>
      </c>
      <c r="F3225" s="58" t="str">
        <f t="shared" si="12"/>
        <v>'Valuation'!V124</v>
      </c>
    </row>
    <row r="3226" spans="1:6">
      <c r="A3226" s="58" t="s">
        <v>829</v>
      </c>
      <c r="B3226" s="58" t="s">
        <v>2696</v>
      </c>
      <c r="C3226" s="58" t="s">
        <v>1199</v>
      </c>
      <c r="D3226" s="58" t="s">
        <v>1138</v>
      </c>
      <c r="E3226" s="58" t="e">
        <f ca="1">Valuation!V106</f>
        <v>#NAME?</v>
      </c>
      <c r="F3226" s="58" t="str">
        <f t="shared" si="12"/>
        <v>'Valuation'!V106</v>
      </c>
    </row>
    <row r="3227" spans="1:6">
      <c r="A3227" s="58" t="s">
        <v>829</v>
      </c>
      <c r="B3227" s="58" t="s">
        <v>2697</v>
      </c>
      <c r="C3227" s="58" t="s">
        <v>1200</v>
      </c>
      <c r="D3227" s="58" t="s">
        <v>1138</v>
      </c>
      <c r="E3227" s="58" t="e">
        <f ca="1">Valuation!V105</f>
        <v>#NAME?</v>
      </c>
      <c r="F3227" s="58" t="str">
        <f t="shared" si="12"/>
        <v>'Valuation'!V105</v>
      </c>
    </row>
    <row r="3228" spans="1:6">
      <c r="A3228" s="58" t="s">
        <v>829</v>
      </c>
      <c r="B3228" s="58" t="s">
        <v>2721</v>
      </c>
      <c r="C3228" s="58" t="s">
        <v>136</v>
      </c>
      <c r="D3228" s="58">
        <v>0</v>
      </c>
      <c r="E3228" s="58" t="e">
        <f ca="1">Valuation!S86</f>
        <v>#NAME?</v>
      </c>
      <c r="F3228" s="58" t="str">
        <f t="shared" si="12"/>
        <v>'Valuation'!S85</v>
      </c>
    </row>
    <row r="3229" spans="1:6">
      <c r="A3229" s="58" t="s">
        <v>829</v>
      </c>
      <c r="B3229" s="58" t="s">
        <v>2700</v>
      </c>
      <c r="C3229" s="58" t="s">
        <v>136</v>
      </c>
      <c r="D3229" s="58">
        <v>-11</v>
      </c>
      <c r="E3229" s="58">
        <f>Valuation!H86</f>
        <v>0</v>
      </c>
      <c r="F3229" s="58" t="str">
        <f t="shared" si="12"/>
        <v>'Valuation'!H85</v>
      </c>
    </row>
    <row r="3230" spans="1:6">
      <c r="A3230" s="58" t="s">
        <v>829</v>
      </c>
      <c r="B3230" s="58" t="s">
        <v>2702</v>
      </c>
      <c r="C3230" s="58" t="s">
        <v>136</v>
      </c>
      <c r="D3230" s="58">
        <v>-10</v>
      </c>
      <c r="E3230" s="58">
        <f>Valuation!I86</f>
        <v>0</v>
      </c>
      <c r="F3230" s="58" t="str">
        <f t="shared" si="12"/>
        <v>'Valuation'!I85</v>
      </c>
    </row>
    <row r="3231" spans="1:6">
      <c r="A3231" s="58" t="s">
        <v>829</v>
      </c>
      <c r="B3231" s="58" t="s">
        <v>2703</v>
      </c>
      <c r="C3231" s="58" t="s">
        <v>136</v>
      </c>
      <c r="D3231" s="58">
        <v>-9</v>
      </c>
      <c r="E3231" s="58">
        <f>Valuation!J86</f>
        <v>0</v>
      </c>
      <c r="F3231" s="58" t="str">
        <f t="shared" si="12"/>
        <v>'Valuation'!J85</v>
      </c>
    </row>
    <row r="3232" spans="1:6">
      <c r="A3232" s="58" t="s">
        <v>829</v>
      </c>
      <c r="B3232" s="58" t="s">
        <v>2704</v>
      </c>
      <c r="C3232" s="58" t="s">
        <v>136</v>
      </c>
      <c r="D3232" s="58">
        <v>-8</v>
      </c>
      <c r="E3232" s="58">
        <f>Valuation!K86</f>
        <v>0</v>
      </c>
      <c r="F3232" s="58" t="str">
        <f t="shared" si="12"/>
        <v>'Valuation'!K85</v>
      </c>
    </row>
    <row r="3233" spans="1:6">
      <c r="A3233" s="58" t="s">
        <v>829</v>
      </c>
      <c r="B3233" s="58" t="s">
        <v>2705</v>
      </c>
      <c r="C3233" s="58" t="s">
        <v>136</v>
      </c>
      <c r="D3233" s="58">
        <v>-7</v>
      </c>
      <c r="E3233" s="58">
        <f>Valuation!L86</f>
        <v>0</v>
      </c>
      <c r="F3233" s="58" t="str">
        <f t="shared" si="12"/>
        <v>'Valuation'!L85</v>
      </c>
    </row>
    <row r="3234" spans="1:6">
      <c r="A3234" s="58" t="s">
        <v>829</v>
      </c>
      <c r="B3234" s="58" t="s">
        <v>2706</v>
      </c>
      <c r="C3234" s="58" t="s">
        <v>136</v>
      </c>
      <c r="D3234" s="58">
        <v>-6</v>
      </c>
      <c r="E3234" s="58">
        <f>Valuation!M86</f>
        <v>5794589</v>
      </c>
      <c r="F3234" s="58" t="str">
        <f t="shared" si="12"/>
        <v>'Valuation'!M85</v>
      </c>
    </row>
    <row r="3235" spans="1:6">
      <c r="A3235" s="58" t="s">
        <v>829</v>
      </c>
      <c r="B3235" s="58" t="s">
        <v>2707</v>
      </c>
      <c r="C3235" s="58" t="s">
        <v>136</v>
      </c>
      <c r="D3235" s="58">
        <v>-5</v>
      </c>
      <c r="E3235" s="58">
        <f>Valuation!N86</f>
        <v>21274425</v>
      </c>
      <c r="F3235" s="58" t="str">
        <f t="shared" si="12"/>
        <v>'Valuation'!N85</v>
      </c>
    </row>
    <row r="3236" spans="1:6">
      <c r="A3236" s="58" t="s">
        <v>829</v>
      </c>
      <c r="B3236" s="58" t="s">
        <v>2708</v>
      </c>
      <c r="C3236" s="58" t="s">
        <v>136</v>
      </c>
      <c r="D3236" s="58">
        <v>-4</v>
      </c>
      <c r="E3236" s="58">
        <f>Valuation!O86</f>
        <v>14311685</v>
      </c>
      <c r="F3236" s="58" t="str">
        <f t="shared" si="12"/>
        <v>'Valuation'!O85</v>
      </c>
    </row>
    <row r="3237" spans="1:6">
      <c r="A3237" s="58" t="s">
        <v>829</v>
      </c>
      <c r="B3237" s="58" t="s">
        <v>2709</v>
      </c>
      <c r="C3237" s="58" t="s">
        <v>136</v>
      </c>
      <c r="D3237" s="58">
        <v>-3</v>
      </c>
      <c r="E3237" s="58">
        <f>Valuation!P86</f>
        <v>14399893</v>
      </c>
      <c r="F3237" s="58" t="str">
        <f t="shared" si="12"/>
        <v>'Valuation'!P85</v>
      </c>
    </row>
    <row r="3238" spans="1:6">
      <c r="A3238" s="58" t="s">
        <v>829</v>
      </c>
      <c r="B3238" s="58" t="s">
        <v>2710</v>
      </c>
      <c r="C3238" s="58" t="s">
        <v>136</v>
      </c>
      <c r="D3238" s="58">
        <v>-2</v>
      </c>
      <c r="E3238" s="58">
        <f>Valuation!Q86</f>
        <v>22541951</v>
      </c>
      <c r="F3238" s="58" t="str">
        <f t="shared" si="12"/>
        <v>'Valuation'!Q85</v>
      </c>
    </row>
    <row r="3239" spans="1:6">
      <c r="A3239" s="58" t="s">
        <v>829</v>
      </c>
      <c r="B3239" s="58" t="s">
        <v>2711</v>
      </c>
      <c r="C3239" s="58" t="s">
        <v>136</v>
      </c>
      <c r="D3239" s="58">
        <v>-1</v>
      </c>
      <c r="E3239" s="58">
        <f>Valuation!R86</f>
        <v>29048847</v>
      </c>
      <c r="F3239" s="58" t="str">
        <f t="shared" si="12"/>
        <v>'Valuation'!R85</v>
      </c>
    </row>
    <row r="3240" spans="1:6">
      <c r="A3240" s="58" t="s">
        <v>829</v>
      </c>
      <c r="B3240" s="58" t="s">
        <v>2712</v>
      </c>
      <c r="C3240" s="58" t="s">
        <v>136</v>
      </c>
      <c r="D3240" s="58">
        <v>1</v>
      </c>
      <c r="E3240" s="58" t="e">
        <f ca="1">Valuation!T86</f>
        <v>#NAME?</v>
      </c>
      <c r="F3240" s="58" t="str">
        <f t="shared" si="12"/>
        <v>'Valuation'!T85</v>
      </c>
    </row>
    <row r="3241" spans="1:6">
      <c r="A3241" s="58" t="s">
        <v>829</v>
      </c>
      <c r="B3241" s="58" t="s">
        <v>2713</v>
      </c>
      <c r="C3241" s="58" t="s">
        <v>136</v>
      </c>
      <c r="D3241" s="58">
        <v>2</v>
      </c>
      <c r="E3241" s="58" t="e">
        <f ca="1">Valuation!U86</f>
        <v>#NAME?</v>
      </c>
      <c r="F3241" s="58" t="str">
        <f t="shared" si="12"/>
        <v>'Valuation'!U85</v>
      </c>
    </row>
    <row r="3242" spans="1:6">
      <c r="A3242" s="58" t="s">
        <v>829</v>
      </c>
      <c r="B3242" s="58" t="s">
        <v>2714</v>
      </c>
      <c r="C3242" s="58" t="s">
        <v>136</v>
      </c>
      <c r="D3242" s="58">
        <v>3</v>
      </c>
      <c r="E3242" s="58" t="e">
        <f ca="1">Valuation!V86</f>
        <v>#NAME?</v>
      </c>
      <c r="F3242" s="58" t="str">
        <f t="shared" si="12"/>
        <v>'Valuation'!V85</v>
      </c>
    </row>
    <row r="3243" spans="1:6">
      <c r="A3243" s="58" t="s">
        <v>829</v>
      </c>
      <c r="B3243" s="58" t="s">
        <v>2715</v>
      </c>
      <c r="C3243" s="58" t="s">
        <v>136</v>
      </c>
      <c r="D3243" s="58">
        <v>4</v>
      </c>
      <c r="E3243" s="58" t="e">
        <f ca="1">Valuation!W86</f>
        <v>#NAME?</v>
      </c>
      <c r="F3243" s="58" t="str">
        <f t="shared" si="12"/>
        <v>'Valuation'!W85</v>
      </c>
    </row>
    <row r="3244" spans="1:6">
      <c r="A3244" s="58" t="s">
        <v>829</v>
      </c>
      <c r="B3244" s="58" t="s">
        <v>2716</v>
      </c>
      <c r="C3244" s="58" t="s">
        <v>136</v>
      </c>
      <c r="D3244" s="58">
        <v>5</v>
      </c>
      <c r="E3244" s="58" t="e">
        <f ca="1">Valuation!X86</f>
        <v>#NAME?</v>
      </c>
      <c r="F3244" s="58" t="str">
        <f t="shared" si="12"/>
        <v>'Valuation'!X85</v>
      </c>
    </row>
    <row r="3245" spans="1:6">
      <c r="A3245" s="58" t="s">
        <v>829</v>
      </c>
      <c r="B3245" s="58" t="s">
        <v>2717</v>
      </c>
      <c r="C3245" s="58" t="s">
        <v>136</v>
      </c>
      <c r="D3245" s="58">
        <v>6</v>
      </c>
      <c r="E3245" s="58" t="e">
        <f ca="1">Valuation!Y86</f>
        <v>#NAME?</v>
      </c>
      <c r="F3245" s="58" t="str">
        <f t="shared" si="12"/>
        <v>'Valuation'!Y85</v>
      </c>
    </row>
    <row r="3246" spans="1:6">
      <c r="A3246" s="58" t="s">
        <v>829</v>
      </c>
      <c r="B3246" s="58" t="s">
        <v>2718</v>
      </c>
      <c r="C3246" s="58" t="s">
        <v>136</v>
      </c>
      <c r="D3246" s="58">
        <v>7</v>
      </c>
      <c r="E3246" s="58" t="e">
        <f ca="1">Valuation!Z86</f>
        <v>#NAME?</v>
      </c>
      <c r="F3246" s="58" t="str">
        <f t="shared" si="12"/>
        <v>'Valuation'!Z85</v>
      </c>
    </row>
    <row r="3247" spans="1:6">
      <c r="A3247" s="58" t="s">
        <v>829</v>
      </c>
      <c r="B3247" s="58" t="s">
        <v>2719</v>
      </c>
      <c r="C3247" s="58" t="s">
        <v>136</v>
      </c>
      <c r="D3247" s="58">
        <v>8</v>
      </c>
      <c r="E3247" s="58" t="e">
        <f ca="1">Valuation!AA86</f>
        <v>#NAME?</v>
      </c>
      <c r="F3247" s="58" t="str">
        <f t="shared" si="12"/>
        <v>'Valuation'!AA85</v>
      </c>
    </row>
    <row r="3248" spans="1:6">
      <c r="A3248" s="58" t="s">
        <v>829</v>
      </c>
      <c r="B3248" s="58" t="s">
        <v>2720</v>
      </c>
      <c r="C3248" s="58" t="s">
        <v>136</v>
      </c>
      <c r="D3248" s="58">
        <v>9</v>
      </c>
      <c r="E3248" s="58" t="e">
        <f ca="1">Valuation!AB86</f>
        <v>#NAME?</v>
      </c>
      <c r="F3248" s="58" t="str">
        <f t="shared" si="12"/>
        <v>'Valuation'!AB85</v>
      </c>
    </row>
    <row r="3249" spans="1:6">
      <c r="A3249" s="58" t="s">
        <v>829</v>
      </c>
      <c r="B3249" s="58" t="s">
        <v>2746</v>
      </c>
      <c r="C3249" s="58" t="s">
        <v>375</v>
      </c>
      <c r="D3249" s="58">
        <v>-11</v>
      </c>
      <c r="E3249" s="58">
        <f>Valuation!H95</f>
        <v>0</v>
      </c>
      <c r="F3249" s="58" t="str">
        <f t="shared" si="12"/>
        <v>'Valuation'!H94</v>
      </c>
    </row>
    <row r="3250" spans="1:6">
      <c r="A3250" s="58" t="s">
        <v>829</v>
      </c>
      <c r="B3250" s="58" t="s">
        <v>2748</v>
      </c>
      <c r="C3250" s="58" t="s">
        <v>375</v>
      </c>
      <c r="D3250" s="58">
        <v>-10</v>
      </c>
      <c r="E3250" s="58">
        <f>Valuation!I95</f>
        <v>0</v>
      </c>
      <c r="F3250" s="58" t="str">
        <f t="shared" si="12"/>
        <v>'Valuation'!I94</v>
      </c>
    </row>
    <row r="3251" spans="1:6">
      <c r="A3251" s="58" t="s">
        <v>829</v>
      </c>
      <c r="B3251" s="58" t="s">
        <v>2749</v>
      </c>
      <c r="C3251" s="58" t="s">
        <v>375</v>
      </c>
      <c r="D3251" s="58">
        <v>-9</v>
      </c>
      <c r="E3251" s="58">
        <f>Valuation!J95</f>
        <v>0</v>
      </c>
      <c r="F3251" s="58" t="str">
        <f t="shared" si="12"/>
        <v>'Valuation'!J94</v>
      </c>
    </row>
    <row r="3252" spans="1:6">
      <c r="A3252" s="58" t="s">
        <v>829</v>
      </c>
      <c r="B3252" s="58" t="s">
        <v>2750</v>
      </c>
      <c r="C3252" s="58" t="s">
        <v>375</v>
      </c>
      <c r="D3252" s="58">
        <v>-8</v>
      </c>
      <c r="E3252" s="58">
        <f>Valuation!K95</f>
        <v>0</v>
      </c>
      <c r="F3252" s="58" t="str">
        <f t="shared" si="12"/>
        <v>'Valuation'!K94</v>
      </c>
    </row>
    <row r="3253" spans="1:6">
      <c r="A3253" s="58" t="s">
        <v>829</v>
      </c>
      <c r="B3253" s="58" t="s">
        <v>2751</v>
      </c>
      <c r="C3253" s="58" t="s">
        <v>375</v>
      </c>
      <c r="D3253" s="58">
        <v>-7</v>
      </c>
      <c r="E3253" s="58">
        <f>Valuation!L95</f>
        <v>0</v>
      </c>
      <c r="F3253" s="58" t="str">
        <f t="shared" si="12"/>
        <v>'Valuation'!L94</v>
      </c>
    </row>
    <row r="3254" spans="1:6">
      <c r="A3254" s="58" t="s">
        <v>829</v>
      </c>
      <c r="B3254" s="58" t="s">
        <v>2752</v>
      </c>
      <c r="C3254" s="58" t="s">
        <v>375</v>
      </c>
      <c r="D3254" s="58">
        <v>-6</v>
      </c>
      <c r="E3254" s="58">
        <f>Valuation!M95</f>
        <v>963584</v>
      </c>
      <c r="F3254" s="58" t="str">
        <f t="shared" si="12"/>
        <v>'Valuation'!M94</v>
      </c>
    </row>
    <row r="3255" spans="1:6">
      <c r="A3255" s="58" t="s">
        <v>829</v>
      </c>
      <c r="B3255" s="58" t="s">
        <v>2753</v>
      </c>
      <c r="C3255" s="58" t="s">
        <v>375</v>
      </c>
      <c r="D3255" s="58">
        <v>-5</v>
      </c>
      <c r="E3255" s="58">
        <f>Valuation!N95</f>
        <v>6381689</v>
      </c>
      <c r="F3255" s="58" t="str">
        <f t="shared" si="12"/>
        <v>'Valuation'!N94</v>
      </c>
    </row>
    <row r="3256" spans="1:6">
      <c r="A3256" s="58" t="s">
        <v>829</v>
      </c>
      <c r="B3256" s="58" t="s">
        <v>2754</v>
      </c>
      <c r="C3256" s="58" t="s">
        <v>375</v>
      </c>
      <c r="D3256" s="58">
        <v>-4</v>
      </c>
      <c r="E3256" s="58">
        <f>Valuation!O95</f>
        <v>5454557</v>
      </c>
      <c r="F3256" s="58" t="str">
        <f t="shared" si="12"/>
        <v>'Valuation'!O94</v>
      </c>
    </row>
    <row r="3257" spans="1:6">
      <c r="A3257" s="58" t="s">
        <v>829</v>
      </c>
      <c r="B3257" s="58" t="s">
        <v>2755</v>
      </c>
      <c r="C3257" s="58" t="s">
        <v>375</v>
      </c>
      <c r="D3257" s="58">
        <v>-3</v>
      </c>
      <c r="E3257" s="58">
        <f>Valuation!P95</f>
        <v>6281649</v>
      </c>
      <c r="F3257" s="58" t="str">
        <f t="shared" si="12"/>
        <v>'Valuation'!P94</v>
      </c>
    </row>
    <row r="3258" spans="1:6">
      <c r="A3258" s="58" t="s">
        <v>829</v>
      </c>
      <c r="B3258" s="58" t="s">
        <v>2756</v>
      </c>
      <c r="C3258" s="58" t="s">
        <v>375</v>
      </c>
      <c r="D3258" s="58">
        <v>-2</v>
      </c>
      <c r="E3258" s="58">
        <f>Valuation!Q95</f>
        <v>10276842</v>
      </c>
      <c r="F3258" s="58" t="str">
        <f t="shared" si="12"/>
        <v>'Valuation'!Q94</v>
      </c>
    </row>
    <row r="3259" spans="1:6">
      <c r="A3259" s="58" t="s">
        <v>829</v>
      </c>
      <c r="B3259" s="58" t="s">
        <v>2757</v>
      </c>
      <c r="C3259" s="58" t="s">
        <v>375</v>
      </c>
      <c r="D3259" s="58">
        <v>-1</v>
      </c>
      <c r="E3259" s="58">
        <f>Valuation!R95</f>
        <v>14793058</v>
      </c>
      <c r="F3259" s="58" t="str">
        <f t="shared" si="12"/>
        <v>'Valuation'!R94</v>
      </c>
    </row>
    <row r="3260" spans="1:6">
      <c r="A3260" s="58" t="s">
        <v>829</v>
      </c>
      <c r="B3260" s="58" t="s">
        <v>2758</v>
      </c>
      <c r="C3260" s="58" t="s">
        <v>375</v>
      </c>
      <c r="D3260" s="58">
        <v>1</v>
      </c>
      <c r="E3260" s="58" t="e">
        <f ca="1">Valuation!T95</f>
        <v>#NAME?</v>
      </c>
      <c r="F3260" s="58" t="str">
        <f t="shared" si="12"/>
        <v>'Valuation'!T94</v>
      </c>
    </row>
    <row r="3261" spans="1:6">
      <c r="A3261" s="58" t="s">
        <v>829</v>
      </c>
      <c r="B3261" s="58" t="s">
        <v>2759</v>
      </c>
      <c r="C3261" s="58" t="s">
        <v>375</v>
      </c>
      <c r="D3261" s="58">
        <v>2</v>
      </c>
      <c r="E3261" s="58" t="e">
        <f ca="1">Valuation!U95</f>
        <v>#NAME?</v>
      </c>
      <c r="F3261" s="58" t="str">
        <f t="shared" si="12"/>
        <v>'Valuation'!U94</v>
      </c>
    </row>
    <row r="3262" spans="1:6">
      <c r="A3262" s="58" t="s">
        <v>829</v>
      </c>
      <c r="B3262" s="58" t="s">
        <v>2760</v>
      </c>
      <c r="C3262" s="58" t="s">
        <v>375</v>
      </c>
      <c r="D3262" s="58">
        <v>3</v>
      </c>
      <c r="E3262" s="58" t="e">
        <f ca="1">Valuation!V95</f>
        <v>#NAME?</v>
      </c>
      <c r="F3262" s="58" t="str">
        <f t="shared" si="12"/>
        <v>'Valuation'!V94</v>
      </c>
    </row>
    <row r="3263" spans="1:6">
      <c r="A3263" s="58" t="s">
        <v>829</v>
      </c>
      <c r="B3263" s="58" t="s">
        <v>2761</v>
      </c>
      <c r="C3263" s="58" t="s">
        <v>375</v>
      </c>
      <c r="D3263" s="58">
        <v>4</v>
      </c>
      <c r="E3263" s="58" t="e">
        <f ca="1">Valuation!W95</f>
        <v>#NAME?</v>
      </c>
      <c r="F3263" s="58" t="str">
        <f t="shared" si="12"/>
        <v>'Valuation'!W94</v>
      </c>
    </row>
    <row r="3264" spans="1:6">
      <c r="A3264" s="58" t="s">
        <v>829</v>
      </c>
      <c r="B3264" s="58" t="s">
        <v>2762</v>
      </c>
      <c r="C3264" s="58" t="s">
        <v>375</v>
      </c>
      <c r="D3264" s="58">
        <v>5</v>
      </c>
      <c r="E3264" s="58" t="e">
        <f ca="1">Valuation!X95</f>
        <v>#NAME?</v>
      </c>
      <c r="F3264" s="58" t="str">
        <f t="shared" si="12"/>
        <v>'Valuation'!X94</v>
      </c>
    </row>
    <row r="3265" spans="1:6">
      <c r="A3265" s="58" t="s">
        <v>829</v>
      </c>
      <c r="B3265" s="58" t="s">
        <v>2763</v>
      </c>
      <c r="C3265" s="58" t="s">
        <v>375</v>
      </c>
      <c r="D3265" s="58">
        <v>6</v>
      </c>
      <c r="E3265" s="58" t="e">
        <f ca="1">Valuation!Y95</f>
        <v>#NAME?</v>
      </c>
      <c r="F3265" s="58" t="str">
        <f t="shared" si="12"/>
        <v>'Valuation'!Y94</v>
      </c>
    </row>
    <row r="3266" spans="1:6">
      <c r="A3266" s="58" t="s">
        <v>829</v>
      </c>
      <c r="B3266" s="58" t="s">
        <v>2764</v>
      </c>
      <c r="C3266" s="58" t="s">
        <v>375</v>
      </c>
      <c r="D3266" s="58">
        <v>7</v>
      </c>
      <c r="E3266" s="58" t="e">
        <f ca="1">Valuation!Z95</f>
        <v>#NAME?</v>
      </c>
      <c r="F3266" s="58" t="str">
        <f t="shared" si="12"/>
        <v>'Valuation'!Z94</v>
      </c>
    </row>
    <row r="3267" spans="1:6">
      <c r="A3267" s="58" t="s">
        <v>829</v>
      </c>
      <c r="B3267" s="58" t="s">
        <v>2765</v>
      </c>
      <c r="C3267" s="58" t="s">
        <v>375</v>
      </c>
      <c r="D3267" s="58">
        <v>8</v>
      </c>
      <c r="E3267" s="58" t="e">
        <f ca="1">Valuation!AA95</f>
        <v>#NAME?</v>
      </c>
      <c r="F3267" s="58" t="str">
        <f t="shared" ref="F3267:F3330" si="13">"'"&amp;A3267&amp;"'"&amp;"!"&amp;B3267</f>
        <v>'Valuation'!AA94</v>
      </c>
    </row>
    <row r="3268" spans="1:6">
      <c r="A3268" s="58" t="s">
        <v>829</v>
      </c>
      <c r="B3268" s="58" t="s">
        <v>2766</v>
      </c>
      <c r="C3268" s="58" t="s">
        <v>375</v>
      </c>
      <c r="D3268" s="58">
        <v>9</v>
      </c>
      <c r="E3268" s="58" t="e">
        <f ca="1">Valuation!AB95</f>
        <v>#NAME?</v>
      </c>
      <c r="F3268" s="58" t="str">
        <f t="shared" si="13"/>
        <v>'Valuation'!AB94</v>
      </c>
    </row>
    <row r="3269" spans="1:6">
      <c r="A3269" s="58" t="s">
        <v>829</v>
      </c>
      <c r="B3269" s="58" t="s">
        <v>2767</v>
      </c>
      <c r="C3269" s="58" t="s">
        <v>375</v>
      </c>
      <c r="D3269" s="58">
        <v>0</v>
      </c>
      <c r="E3269" s="58" t="e">
        <f ca="1">Valuation!S95</f>
        <v>#NAME?</v>
      </c>
      <c r="F3269" s="58" t="str">
        <f t="shared" si="13"/>
        <v>'Valuation'!S94</v>
      </c>
    </row>
    <row r="3270" spans="1:6">
      <c r="A3270" s="58" t="s">
        <v>829</v>
      </c>
      <c r="B3270" s="58" t="s">
        <v>2768</v>
      </c>
      <c r="C3270" s="58" t="s">
        <v>1201</v>
      </c>
      <c r="D3270" s="58" t="s">
        <v>1138</v>
      </c>
      <c r="E3270" s="58" t="e">
        <f ca="1">Valuation!Q114</f>
        <v>#NAME?</v>
      </c>
      <c r="F3270" s="58" t="str">
        <f t="shared" si="13"/>
        <v>'Valuation'!Q114</v>
      </c>
    </row>
    <row r="3271" spans="1:6">
      <c r="A3271" s="58" t="s">
        <v>829</v>
      </c>
      <c r="B3271" s="58" t="s">
        <v>3181</v>
      </c>
      <c r="C3271" s="58" t="s">
        <v>1202</v>
      </c>
      <c r="D3271" s="58" t="s">
        <v>1138</v>
      </c>
      <c r="E3271" s="58" t="e">
        <f ca="1">Valuation!Q115</f>
        <v>#NAME?</v>
      </c>
      <c r="F3271" s="58" t="str">
        <f t="shared" si="13"/>
        <v>'Valuation'!Q115</v>
      </c>
    </row>
    <row r="3272" spans="1:6">
      <c r="A3272" s="58" t="s">
        <v>829</v>
      </c>
      <c r="B3272" s="58" t="s">
        <v>2769</v>
      </c>
      <c r="C3272" s="58" t="s">
        <v>285</v>
      </c>
      <c r="D3272" s="58">
        <v>-11</v>
      </c>
      <c r="E3272" s="58">
        <f>Valuation!H92</f>
        <v>0</v>
      </c>
      <c r="F3272" s="58" t="str">
        <f t="shared" si="13"/>
        <v>'Valuation'!H91</v>
      </c>
    </row>
    <row r="3273" spans="1:6">
      <c r="A3273" s="58" t="s">
        <v>829</v>
      </c>
      <c r="B3273" s="58" t="s">
        <v>2771</v>
      </c>
      <c r="C3273" s="58" t="s">
        <v>285</v>
      </c>
      <c r="D3273" s="58">
        <v>-10</v>
      </c>
      <c r="E3273" s="58">
        <f>Valuation!I92</f>
        <v>0</v>
      </c>
      <c r="F3273" s="58" t="str">
        <f t="shared" si="13"/>
        <v>'Valuation'!I91</v>
      </c>
    </row>
    <row r="3274" spans="1:6">
      <c r="A3274" s="58" t="s">
        <v>829</v>
      </c>
      <c r="B3274" s="58" t="s">
        <v>2772</v>
      </c>
      <c r="C3274" s="58" t="s">
        <v>285</v>
      </c>
      <c r="D3274" s="58">
        <v>-9</v>
      </c>
      <c r="E3274" s="58">
        <f>Valuation!J92</f>
        <v>0</v>
      </c>
      <c r="F3274" s="58" t="str">
        <f t="shared" si="13"/>
        <v>'Valuation'!J91</v>
      </c>
    </row>
    <row r="3275" spans="1:6">
      <c r="A3275" s="58" t="s">
        <v>829</v>
      </c>
      <c r="B3275" s="58" t="s">
        <v>2773</v>
      </c>
      <c r="C3275" s="58" t="s">
        <v>285</v>
      </c>
      <c r="D3275" s="58">
        <v>-8</v>
      </c>
      <c r="E3275" s="58">
        <f>Valuation!K92</f>
        <v>0</v>
      </c>
      <c r="F3275" s="58" t="str">
        <f t="shared" si="13"/>
        <v>'Valuation'!K91</v>
      </c>
    </row>
    <row r="3276" spans="1:6">
      <c r="A3276" s="58" t="s">
        <v>829</v>
      </c>
      <c r="B3276" s="58" t="s">
        <v>2774</v>
      </c>
      <c r="C3276" s="58" t="s">
        <v>285</v>
      </c>
      <c r="D3276" s="58">
        <v>-7</v>
      </c>
      <c r="E3276" s="58">
        <f>Valuation!L92</f>
        <v>0</v>
      </c>
      <c r="F3276" s="58" t="str">
        <f t="shared" si="13"/>
        <v>'Valuation'!L91</v>
      </c>
    </row>
    <row r="3277" spans="1:6">
      <c r="A3277" s="58" t="s">
        <v>829</v>
      </c>
      <c r="B3277" s="58" t="s">
        <v>2775</v>
      </c>
      <c r="C3277" s="58" t="s">
        <v>285</v>
      </c>
      <c r="D3277" s="58">
        <v>-6</v>
      </c>
      <c r="E3277" s="58">
        <f>Valuation!M92</f>
        <v>4891830</v>
      </c>
      <c r="F3277" s="58" t="str">
        <f t="shared" si="13"/>
        <v>'Valuation'!M91</v>
      </c>
    </row>
    <row r="3278" spans="1:6">
      <c r="A3278" s="58" t="s">
        <v>829</v>
      </c>
      <c r="B3278" s="58" t="s">
        <v>2776</v>
      </c>
      <c r="C3278" s="58" t="s">
        <v>285</v>
      </c>
      <c r="D3278" s="58">
        <v>-5</v>
      </c>
      <c r="E3278" s="58">
        <f>Valuation!N92</f>
        <v>14877908</v>
      </c>
      <c r="F3278" s="58" t="str">
        <f t="shared" si="13"/>
        <v>'Valuation'!N91</v>
      </c>
    </row>
    <row r="3279" spans="1:6">
      <c r="A3279" s="58" t="s">
        <v>829</v>
      </c>
      <c r="B3279" s="58" t="s">
        <v>2777</v>
      </c>
      <c r="C3279" s="58" t="s">
        <v>285</v>
      </c>
      <c r="D3279" s="58">
        <v>-4</v>
      </c>
      <c r="E3279" s="58">
        <f>Valuation!O92</f>
        <v>8852425</v>
      </c>
      <c r="F3279" s="58" t="str">
        <f t="shared" si="13"/>
        <v>'Valuation'!O91</v>
      </c>
    </row>
    <row r="3280" spans="1:6">
      <c r="A3280" s="58" t="s">
        <v>829</v>
      </c>
      <c r="B3280" s="58" t="s">
        <v>2778</v>
      </c>
      <c r="C3280" s="58" t="s">
        <v>285</v>
      </c>
      <c r="D3280" s="58">
        <v>-3</v>
      </c>
      <c r="E3280" s="58">
        <f>Valuation!P92</f>
        <v>8134380</v>
      </c>
      <c r="F3280" s="58" t="str">
        <f t="shared" si="13"/>
        <v>'Valuation'!P91</v>
      </c>
    </row>
    <row r="3281" spans="1:6">
      <c r="A3281" s="58" t="s">
        <v>829</v>
      </c>
      <c r="B3281" s="58" t="s">
        <v>2779</v>
      </c>
      <c r="C3281" s="58" t="s">
        <v>285</v>
      </c>
      <c r="D3281" s="58">
        <v>-2</v>
      </c>
      <c r="E3281" s="58">
        <f>Valuation!Q92</f>
        <v>12265109</v>
      </c>
      <c r="F3281" s="58" t="str">
        <f t="shared" si="13"/>
        <v>'Valuation'!Q91</v>
      </c>
    </row>
    <row r="3282" spans="1:6">
      <c r="A3282" s="58" t="s">
        <v>829</v>
      </c>
      <c r="B3282" s="58" t="s">
        <v>2780</v>
      </c>
      <c r="C3282" s="58" t="s">
        <v>285</v>
      </c>
      <c r="D3282" s="58">
        <v>-1</v>
      </c>
      <c r="E3282" s="58">
        <f>Valuation!R92</f>
        <v>14878774</v>
      </c>
      <c r="F3282" s="58" t="str">
        <f t="shared" si="13"/>
        <v>'Valuation'!R91</v>
      </c>
    </row>
    <row r="3283" spans="1:6">
      <c r="A3283" s="58" t="s">
        <v>829</v>
      </c>
      <c r="B3283" s="58" t="s">
        <v>2781</v>
      </c>
      <c r="C3283" s="58" t="s">
        <v>285</v>
      </c>
      <c r="D3283" s="58">
        <v>1</v>
      </c>
      <c r="E3283" s="58">
        <f ca="1">Valuation!T92</f>
        <v>15783649.620300001</v>
      </c>
      <c r="F3283" s="58" t="str">
        <f t="shared" si="13"/>
        <v>'Valuation'!T91</v>
      </c>
    </row>
    <row r="3284" spans="1:6">
      <c r="A3284" s="58" t="s">
        <v>829</v>
      </c>
      <c r="B3284" s="58" t="s">
        <v>2782</v>
      </c>
      <c r="C3284" s="58" t="s">
        <v>285</v>
      </c>
      <c r="D3284" s="58">
        <v>2</v>
      </c>
      <c r="E3284" s="58">
        <f ca="1">Valuation!U92</f>
        <v>16326282.832731003</v>
      </c>
      <c r="F3284" s="58" t="str">
        <f t="shared" si="13"/>
        <v>'Valuation'!U91</v>
      </c>
    </row>
    <row r="3285" spans="1:6">
      <c r="A3285" s="58" t="s">
        <v>829</v>
      </c>
      <c r="B3285" s="58" t="s">
        <v>2783</v>
      </c>
      <c r="C3285" s="58" t="s">
        <v>285</v>
      </c>
      <c r="D3285" s="58">
        <v>3</v>
      </c>
      <c r="E3285" s="58">
        <f ca="1">Valuation!V92</f>
        <v>16891116.720411874</v>
      </c>
      <c r="F3285" s="58" t="str">
        <f t="shared" si="13"/>
        <v>'Valuation'!V91</v>
      </c>
    </row>
    <row r="3286" spans="1:6">
      <c r="A3286" s="58" t="s">
        <v>829</v>
      </c>
      <c r="B3286" s="58" t="s">
        <v>2784</v>
      </c>
      <c r="C3286" s="58" t="s">
        <v>285</v>
      </c>
      <c r="D3286" s="58">
        <v>4</v>
      </c>
      <c r="E3286" s="58">
        <f ca="1">Valuation!W92</f>
        <v>17479162.697397675</v>
      </c>
      <c r="F3286" s="58" t="str">
        <f t="shared" si="13"/>
        <v>'Valuation'!W91</v>
      </c>
    </row>
    <row r="3287" spans="1:6">
      <c r="A3287" s="58" t="s">
        <v>829</v>
      </c>
      <c r="B3287" s="58" t="s">
        <v>2785</v>
      </c>
      <c r="C3287" s="58" t="s">
        <v>285</v>
      </c>
      <c r="D3287" s="58">
        <v>5</v>
      </c>
      <c r="E3287" s="58">
        <f ca="1">Valuation!X92</f>
        <v>18091480.776052069</v>
      </c>
      <c r="F3287" s="58" t="str">
        <f t="shared" si="13"/>
        <v>'Valuation'!X91</v>
      </c>
    </row>
    <row r="3288" spans="1:6">
      <c r="A3288" s="58" t="s">
        <v>829</v>
      </c>
      <c r="B3288" s="58" t="s">
        <v>2786</v>
      </c>
      <c r="C3288" s="58" t="s">
        <v>285</v>
      </c>
      <c r="D3288" s="58">
        <v>6</v>
      </c>
      <c r="E3288" s="58">
        <f ca="1">Valuation!Y92</f>
        <v>18729181.957514871</v>
      </c>
      <c r="F3288" s="58" t="str">
        <f t="shared" si="13"/>
        <v>'Valuation'!Y91</v>
      </c>
    </row>
    <row r="3289" spans="1:6">
      <c r="A3289" s="58" t="s">
        <v>829</v>
      </c>
      <c r="B3289" s="58" t="s">
        <v>2787</v>
      </c>
      <c r="C3289" s="58" t="s">
        <v>285</v>
      </c>
      <c r="D3289" s="58">
        <v>7</v>
      </c>
      <c r="E3289" s="58">
        <f ca="1">Valuation!Z92</f>
        <v>19393430.740904018</v>
      </c>
      <c r="F3289" s="58" t="str">
        <f t="shared" si="13"/>
        <v>'Valuation'!Z91</v>
      </c>
    </row>
    <row r="3290" spans="1:6">
      <c r="A3290" s="58" t="s">
        <v>829</v>
      </c>
      <c r="B3290" s="58" t="s">
        <v>2788</v>
      </c>
      <c r="C3290" s="58" t="s">
        <v>285</v>
      </c>
      <c r="D3290" s="58">
        <v>8</v>
      </c>
      <c r="E3290" s="58">
        <f ca="1">Valuation!AA92</f>
        <v>20085447.757172894</v>
      </c>
      <c r="F3290" s="58" t="str">
        <f t="shared" si="13"/>
        <v>'Valuation'!AA91</v>
      </c>
    </row>
    <row r="3291" spans="1:6">
      <c r="A3291" s="58" t="s">
        <v>829</v>
      </c>
      <c r="B3291" s="58" t="s">
        <v>2789</v>
      </c>
      <c r="C3291" s="58" t="s">
        <v>285</v>
      </c>
      <c r="D3291" s="58">
        <v>9</v>
      </c>
      <c r="E3291" s="58">
        <f>Valuation!AB92</f>
        <v>20806512.533839684</v>
      </c>
      <c r="F3291" s="58" t="str">
        <f t="shared" si="13"/>
        <v>'Valuation'!AB91</v>
      </c>
    </row>
    <row r="3292" spans="1:6">
      <c r="A3292" s="58" t="s">
        <v>829</v>
      </c>
      <c r="B3292" s="58" t="s">
        <v>2790</v>
      </c>
      <c r="C3292" s="58" t="s">
        <v>285</v>
      </c>
      <c r="D3292" s="58">
        <v>0</v>
      </c>
      <c r="E3292" s="58">
        <f ca="1">Valuation!S92</f>
        <v>15355447.202873178</v>
      </c>
      <c r="F3292" s="58" t="str">
        <f t="shared" si="13"/>
        <v>'Valuation'!S91</v>
      </c>
    </row>
    <row r="3293" spans="1:6">
      <c r="A3293" s="58" t="s">
        <v>829</v>
      </c>
      <c r="B3293" s="58" t="s">
        <v>2791</v>
      </c>
      <c r="C3293" s="58" t="s">
        <v>3182</v>
      </c>
      <c r="D3293" s="58">
        <v>-11</v>
      </c>
      <c r="E3293" s="58">
        <f>Valuation!H93</f>
        <v>0</v>
      </c>
      <c r="F3293" s="58" t="str">
        <f t="shared" si="13"/>
        <v>'Valuation'!H92</v>
      </c>
    </row>
    <row r="3294" spans="1:6">
      <c r="A3294" s="58" t="s">
        <v>829</v>
      </c>
      <c r="B3294" s="58" t="s">
        <v>2793</v>
      </c>
      <c r="C3294" s="58" t="s">
        <v>3182</v>
      </c>
      <c r="D3294" s="58">
        <v>-10</v>
      </c>
      <c r="E3294" s="58">
        <f>Valuation!I93</f>
        <v>0</v>
      </c>
      <c r="F3294" s="58" t="str">
        <f t="shared" si="13"/>
        <v>'Valuation'!I92</v>
      </c>
    </row>
    <row r="3295" spans="1:6">
      <c r="A3295" s="58" t="s">
        <v>829</v>
      </c>
      <c r="B3295" s="58" t="s">
        <v>2794</v>
      </c>
      <c r="C3295" s="58" t="s">
        <v>3182</v>
      </c>
      <c r="D3295" s="58">
        <v>-9</v>
      </c>
      <c r="E3295" s="58">
        <f>Valuation!J93</f>
        <v>0</v>
      </c>
      <c r="F3295" s="58" t="str">
        <f t="shared" si="13"/>
        <v>'Valuation'!J92</v>
      </c>
    </row>
    <row r="3296" spans="1:6">
      <c r="A3296" s="58" t="s">
        <v>829</v>
      </c>
      <c r="B3296" s="58" t="s">
        <v>2795</v>
      </c>
      <c r="C3296" s="58" t="s">
        <v>3182</v>
      </c>
      <c r="D3296" s="58">
        <v>-8</v>
      </c>
      <c r="E3296" s="58">
        <f>Valuation!K93</f>
        <v>0</v>
      </c>
      <c r="F3296" s="58" t="str">
        <f t="shared" si="13"/>
        <v>'Valuation'!K92</v>
      </c>
    </row>
    <row r="3297" spans="1:6">
      <c r="A3297" s="58" t="s">
        <v>829</v>
      </c>
      <c r="B3297" s="58" t="s">
        <v>2796</v>
      </c>
      <c r="C3297" s="58" t="s">
        <v>3182</v>
      </c>
      <c r="D3297" s="58">
        <v>-7</v>
      </c>
      <c r="E3297" s="58">
        <f>Valuation!L93</f>
        <v>0</v>
      </c>
      <c r="F3297" s="58" t="str">
        <f t="shared" si="13"/>
        <v>'Valuation'!L92</v>
      </c>
    </row>
    <row r="3298" spans="1:6">
      <c r="A3298" s="58" t="s">
        <v>829</v>
      </c>
      <c r="B3298" s="58" t="s">
        <v>2797</v>
      </c>
      <c r="C3298" s="58" t="s">
        <v>3182</v>
      </c>
      <c r="D3298" s="58">
        <v>-6</v>
      </c>
      <c r="E3298" s="58">
        <f>Valuation!M93</f>
        <v>963584</v>
      </c>
      <c r="F3298" s="58" t="str">
        <f t="shared" si="13"/>
        <v>'Valuation'!M92</v>
      </c>
    </row>
    <row r="3299" spans="1:6">
      <c r="A3299" s="58" t="s">
        <v>829</v>
      </c>
      <c r="B3299" s="58" t="s">
        <v>2798</v>
      </c>
      <c r="C3299" s="58" t="s">
        <v>3182</v>
      </c>
      <c r="D3299" s="58">
        <v>-5</v>
      </c>
      <c r="E3299" s="58">
        <f>Valuation!N93</f>
        <v>6381689</v>
      </c>
      <c r="F3299" s="58" t="str">
        <f t="shared" si="13"/>
        <v>'Valuation'!N92</v>
      </c>
    </row>
    <row r="3300" spans="1:6">
      <c r="A3300" s="58" t="s">
        <v>829</v>
      </c>
      <c r="B3300" s="58" t="s">
        <v>2799</v>
      </c>
      <c r="C3300" s="58" t="s">
        <v>3182</v>
      </c>
      <c r="D3300" s="58">
        <v>-4</v>
      </c>
      <c r="E3300" s="58">
        <f>Valuation!O93</f>
        <v>5454557</v>
      </c>
      <c r="F3300" s="58" t="str">
        <f t="shared" si="13"/>
        <v>'Valuation'!O92</v>
      </c>
    </row>
    <row r="3301" spans="1:6">
      <c r="A3301" s="58" t="s">
        <v>829</v>
      </c>
      <c r="B3301" s="58" t="s">
        <v>2800</v>
      </c>
      <c r="C3301" s="58" t="s">
        <v>3182</v>
      </c>
      <c r="D3301" s="58">
        <v>-3</v>
      </c>
      <c r="E3301" s="58">
        <f>Valuation!P93</f>
        <v>6281649</v>
      </c>
      <c r="F3301" s="58" t="str">
        <f t="shared" si="13"/>
        <v>'Valuation'!P92</v>
      </c>
    </row>
    <row r="3302" spans="1:6">
      <c r="A3302" s="58" t="s">
        <v>829</v>
      </c>
      <c r="B3302" s="58" t="s">
        <v>2801</v>
      </c>
      <c r="C3302" s="58" t="s">
        <v>3182</v>
      </c>
      <c r="D3302" s="58">
        <v>-2</v>
      </c>
      <c r="E3302" s="58">
        <f>Valuation!Q93</f>
        <v>10276842</v>
      </c>
      <c r="F3302" s="58" t="str">
        <f t="shared" si="13"/>
        <v>'Valuation'!Q92</v>
      </c>
    </row>
    <row r="3303" spans="1:6">
      <c r="A3303" s="58" t="s">
        <v>829</v>
      </c>
      <c r="B3303" s="58" t="s">
        <v>2802</v>
      </c>
      <c r="C3303" s="58" t="s">
        <v>3182</v>
      </c>
      <c r="D3303" s="58">
        <v>-1</v>
      </c>
      <c r="E3303" s="58">
        <f>Valuation!R93</f>
        <v>14793058</v>
      </c>
      <c r="F3303" s="58" t="str">
        <f t="shared" si="13"/>
        <v>'Valuation'!R92</v>
      </c>
    </row>
    <row r="3304" spans="1:6">
      <c r="A3304" s="58" t="s">
        <v>829</v>
      </c>
      <c r="B3304" s="58" t="s">
        <v>2803</v>
      </c>
      <c r="C3304" s="58" t="s">
        <v>3182</v>
      </c>
      <c r="D3304" s="58">
        <v>1</v>
      </c>
      <c r="E3304" s="58" t="e">
        <f ca="1">Valuation!T93</f>
        <v>#NAME?</v>
      </c>
      <c r="F3304" s="58" t="str">
        <f t="shared" si="13"/>
        <v>'Valuation'!T92</v>
      </c>
    </row>
    <row r="3305" spans="1:6">
      <c r="A3305" s="58" t="s">
        <v>829</v>
      </c>
      <c r="B3305" s="58" t="s">
        <v>2804</v>
      </c>
      <c r="C3305" s="58" t="s">
        <v>3182</v>
      </c>
      <c r="D3305" s="58">
        <v>2</v>
      </c>
      <c r="E3305" s="58" t="e">
        <f ca="1">Valuation!U93</f>
        <v>#NAME?</v>
      </c>
      <c r="F3305" s="58" t="str">
        <f t="shared" si="13"/>
        <v>'Valuation'!U92</v>
      </c>
    </row>
    <row r="3306" spans="1:6">
      <c r="A3306" s="58" t="s">
        <v>829</v>
      </c>
      <c r="B3306" s="58" t="s">
        <v>2805</v>
      </c>
      <c r="C3306" s="58" t="s">
        <v>3182</v>
      </c>
      <c r="D3306" s="58">
        <v>3</v>
      </c>
      <c r="E3306" s="58" t="e">
        <f ca="1">Valuation!V93</f>
        <v>#NAME?</v>
      </c>
      <c r="F3306" s="58" t="str">
        <f t="shared" si="13"/>
        <v>'Valuation'!V92</v>
      </c>
    </row>
    <row r="3307" spans="1:6">
      <c r="A3307" s="58" t="s">
        <v>829</v>
      </c>
      <c r="B3307" s="58" t="s">
        <v>2806</v>
      </c>
      <c r="C3307" s="58" t="s">
        <v>3182</v>
      </c>
      <c r="D3307" s="58">
        <v>4</v>
      </c>
      <c r="E3307" s="58" t="e">
        <f ca="1">Valuation!W93</f>
        <v>#NAME?</v>
      </c>
      <c r="F3307" s="58" t="str">
        <f t="shared" si="13"/>
        <v>'Valuation'!W92</v>
      </c>
    </row>
    <row r="3308" spans="1:6">
      <c r="A3308" s="58" t="s">
        <v>829</v>
      </c>
      <c r="B3308" s="58" t="s">
        <v>2807</v>
      </c>
      <c r="C3308" s="58" t="s">
        <v>3182</v>
      </c>
      <c r="D3308" s="58">
        <v>5</v>
      </c>
      <c r="E3308" s="58" t="e">
        <f ca="1">Valuation!X93</f>
        <v>#NAME?</v>
      </c>
      <c r="F3308" s="58" t="str">
        <f t="shared" si="13"/>
        <v>'Valuation'!X92</v>
      </c>
    </row>
    <row r="3309" spans="1:6">
      <c r="A3309" s="58" t="s">
        <v>829</v>
      </c>
      <c r="B3309" s="58" t="s">
        <v>2808</v>
      </c>
      <c r="C3309" s="58" t="s">
        <v>3182</v>
      </c>
      <c r="D3309" s="58">
        <v>6</v>
      </c>
      <c r="E3309" s="58" t="e">
        <f ca="1">Valuation!Y93</f>
        <v>#NAME?</v>
      </c>
      <c r="F3309" s="58" t="str">
        <f t="shared" si="13"/>
        <v>'Valuation'!Y92</v>
      </c>
    </row>
    <row r="3310" spans="1:6">
      <c r="A3310" s="58" t="s">
        <v>829</v>
      </c>
      <c r="B3310" s="58" t="s">
        <v>2809</v>
      </c>
      <c r="C3310" s="58" t="s">
        <v>3182</v>
      </c>
      <c r="D3310" s="58">
        <v>7</v>
      </c>
      <c r="E3310" s="58" t="e">
        <f ca="1">Valuation!Z93</f>
        <v>#NAME?</v>
      </c>
      <c r="F3310" s="58" t="str">
        <f t="shared" si="13"/>
        <v>'Valuation'!Z92</v>
      </c>
    </row>
    <row r="3311" spans="1:6">
      <c r="A3311" s="58" t="s">
        <v>829</v>
      </c>
      <c r="B3311" s="58" t="s">
        <v>2810</v>
      </c>
      <c r="C3311" s="58" t="s">
        <v>3182</v>
      </c>
      <c r="D3311" s="58">
        <v>8</v>
      </c>
      <c r="E3311" s="58" t="e">
        <f ca="1">Valuation!AA93</f>
        <v>#NAME?</v>
      </c>
      <c r="F3311" s="58" t="str">
        <f t="shared" si="13"/>
        <v>'Valuation'!AA92</v>
      </c>
    </row>
    <row r="3312" spans="1:6">
      <c r="A3312" s="58" t="s">
        <v>829</v>
      </c>
      <c r="B3312" s="58" t="s">
        <v>2811</v>
      </c>
      <c r="C3312" s="58" t="s">
        <v>3182</v>
      </c>
      <c r="D3312" s="58">
        <v>9</v>
      </c>
      <c r="E3312" s="58" t="e">
        <f ca="1">Valuation!AB93</f>
        <v>#NAME?</v>
      </c>
      <c r="F3312" s="58" t="str">
        <f t="shared" si="13"/>
        <v>'Valuation'!AB92</v>
      </c>
    </row>
    <row r="3313" spans="1:6">
      <c r="A3313" s="58" t="s">
        <v>829</v>
      </c>
      <c r="B3313" s="58" t="s">
        <v>2812</v>
      </c>
      <c r="C3313" s="58" t="s">
        <v>3182</v>
      </c>
      <c r="D3313" s="58">
        <v>0</v>
      </c>
      <c r="E3313" s="58" t="e">
        <f ca="1">Valuation!S93</f>
        <v>#NAME?</v>
      </c>
      <c r="F3313" s="58" t="str">
        <f t="shared" si="13"/>
        <v>'Valuation'!S92</v>
      </c>
    </row>
    <row r="3314" spans="1:6">
      <c r="A3314" s="58" t="s">
        <v>829</v>
      </c>
      <c r="B3314" s="58" t="s">
        <v>2814</v>
      </c>
      <c r="C3314" s="58" t="s">
        <v>1203</v>
      </c>
      <c r="D3314" s="58" t="s">
        <v>1138</v>
      </c>
      <c r="E3314" s="58" t="str">
        <f>Valuation!U5</f>
        <v>Very High</v>
      </c>
      <c r="F3314" s="58" t="str">
        <f t="shared" si="13"/>
        <v>'Valuation'!U5</v>
      </c>
    </row>
    <row r="3315" spans="1:6">
      <c r="A3315" s="58" t="s">
        <v>829</v>
      </c>
      <c r="B3315" s="58" t="s">
        <v>2815</v>
      </c>
      <c r="C3315" s="58" t="s">
        <v>1204</v>
      </c>
      <c r="D3315" s="58" t="s">
        <v>1138</v>
      </c>
      <c r="E3315" s="58" t="str">
        <f>Valuation!V122</f>
        <v>Thousands</v>
      </c>
      <c r="F3315" s="58" t="str">
        <f t="shared" si="13"/>
        <v>'Valuation'!V122</v>
      </c>
    </row>
    <row r="3316" spans="1:6">
      <c r="A3316" s="58" t="s">
        <v>829</v>
      </c>
      <c r="B3316" s="58" t="s">
        <v>3242</v>
      </c>
      <c r="C3316" s="58" t="s">
        <v>3</v>
      </c>
      <c r="D3316" s="58" t="s">
        <v>1138</v>
      </c>
      <c r="E3316" s="58" t="e">
        <f ca="1">Valuation!Y113</f>
        <v>#NAME?</v>
      </c>
      <c r="F3316" s="58" t="str">
        <f t="shared" si="13"/>
        <v>'Valuation'!Z113</v>
      </c>
    </row>
    <row r="3317" spans="1:6">
      <c r="A3317" s="58" t="s">
        <v>829</v>
      </c>
      <c r="B3317" s="58" t="s">
        <v>3242</v>
      </c>
      <c r="C3317" s="58" t="s">
        <v>1205</v>
      </c>
      <c r="D3317" s="58" t="s">
        <v>1138</v>
      </c>
      <c r="E3317" s="58" t="e">
        <f ca="1">Valuation!Y113</f>
        <v>#NAME?</v>
      </c>
      <c r="F3317" s="58" t="str">
        <f t="shared" si="13"/>
        <v>'Valuation'!Z113</v>
      </c>
    </row>
    <row r="3318" spans="1:6">
      <c r="A3318" s="58" t="s">
        <v>829</v>
      </c>
      <c r="B3318" s="58" t="s">
        <v>2816</v>
      </c>
      <c r="C3318" s="58" t="s">
        <v>1049</v>
      </c>
      <c r="D3318" s="58">
        <v>0</v>
      </c>
      <c r="E3318" s="58" t="e">
        <f>Valuation!S39</f>
        <v>#NAME?</v>
      </c>
      <c r="F3318" s="58" t="str">
        <f t="shared" si="13"/>
        <v>'Valuation'!S39</v>
      </c>
    </row>
    <row r="3319" spans="1:6">
      <c r="A3319" s="58" t="s">
        <v>829</v>
      </c>
      <c r="B3319" s="58" t="s">
        <v>2818</v>
      </c>
      <c r="C3319" s="58" t="s">
        <v>1049</v>
      </c>
      <c r="D3319" s="58">
        <v>-11</v>
      </c>
      <c r="E3319" s="58">
        <f>Valuation!H39</f>
        <v>0</v>
      </c>
      <c r="F3319" s="58" t="str">
        <f t="shared" si="13"/>
        <v>'Valuation'!H39</v>
      </c>
    </row>
    <row r="3320" spans="1:6">
      <c r="A3320" s="58" t="s">
        <v>829</v>
      </c>
      <c r="B3320" s="58" t="s">
        <v>2819</v>
      </c>
      <c r="C3320" s="58" t="s">
        <v>1049</v>
      </c>
      <c r="D3320" s="58">
        <v>-10</v>
      </c>
      <c r="E3320" s="58">
        <f>Valuation!I39</f>
        <v>0</v>
      </c>
      <c r="F3320" s="58" t="str">
        <f t="shared" si="13"/>
        <v>'Valuation'!I39</v>
      </c>
    </row>
    <row r="3321" spans="1:6">
      <c r="A3321" s="58" t="s">
        <v>829</v>
      </c>
      <c r="B3321" s="58" t="s">
        <v>2820</v>
      </c>
      <c r="C3321" s="58" t="s">
        <v>1049</v>
      </c>
      <c r="D3321" s="58">
        <v>-9</v>
      </c>
      <c r="E3321" s="58">
        <f>Valuation!J39</f>
        <v>0</v>
      </c>
      <c r="F3321" s="58" t="str">
        <f t="shared" si="13"/>
        <v>'Valuation'!J39</v>
      </c>
    </row>
    <row r="3322" spans="1:6">
      <c r="A3322" s="58" t="s">
        <v>829</v>
      </c>
      <c r="B3322" s="58" t="s">
        <v>2821</v>
      </c>
      <c r="C3322" s="58" t="s">
        <v>1049</v>
      </c>
      <c r="D3322" s="58">
        <v>-8</v>
      </c>
      <c r="E3322" s="58">
        <f>Valuation!K39</f>
        <v>0</v>
      </c>
      <c r="F3322" s="58" t="str">
        <f t="shared" si="13"/>
        <v>'Valuation'!K39</v>
      </c>
    </row>
    <row r="3323" spans="1:6">
      <c r="A3323" s="58" t="s">
        <v>829</v>
      </c>
      <c r="B3323" s="58" t="s">
        <v>2822</v>
      </c>
      <c r="C3323" s="58" t="s">
        <v>1049</v>
      </c>
      <c r="D3323" s="58">
        <v>-7</v>
      </c>
      <c r="E3323" s="58">
        <f>Valuation!L39</f>
        <v>0</v>
      </c>
      <c r="F3323" s="58" t="str">
        <f t="shared" si="13"/>
        <v>'Valuation'!L39</v>
      </c>
    </row>
    <row r="3324" spans="1:6">
      <c r="A3324" s="58" t="s">
        <v>829</v>
      </c>
      <c r="B3324" s="58" t="s">
        <v>2823</v>
      </c>
      <c r="C3324" s="58" t="s">
        <v>1049</v>
      </c>
      <c r="D3324" s="58">
        <v>-6</v>
      </c>
      <c r="E3324" s="58">
        <f>Valuation!M39</f>
        <v>91209</v>
      </c>
      <c r="F3324" s="58" t="str">
        <f t="shared" si="13"/>
        <v>'Valuation'!M39</v>
      </c>
    </row>
    <row r="3325" spans="1:6">
      <c r="A3325" s="58" t="s">
        <v>829</v>
      </c>
      <c r="B3325" s="58" t="s">
        <v>2824</v>
      </c>
      <c r="C3325" s="58" t="s">
        <v>1049</v>
      </c>
      <c r="D3325" s="58">
        <v>-5</v>
      </c>
      <c r="E3325" s="58">
        <f>Valuation!N39</f>
        <v>219965</v>
      </c>
      <c r="F3325" s="58" t="str">
        <f t="shared" si="13"/>
        <v>'Valuation'!N39</v>
      </c>
    </row>
    <row r="3326" spans="1:6">
      <c r="A3326" s="58" t="s">
        <v>829</v>
      </c>
      <c r="B3326" s="58" t="s">
        <v>2825</v>
      </c>
      <c r="C3326" s="58" t="s">
        <v>1049</v>
      </c>
      <c r="D3326" s="58">
        <v>-4</v>
      </c>
      <c r="E3326" s="58">
        <f>Valuation!O39</f>
        <v>222338</v>
      </c>
      <c r="F3326" s="58" t="str">
        <f t="shared" si="13"/>
        <v>'Valuation'!O39</v>
      </c>
    </row>
    <row r="3327" spans="1:6">
      <c r="A3327" s="58" t="s">
        <v>829</v>
      </c>
      <c r="B3327" s="58" t="s">
        <v>2826</v>
      </c>
      <c r="C3327" s="58" t="s">
        <v>1049</v>
      </c>
      <c r="D3327" s="58">
        <v>-3</v>
      </c>
      <c r="E3327" s="58">
        <f>Valuation!P39</f>
        <v>254391</v>
      </c>
      <c r="F3327" s="58" t="str">
        <f t="shared" si="13"/>
        <v>'Valuation'!P39</v>
      </c>
    </row>
    <row r="3328" spans="1:6">
      <c r="A3328" s="58" t="s">
        <v>829</v>
      </c>
      <c r="B3328" s="58" t="s">
        <v>2827</v>
      </c>
      <c r="C3328" s="58" t="s">
        <v>1049</v>
      </c>
      <c r="D3328" s="58">
        <v>-2</v>
      </c>
      <c r="E3328" s="58">
        <f>Valuation!Q39</f>
        <v>273377</v>
      </c>
      <c r="F3328" s="58" t="str">
        <f t="shared" si="13"/>
        <v>'Valuation'!Q39</v>
      </c>
    </row>
    <row r="3329" spans="1:6">
      <c r="A3329" s="58" t="s">
        <v>829</v>
      </c>
      <c r="B3329" s="58" t="s">
        <v>2828</v>
      </c>
      <c r="C3329" s="58" t="s">
        <v>1049</v>
      </c>
      <c r="D3329" s="58">
        <v>-1</v>
      </c>
      <c r="E3329" s="58">
        <f>Valuation!R39</f>
        <v>287209</v>
      </c>
      <c r="F3329" s="58" t="str">
        <f t="shared" si="13"/>
        <v>'Valuation'!R39</v>
      </c>
    </row>
    <row r="3330" spans="1:6">
      <c r="A3330" s="58" t="s">
        <v>829</v>
      </c>
      <c r="B3330" s="58" t="s">
        <v>2829</v>
      </c>
      <c r="C3330" s="58" t="s">
        <v>1049</v>
      </c>
      <c r="D3330" s="58">
        <v>1</v>
      </c>
      <c r="E3330" s="58" t="e">
        <f ca="1">Valuation!T39</f>
        <v>#NAME?</v>
      </c>
      <c r="F3330" s="58" t="str">
        <f t="shared" si="13"/>
        <v>'Valuation'!T39</v>
      </c>
    </row>
    <row r="3331" spans="1:6">
      <c r="A3331" s="58" t="s">
        <v>829</v>
      </c>
      <c r="B3331" s="58" t="s">
        <v>2830</v>
      </c>
      <c r="C3331" s="58" t="s">
        <v>1049</v>
      </c>
      <c r="D3331" s="58">
        <v>2</v>
      </c>
      <c r="E3331" s="58" t="e">
        <f ca="1">Valuation!U39</f>
        <v>#NAME?</v>
      </c>
      <c r="F3331" s="58" t="str">
        <f t="shared" ref="F3331:F3384" si="14">"'"&amp;A3331&amp;"'"&amp;"!"&amp;B3331</f>
        <v>'Valuation'!U39</v>
      </c>
    </row>
    <row r="3332" spans="1:6">
      <c r="A3332" s="58" t="s">
        <v>829</v>
      </c>
      <c r="B3332" s="58" t="s">
        <v>2831</v>
      </c>
      <c r="C3332" s="58" t="s">
        <v>1049</v>
      </c>
      <c r="D3332" s="58">
        <v>3</v>
      </c>
      <c r="E3332" s="58" t="e">
        <f ca="1">Valuation!V39</f>
        <v>#NAME?</v>
      </c>
      <c r="F3332" s="58" t="str">
        <f t="shared" si="14"/>
        <v>'Valuation'!V39</v>
      </c>
    </row>
    <row r="3333" spans="1:6">
      <c r="A3333" s="58" t="s">
        <v>829</v>
      </c>
      <c r="B3333" s="58" t="s">
        <v>2832</v>
      </c>
      <c r="C3333" s="58" t="s">
        <v>1049</v>
      </c>
      <c r="D3333" s="58">
        <v>4</v>
      </c>
      <c r="E3333" s="58" t="e">
        <f ca="1">Valuation!W39</f>
        <v>#NAME?</v>
      </c>
      <c r="F3333" s="58" t="str">
        <f t="shared" si="14"/>
        <v>'Valuation'!W39</v>
      </c>
    </row>
    <row r="3334" spans="1:6">
      <c r="A3334" s="58" t="s">
        <v>829</v>
      </c>
      <c r="B3334" s="58" t="s">
        <v>2833</v>
      </c>
      <c r="C3334" s="58" t="s">
        <v>1049</v>
      </c>
      <c r="D3334" s="58">
        <v>5</v>
      </c>
      <c r="E3334" s="58" t="e">
        <f ca="1">Valuation!X39</f>
        <v>#NAME?</v>
      </c>
      <c r="F3334" s="58" t="str">
        <f t="shared" si="14"/>
        <v>'Valuation'!X39</v>
      </c>
    </row>
    <row r="3335" spans="1:6">
      <c r="A3335" s="58" t="s">
        <v>829</v>
      </c>
      <c r="B3335" s="58" t="s">
        <v>2834</v>
      </c>
      <c r="C3335" s="58" t="s">
        <v>1049</v>
      </c>
      <c r="D3335" s="58">
        <v>6</v>
      </c>
      <c r="E3335" s="58" t="e">
        <f ca="1">Valuation!Y39</f>
        <v>#NAME?</v>
      </c>
      <c r="F3335" s="58" t="str">
        <f t="shared" si="14"/>
        <v>'Valuation'!Y39</v>
      </c>
    </row>
    <row r="3336" spans="1:6">
      <c r="A3336" s="58" t="s">
        <v>829</v>
      </c>
      <c r="B3336" s="58" t="s">
        <v>2835</v>
      </c>
      <c r="C3336" s="58" t="s">
        <v>1049</v>
      </c>
      <c r="D3336" s="58">
        <v>7</v>
      </c>
      <c r="E3336" s="58" t="e">
        <f ca="1">Valuation!Z39</f>
        <v>#NAME?</v>
      </c>
      <c r="F3336" s="58" t="str">
        <f t="shared" si="14"/>
        <v>'Valuation'!Z39</v>
      </c>
    </row>
    <row r="3337" spans="1:6">
      <c r="A3337" s="58" t="s">
        <v>829</v>
      </c>
      <c r="B3337" s="58" t="s">
        <v>2836</v>
      </c>
      <c r="C3337" s="58" t="s">
        <v>1049</v>
      </c>
      <c r="D3337" s="58">
        <v>8</v>
      </c>
      <c r="E3337" s="58" t="e">
        <f ca="1">Valuation!AA39</f>
        <v>#NAME?</v>
      </c>
      <c r="F3337" s="58" t="str">
        <f t="shared" si="14"/>
        <v>'Valuation'!AA39</v>
      </c>
    </row>
    <row r="3338" spans="1:6">
      <c r="A3338" s="58" t="s">
        <v>829</v>
      </c>
      <c r="B3338" s="58" t="s">
        <v>2837</v>
      </c>
      <c r="C3338" s="58" t="s">
        <v>1049</v>
      </c>
      <c r="D3338" s="58">
        <v>9</v>
      </c>
      <c r="E3338" s="58" t="e">
        <f ca="1">Valuation!AB39</f>
        <v>#NAME?</v>
      </c>
      <c r="F3338" s="58" t="str">
        <f t="shared" si="14"/>
        <v>'Valuation'!AB39</v>
      </c>
    </row>
    <row r="3339" spans="1:6">
      <c r="A3339" s="58" t="s">
        <v>829</v>
      </c>
      <c r="B3339" s="58" t="s">
        <v>3243</v>
      </c>
      <c r="C3339" s="58" t="s">
        <v>1206</v>
      </c>
      <c r="D3339" s="58" t="s">
        <v>1138</v>
      </c>
      <c r="E3339" s="58" t="e">
        <f ca="1">Valuation!Y108</f>
        <v>#NAME?</v>
      </c>
      <c r="F3339" s="58" t="str">
        <f t="shared" si="14"/>
        <v>'Valuation'!Z108</v>
      </c>
    </row>
    <row r="3340" spans="1:6">
      <c r="A3340" s="58" t="s">
        <v>829</v>
      </c>
      <c r="B3340" s="58" t="s">
        <v>2838</v>
      </c>
      <c r="C3340" s="58" t="s">
        <v>1207</v>
      </c>
      <c r="D3340" s="58" t="s">
        <v>1138</v>
      </c>
      <c r="E3340" s="58" t="e">
        <f ca="1">Valuation!Y109</f>
        <v>#NAME?</v>
      </c>
      <c r="F3340" s="58" t="str">
        <f t="shared" si="14"/>
        <v>'Valuation'!Z109</v>
      </c>
    </row>
    <row r="3341" spans="1:6">
      <c r="A3341" s="58" t="s">
        <v>829</v>
      </c>
      <c r="B3341" s="58" t="s">
        <v>2839</v>
      </c>
      <c r="C3341" s="58" t="s">
        <v>1208</v>
      </c>
      <c r="D3341" s="58" t="s">
        <v>1138</v>
      </c>
      <c r="E3341" s="58">
        <f>Valuation!Y110</f>
        <v>0</v>
      </c>
      <c r="F3341" s="58" t="str">
        <f t="shared" si="14"/>
        <v>'Valuation'!Z110</v>
      </c>
    </row>
    <row r="3342" spans="1:6">
      <c r="A3342" s="58" t="s">
        <v>829</v>
      </c>
      <c r="B3342" s="58" t="s">
        <v>3183</v>
      </c>
      <c r="C3342" s="58" t="s">
        <v>20</v>
      </c>
      <c r="D3342" s="58">
        <v>-11</v>
      </c>
      <c r="E3342" s="58">
        <f>Valuation!H58</f>
        <v>0</v>
      </c>
      <c r="F3342" s="58" t="str">
        <f t="shared" si="14"/>
        <v>'Valuation'!H57</v>
      </c>
    </row>
    <row r="3343" spans="1:6">
      <c r="A3343" s="58" t="s">
        <v>829</v>
      </c>
      <c r="B3343" s="58" t="s">
        <v>3184</v>
      </c>
      <c r="C3343" s="58" t="s">
        <v>20</v>
      </c>
      <c r="D3343" s="58">
        <v>-10</v>
      </c>
      <c r="E3343" s="58">
        <f>Valuation!I58</f>
        <v>0</v>
      </c>
      <c r="F3343" s="58" t="str">
        <f t="shared" si="14"/>
        <v>'Valuation'!I57</v>
      </c>
    </row>
    <row r="3344" spans="1:6">
      <c r="A3344" s="58" t="s">
        <v>829</v>
      </c>
      <c r="B3344" s="58" t="s">
        <v>3185</v>
      </c>
      <c r="C3344" s="58" t="s">
        <v>20</v>
      </c>
      <c r="D3344" s="58">
        <v>-9</v>
      </c>
      <c r="E3344" s="58">
        <f>Valuation!J58</f>
        <v>0</v>
      </c>
      <c r="F3344" s="58" t="str">
        <f t="shared" si="14"/>
        <v>'Valuation'!J57</v>
      </c>
    </row>
    <row r="3345" spans="1:6">
      <c r="A3345" s="58" t="s">
        <v>829</v>
      </c>
      <c r="B3345" s="58" t="s">
        <v>3186</v>
      </c>
      <c r="C3345" s="58" t="s">
        <v>20</v>
      </c>
      <c r="D3345" s="58">
        <v>-8</v>
      </c>
      <c r="E3345" s="58">
        <f>Valuation!K58</f>
        <v>0</v>
      </c>
      <c r="F3345" s="58" t="str">
        <f t="shared" si="14"/>
        <v>'Valuation'!K57</v>
      </c>
    </row>
    <row r="3346" spans="1:6">
      <c r="A3346" s="58" t="s">
        <v>829</v>
      </c>
      <c r="B3346" s="58" t="s">
        <v>3187</v>
      </c>
      <c r="C3346" s="58" t="s">
        <v>20</v>
      </c>
      <c r="D3346" s="58">
        <v>-7</v>
      </c>
      <c r="E3346" s="58">
        <f>Valuation!L58</f>
        <v>0</v>
      </c>
      <c r="F3346" s="58" t="str">
        <f t="shared" si="14"/>
        <v>'Valuation'!L57</v>
      </c>
    </row>
    <row r="3347" spans="1:6">
      <c r="A3347" s="58" t="s">
        <v>829</v>
      </c>
      <c r="B3347" s="58" t="s">
        <v>3188</v>
      </c>
      <c r="C3347" s="58" t="s">
        <v>20</v>
      </c>
      <c r="D3347" s="58">
        <v>-6</v>
      </c>
      <c r="E3347" s="58">
        <f>Valuation!M58</f>
        <v>-121987.5</v>
      </c>
      <c r="F3347" s="58" t="str">
        <f t="shared" si="14"/>
        <v>'Valuation'!M57</v>
      </c>
    </row>
    <row r="3348" spans="1:6">
      <c r="A3348" s="58" t="s">
        <v>829</v>
      </c>
      <c r="B3348" s="58" t="s">
        <v>3189</v>
      </c>
      <c r="C3348" s="58" t="s">
        <v>20</v>
      </c>
      <c r="D3348" s="58">
        <v>-5</v>
      </c>
      <c r="E3348" s="58">
        <f>Valuation!N58</f>
        <v>6979135</v>
      </c>
      <c r="F3348" s="58" t="str">
        <f t="shared" si="14"/>
        <v>'Valuation'!N57</v>
      </c>
    </row>
    <row r="3349" spans="1:6">
      <c r="A3349" s="58" t="s">
        <v>829</v>
      </c>
      <c r="B3349" s="58" t="s">
        <v>3190</v>
      </c>
      <c r="C3349" s="58" t="s">
        <v>20</v>
      </c>
      <c r="D3349" s="58">
        <v>-4</v>
      </c>
      <c r="E3349" s="58">
        <f>Valuation!O58</f>
        <v>1410600.5999999996</v>
      </c>
      <c r="F3349" s="58" t="str">
        <f t="shared" si="14"/>
        <v>'Valuation'!O57</v>
      </c>
    </row>
    <row r="3350" spans="1:6">
      <c r="A3350" s="58" t="s">
        <v>829</v>
      </c>
      <c r="B3350" s="58" t="s">
        <v>3191</v>
      </c>
      <c r="C3350" s="58" t="s">
        <v>20</v>
      </c>
      <c r="D3350" s="58">
        <v>-3</v>
      </c>
      <c r="E3350" s="58">
        <f>Valuation!P58</f>
        <v>1170619.2000000002</v>
      </c>
      <c r="F3350" s="58" t="str">
        <f t="shared" si="14"/>
        <v>'Valuation'!P57</v>
      </c>
    </row>
    <row r="3351" spans="1:6">
      <c r="A3351" s="58" t="s">
        <v>829</v>
      </c>
      <c r="B3351" s="58" t="s">
        <v>3192</v>
      </c>
      <c r="C3351" s="58" t="s">
        <v>20</v>
      </c>
      <c r="D3351" s="58">
        <v>-2</v>
      </c>
      <c r="E3351" s="58">
        <f>Valuation!Q58</f>
        <v>2612059</v>
      </c>
      <c r="F3351" s="58" t="str">
        <f t="shared" si="14"/>
        <v>'Valuation'!Q57</v>
      </c>
    </row>
    <row r="3352" spans="1:6">
      <c r="A3352" s="58" t="s">
        <v>829</v>
      </c>
      <c r="B3352" s="58" t="s">
        <v>3193</v>
      </c>
      <c r="C3352" s="58" t="s">
        <v>20</v>
      </c>
      <c r="D3352" s="58">
        <v>-1</v>
      </c>
      <c r="E3352" s="58">
        <f>Valuation!R58</f>
        <v>3268748.25</v>
      </c>
      <c r="F3352" s="58" t="str">
        <f t="shared" si="14"/>
        <v>'Valuation'!R57</v>
      </c>
    </row>
    <row r="3353" spans="1:6">
      <c r="A3353" s="58" t="s">
        <v>829</v>
      </c>
      <c r="B3353" s="58" t="s">
        <v>3194</v>
      </c>
      <c r="C3353" s="58" t="s">
        <v>20</v>
      </c>
      <c r="D3353" s="58">
        <v>1</v>
      </c>
      <c r="E3353" s="58" t="e">
        <f ca="1">Valuation!T58</f>
        <v>#VALUE!</v>
      </c>
      <c r="F3353" s="58" t="str">
        <f t="shared" si="14"/>
        <v>'Valuation'!T57</v>
      </c>
    </row>
    <row r="3354" spans="1:6">
      <c r="A3354" s="58" t="s">
        <v>829</v>
      </c>
      <c r="B3354" s="58" t="s">
        <v>3195</v>
      </c>
      <c r="C3354" s="58" t="s">
        <v>20</v>
      </c>
      <c r="D3354" s="58">
        <v>2</v>
      </c>
      <c r="E3354" s="58" t="e">
        <f ca="1">Valuation!U58</f>
        <v>#VALUE!</v>
      </c>
      <c r="F3354" s="58" t="str">
        <f t="shared" si="14"/>
        <v>'Valuation'!U57</v>
      </c>
    </row>
    <row r="3355" spans="1:6">
      <c r="A3355" s="58" t="s">
        <v>829</v>
      </c>
      <c r="B3355" s="58" t="s">
        <v>3196</v>
      </c>
      <c r="C3355" s="58" t="s">
        <v>20</v>
      </c>
      <c r="D3355" s="58">
        <v>3</v>
      </c>
      <c r="E3355" s="58" t="e">
        <f ca="1">Valuation!V58</f>
        <v>#VALUE!</v>
      </c>
      <c r="F3355" s="58" t="str">
        <f t="shared" si="14"/>
        <v>'Valuation'!V57</v>
      </c>
    </row>
    <row r="3356" spans="1:6">
      <c r="A3356" s="58" t="s">
        <v>829</v>
      </c>
      <c r="B3356" s="58" t="s">
        <v>3197</v>
      </c>
      <c r="C3356" s="58" t="s">
        <v>20</v>
      </c>
      <c r="D3356" s="58">
        <v>4</v>
      </c>
      <c r="E3356" s="58" t="e">
        <f ca="1">Valuation!W58</f>
        <v>#VALUE!</v>
      </c>
      <c r="F3356" s="58" t="str">
        <f t="shared" si="14"/>
        <v>'Valuation'!W57</v>
      </c>
    </row>
    <row r="3357" spans="1:6">
      <c r="A3357" s="58" t="s">
        <v>829</v>
      </c>
      <c r="B3357" s="58" t="s">
        <v>3198</v>
      </c>
      <c r="C3357" s="58" t="s">
        <v>20</v>
      </c>
      <c r="D3357" s="58">
        <v>5</v>
      </c>
      <c r="E3357" s="58" t="e">
        <f ca="1">Valuation!X58</f>
        <v>#VALUE!</v>
      </c>
      <c r="F3357" s="58" t="str">
        <f t="shared" si="14"/>
        <v>'Valuation'!X57</v>
      </c>
    </row>
    <row r="3358" spans="1:6">
      <c r="A3358" s="58" t="s">
        <v>829</v>
      </c>
      <c r="B3358" s="58" t="s">
        <v>3199</v>
      </c>
      <c r="C3358" s="58" t="s">
        <v>20</v>
      </c>
      <c r="D3358" s="58">
        <v>6</v>
      </c>
      <c r="E3358" s="58" t="e">
        <f ca="1">Valuation!Y58</f>
        <v>#VALUE!</v>
      </c>
      <c r="F3358" s="58" t="str">
        <f t="shared" si="14"/>
        <v>'Valuation'!Y57</v>
      </c>
    </row>
    <row r="3359" spans="1:6">
      <c r="A3359" s="58" t="s">
        <v>829</v>
      </c>
      <c r="B3359" s="58" t="s">
        <v>3200</v>
      </c>
      <c r="C3359" s="58" t="s">
        <v>20</v>
      </c>
      <c r="D3359" s="58">
        <v>7</v>
      </c>
      <c r="E3359" s="58" t="e">
        <f ca="1">Valuation!Z58</f>
        <v>#VALUE!</v>
      </c>
      <c r="F3359" s="58" t="str">
        <f t="shared" si="14"/>
        <v>'Valuation'!Z57</v>
      </c>
    </row>
    <row r="3360" spans="1:6">
      <c r="A3360" s="58" t="s">
        <v>829</v>
      </c>
      <c r="B3360" s="58" t="s">
        <v>3201</v>
      </c>
      <c r="C3360" s="58" t="s">
        <v>20</v>
      </c>
      <c r="D3360" s="58">
        <v>8</v>
      </c>
      <c r="E3360" s="58" t="e">
        <f ca="1">Valuation!AA58</f>
        <v>#VALUE!</v>
      </c>
      <c r="F3360" s="58" t="str">
        <f t="shared" si="14"/>
        <v>'Valuation'!AA57</v>
      </c>
    </row>
    <row r="3361" spans="1:6">
      <c r="A3361" s="58" t="s">
        <v>829</v>
      </c>
      <c r="B3361" s="58" t="s">
        <v>3202</v>
      </c>
      <c r="C3361" s="58" t="s">
        <v>20</v>
      </c>
      <c r="D3361" s="58">
        <v>9</v>
      </c>
      <c r="E3361" s="58" t="e">
        <f ca="1">Valuation!AB58</f>
        <v>#VALUE!</v>
      </c>
      <c r="F3361" s="58" t="str">
        <f t="shared" si="14"/>
        <v>'Valuation'!AB57</v>
      </c>
    </row>
    <row r="3362" spans="1:6">
      <c r="A3362" s="58" t="s">
        <v>829</v>
      </c>
      <c r="B3362" s="58" t="s">
        <v>3203</v>
      </c>
      <c r="C3362" s="58" t="s">
        <v>20</v>
      </c>
      <c r="D3362" s="58">
        <v>0</v>
      </c>
      <c r="E3362" s="58">
        <f ca="1">Valuation!S58</f>
        <v>3108216.5028495146</v>
      </c>
      <c r="F3362" s="58" t="str">
        <f t="shared" si="14"/>
        <v>'Valuation'!S57</v>
      </c>
    </row>
    <row r="3363" spans="1:6">
      <c r="A3363" s="58" t="s">
        <v>829</v>
      </c>
      <c r="B3363" s="58" t="s">
        <v>3217</v>
      </c>
      <c r="C3363" s="58" t="s">
        <v>812</v>
      </c>
      <c r="D3363" s="58">
        <v>-11</v>
      </c>
      <c r="E3363" s="58">
        <f>Valuation!H60</f>
        <v>0</v>
      </c>
      <c r="F3363" s="58" t="str">
        <f t="shared" si="14"/>
        <v>'Valuation'!H59</v>
      </c>
    </row>
    <row r="3364" spans="1:6">
      <c r="A3364" s="58" t="s">
        <v>829</v>
      </c>
      <c r="B3364" s="58" t="s">
        <v>3218</v>
      </c>
      <c r="C3364" s="58" t="s">
        <v>812</v>
      </c>
      <c r="D3364" s="58">
        <v>-10</v>
      </c>
      <c r="E3364" s="58">
        <f>Valuation!I60</f>
        <v>0</v>
      </c>
      <c r="F3364" s="58" t="str">
        <f t="shared" si="14"/>
        <v>'Valuation'!I59</v>
      </c>
    </row>
    <row r="3365" spans="1:6">
      <c r="A3365" s="58" t="s">
        <v>829</v>
      </c>
      <c r="B3365" s="58" t="s">
        <v>3219</v>
      </c>
      <c r="C3365" s="58" t="s">
        <v>812</v>
      </c>
      <c r="D3365" s="58">
        <v>-9</v>
      </c>
      <c r="E3365" s="58">
        <f>Valuation!J60</f>
        <v>0</v>
      </c>
      <c r="F3365" s="58" t="str">
        <f t="shared" si="14"/>
        <v>'Valuation'!J59</v>
      </c>
    </row>
    <row r="3366" spans="1:6">
      <c r="A3366" s="58" t="s">
        <v>829</v>
      </c>
      <c r="B3366" s="58" t="s">
        <v>3220</v>
      </c>
      <c r="C3366" s="58" t="s">
        <v>812</v>
      </c>
      <c r="D3366" s="58">
        <v>-8</v>
      </c>
      <c r="E3366" s="58">
        <f>Valuation!K60</f>
        <v>0</v>
      </c>
      <c r="F3366" s="58" t="str">
        <f t="shared" si="14"/>
        <v>'Valuation'!K59</v>
      </c>
    </row>
    <row r="3367" spans="1:6">
      <c r="A3367" s="58" t="s">
        <v>829</v>
      </c>
      <c r="B3367" s="58" t="s">
        <v>3221</v>
      </c>
      <c r="C3367" s="58" t="s">
        <v>812</v>
      </c>
      <c r="D3367" s="58">
        <v>-7</v>
      </c>
      <c r="E3367" s="58">
        <f>Valuation!L60</f>
        <v>0</v>
      </c>
      <c r="F3367" s="58" t="str">
        <f t="shared" si="14"/>
        <v>'Valuation'!L59</v>
      </c>
    </row>
    <row r="3368" spans="1:6">
      <c r="A3368" s="58" t="s">
        <v>829</v>
      </c>
      <c r="B3368" s="58" t="s">
        <v>3222</v>
      </c>
      <c r="C3368" s="58" t="s">
        <v>812</v>
      </c>
      <c r="D3368" s="58">
        <v>-6</v>
      </c>
      <c r="E3368" s="58">
        <f>Valuation!M60</f>
        <v>121987.5</v>
      </c>
      <c r="F3368" s="58" t="str">
        <f t="shared" si="14"/>
        <v>'Valuation'!M59</v>
      </c>
    </row>
    <row r="3369" spans="1:6">
      <c r="A3369" s="58" t="s">
        <v>829</v>
      </c>
      <c r="B3369" s="58" t="s">
        <v>3223</v>
      </c>
      <c r="C3369" s="58" t="s">
        <v>812</v>
      </c>
      <c r="D3369" s="58">
        <v>-5</v>
      </c>
      <c r="E3369" s="58">
        <f>Valuation!N60</f>
        <v>-7101122.5</v>
      </c>
      <c r="F3369" s="58" t="str">
        <f t="shared" si="14"/>
        <v>'Valuation'!N59</v>
      </c>
    </row>
    <row r="3370" spans="1:6">
      <c r="A3370" s="58" t="s">
        <v>829</v>
      </c>
      <c r="B3370" s="58" t="s">
        <v>3224</v>
      </c>
      <c r="C3370" s="58" t="s">
        <v>812</v>
      </c>
      <c r="D3370" s="58">
        <v>-4</v>
      </c>
      <c r="E3370" s="58">
        <f>Valuation!O60</f>
        <v>5568534.4000000004</v>
      </c>
      <c r="F3370" s="58" t="str">
        <f t="shared" si="14"/>
        <v>'Valuation'!O59</v>
      </c>
    </row>
    <row r="3371" spans="1:6">
      <c r="A3371" s="58" t="s">
        <v>829</v>
      </c>
      <c r="B3371" s="58" t="s">
        <v>3225</v>
      </c>
      <c r="C3371" s="58" t="s">
        <v>812</v>
      </c>
      <c r="D3371" s="58">
        <v>-3</v>
      </c>
      <c r="E3371" s="58">
        <f>Valuation!P60</f>
        <v>239981.39999999944</v>
      </c>
      <c r="F3371" s="58" t="str">
        <f t="shared" si="14"/>
        <v>'Valuation'!P59</v>
      </c>
    </row>
    <row r="3372" spans="1:6">
      <c r="A3372" s="58" t="s">
        <v>829</v>
      </c>
      <c r="B3372" s="58" t="s">
        <v>3226</v>
      </c>
      <c r="C3372" s="58" t="s">
        <v>812</v>
      </c>
      <c r="D3372" s="58">
        <v>-2</v>
      </c>
      <c r="E3372" s="58">
        <f>Valuation!Q60</f>
        <v>-1441439.7999999998</v>
      </c>
      <c r="F3372" s="58" t="str">
        <f t="shared" si="14"/>
        <v>'Valuation'!Q59</v>
      </c>
    </row>
    <row r="3373" spans="1:6">
      <c r="A3373" s="58" t="s">
        <v>829</v>
      </c>
      <c r="B3373" s="58" t="s">
        <v>3227</v>
      </c>
      <c r="C3373" s="58" t="s">
        <v>812</v>
      </c>
      <c r="D3373" s="58">
        <v>-1</v>
      </c>
      <c r="E3373" s="58">
        <f>Valuation!R60</f>
        <v>-656689.25</v>
      </c>
      <c r="F3373" s="58" t="str">
        <f t="shared" si="14"/>
        <v>'Valuation'!R59</v>
      </c>
    </row>
    <row r="3374" spans="1:6">
      <c r="A3374" s="58" t="s">
        <v>829</v>
      </c>
      <c r="B3374" s="58" t="s">
        <v>3228</v>
      </c>
      <c r="C3374" s="58" t="s">
        <v>812</v>
      </c>
      <c r="D3374" s="58">
        <v>1</v>
      </c>
      <c r="E3374" s="58" t="e">
        <f ca="1">Valuation!T60</f>
        <v>#VALUE!</v>
      </c>
      <c r="F3374" s="58" t="str">
        <f t="shared" si="14"/>
        <v>'Valuation'!T59</v>
      </c>
    </row>
    <row r="3375" spans="1:6">
      <c r="A3375" s="58" t="s">
        <v>829</v>
      </c>
      <c r="B3375" s="58" t="s">
        <v>3229</v>
      </c>
      <c r="C3375" s="58" t="s">
        <v>812</v>
      </c>
      <c r="D3375" s="58">
        <v>2</v>
      </c>
      <c r="E3375" s="58" t="e">
        <f ca="1">Valuation!U60</f>
        <v>#VALUE!</v>
      </c>
      <c r="F3375" s="58" t="str">
        <f t="shared" si="14"/>
        <v>'Valuation'!U59</v>
      </c>
    </row>
    <row r="3376" spans="1:6">
      <c r="A3376" s="58" t="s">
        <v>829</v>
      </c>
      <c r="B3376" s="58" t="s">
        <v>3230</v>
      </c>
      <c r="C3376" s="58" t="s">
        <v>812</v>
      </c>
      <c r="D3376" s="58">
        <v>3</v>
      </c>
      <c r="E3376" s="58" t="e">
        <f ca="1">Valuation!V60</f>
        <v>#VALUE!</v>
      </c>
      <c r="F3376" s="58" t="str">
        <f t="shared" si="14"/>
        <v>'Valuation'!V59</v>
      </c>
    </row>
    <row r="3377" spans="1:6">
      <c r="A3377" s="58" t="s">
        <v>829</v>
      </c>
      <c r="B3377" s="58" t="s">
        <v>3231</v>
      </c>
      <c r="C3377" s="58" t="s">
        <v>812</v>
      </c>
      <c r="D3377" s="58">
        <v>4</v>
      </c>
      <c r="E3377" s="58" t="e">
        <f ca="1">Valuation!W60</f>
        <v>#VALUE!</v>
      </c>
      <c r="F3377" s="58" t="str">
        <f t="shared" si="14"/>
        <v>'Valuation'!W59</v>
      </c>
    </row>
    <row r="3378" spans="1:6">
      <c r="A3378" s="58" t="s">
        <v>829</v>
      </c>
      <c r="B3378" s="58" t="s">
        <v>3232</v>
      </c>
      <c r="C3378" s="58" t="s">
        <v>812</v>
      </c>
      <c r="D3378" s="58">
        <v>5</v>
      </c>
      <c r="E3378" s="58" t="e">
        <f ca="1">Valuation!X60</f>
        <v>#VALUE!</v>
      </c>
      <c r="F3378" s="58" t="str">
        <f t="shared" si="14"/>
        <v>'Valuation'!X59</v>
      </c>
    </row>
    <row r="3379" spans="1:6">
      <c r="A3379" s="58" t="s">
        <v>829</v>
      </c>
      <c r="B3379" s="58" t="s">
        <v>3233</v>
      </c>
      <c r="C3379" s="58" t="s">
        <v>812</v>
      </c>
      <c r="D3379" s="58">
        <v>6</v>
      </c>
      <c r="E3379" s="58" t="e">
        <f ca="1">Valuation!Y60</f>
        <v>#VALUE!</v>
      </c>
      <c r="F3379" s="58" t="str">
        <f t="shared" si="14"/>
        <v>'Valuation'!Y59</v>
      </c>
    </row>
    <row r="3380" spans="1:6">
      <c r="A3380" s="58" t="s">
        <v>829</v>
      </c>
      <c r="B3380" s="58" t="s">
        <v>3234</v>
      </c>
      <c r="C3380" s="58" t="s">
        <v>812</v>
      </c>
      <c r="D3380" s="58">
        <v>7</v>
      </c>
      <c r="E3380" s="58" t="e">
        <f ca="1">Valuation!Z60</f>
        <v>#VALUE!</v>
      </c>
      <c r="F3380" s="58" t="str">
        <f t="shared" si="14"/>
        <v>'Valuation'!Z59</v>
      </c>
    </row>
    <row r="3381" spans="1:6">
      <c r="A3381" s="58" t="s">
        <v>829</v>
      </c>
      <c r="B3381" s="58" t="s">
        <v>3235</v>
      </c>
      <c r="C3381" s="58" t="s">
        <v>812</v>
      </c>
      <c r="D3381" s="58">
        <v>8</v>
      </c>
      <c r="E3381" s="58" t="e">
        <f ca="1">Valuation!AA60</f>
        <v>#VALUE!</v>
      </c>
      <c r="F3381" s="58" t="str">
        <f t="shared" si="14"/>
        <v>'Valuation'!AA59</v>
      </c>
    </row>
    <row r="3382" spans="1:6">
      <c r="A3382" s="58" t="s">
        <v>829</v>
      </c>
      <c r="B3382" s="58" t="s">
        <v>3236</v>
      </c>
      <c r="C3382" s="58" t="s">
        <v>812</v>
      </c>
      <c r="D3382" s="58">
        <v>9</v>
      </c>
      <c r="E3382" s="58" t="e">
        <f ca="1">Valuation!AB60</f>
        <v>#VALUE!</v>
      </c>
      <c r="F3382" s="58" t="str">
        <f t="shared" si="14"/>
        <v>'Valuation'!AB59</v>
      </c>
    </row>
    <row r="3383" spans="1:6">
      <c r="A3383" s="58" t="s">
        <v>829</v>
      </c>
      <c r="B3383" s="58" t="s">
        <v>3237</v>
      </c>
      <c r="C3383" s="58" t="s">
        <v>812</v>
      </c>
      <c r="D3383" s="58">
        <v>0</v>
      </c>
      <c r="E3383" s="58">
        <f ca="1">Valuation!S60</f>
        <v>160531.7471504854</v>
      </c>
      <c r="F3383" s="58" t="str">
        <f t="shared" si="14"/>
        <v>'Valuation'!S59</v>
      </c>
    </row>
    <row r="3384" spans="1:6">
      <c r="A3384" s="58" t="s">
        <v>829</v>
      </c>
      <c r="B3384" s="58" t="s">
        <v>3247</v>
      </c>
      <c r="C3384" s="58" t="s">
        <v>3248</v>
      </c>
      <c r="D3384" s="58" t="s">
        <v>1138</v>
      </c>
      <c r="E3384" s="58">
        <f>Valuation!W109</f>
        <v>11</v>
      </c>
      <c r="F3384" s="58" t="str">
        <f t="shared" si="14"/>
        <v>'Valuation'!W109</v>
      </c>
    </row>
    <row r="3385" spans="1:6">
      <c r="A3385" s="58" t="s">
        <v>3238</v>
      </c>
      <c r="C3385" s="58" t="s">
        <v>1121</v>
      </c>
      <c r="E3385" s="58" t="e">
        <f>Ratios!C60</f>
        <v>#NAME?</v>
      </c>
    </row>
    <row r="3386" spans="1:6">
      <c r="A3386" s="58" t="s">
        <v>3238</v>
      </c>
      <c r="C3386" s="58" t="s">
        <v>1121</v>
      </c>
      <c r="E3386" s="58" t="e">
        <f>Ratios!D60</f>
        <v>#NAME?</v>
      </c>
    </row>
    <row r="3387" spans="1:6">
      <c r="A3387" s="58" t="s">
        <v>3238</v>
      </c>
      <c r="C3387" s="58" t="s">
        <v>1121</v>
      </c>
      <c r="E3387" s="58" t="e">
        <f>Ratios!E60</f>
        <v>#NAME?</v>
      </c>
    </row>
    <row r="3388" spans="1:6">
      <c r="A3388" s="58" t="s">
        <v>3238</v>
      </c>
      <c r="C3388" s="58" t="s">
        <v>1121</v>
      </c>
      <c r="E3388" s="58" t="e">
        <f>Ratios!F60</f>
        <v>#NAME?</v>
      </c>
    </row>
    <row r="3389" spans="1:6">
      <c r="A3389" s="58" t="s">
        <v>3238</v>
      </c>
      <c r="C3389" s="58" t="s">
        <v>1121</v>
      </c>
      <c r="E3389" s="58" t="e">
        <f>Ratios!G60</f>
        <v>#NAME?</v>
      </c>
    </row>
    <row r="3390" spans="1:6">
      <c r="A3390" s="58" t="s">
        <v>3238</v>
      </c>
      <c r="C3390" s="58" t="s">
        <v>1121</v>
      </c>
      <c r="E3390" s="58" t="e">
        <f>Ratios!H60</f>
        <v>#NAME?</v>
      </c>
    </row>
    <row r="3391" spans="1:6">
      <c r="A3391" s="58" t="s">
        <v>3238</v>
      </c>
      <c r="C3391" s="58" t="s">
        <v>1121</v>
      </c>
      <c r="E3391" s="58" t="e">
        <f>Ratios!I60</f>
        <v>#NAME?</v>
      </c>
    </row>
    <row r="3392" spans="1:6">
      <c r="A3392" s="58" t="s">
        <v>3238</v>
      </c>
      <c r="C3392" s="58" t="s">
        <v>1121</v>
      </c>
      <c r="E3392" s="58" t="e">
        <f>Ratios!J60</f>
        <v>#NAME?</v>
      </c>
    </row>
    <row r="3393" spans="1:5">
      <c r="A3393" s="58" t="s">
        <v>3238</v>
      </c>
      <c r="C3393" s="58" t="s">
        <v>1121</v>
      </c>
      <c r="E3393" s="58" t="e">
        <f>Ratios!K60</f>
        <v>#NAME?</v>
      </c>
    </row>
    <row r="3394" spans="1:5">
      <c r="A3394" s="58" t="s">
        <v>3238</v>
      </c>
      <c r="C3394" s="58" t="s">
        <v>1121</v>
      </c>
      <c r="E3394" s="58" t="e">
        <f>Ratios!L60</f>
        <v>#NAME?</v>
      </c>
    </row>
    <row r="3395" spans="1:5">
      <c r="A3395" s="58" t="s">
        <v>3238</v>
      </c>
      <c r="C3395" s="58" t="s">
        <v>1121</v>
      </c>
      <c r="E3395" s="58" t="e">
        <f>Ratios!M60</f>
        <v>#NAME?</v>
      </c>
    </row>
    <row r="3396" spans="1:5">
      <c r="A3396" s="58" t="s">
        <v>3238</v>
      </c>
      <c r="C3396" s="58" t="s">
        <v>1121</v>
      </c>
      <c r="E3396" s="58" t="e">
        <f>Ratios!N60</f>
        <v>#NAME?</v>
      </c>
    </row>
    <row r="3397" spans="1:5">
      <c r="A3397" s="58" t="s">
        <v>3238</v>
      </c>
      <c r="C3397" s="58" t="s">
        <v>1121</v>
      </c>
      <c r="E3397" s="58" t="e">
        <f>Ratios!O60</f>
        <v>#NAME?</v>
      </c>
    </row>
    <row r="3398" spans="1:5">
      <c r="A3398" s="58" t="s">
        <v>3238</v>
      </c>
      <c r="C3398" s="58" t="s">
        <v>1121</v>
      </c>
      <c r="E3398" s="58" t="e">
        <f>Ratios!P60</f>
        <v>#NAME?</v>
      </c>
    </row>
    <row r="3399" spans="1:5">
      <c r="A3399" s="58" t="s">
        <v>3238</v>
      </c>
      <c r="C3399" s="58" t="s">
        <v>1121</v>
      </c>
      <c r="E3399" s="58" t="e">
        <f ca="1">Ratios!Q60</f>
        <v>#NAME?</v>
      </c>
    </row>
    <row r="3400" spans="1:5">
      <c r="A3400" s="58" t="s">
        <v>3238</v>
      </c>
      <c r="C3400" s="58" t="s">
        <v>1121</v>
      </c>
      <c r="E3400" s="58" t="e">
        <f ca="1">Ratios!R60</f>
        <v>#NAME?</v>
      </c>
    </row>
    <row r="3401" spans="1:5">
      <c r="A3401" s="58" t="s">
        <v>3238</v>
      </c>
      <c r="C3401" s="58" t="s">
        <v>1121</v>
      </c>
      <c r="E3401" s="58" t="e">
        <f ca="1">Ratios!S60</f>
        <v>#NAME?</v>
      </c>
    </row>
    <row r="3402" spans="1:5">
      <c r="A3402" s="58" t="s">
        <v>3238</v>
      </c>
      <c r="C3402" s="58" t="s">
        <v>1121</v>
      </c>
      <c r="E3402" s="58" t="e">
        <f ca="1">Ratios!T60</f>
        <v>#NAME?</v>
      </c>
    </row>
    <row r="3403" spans="1:5">
      <c r="A3403" s="58" t="s">
        <v>3238</v>
      </c>
      <c r="C3403" s="58" t="s">
        <v>1121</v>
      </c>
      <c r="E3403" s="58" t="e">
        <f ca="1">Ratios!U60</f>
        <v>#NAME?</v>
      </c>
    </row>
    <row r="3404" spans="1:5">
      <c r="A3404" s="58" t="s">
        <v>3238</v>
      </c>
      <c r="C3404" s="58" t="s">
        <v>1121</v>
      </c>
      <c r="E3404" s="58" t="e">
        <f ca="1">Ratios!V60</f>
        <v>#NAME?</v>
      </c>
    </row>
    <row r="3405" spans="1:5">
      <c r="A3405" s="58" t="s">
        <v>3238</v>
      </c>
      <c r="C3405" s="58" t="s">
        <v>1121</v>
      </c>
      <c r="E3405" s="58" t="e">
        <f ca="1">Ratios!W60</f>
        <v>#NAME?</v>
      </c>
    </row>
    <row r="3406" spans="1:5">
      <c r="A3406" s="58" t="s">
        <v>3238</v>
      </c>
      <c r="C3406" s="58" t="s">
        <v>1121</v>
      </c>
      <c r="E3406" s="58" t="e">
        <f ca="1">Ratios!X60</f>
        <v>#NAME?</v>
      </c>
    </row>
    <row r="3407" spans="1:5">
      <c r="A3407" s="58" t="s">
        <v>3238</v>
      </c>
      <c r="C3407" s="58" t="s">
        <v>1121</v>
      </c>
      <c r="E3407" s="58" t="e">
        <f ca="1">Ratios!Y60</f>
        <v>#NAME?</v>
      </c>
    </row>
    <row r="3408" spans="1:5">
      <c r="A3408" s="58" t="s">
        <v>3238</v>
      </c>
      <c r="C3408" s="58" t="s">
        <v>1121</v>
      </c>
      <c r="E3408" s="58" t="e">
        <f ca="1">Ratios!Z60</f>
        <v>#NAME?</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793EB-E8CD-4155-8393-0D2EAFB14142}">
  <sheetPr codeName="Sheet11"/>
  <dimension ref="A1"/>
  <sheetViews>
    <sheetView showOutlineSymbols="0" workbookViewId="0"/>
  </sheetViews>
  <sheetFormatPr baseColWidth="10" defaultColWidth="8.6640625" defaultRowHeight="14"/>
  <cols>
    <col min="1" max="16384" width="8.6640625" style="58"/>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8A28A-FD68-4F35-9ECA-758FEF7FBB31}">
  <sheetPr codeName="Sheet13"/>
  <dimension ref="A1"/>
  <sheetViews>
    <sheetView showOutlineSymbols="0" workbookViewId="0"/>
  </sheetViews>
  <sheetFormatPr baseColWidth="10" defaultColWidth="8.6640625" defaultRowHeight="14"/>
  <cols>
    <col min="1" max="16384" width="8.6640625" style="58"/>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A5E17A816D9BA147B3D538FFCA076814" ma:contentTypeVersion="9" ma:contentTypeDescription="Create a new document." ma:contentTypeScope="" ma:versionID="a001eac91467612b69b607a6c87ed2ea">
  <xsd:schema xmlns:xsd="http://www.w3.org/2001/XMLSchema" xmlns:xs="http://www.w3.org/2001/XMLSchema" xmlns:p="http://schemas.microsoft.com/office/2006/metadata/properties" xmlns:ns2="43d0e7f5-af5a-434d-b910-fbe16b0180cf" xmlns:ns3="120d9c5c-6472-49fd-bf0e-e6aa579b12a0" targetNamespace="http://schemas.microsoft.com/office/2006/metadata/properties" ma:root="true" ma:fieldsID="207c6252ff98079dd56c9817514b94b3" ns2:_="" ns3:_="">
    <xsd:import namespace="43d0e7f5-af5a-434d-b910-fbe16b0180cf"/>
    <xsd:import namespace="120d9c5c-6472-49fd-bf0e-e6aa579b12a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LengthInSeconds" minOccurs="0"/>
                <xsd:element ref="ns3:MediaServiceObjectDetectorVersions" minOccurs="0"/>
                <xsd:element ref="ns3:MediaServiceSearchPropertie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d0e7f5-af5a-434d-b910-fbe16b0180c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20d9c5c-6472-49fd-bf0e-e6aa579b12a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LengthInSeconds" ma:index="12" nillable="true" ma:displayName="MediaLengthInSeconds" ma:hidden="true" ma:internalName="MediaLengthInSeconds" ma:readOnly="true">
      <xsd:simpleType>
        <xsd:restriction base="dms:Unknow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318186-91C2-4188-8458-BC3DD7225FB7}">
  <ds:schemaRefs>
    <ds:schemaRef ds:uri="http://schemas.microsoft.com/office/infopath/2007/PartnerControls"/>
    <ds:schemaRef ds:uri="43d0e7f5-af5a-434d-b910-fbe16b0180cf"/>
    <ds:schemaRef ds:uri="http://schemas.openxmlformats.org/package/2006/metadata/core-properties"/>
    <ds:schemaRef ds:uri="http://schemas.microsoft.com/office/2006/documentManagement/types"/>
    <ds:schemaRef ds:uri="http://purl.org/dc/elements/1.1/"/>
    <ds:schemaRef ds:uri="http://www.w3.org/XML/1998/namespace"/>
    <ds:schemaRef ds:uri="http://purl.org/dc/terms/"/>
    <ds:schemaRef ds:uri="120d9c5c-6472-49fd-bf0e-e6aa579b12a0"/>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FE3FE0CF-A6CA-430F-997D-F8DA448C2B14}">
  <ds:schemaRefs>
    <ds:schemaRef ds:uri="http://schemas.microsoft.com/DataMashup"/>
  </ds:schemaRefs>
</ds:datastoreItem>
</file>

<file path=customXml/itemProps3.xml><?xml version="1.0" encoding="utf-8"?>
<ds:datastoreItem xmlns:ds="http://schemas.openxmlformats.org/officeDocument/2006/customXml" ds:itemID="{F474EBB1-A208-43EE-9EDB-A946EABEC8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d0e7f5-af5a-434d-b910-fbe16b0180cf"/>
    <ds:schemaRef ds:uri="120d9c5c-6472-49fd-bf0e-e6aa579b1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18EFEF0-39BB-4D43-9590-DB1E536DD26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Control</vt:lpstr>
      <vt:lpstr>Summary</vt:lpstr>
      <vt:lpstr>Valuation</vt:lpstr>
      <vt:lpstr>ROIC</vt:lpstr>
      <vt:lpstr>Income</vt:lpstr>
      <vt:lpstr>Balance</vt:lpstr>
      <vt:lpstr>Cash Flow</vt:lpstr>
      <vt:lpstr>Comparables</vt:lpstr>
      <vt:lpstr>Buildup</vt:lpstr>
      <vt:lpstr>Financial Statements</vt:lpstr>
      <vt:lpstr>Metrics</vt:lpstr>
      <vt:lpstr>Quarterly</vt:lpstr>
      <vt:lpstr>Ratios</vt:lpstr>
      <vt:lpstr>ADR</vt:lpstr>
      <vt:lpstr>COD</vt:lpstr>
      <vt:lpstr>COE</vt:lpstr>
      <vt:lpstr>CRP</vt:lpstr>
      <vt:lpstr>Currency</vt:lpstr>
      <vt:lpstr>FX</vt:lpstr>
      <vt:lpstr>LENGTH</vt:lpstr>
      <vt:lpstr>Narrow</vt:lpstr>
      <vt:lpstr>None</vt:lpstr>
      <vt:lpstr>Q</vt:lpstr>
      <vt:lpstr>QQ</vt:lpstr>
      <vt:lpstr>QQQ</vt:lpstr>
      <vt:lpstr>QQQQ</vt:lpstr>
      <vt:lpstr>QQQQQ</vt:lpstr>
      <vt:lpstr>Scenario</vt:lpstr>
      <vt:lpstr>Symbol</vt:lpstr>
      <vt:lpstr>Units</vt:lpstr>
      <vt:lpstr>WACC</vt:lpstr>
      <vt:lpstr>Wide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 Piotrowski</dc:creator>
  <cp:lastModifiedBy>copernic.mensah</cp:lastModifiedBy>
  <cp:lastPrinted>2020-10-13T15:12:31Z</cp:lastPrinted>
  <dcterms:created xsi:type="dcterms:W3CDTF">2020-04-08T15:19:40Z</dcterms:created>
  <dcterms:modified xsi:type="dcterms:W3CDTF">2026-03-09T04:58:05Z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0x010100A5E17A816D9BA147B3D538FFCA076814</vt:lpwstr>
  </property>
  <property fmtid="{D5CDD505-2E9C-101B-9397-08002B2CF9AE}" pid="3" name="ModelName">
    <vt:lpwstr>General Model</vt:lpwstr>
  </property>
  <property fmtid="{D5CDD505-2E9C-101B-9397-08002B2CF9AE}" pid="4" name="ModelVersion">
    <vt:lpwstr>GM7001</vt:lpwstr>
  </property>
  <property fmtid="{D5CDD505-2E9C-101B-9397-08002B2CF9AE}" pid="5" name="ModelSerial">
    <vt:lpwstr>7.001</vt:lpwstr>
  </property>
  <property fmtid="{D5CDD505-2E9C-101B-9397-08002B2CF9AE}" pid="6" name="PatchDate">
    <vt:filetime>2026-02-11T06:00:00Z</vt:filetime>
  </property>
  <property fmtid="{D5CDD505-2E9C-101B-9397-08002B2CF9AE}" pid="7" name="ModelVersion2">
    <vt:lpwstr>GM7001a</vt:lpwstr>
  </property>
  <property fmtid="{D5CDD505-2E9C-101B-9397-08002B2CF9AE}" pid="8" name="MediaServiceImageTags">
    <vt:lpwstr/>
  </property>
  <property fmtid="{D5CDD505-2E9C-101B-9397-08002B2CF9AE}" pid="9" name="Binary">
    <vt:lpwstr>No</vt:lpwstr>
  </property>
</Properties>
</file>