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p Profitability Calculator" sheetId="1" r:id="rId3"/>
    <sheet state="visible" name="Spring Crops" sheetId="2" r:id="rId4"/>
    <sheet state="visible" name="Summer Crops" sheetId="3" r:id="rId5"/>
    <sheet state="visible" name="Fall Crops" sheetId="4" r:id="rId6"/>
    <sheet state="visible" name="All Crops" sheetId="5" r:id="rId7"/>
    <sheet state="hidden" name="% Quality  Farm (None)" sheetId="6" r:id="rId8"/>
    <sheet state="hidden" name="% Quality  Farm (Basic)" sheetId="7" r:id="rId9"/>
    <sheet state="hidden" name="% Quality  Farm (Quality)" sheetId="8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3">
      <text>
        <t xml:space="preserve">Number of Days before a Crop is ready for harvest</t>
      </text>
    </comment>
    <comment authorId="0" ref="F3">
      <text>
        <t xml:space="preserve">Number of Days it takes for a Crop to produce again (x if not applicable)</t>
      </text>
    </comment>
    <comment authorId="0" ref="I3">
      <text>
        <t xml:space="preserve">Amount of Profit made assuming all crops are of Normal Quality</t>
      </text>
    </comment>
    <comment authorId="0" ref="J3">
      <text>
        <t xml:space="preserve">Amount of Profit made accounting for the odds of producing higher Quality Crops</t>
      </text>
    </comment>
    <comment authorId="0" ref="O3">
      <text>
        <t xml:space="preserve">Number of Days before a Crop is ready for harvest</t>
      </text>
    </comment>
    <comment authorId="0" ref="P3">
      <text>
        <t xml:space="preserve">Number of Days it takes for a Crop to produce again (x if not applicable)</t>
      </text>
    </comment>
    <comment authorId="0" ref="S3">
      <text>
        <t xml:space="preserve">Amount of Profit made assuming all crops are of Normal Quality</t>
      </text>
    </comment>
    <comment authorId="0" ref="T3">
      <text>
        <t xml:space="preserve">Amount of Profit made accounting for the odds of producing higher Quality Crops</t>
      </text>
    </comment>
    <comment authorId="0" ref="A1">
      <text>
        <t xml:space="preserve">yo
	-Nicholas Doungpanya
_Marked as resolved_
	-Alina Kim
_Re-opened_
sup
	-Alina Kim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Sell Price multiplied by 4 because it yields 4 beans per harvest.</t>
      </text>
    </comment>
    <comment authorId="0" ref="A9">
      <text>
        <t xml:space="preserve">Sell Price multiplied by 1.2 because of chance to yield two potatoes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Sell Price multiplied by 3.02 for approximate yield probabilities</t>
      </text>
    </comment>
    <comment authorId="0" ref="A12">
      <text>
        <t xml:space="preserve">Regrowth stated as 8 Days because it drops its own seeds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Sell Price multiplied by 4 because it yields 4 beans per harvest.</t>
      </text>
    </comment>
    <comment authorId="0" ref="A9">
      <text>
        <t xml:space="preserve">Sell Price multiplied by 1.2 because of chance to yield two potatoes</t>
      </text>
    </comment>
    <comment authorId="0" ref="A13">
      <text>
        <t xml:space="preserve">Sell Price multiplied by 3.02 for approximate yield probabilities</t>
      </text>
    </comment>
    <comment authorId="0" ref="A23">
      <text>
        <t xml:space="preserve">Regrowth stated as 8 Days because it drops its own seeds</t>
      </text>
    </comment>
    <comment authorId="0" ref="A30">
      <text>
        <t xml:space="preserve">Sell Price doubled because of double berry yield</t>
      </text>
    </comment>
  </commentList>
</comments>
</file>

<file path=xl/sharedStrings.xml><?xml version="1.0" encoding="utf-8"?>
<sst xmlns="http://schemas.openxmlformats.org/spreadsheetml/2006/main" count="191" uniqueCount="60">
  <si>
    <t>Sort:</t>
  </si>
  <si>
    <t>Crop Name</t>
  </si>
  <si>
    <t>Season:</t>
  </si>
  <si>
    <t>Farming Level:</t>
  </si>
  <si>
    <t>Buy Price</t>
  </si>
  <si>
    <t>Sell Price</t>
  </si>
  <si>
    <t>Maturity Time</t>
  </si>
  <si>
    <t>Regrowth Time</t>
  </si>
  <si>
    <t>Blue Jazz</t>
  </si>
  <si>
    <t>x</t>
  </si>
  <si>
    <t>Cauliflower</t>
  </si>
  <si>
    <t>Fertilizer Level:</t>
  </si>
  <si>
    <t>Days Planted:</t>
  </si>
  <si>
    <t>% Normal</t>
  </si>
  <si>
    <t>Blueberry*</t>
  </si>
  <si>
    <t>Coffee Bean*</t>
  </si>
  <si>
    <t>Garlic</t>
  </si>
  <si>
    <t>Green Bean</t>
  </si>
  <si>
    <t>Kale</t>
  </si>
  <si>
    <t>Parsnip</t>
  </si>
  <si>
    <t>% Silver</t>
  </si>
  <si>
    <t>Potato*</t>
  </si>
  <si>
    <t>Rhubarb</t>
  </si>
  <si>
    <t>Strawberry</t>
  </si>
  <si>
    <t>Tulip</t>
  </si>
  <si>
    <t>Corn</t>
  </si>
  <si>
    <t>Hops</t>
  </si>
  <si>
    <t>Hot Pepper</t>
  </si>
  <si>
    <t>Melon</t>
  </si>
  <si>
    <t>Poppy</t>
  </si>
  <si>
    <t>Radish</t>
  </si>
  <si>
    <t>Red Cabbage</t>
  </si>
  <si>
    <t>Starfruit</t>
  </si>
  <si>
    <t>Summer Spangle</t>
  </si>
  <si>
    <t>Sunflower</t>
  </si>
  <si>
    <t>% Gold</t>
  </si>
  <si>
    <t>Tomato</t>
  </si>
  <si>
    <t>Wheat</t>
  </si>
  <si>
    <t>Av. Profit/Day</t>
  </si>
  <si>
    <t>Spring</t>
  </si>
  <si>
    <t>None</t>
  </si>
  <si>
    <t>Amaranth</t>
  </si>
  <si>
    <t>Artichoke</t>
  </si>
  <si>
    <t>Beet</t>
  </si>
  <si>
    <t>Bok Choy</t>
  </si>
  <si>
    <t>Cranberries*</t>
  </si>
  <si>
    <t>Min. Sell Price</t>
  </si>
  <si>
    <t>Eggplant</t>
  </si>
  <si>
    <t>Av. Sell Price</t>
  </si>
  <si>
    <t>Fairy Rose</t>
  </si>
  <si>
    <t>Grape</t>
  </si>
  <si>
    <t>Pumpkin</t>
  </si>
  <si>
    <t>Yam</t>
  </si>
  <si>
    <t>Min. Profit/Crop</t>
  </si>
  <si>
    <t>Av. Profit/Crop</t>
  </si>
  <si>
    <t>Min. Profit/Day</t>
  </si>
  <si>
    <t>Farming Level</t>
  </si>
  <si>
    <t>Normal</t>
  </si>
  <si>
    <t>Silver</t>
  </si>
  <si>
    <t>Gold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</si>
</sst>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  <sz val="10.0"/>
    </font>
    <font>
      <b/>
    </font>
    <font>
      <b/>
      <u/>
      <sz val="10.0"/>
    </font>
    <font>
      <b/>
      <u/>
    </font>
    <font>
      <b/>
      <u/>
    </font>
    <font/>
    <font>
      <b/>
      <u/>
    </font>
    <font>
      <i/>
      <sz val="10.0"/>
      <color rgb="FF000000"/>
    </font>
    <font>
      <b/>
      <i/>
      <sz val="10.0"/>
    </font>
    <font>
      <b/>
      <i/>
    </font>
    <font>
      <b/>
      <sz val="8.0"/>
    </font>
    <font>
      <sz val="11.0"/>
      <color rgb="FF000000"/>
      <name val="Sans-serif"/>
    </font>
    <font>
      <name val="Arial"/>
    </font>
    <font>
      <sz val="10.0"/>
    </font>
    <font>
      <sz val="11.0"/>
      <color rgb="FF000000"/>
      <name val="Inconsolata"/>
    </font>
    <font>
      <i/>
    </font>
  </fonts>
  <fills count="20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6AA84F"/>
        <bgColor rgb="FF6AA84F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B7B7B7"/>
        <bgColor rgb="FFB7B7B7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E69138"/>
        <bgColor rgb="FFE69138"/>
      </patternFill>
    </fill>
    <fill>
      <patternFill patternType="solid">
        <fgColor rgb="FFD9D9D9"/>
        <bgColor rgb="FFD9D9D9"/>
      </patternFill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rgb="FFCCCCCC"/>
        <bgColor rgb="FFCCCCCC"/>
      </patternFill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3" fontId="2" numFmtId="0" xfId="0" applyAlignment="1" applyBorder="1" applyFill="1" applyFont="1">
      <alignment horizontal="center" readingOrder="0"/>
    </xf>
    <xf borderId="2" fillId="4" fontId="2" numFmtId="0" xfId="0" applyAlignment="1" applyBorder="1" applyFill="1" applyFont="1">
      <alignment horizontal="center" readingOrder="0"/>
    </xf>
    <xf borderId="3" fillId="3" fontId="2" numFmtId="0" xfId="0" applyAlignment="1" applyBorder="1" applyFont="1">
      <alignment horizontal="center" readingOrder="0"/>
    </xf>
    <xf borderId="3" fillId="4" fontId="2" numFmtId="0" xfId="0" applyAlignment="1" applyBorder="1" applyFont="1">
      <alignment horizontal="center" readingOrder="0"/>
    </xf>
    <xf borderId="4" fillId="3" fontId="2" numFmtId="0" xfId="0" applyAlignment="1" applyBorder="1" applyFont="1">
      <alignment horizontal="center" readingOrder="0"/>
    </xf>
    <xf borderId="5" fillId="5" fontId="2" numFmtId="0" xfId="0" applyAlignment="1" applyBorder="1" applyFill="1" applyFont="1">
      <alignment horizontal="center" readingOrder="0"/>
    </xf>
    <xf borderId="4" fillId="4" fontId="2" numFmtId="0" xfId="0" applyAlignment="1" applyBorder="1" applyFont="1">
      <alignment horizontal="center" readingOrder="0"/>
    </xf>
    <xf borderId="0" fillId="6" fontId="2" numFmtId="0" xfId="0" applyAlignment="1" applyFill="1" applyFont="1">
      <alignment horizontal="center" readingOrder="0"/>
    </xf>
    <xf borderId="6" fillId="6" fontId="2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1" fillId="7" fontId="3" numFmtId="0" xfId="0" applyAlignment="1" applyBorder="1" applyFill="1" applyFont="1">
      <alignment horizontal="center" readingOrder="0"/>
    </xf>
    <xf borderId="5" fillId="8" fontId="2" numFmtId="0" xfId="0" applyAlignment="1" applyBorder="1" applyFill="1" applyFont="1">
      <alignment horizontal="center" readingOrder="0"/>
    </xf>
    <xf borderId="7" fillId="5" fontId="2" numFmtId="0" xfId="0" applyAlignment="1" applyBorder="1" applyFont="1">
      <alignment horizontal="center" readingOrder="0"/>
    </xf>
    <xf borderId="0" fillId="9" fontId="2" numFmtId="0" xfId="0" applyAlignment="1" applyFill="1" applyFont="1">
      <alignment horizontal="center" readingOrder="0"/>
    </xf>
    <xf borderId="8" fillId="6" fontId="2" numFmtId="0" xfId="0" applyAlignment="1" applyBorder="1" applyFont="1">
      <alignment horizontal="center" readingOrder="0"/>
    </xf>
    <xf borderId="6" fillId="9" fontId="2" numFmtId="0" xfId="0" applyAlignment="1" applyBorder="1" applyFont="1">
      <alignment horizontal="center" readingOrder="0"/>
    </xf>
    <xf borderId="9" fillId="6" fontId="2" numFmtId="0" xfId="0" applyAlignment="1" applyBorder="1" applyFont="1">
      <alignment horizontal="center" readingOrder="0"/>
    </xf>
    <xf borderId="3" fillId="7" fontId="4" numFmtId="0" xfId="0" applyAlignment="1" applyBorder="1" applyFont="1">
      <alignment horizontal="center" readingOrder="0"/>
    </xf>
    <xf borderId="6" fillId="8" fontId="2" numFmtId="0" xfId="0" applyAlignment="1" applyBorder="1" applyFont="1">
      <alignment horizontal="center" readingOrder="0"/>
    </xf>
    <xf borderId="4" fillId="7" fontId="5" numFmtId="0" xfId="0" applyAlignment="1" applyBorder="1" applyFont="1">
      <alignment horizontal="center" readingOrder="0"/>
    </xf>
    <xf borderId="9" fillId="8" fontId="2" numFmtId="0" xfId="0" applyAlignment="1" applyBorder="1" applyFont="1">
      <alignment horizontal="center" readingOrder="0"/>
    </xf>
    <xf borderId="0" fillId="10" fontId="6" numFmtId="0" xfId="0" applyFill="1" applyFont="1"/>
    <xf borderId="8" fillId="9" fontId="2" numFmtId="0" xfId="0" applyAlignment="1" applyBorder="1" applyFont="1">
      <alignment horizontal="center" readingOrder="0"/>
    </xf>
    <xf borderId="0" fillId="11" fontId="7" numFmtId="0" xfId="0" applyAlignment="1" applyFill="1" applyFont="1">
      <alignment horizontal="center" readingOrder="0"/>
    </xf>
    <xf borderId="9" fillId="9" fontId="2" numFmtId="0" xfId="0" applyAlignment="1" applyBorder="1" applyFont="1">
      <alignment horizontal="center" readingOrder="0"/>
    </xf>
    <xf borderId="1" fillId="12" fontId="8" numFmtId="0" xfId="0" applyAlignment="1" applyBorder="1" applyFill="1" applyFont="1">
      <alignment horizontal="center" readingOrder="0"/>
    </xf>
    <xf borderId="3" fillId="12" fontId="8" numFmtId="0" xfId="0" applyAlignment="1" applyBorder="1" applyFont="1">
      <alignment horizontal="center" readingOrder="0"/>
    </xf>
    <xf borderId="2" fillId="13" fontId="2" numFmtId="0" xfId="0" applyAlignment="1" applyBorder="1" applyFill="1" applyFont="1">
      <alignment horizontal="center" readingOrder="0"/>
    </xf>
    <xf borderId="2" fillId="7" fontId="2" numFmtId="0" xfId="0" applyAlignment="1" applyBorder="1" applyFont="1">
      <alignment horizontal="center" readingOrder="0"/>
    </xf>
    <xf borderId="1" fillId="14" fontId="9" numFmtId="9" xfId="0" applyAlignment="1" applyBorder="1" applyFill="1" applyFont="1" applyNumberFormat="1">
      <alignment horizontal="center" readingOrder="0"/>
    </xf>
    <xf borderId="3" fillId="7" fontId="2" numFmtId="0" xfId="0" applyAlignment="1" applyBorder="1" applyFont="1">
      <alignment horizontal="center" readingOrder="0"/>
    </xf>
    <xf borderId="3" fillId="13" fontId="2" numFmtId="0" xfId="0" applyAlignment="1" applyBorder="1" applyFont="1">
      <alignment horizontal="center" readingOrder="0"/>
    </xf>
    <xf borderId="3" fillId="14" fontId="10" numFmtId="9" xfId="0" applyAlignment="1" applyBorder="1" applyFont="1" applyNumberFormat="1">
      <alignment horizontal="center" readingOrder="0"/>
    </xf>
    <xf borderId="4" fillId="13" fontId="2" numFmtId="0" xfId="0" applyAlignment="1" applyBorder="1" applyFont="1">
      <alignment horizontal="center" readingOrder="0"/>
    </xf>
    <xf borderId="4" fillId="14" fontId="10" numFmtId="9" xfId="0" applyAlignment="1" applyBorder="1" applyFont="1" applyNumberFormat="1">
      <alignment horizontal="center" readingOrder="0"/>
    </xf>
    <xf borderId="5" fillId="15" fontId="2" numFmtId="0" xfId="0" applyAlignment="1" applyBorder="1" applyFill="1" applyFont="1">
      <alignment horizontal="center" readingOrder="0"/>
    </xf>
    <xf borderId="0" fillId="11" fontId="10" numFmtId="0" xfId="0" applyAlignment="1" applyFont="1">
      <alignment horizontal="center" readingOrder="0"/>
    </xf>
    <xf borderId="0" fillId="16" fontId="2" numFmtId="0" xfId="0" applyAlignment="1" applyFill="1" applyFont="1">
      <alignment horizontal="center" readingOrder="0"/>
    </xf>
    <xf borderId="9" fillId="7" fontId="1" numFmtId="0" xfId="0" applyAlignment="1" applyBorder="1" applyFont="1">
      <alignment horizontal="center" readingOrder="0"/>
    </xf>
    <xf borderId="6" fillId="16" fontId="2" numFmtId="0" xfId="0" applyAlignment="1" applyBorder="1" applyFont="1">
      <alignment horizontal="center" readingOrder="0"/>
    </xf>
    <xf borderId="8" fillId="7" fontId="1" numFmtId="0" xfId="0" applyAlignment="1" applyBorder="1" applyFont="1">
      <alignment horizontal="center" readingOrder="0"/>
    </xf>
    <xf borderId="4" fillId="7" fontId="2" numFmtId="0" xfId="0" applyAlignment="1" applyBorder="1" applyFont="1">
      <alignment horizontal="center" readingOrder="0"/>
    </xf>
    <xf borderId="8" fillId="7" fontId="2" numFmtId="0" xfId="0" applyAlignment="1" applyBorder="1" applyFont="1">
      <alignment horizontal="center" readingOrder="0"/>
    </xf>
    <xf borderId="7" fillId="15" fontId="2" numFmtId="0" xfId="0" applyAlignment="1" applyBorder="1" applyFont="1">
      <alignment horizontal="center" readingOrder="0"/>
    </xf>
    <xf borderId="7" fillId="7" fontId="2" numFmtId="0" xfId="0" applyAlignment="1" applyBorder="1" applyFont="1">
      <alignment horizontal="center" readingOrder="0"/>
    </xf>
    <xf borderId="8" fillId="16" fontId="2" numFmtId="0" xfId="0" applyAlignment="1" applyBorder="1" applyFont="1">
      <alignment horizontal="center" readingOrder="0"/>
    </xf>
    <xf borderId="9" fillId="7" fontId="2" numFmtId="0" xfId="0" applyAlignment="1" applyBorder="1" applyFont="1">
      <alignment horizontal="center" readingOrder="0"/>
    </xf>
    <xf borderId="9" fillId="16" fontId="2" numFmtId="0" xfId="0" applyAlignment="1" applyBorder="1" applyFont="1">
      <alignment horizontal="center" readingOrder="0"/>
    </xf>
    <xf borderId="6" fillId="5" fontId="2" numFmtId="0" xfId="0" applyAlignment="1" applyBorder="1" applyFont="1">
      <alignment horizontal="center" readingOrder="0"/>
    </xf>
    <xf borderId="6" fillId="17" fontId="11" numFmtId="0" xfId="0" applyAlignment="1" applyBorder="1" applyFill="1" applyFont="1">
      <alignment horizontal="center" readingOrder="0"/>
    </xf>
    <xf borderId="6" fillId="15" fontId="2" numFmtId="0" xfId="0" applyAlignment="1" applyBorder="1" applyFont="1">
      <alignment horizontal="center" readingOrder="0"/>
    </xf>
    <xf borderId="0" fillId="18" fontId="2" numFmtId="0" xfId="0" applyAlignment="1" applyFill="1" applyFont="1">
      <alignment horizontal="center" readingOrder="0"/>
    </xf>
    <xf borderId="9" fillId="0" fontId="6" numFmtId="0" xfId="0" applyAlignment="1" applyBorder="1" applyFont="1">
      <alignment horizontal="center" readingOrder="0"/>
    </xf>
    <xf borderId="6" fillId="18" fontId="2" numFmtId="0" xfId="0" applyAlignment="1" applyBorder="1" applyFont="1">
      <alignment horizontal="center" readingOrder="0"/>
    </xf>
    <xf borderId="8" fillId="0" fontId="6" numFmtId="0" xfId="0" applyAlignment="1" applyBorder="1" applyFont="1">
      <alignment horizontal="center" readingOrder="0"/>
    </xf>
    <xf borderId="6" fillId="11" fontId="12" numFmtId="0" xfId="0" applyAlignment="1" applyBorder="1" applyFill="1" applyFont="1">
      <alignment horizontal="center" readingOrder="0"/>
    </xf>
    <xf borderId="8" fillId="18" fontId="2" numFmtId="0" xfId="0" applyAlignment="1" applyBorder="1" applyFont="1">
      <alignment horizontal="center" readingOrder="0"/>
    </xf>
    <xf borderId="0" fillId="11" fontId="12" numFmtId="9" xfId="0" applyAlignment="1" applyFont="1" applyNumberFormat="1">
      <alignment horizontal="center" readingOrder="0"/>
    </xf>
    <xf borderId="0" fillId="17" fontId="1" numFmtId="0" xfId="0" applyAlignment="1" applyFont="1">
      <alignment horizontal="center" readingOrder="0"/>
    </xf>
    <xf borderId="9" fillId="18" fontId="2" numFmtId="0" xfId="0" applyAlignment="1" applyBorder="1" applyFont="1">
      <alignment horizontal="center" readingOrder="0"/>
    </xf>
    <xf borderId="9" fillId="0" fontId="13" numFmtId="0" xfId="0" applyAlignment="1" applyBorder="1" applyFont="1">
      <alignment horizontal="center" vertical="bottom"/>
    </xf>
    <xf borderId="8" fillId="0" fontId="13" numFmtId="0" xfId="0" applyAlignment="1" applyBorder="1" applyFont="1">
      <alignment horizontal="center" vertical="bottom"/>
    </xf>
    <xf borderId="6" fillId="11" fontId="12" numFmtId="0" xfId="0" applyAlignment="1" applyBorder="1" applyFont="1">
      <alignment horizontal="center" vertical="bottom"/>
    </xf>
    <xf borderId="6" fillId="17" fontId="1" numFmtId="0" xfId="0" applyAlignment="1" applyBorder="1" applyFont="1">
      <alignment horizontal="center" readingOrder="0"/>
    </xf>
    <xf borderId="0" fillId="11" fontId="12" numFmtId="9" xfId="0" applyAlignment="1" applyFont="1" applyNumberFormat="1">
      <alignment horizontal="center" vertical="bottom"/>
    </xf>
    <xf borderId="6" fillId="17" fontId="14" numFmtId="0" xfId="0" applyAlignment="1" applyBorder="1" applyFont="1">
      <alignment horizontal="center" readingOrder="0"/>
    </xf>
    <xf borderId="0" fillId="11" fontId="6" numFmtId="0" xfId="0" applyAlignment="1" applyFont="1">
      <alignment horizontal="center" readingOrder="0"/>
    </xf>
    <xf borderId="0" fillId="11" fontId="15" numFmtId="0" xfId="0" applyAlignment="1" applyFont="1">
      <alignment readingOrder="0"/>
    </xf>
    <xf borderId="0" fillId="11" fontId="15" numFmtId="0" xfId="0" applyAlignment="1" applyFont="1">
      <alignment horizontal="left"/>
    </xf>
    <xf borderId="0" fillId="11" fontId="15" numFmtId="0" xfId="0" applyFont="1"/>
    <xf borderId="10" fillId="11" fontId="16" numFmtId="0" xfId="0" applyAlignment="1" applyBorder="1" applyFont="1">
      <alignment horizontal="center"/>
    </xf>
    <xf borderId="5" fillId="11" fontId="16" numFmtId="0" xfId="0" applyAlignment="1" applyBorder="1" applyFont="1">
      <alignment horizontal="center"/>
    </xf>
    <xf borderId="6" fillId="0" fontId="11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6" fillId="0" fontId="2" numFmtId="0" xfId="0" applyAlignment="1" applyBorder="1" applyFont="1">
      <alignment horizontal="center"/>
    </xf>
    <xf borderId="6" fillId="0" fontId="16" numFmtId="0" xfId="0" applyAlignment="1" applyBorder="1" applyFont="1">
      <alignment horizontal="center"/>
    </xf>
    <xf borderId="0" fillId="11" fontId="16" numFmtId="0" xfId="0" applyAlignment="1" applyFont="1">
      <alignment horizontal="center"/>
    </xf>
    <xf borderId="0" fillId="14" fontId="2" numFmtId="0" xfId="0" applyAlignment="1" applyFont="1">
      <alignment horizontal="center" readingOrder="0"/>
    </xf>
    <xf borderId="10" fillId="19" fontId="16" numFmtId="0" xfId="0" applyAlignment="1" applyBorder="1" applyFill="1" applyFont="1">
      <alignment horizontal="center"/>
    </xf>
    <xf borderId="5" fillId="19" fontId="16" numFmtId="0" xfId="0" applyAlignment="1" applyBorder="1" applyFont="1">
      <alignment horizontal="center"/>
    </xf>
    <xf borderId="6" fillId="17" fontId="11" numFmtId="0" xfId="0" applyAlignment="1" applyBorder="1" applyFont="1">
      <alignment horizontal="center"/>
    </xf>
    <xf borderId="0" fillId="14" fontId="2" numFmtId="0" xfId="0" applyAlignment="1" applyFont="1">
      <alignment horizontal="center"/>
    </xf>
  </cellXfs>
  <cellStyles count="1">
    <cellStyle xfId="0" name="Normal" builtinId="0"/>
  </cellStyles>
  <dxfs count="9"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6B26B"/>
          <bgColor rgb="FFF6B26B"/>
        </patternFill>
      </fill>
      <border/>
    </dxf>
    <dxf>
      <font/>
      <fill>
        <patternFill patternType="solid">
          <fgColor rgb="FFF9CB9C"/>
          <bgColor rgb="FFF9CB9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75"/>
  <cols>
    <col hidden="1" min="11" max="20" width="14.43"/>
  </cols>
  <sheetData>
    <row r="1">
      <c r="A1" s="1" t="s">
        <v>0</v>
      </c>
      <c r="B1" s="1" t="s">
        <v>2</v>
      </c>
      <c r="C1" s="11" t="s">
        <v>3</v>
      </c>
      <c r="D1" s="11" t="s">
        <v>11</v>
      </c>
      <c r="E1" s="11" t="s">
        <v>12</v>
      </c>
      <c r="F1" s="12" t="s">
        <v>13</v>
      </c>
      <c r="G1" s="19" t="s">
        <v>20</v>
      </c>
      <c r="H1" s="21" t="s">
        <v>35</v>
      </c>
      <c r="I1" s="23"/>
      <c r="J1" s="23"/>
      <c r="L1" s="25"/>
      <c r="M1" s="25"/>
      <c r="N1" s="25"/>
      <c r="O1" s="25"/>
      <c r="P1" s="25"/>
      <c r="Q1" s="25"/>
      <c r="R1" s="25"/>
      <c r="S1" s="25"/>
      <c r="T1" s="25"/>
    </row>
    <row r="2">
      <c r="A2" s="27" t="s">
        <v>38</v>
      </c>
      <c r="B2" s="27" t="s">
        <v>39</v>
      </c>
      <c r="C2" s="28">
        <v>0.0</v>
      </c>
      <c r="D2" s="28" t="s">
        <v>40</v>
      </c>
      <c r="E2" s="28">
        <v>28.0</v>
      </c>
      <c r="F2" s="31">
        <f>IFERROR(__xludf.DUMMYFUNCTION("INDIRECT(""'% Quality / Farm (""&amp;D2&amp;"")'!B""&amp;TO_TEXT(C2+2))"),0.97)</f>
        <v>0.97</v>
      </c>
      <c r="G2" s="34">
        <f>IFERROR(__xludf.DUMMYFUNCTION("INDIRECT(""'% Quality / Farm (""&amp;D2&amp;"")'!C""&amp;TO_TEXT(C2+2))"),0.02)</f>
        <v>0.02</v>
      </c>
      <c r="H2" s="36">
        <f>IFERROR(__xludf.DUMMYFUNCTION("INDIRECT(""'% Quality / Farm (""&amp;D2&amp;"")'!D""&amp;TO_TEXT(C2+2))"),0.01)</f>
        <v>0.01</v>
      </c>
      <c r="I2" s="23"/>
      <c r="J2" s="23"/>
      <c r="L2" s="38"/>
      <c r="M2" s="38"/>
      <c r="N2" s="38"/>
      <c r="O2" s="38"/>
      <c r="P2" s="38"/>
      <c r="Q2" s="38"/>
      <c r="R2" s="38"/>
      <c r="S2" s="38"/>
      <c r="T2" s="38"/>
    </row>
    <row r="3">
      <c r="A3" s="40" t="s">
        <v>1</v>
      </c>
      <c r="B3" s="42" t="s">
        <v>4</v>
      </c>
      <c r="C3" s="42" t="s">
        <v>46</v>
      </c>
      <c r="D3" s="42" t="s">
        <v>48</v>
      </c>
      <c r="E3" s="42" t="s">
        <v>6</v>
      </c>
      <c r="F3" s="42" t="s">
        <v>7</v>
      </c>
      <c r="G3" s="44" t="s">
        <v>53</v>
      </c>
      <c r="H3" s="44" t="s">
        <v>54</v>
      </c>
      <c r="I3" s="46" t="s">
        <v>55</v>
      </c>
      <c r="J3" s="48" t="s">
        <v>38</v>
      </c>
      <c r="L3" s="44" t="s">
        <v>4</v>
      </c>
      <c r="M3" s="44" t="s">
        <v>46</v>
      </c>
      <c r="N3" s="44" t="s">
        <v>48</v>
      </c>
      <c r="O3" s="44" t="s">
        <v>6</v>
      </c>
      <c r="P3" s="44" t="s">
        <v>7</v>
      </c>
      <c r="Q3" s="44" t="s">
        <v>53</v>
      </c>
      <c r="R3" s="44" t="s">
        <v>54</v>
      </c>
      <c r="S3" s="46" t="s">
        <v>55</v>
      </c>
      <c r="T3" s="48" t="s">
        <v>38</v>
      </c>
    </row>
    <row r="4">
      <c r="A4" s="51" t="str">
        <f>IFERROR(__xludf.DUMMYFUNCTION("IF(EQ($A2,""Crop Name""),ARRAYFORMULA(K4:K37),IF(EQ($A$2, ""Min. Profit/Crop""),SORT(FILTER(K4:K37, NOT(EQ(K4:K37,""""))),FILTER($Q4:$Q37, NOT(EQ($Q4:$Q37,""""))), FALSE),IF(EQ($A$2, ""Av. Profit/Crop""),SORT(FILTER(K4:K37, NOT(EQ(K4:K37,""""))),FILTER($R"&amp;"4:$R37, NOT(EQ($R4:$R37,""""))), FALSE),IF(EQ($A$2,""Min. Profit/Day""), SORT(FILTER(K4:K37, NOT(EQ(K4:K37,""""))),FILTER($S4:$S37, NOT(EQ($S4:$S37,""""))), FALSE),SORT(FILTER(K4:K37, NOT(EQ(K4:K37,""""))),FILTER($T4:$T37, NOT(EQ($T4:$T37,""""))), FALSE))"&amp;")))"),"Strawberry")</f>
        <v>Strawberry</v>
      </c>
      <c r="B4" s="60">
        <f>IFERROR(__xludf.DUMMYFUNCTION("IF(EQ($A2,""Crop Name""),ARRAYFORMULA(L4:L37),IF(EQ($A$2, ""Min. Profit/Crop""),SORT(FILTER(L4:L37, NOT(EQ(L4:L37,""""))),FILTER($Q4:$Q37, NOT(EQ($Q4:$Q37,""""))), FALSE),IF(EQ($A$2, ""Av. Profit/Crop""),SORT(FILTER(L4:L37, NOT(EQ(L4:L37,""""))),FILTER($R"&amp;"4:$R37, NOT(EQ($R4:$R37,""""))), FALSE),IF(EQ($A$2,""Min. Profit/Day""), SORT(FILTER(L4:L37, NOT(EQ(L4:L37,""""))),FILTER($S4:$S37, NOT(EQ($S4:$S37,""""))), FALSE),SORT(FILTER(L4:L37, NOT(EQ(L4:L37,""""))),FILTER($T4:$T37, NOT(EQ($T4:$T37,""""))), FALSE))"&amp;")))"),100.0)</f>
        <v>100</v>
      </c>
      <c r="C4" s="60">
        <f>IFERROR(__xludf.DUMMYFUNCTION("IF(EQ($A2,""Crop Name""),ARRAYFORMULA(M4:M37),IF(EQ($A$2, ""Min. Profit/Crop""),SORT(FILTER(M4:M37, NOT(EQ(M4:M37,""""))),FILTER($Q4:$Q37, NOT(EQ($Q4:$Q37,""""))), FALSE),IF(EQ($A$2, ""Av. Profit/Crop""),SORT(FILTER(M4:M37, NOT(EQ(M4:M37,""""))),FILTER($R"&amp;"4:$R37, NOT(EQ($R4:$R37,""""))), FALSE),IF(EQ($A$2,""Min. Profit/Day""), SORT(FILTER(M4:M37, NOT(EQ(M4:M37,""""))),FILTER($S4:$S37, NOT(EQ($S4:$S37,""""))), FALSE),SORT(FILTER(M4:M37, NOT(EQ(M4:M37,""""))),FILTER($T4:$T37, NOT(EQ($T4:$T37,""""))), FALSE))"&amp;")))"),120.0)</f>
        <v>120</v>
      </c>
      <c r="D4" s="60">
        <f>IFERROR(__xludf.DUMMYFUNCTION("IF(EQ($A2,""Crop Name""),ARRAYFORMULA(N4:N37),IF(EQ($A$2, ""Min. Profit/Crop""),SORT(FILTER(N4:N37, NOT(EQ(N4:N37,""""))),FILTER($Q4:$Q37, NOT(EQ($Q4:$Q37,""""))), FALSE),IF(EQ($A$2, ""Av. Profit/Crop""),SORT(FILTER(N4:N37, NOT(EQ(N4:N37,""""))),FILTER($R"&amp;"4:$R37, NOT(EQ($R4:$R37,""""))), FALSE),IF(EQ($A$2,""Min. Profit/Day""), SORT(FILTER(N4:N37, NOT(EQ(N4:N37,""""))),FILTER($S4:$S37, NOT(EQ($S4:$S37,""""))), FALSE),SORT(FILTER(N4:N37, NOT(EQ(N4:N37,""""))),FILTER($T4:$T37, NOT(EQ($T4:$T37,""""))), FALSE))"&amp;")))"),121.2)</f>
        <v>121.2</v>
      </c>
      <c r="E4" s="60">
        <f>IFERROR(__xludf.DUMMYFUNCTION("IF(EQ($A2,""Crop Name""),ARRAYFORMULA(O4:O37),IF(EQ($A$2, ""Min. Profit/Crop""),SORT(FILTER(O4:O37, NOT(EQ(O4:O37,""""))),FILTER($Q4:$Q37, NOT(EQ($Q4:$Q37,""""))), FALSE),IF(EQ($A$2, ""Av. Profit/Crop""),SORT(FILTER(O4:O37, NOT(EQ(O4:O37,""""))),FILTER($R"&amp;"4:$R37, NOT(EQ($R4:$R37,""""))), FALSE),IF(EQ($A$2,""Min. Profit/Day""), SORT(FILTER(O4:O37, NOT(EQ(O4:O37,""""))),FILTER($S4:$S37, NOT(EQ($S4:$S37,""""))), FALSE),SORT(FILTER(O4:O37, NOT(EQ(O4:O37,""""))),FILTER($T4:$T37, NOT(EQ($T4:$T37,""""))), FALSE))"&amp;")))"),8.0)</f>
        <v>8</v>
      </c>
      <c r="F4" s="60">
        <f>IFERROR(__xludf.DUMMYFUNCTION("IF(EQ($A2,""Crop Name""),ARRAYFORMULA(P4:P37),IF(EQ($A$2, ""Min. Profit/Crop""),SORT(FILTER(P4:P37, NOT(EQ(P4:P37,""""))),FILTER($Q4:$Q37, NOT(EQ($Q4:$Q37,""""))), FALSE),IF(EQ($A$2, ""Av. Profit/Crop""),SORT(FILTER(P4:P37, NOT(EQ(P4:P37,""""))),FILTER($R"&amp;"4:$R37, NOT(EQ($R4:$R37,""""))), FALSE),IF(EQ($A$2,""Min. Profit/Day""), SORT(FILTER(P4:P37, NOT(EQ(P4:P37,""""))),FILTER($S4:$S37, NOT(EQ($S4:$S37,""""))), FALSE),SORT(FILTER(P4:P37, NOT(EQ(P4:P37,""""))),FILTER($T4:$T37, NOT(EQ($T4:$T37,""""))), FALSE))"&amp;")))"),4.0)</f>
        <v>4</v>
      </c>
      <c r="G4" s="60">
        <f>IFERROR(__xludf.DUMMYFUNCTION("IF(EQ($A2,""Crop Name""),ARRAYFORMULA(Q4:Q37),IF(EQ($A$2, ""Min. Profit/Crop""),SORT(FILTER(Q4:Q37, NOT(EQ(Q4:Q37,""""))),FILTER($Q4:$Q37, NOT(EQ($Q4:$Q37,""""))), FALSE),IF(EQ($A$2, ""Av. Profit/Crop""),SORT(FILTER(Q4:Q37, NOT(EQ(Q4:Q37,""""))),FILTER($R"&amp;"4:$R37, NOT(EQ($R4:$R37,""""))), FALSE),IF(EQ($A$2,""Min. Profit/Day""), SORT(FILTER(Q4:Q37, NOT(EQ(Q4:Q37,""""))),FILTER($S4:$S37, NOT(EQ($S4:$S37,""""))), FALSE),SORT(FILTER(Q4:Q37, NOT(EQ(Q4:Q37,""""))),FILTER($T4:$T37, NOT(EQ($T4:$T37,""""))), FALSE))"&amp;")))"),620.0)</f>
        <v>620</v>
      </c>
      <c r="H4" s="65">
        <f>IFERROR(__xludf.DUMMYFUNCTION("IF(EQ($A2,""Crop Name""),ARRAYFORMULA(R4:R37),IF(EQ($A$2, ""Min. Profit/Crop""),SORT(FILTER(R4:R37, NOT(EQ(R4:R37,""""))),FILTER($Q4:$Q37, NOT(EQ($Q4:$Q37,""""))), FALSE),IF(EQ($A$2, ""Av. Profit/Crop""),SORT(FILTER(R4:R37, NOT(EQ(R4:R37,""""))),FILTER($R"&amp;"4:$R37, NOT(EQ($R4:$R37,""""))), FALSE),IF(EQ($A$2,""Min. Profit/Day""), SORT(FILTER(R4:R37, NOT(EQ(R4:R37,""""))),FILTER($S4:$S37, NOT(EQ($S4:$S37,""""))), FALSE),SORT(FILTER(R4:R37, NOT(EQ(R4:R37,""""))),FILTER($T4:$T37, NOT(EQ($T4:$T37,""""))), FALSE))"&amp;")))"),627.2)</f>
        <v>627.2</v>
      </c>
      <c r="I4" s="67">
        <f>IFERROR(__xludf.DUMMYFUNCTION("IF(EQ($A2,""Crop Name""),ARRAYFORMULA(S4:S37),IF(EQ($A$2, ""Min. Profit/Crop""),SORT(FILTER(S4:S37, NOT(EQ(S4:S37,""""))),FILTER($Q4:$Q37, NOT(EQ($Q4:$Q37,""""))), FALSE),IF(EQ($A$2, ""Av. Profit/Crop""),SORT(FILTER(S4:S37, NOT(EQ(S4:S37,""""))),FILTER($R"&amp;"4:$R37, NOT(EQ($R4:$R37,""""))), FALSE),IF(EQ($A$2,""Min. Profit/Day""), SORT(FILTER(S4:S37, NOT(EQ(S4:S37,""""))),FILTER($S4:$S37, NOT(EQ($S4:$S37,""""))), FALSE),SORT(FILTER(S4:S37, NOT(EQ(S4:S37,""""))),FILTER($T4:$T37, NOT(EQ($T4:$T37,""""))), FALSE))"&amp;")))"),22.142857142857142)</f>
        <v>22.14285714</v>
      </c>
      <c r="J4" s="67">
        <f>IFERROR(__xludf.DUMMYFUNCTION("IF(EQ($A2,""Crop Name""),ARRAYFORMULA(T4:T37),IF(EQ($A$2, ""Min. Profit/Crop""),SORT(FILTER(T4:T37, NOT(EQ(T4:T37,""""))),FILTER($Q4:$Q37, NOT(EQ($Q4:$Q37,""""))), FALSE),IF(EQ($A$2, ""Av. Profit/Crop""),SORT(FILTER(T4:T37, NOT(EQ(T4:T37,""""))),FILTER($R"&amp;"4:$R37, NOT(EQ($R4:$R37,""""))), FALSE),IF(EQ($A$2,""Min. Profit/Day""), SORT(FILTER(T4:T37, NOT(EQ(T4:T37,""""))),FILTER($S4:$S37, NOT(EQ($S4:$S37,""""))), FALSE),SORT(FILTER(T4:T37, NOT(EQ(T4:T37,""""))),FILTER($T4:$T37, NOT(EQ($T4:$T37,""""))), FALSE))"&amp;")))"),22.400000000000002)</f>
        <v>22.4</v>
      </c>
      <c r="K4" s="68" t="str">
        <f t="array" ref="K4:K14">INDIRECT($B$2&amp;" Crops!A2:A100")</f>
        <v>Blue Jazz</v>
      </c>
      <c r="L4" s="68">
        <f t="array" ref="L4:L14">INDIRECT($B$2&amp;" Crops!B2:B100")</f>
        <v>30</v>
      </c>
      <c r="M4" s="68">
        <f t="array" ref="M4:M14">INDIRECT($B$2&amp;" Crops!C2:C100")</f>
        <v>50</v>
      </c>
      <c r="N4" s="69">
        <f t="shared" ref="N4:N37" si="1">IF(EQ(K4,""),"",M4*($F$2+$G$2*1.25+$H$2*1.5))</f>
        <v>50.5</v>
      </c>
      <c r="O4" s="68">
        <f t="array" ref="O4:O14">INDIRECT($B$2&amp;" Crops!D2:D100")</f>
        <v>7</v>
      </c>
      <c r="P4" s="68" t="str">
        <f t="array" ref="P4:P14">INDIRECT($B$2&amp;" Crops!E2:E100")</f>
        <v>x</v>
      </c>
      <c r="Q4" s="70">
        <f t="shared" ref="Q4:Q37" si="2">IF(EQ(K4,""),"",IF(NOT(ISNUMBER($E$2)),$E$2,IF(ISNUMBER(P4),(M4*(FLOOR(($E$2-O4)/P4)+1)-L4),(M4-L4))))</f>
        <v>20</v>
      </c>
      <c r="R4" s="71">
        <f t="shared" ref="R4:R37" si="3">IF(EQ(K4,""),"",IF(NOT(ISNUMBER($E$2)),$E$2,IF(ISNUMBER(P4),(N4*(FLOOR(($E$2-O4)/P4)+1)-L4),(N4-L4))))</f>
        <v>20.5</v>
      </c>
      <c r="S4" s="72">
        <f t="shared" ref="S4:S37" si="4">IF(EQ(K4,""),"",IF(ISNUMBER(P4),IF(NOT(ISNUMBER($E$2)),M4/P4,Q4/$E$2),IF(NOT(ISNUMBER($E$2)),M4-L4,Q4)/O4))</f>
        <v>2.857142857</v>
      </c>
      <c r="T4" s="73">
        <f t="shared" ref="T4:T37" si="5">IF(EQ(K4,""),"",IF(ISNUMBER(P4),IF(NOT(ISNUMBER($E$2)),N4/P4,R4/$E$2),IF(NOT(ISNUMBER($E$2)),N4-L4,R4)/O4))</f>
        <v>2.928571429</v>
      </c>
    </row>
    <row r="5">
      <c r="A5" s="74" t="str">
        <f>IFERROR(__xludf.DUMMYFUNCTION("""COMPUTED_VALUE"""),"Rhubarb")</f>
        <v>Rhubarb</v>
      </c>
      <c r="B5" s="75">
        <f>IFERROR(__xludf.DUMMYFUNCTION("""COMPUTED_VALUE"""),100.0)</f>
        <v>100</v>
      </c>
      <c r="C5" s="75">
        <f>IFERROR(__xludf.DUMMYFUNCTION("""COMPUTED_VALUE"""),220.0)</f>
        <v>220</v>
      </c>
      <c r="D5" s="75">
        <f>IFERROR(__xludf.DUMMYFUNCTION("""COMPUTED_VALUE"""),222.2)</f>
        <v>222.2</v>
      </c>
      <c r="E5" s="75">
        <f>IFERROR(__xludf.DUMMYFUNCTION("""COMPUTED_VALUE"""),13.0)</f>
        <v>13</v>
      </c>
      <c r="F5" s="75" t="str">
        <f>IFERROR(__xludf.DUMMYFUNCTION("""COMPUTED_VALUE"""),"x")</f>
        <v>x</v>
      </c>
      <c r="G5" s="75">
        <f>IFERROR(__xludf.DUMMYFUNCTION("""COMPUTED_VALUE"""),120.0)</f>
        <v>120</v>
      </c>
      <c r="H5" s="76">
        <f>IFERROR(__xludf.DUMMYFUNCTION("""COMPUTED_VALUE"""),122.19999999999999)</f>
        <v>122.2</v>
      </c>
      <c r="I5" s="77">
        <f>IFERROR(__xludf.DUMMYFUNCTION("""COMPUTED_VALUE"""),9.23076923076923)</f>
        <v>9.230769231</v>
      </c>
      <c r="J5" s="77">
        <f>IFERROR(__xludf.DUMMYFUNCTION("""COMPUTED_VALUE"""),9.399999999999999)</f>
        <v>9.4</v>
      </c>
      <c r="K5" s="78" t="s">
        <v>10</v>
      </c>
      <c r="L5" s="78">
        <v>80.0</v>
      </c>
      <c r="M5" s="78">
        <v>175.0</v>
      </c>
      <c r="N5" s="69">
        <f t="shared" si="1"/>
        <v>176.75</v>
      </c>
      <c r="O5" s="78">
        <v>12.0</v>
      </c>
      <c r="P5" s="78" t="s">
        <v>9</v>
      </c>
      <c r="Q5" s="70">
        <f t="shared" si="2"/>
        <v>95</v>
      </c>
      <c r="R5" s="71">
        <f t="shared" si="3"/>
        <v>96.75</v>
      </c>
      <c r="S5" s="72">
        <f t="shared" si="4"/>
        <v>7.916666667</v>
      </c>
      <c r="T5" s="73">
        <f t="shared" si="5"/>
        <v>8.0625</v>
      </c>
    </row>
    <row r="6">
      <c r="A6" s="51" t="str">
        <f>IFERROR(__xludf.DUMMYFUNCTION("""COMPUTED_VALUE"""),"Cauliflower")</f>
        <v>Cauliflower</v>
      </c>
      <c r="B6" s="79">
        <f>IFERROR(__xludf.DUMMYFUNCTION("""COMPUTED_VALUE"""),80.0)</f>
        <v>80</v>
      </c>
      <c r="C6" s="79">
        <f>IFERROR(__xludf.DUMMYFUNCTION("""COMPUTED_VALUE"""),175.0)</f>
        <v>175</v>
      </c>
      <c r="D6" s="79">
        <f>IFERROR(__xludf.DUMMYFUNCTION("""COMPUTED_VALUE"""),176.75)</f>
        <v>176.75</v>
      </c>
      <c r="E6" s="79">
        <f>IFERROR(__xludf.DUMMYFUNCTION("""COMPUTED_VALUE"""),12.0)</f>
        <v>12</v>
      </c>
      <c r="F6" s="79" t="str">
        <f>IFERROR(__xludf.DUMMYFUNCTION("""COMPUTED_VALUE"""),"x")</f>
        <v>x</v>
      </c>
      <c r="G6" s="79">
        <f>IFERROR(__xludf.DUMMYFUNCTION("""COMPUTED_VALUE"""),95.0)</f>
        <v>95</v>
      </c>
      <c r="H6" s="79">
        <f>IFERROR(__xludf.DUMMYFUNCTION("""COMPUTED_VALUE"""),96.75)</f>
        <v>96.75</v>
      </c>
      <c r="I6" s="80">
        <f>IFERROR(__xludf.DUMMYFUNCTION("""COMPUTED_VALUE"""),7.916666666666667)</f>
        <v>7.916666667</v>
      </c>
      <c r="J6" s="81">
        <f>IFERROR(__xludf.DUMMYFUNCTION("""COMPUTED_VALUE"""),8.0625)</f>
        <v>8.0625</v>
      </c>
      <c r="K6" s="78" t="s">
        <v>15</v>
      </c>
      <c r="L6" s="78">
        <v>2500.0</v>
      </c>
      <c r="M6" s="78">
        <v>60.0</v>
      </c>
      <c r="N6" s="69">
        <f t="shared" si="1"/>
        <v>60.6</v>
      </c>
      <c r="O6" s="78">
        <v>10.0</v>
      </c>
      <c r="P6" s="78">
        <v>2.0</v>
      </c>
      <c r="Q6" s="70">
        <f t="shared" si="2"/>
        <v>-1900</v>
      </c>
      <c r="R6" s="71">
        <f t="shared" si="3"/>
        <v>-1894</v>
      </c>
      <c r="S6" s="72">
        <f t="shared" si="4"/>
        <v>-67.85714286</v>
      </c>
      <c r="T6" s="73">
        <f t="shared" si="5"/>
        <v>-67.64285714</v>
      </c>
    </row>
    <row r="7">
      <c r="A7" s="51" t="str">
        <f>IFERROR(__xludf.DUMMYFUNCTION("""COMPUTED_VALUE"""),"Green Bean")</f>
        <v>Green Bean</v>
      </c>
      <c r="B7" s="79">
        <f>IFERROR(__xludf.DUMMYFUNCTION("""COMPUTED_VALUE"""),60.0)</f>
        <v>60</v>
      </c>
      <c r="C7" s="79">
        <f>IFERROR(__xludf.DUMMYFUNCTION("""COMPUTED_VALUE"""),40.0)</f>
        <v>40</v>
      </c>
      <c r="D7" s="79">
        <f>IFERROR(__xludf.DUMMYFUNCTION("""COMPUTED_VALUE"""),40.4)</f>
        <v>40.4</v>
      </c>
      <c r="E7" s="79">
        <f>IFERROR(__xludf.DUMMYFUNCTION("""COMPUTED_VALUE"""),10.0)</f>
        <v>10</v>
      </c>
      <c r="F7" s="79">
        <f>IFERROR(__xludf.DUMMYFUNCTION("""COMPUTED_VALUE"""),3.0)</f>
        <v>3</v>
      </c>
      <c r="G7" s="79">
        <f>IFERROR(__xludf.DUMMYFUNCTION("""COMPUTED_VALUE"""),220.0)</f>
        <v>220</v>
      </c>
      <c r="H7" s="79">
        <f>IFERROR(__xludf.DUMMYFUNCTION("""COMPUTED_VALUE"""),222.8)</f>
        <v>222.8</v>
      </c>
      <c r="I7" s="80">
        <f>IFERROR(__xludf.DUMMYFUNCTION("""COMPUTED_VALUE"""),7.857142857142857)</f>
        <v>7.857142857</v>
      </c>
      <c r="J7" s="81">
        <f>IFERROR(__xludf.DUMMYFUNCTION("""COMPUTED_VALUE"""),7.957142857142857)</f>
        <v>7.957142857</v>
      </c>
      <c r="K7" s="78" t="s">
        <v>16</v>
      </c>
      <c r="L7" s="78">
        <v>40.0</v>
      </c>
      <c r="M7" s="78">
        <v>60.0</v>
      </c>
      <c r="N7" s="69">
        <f t="shared" si="1"/>
        <v>60.6</v>
      </c>
      <c r="O7" s="78">
        <v>4.0</v>
      </c>
      <c r="P7" s="78" t="s">
        <v>9</v>
      </c>
      <c r="Q7" s="70">
        <f t="shared" si="2"/>
        <v>20</v>
      </c>
      <c r="R7" s="71">
        <f t="shared" si="3"/>
        <v>20.6</v>
      </c>
      <c r="S7" s="72">
        <f t="shared" si="4"/>
        <v>5</v>
      </c>
      <c r="T7" s="73">
        <f t="shared" si="5"/>
        <v>5.15</v>
      </c>
    </row>
    <row r="8">
      <c r="A8" s="51" t="str">
        <f>IFERROR(__xludf.DUMMYFUNCTION("""COMPUTED_VALUE"""),"Potato*")</f>
        <v>Potato*</v>
      </c>
      <c r="B8" s="79">
        <f>IFERROR(__xludf.DUMMYFUNCTION("""COMPUTED_VALUE"""),50.0)</f>
        <v>50</v>
      </c>
      <c r="C8" s="79">
        <f>IFERROR(__xludf.DUMMYFUNCTION("""COMPUTED_VALUE"""),96.0)</f>
        <v>96</v>
      </c>
      <c r="D8" s="79">
        <f>IFERROR(__xludf.DUMMYFUNCTION("""COMPUTED_VALUE"""),96.96000000000001)</f>
        <v>96.96</v>
      </c>
      <c r="E8" s="79">
        <f>IFERROR(__xludf.DUMMYFUNCTION("""COMPUTED_VALUE"""),6.0)</f>
        <v>6</v>
      </c>
      <c r="F8" s="79" t="str">
        <f>IFERROR(__xludf.DUMMYFUNCTION("""COMPUTED_VALUE"""),"x")</f>
        <v>x</v>
      </c>
      <c r="G8" s="79">
        <f>IFERROR(__xludf.DUMMYFUNCTION("""COMPUTED_VALUE"""),46.0)</f>
        <v>46</v>
      </c>
      <c r="H8" s="79">
        <f>IFERROR(__xludf.DUMMYFUNCTION("""COMPUTED_VALUE"""),46.96000000000001)</f>
        <v>46.96</v>
      </c>
      <c r="I8" s="80">
        <f>IFERROR(__xludf.DUMMYFUNCTION("""COMPUTED_VALUE"""),7.666666666666667)</f>
        <v>7.666666667</v>
      </c>
      <c r="J8" s="81">
        <f>IFERROR(__xludf.DUMMYFUNCTION("""COMPUTED_VALUE"""),7.826666666666668)</f>
        <v>7.826666667</v>
      </c>
      <c r="K8" s="78" t="s">
        <v>17</v>
      </c>
      <c r="L8" s="78">
        <v>60.0</v>
      </c>
      <c r="M8" s="78">
        <v>40.0</v>
      </c>
      <c r="N8" s="69">
        <f t="shared" si="1"/>
        <v>40.4</v>
      </c>
      <c r="O8" s="78">
        <v>10.0</v>
      </c>
      <c r="P8" s="78">
        <v>3.0</v>
      </c>
      <c r="Q8" s="70">
        <f t="shared" si="2"/>
        <v>220</v>
      </c>
      <c r="R8" s="71">
        <f t="shared" si="3"/>
        <v>222.8</v>
      </c>
      <c r="S8" s="72">
        <f t="shared" si="4"/>
        <v>7.857142857</v>
      </c>
      <c r="T8" s="73">
        <f t="shared" si="5"/>
        <v>7.957142857</v>
      </c>
    </row>
    <row r="9">
      <c r="A9" s="51" t="str">
        <f>IFERROR(__xludf.DUMMYFUNCTION("""COMPUTED_VALUE"""),"Kale")</f>
        <v>Kale</v>
      </c>
      <c r="B9" s="79">
        <f>IFERROR(__xludf.DUMMYFUNCTION("""COMPUTED_VALUE"""),70.0)</f>
        <v>70</v>
      </c>
      <c r="C9" s="79">
        <f>IFERROR(__xludf.DUMMYFUNCTION("""COMPUTED_VALUE"""),110.0)</f>
        <v>110</v>
      </c>
      <c r="D9" s="79">
        <f>IFERROR(__xludf.DUMMYFUNCTION("""COMPUTED_VALUE"""),111.1)</f>
        <v>111.1</v>
      </c>
      <c r="E9" s="79">
        <f>IFERROR(__xludf.DUMMYFUNCTION("""COMPUTED_VALUE"""),6.0)</f>
        <v>6</v>
      </c>
      <c r="F9" s="79" t="str">
        <f>IFERROR(__xludf.DUMMYFUNCTION("""COMPUTED_VALUE"""),"x")</f>
        <v>x</v>
      </c>
      <c r="G9" s="79">
        <f>IFERROR(__xludf.DUMMYFUNCTION("""COMPUTED_VALUE"""),40.0)</f>
        <v>40</v>
      </c>
      <c r="H9" s="79">
        <f>IFERROR(__xludf.DUMMYFUNCTION("""COMPUTED_VALUE"""),41.099999999999994)</f>
        <v>41.1</v>
      </c>
      <c r="I9" s="80">
        <f>IFERROR(__xludf.DUMMYFUNCTION("""COMPUTED_VALUE"""),6.666666666666667)</f>
        <v>6.666666667</v>
      </c>
      <c r="J9" s="81">
        <f>IFERROR(__xludf.DUMMYFUNCTION("""COMPUTED_VALUE"""),6.849999999999999)</f>
        <v>6.85</v>
      </c>
      <c r="K9" s="78" t="s">
        <v>18</v>
      </c>
      <c r="L9" s="78">
        <v>70.0</v>
      </c>
      <c r="M9" s="78">
        <v>110.0</v>
      </c>
      <c r="N9" s="69">
        <f t="shared" si="1"/>
        <v>111.1</v>
      </c>
      <c r="O9" s="78">
        <v>6.0</v>
      </c>
      <c r="P9" s="78" t="s">
        <v>9</v>
      </c>
      <c r="Q9" s="70">
        <f t="shared" si="2"/>
        <v>40</v>
      </c>
      <c r="R9" s="71">
        <f t="shared" si="3"/>
        <v>41.1</v>
      </c>
      <c r="S9" s="72">
        <f t="shared" si="4"/>
        <v>6.666666667</v>
      </c>
      <c r="T9" s="73">
        <f t="shared" si="5"/>
        <v>6.85</v>
      </c>
    </row>
    <row r="10">
      <c r="A10" s="51" t="str">
        <f>IFERROR(__xludf.DUMMYFUNCTION("""COMPUTED_VALUE"""),"Garlic")</f>
        <v>Garlic</v>
      </c>
      <c r="B10" s="79">
        <f>IFERROR(__xludf.DUMMYFUNCTION("""COMPUTED_VALUE"""),40.0)</f>
        <v>40</v>
      </c>
      <c r="C10" s="79">
        <f>IFERROR(__xludf.DUMMYFUNCTION("""COMPUTED_VALUE"""),60.0)</f>
        <v>60</v>
      </c>
      <c r="D10" s="79">
        <f>IFERROR(__xludf.DUMMYFUNCTION("""COMPUTED_VALUE"""),60.6)</f>
        <v>60.6</v>
      </c>
      <c r="E10" s="79">
        <f>IFERROR(__xludf.DUMMYFUNCTION("""COMPUTED_VALUE"""),4.0)</f>
        <v>4</v>
      </c>
      <c r="F10" s="79" t="str">
        <f>IFERROR(__xludf.DUMMYFUNCTION("""COMPUTED_VALUE"""),"x")</f>
        <v>x</v>
      </c>
      <c r="G10" s="79">
        <f>IFERROR(__xludf.DUMMYFUNCTION("""COMPUTED_VALUE"""),20.0)</f>
        <v>20</v>
      </c>
      <c r="H10" s="79">
        <f>IFERROR(__xludf.DUMMYFUNCTION("""COMPUTED_VALUE"""),20.6)</f>
        <v>20.6</v>
      </c>
      <c r="I10" s="80">
        <f>IFERROR(__xludf.DUMMYFUNCTION("""COMPUTED_VALUE"""),5.0)</f>
        <v>5</v>
      </c>
      <c r="J10" s="81">
        <f>IFERROR(__xludf.DUMMYFUNCTION("""COMPUTED_VALUE"""),5.15)</f>
        <v>5.15</v>
      </c>
      <c r="K10" s="78" t="s">
        <v>19</v>
      </c>
      <c r="L10" s="78">
        <v>20.0</v>
      </c>
      <c r="M10" s="78">
        <v>35.0</v>
      </c>
      <c r="N10" s="69">
        <f t="shared" si="1"/>
        <v>35.35</v>
      </c>
      <c r="O10" s="78">
        <v>4.0</v>
      </c>
      <c r="P10" s="78" t="s">
        <v>9</v>
      </c>
      <c r="Q10" s="70">
        <f t="shared" si="2"/>
        <v>15</v>
      </c>
      <c r="R10" s="71">
        <f t="shared" si="3"/>
        <v>15.35</v>
      </c>
      <c r="S10" s="72">
        <f t="shared" si="4"/>
        <v>3.75</v>
      </c>
      <c r="T10" s="73">
        <f t="shared" si="5"/>
        <v>3.8375</v>
      </c>
    </row>
    <row r="11">
      <c r="A11" s="51" t="str">
        <f>IFERROR(__xludf.DUMMYFUNCTION("""COMPUTED_VALUE"""),"Parsnip")</f>
        <v>Parsnip</v>
      </c>
      <c r="B11" s="79">
        <f>IFERROR(__xludf.DUMMYFUNCTION("""COMPUTED_VALUE"""),20.0)</f>
        <v>20</v>
      </c>
      <c r="C11" s="79">
        <f>IFERROR(__xludf.DUMMYFUNCTION("""COMPUTED_VALUE"""),35.0)</f>
        <v>35</v>
      </c>
      <c r="D11" s="79">
        <f>IFERROR(__xludf.DUMMYFUNCTION("""COMPUTED_VALUE"""),35.35)</f>
        <v>35.35</v>
      </c>
      <c r="E11" s="79">
        <f>IFERROR(__xludf.DUMMYFUNCTION("""COMPUTED_VALUE"""),4.0)</f>
        <v>4</v>
      </c>
      <c r="F11" s="79" t="str">
        <f>IFERROR(__xludf.DUMMYFUNCTION("""COMPUTED_VALUE"""),"x")</f>
        <v>x</v>
      </c>
      <c r="G11" s="79">
        <f>IFERROR(__xludf.DUMMYFUNCTION("""COMPUTED_VALUE"""),15.0)</f>
        <v>15</v>
      </c>
      <c r="H11" s="79">
        <f>IFERROR(__xludf.DUMMYFUNCTION("""COMPUTED_VALUE"""),15.350000000000001)</f>
        <v>15.35</v>
      </c>
      <c r="I11" s="80">
        <f>IFERROR(__xludf.DUMMYFUNCTION("""COMPUTED_VALUE"""),3.75)</f>
        <v>3.75</v>
      </c>
      <c r="J11" s="81">
        <f>IFERROR(__xludf.DUMMYFUNCTION("""COMPUTED_VALUE"""),3.8375000000000004)</f>
        <v>3.8375</v>
      </c>
      <c r="K11" s="78" t="s">
        <v>21</v>
      </c>
      <c r="L11" s="78">
        <v>50.0</v>
      </c>
      <c r="M11" s="78">
        <v>96.0</v>
      </c>
      <c r="N11" s="69">
        <f t="shared" si="1"/>
        <v>96.96</v>
      </c>
      <c r="O11" s="78">
        <v>6.0</v>
      </c>
      <c r="P11" s="78" t="s">
        <v>9</v>
      </c>
      <c r="Q11" s="70">
        <f t="shared" si="2"/>
        <v>46</v>
      </c>
      <c r="R11" s="71">
        <f t="shared" si="3"/>
        <v>46.96</v>
      </c>
      <c r="S11" s="72">
        <f t="shared" si="4"/>
        <v>7.666666667</v>
      </c>
      <c r="T11" s="73">
        <f t="shared" si="5"/>
        <v>7.826666667</v>
      </c>
    </row>
    <row r="12">
      <c r="A12" s="51" t="str">
        <f>IFERROR(__xludf.DUMMYFUNCTION("""COMPUTED_VALUE"""),"Blue Jazz")</f>
        <v>Blue Jazz</v>
      </c>
      <c r="B12" s="79">
        <f>IFERROR(__xludf.DUMMYFUNCTION("""COMPUTED_VALUE"""),30.0)</f>
        <v>30</v>
      </c>
      <c r="C12" s="79">
        <f>IFERROR(__xludf.DUMMYFUNCTION("""COMPUTED_VALUE"""),50.0)</f>
        <v>50</v>
      </c>
      <c r="D12" s="79">
        <f>IFERROR(__xludf.DUMMYFUNCTION("""COMPUTED_VALUE"""),50.5)</f>
        <v>50.5</v>
      </c>
      <c r="E12" s="79">
        <f>IFERROR(__xludf.DUMMYFUNCTION("""COMPUTED_VALUE"""),7.0)</f>
        <v>7</v>
      </c>
      <c r="F12" s="79" t="str">
        <f>IFERROR(__xludf.DUMMYFUNCTION("""COMPUTED_VALUE"""),"x")</f>
        <v>x</v>
      </c>
      <c r="G12" s="79">
        <f>IFERROR(__xludf.DUMMYFUNCTION("""COMPUTED_VALUE"""),20.0)</f>
        <v>20</v>
      </c>
      <c r="H12" s="79">
        <f>IFERROR(__xludf.DUMMYFUNCTION("""COMPUTED_VALUE"""),20.5)</f>
        <v>20.5</v>
      </c>
      <c r="I12" s="80">
        <f>IFERROR(__xludf.DUMMYFUNCTION("""COMPUTED_VALUE"""),2.857142857142857)</f>
        <v>2.857142857</v>
      </c>
      <c r="J12" s="81">
        <f>IFERROR(__xludf.DUMMYFUNCTION("""COMPUTED_VALUE"""),2.9285714285714284)</f>
        <v>2.928571429</v>
      </c>
      <c r="K12" s="78" t="s">
        <v>22</v>
      </c>
      <c r="L12" s="78">
        <v>100.0</v>
      </c>
      <c r="M12" s="78">
        <v>220.0</v>
      </c>
      <c r="N12" s="69">
        <f t="shared" si="1"/>
        <v>222.2</v>
      </c>
      <c r="O12" s="78">
        <v>13.0</v>
      </c>
      <c r="P12" s="78" t="s">
        <v>9</v>
      </c>
      <c r="Q12" s="70">
        <f t="shared" si="2"/>
        <v>120</v>
      </c>
      <c r="R12" s="71">
        <f t="shared" si="3"/>
        <v>122.2</v>
      </c>
      <c r="S12" s="72">
        <f t="shared" si="4"/>
        <v>9.230769231</v>
      </c>
      <c r="T12" s="73">
        <f t="shared" si="5"/>
        <v>9.4</v>
      </c>
    </row>
    <row r="13">
      <c r="A13" s="51" t="str">
        <f>IFERROR(__xludf.DUMMYFUNCTION("""COMPUTED_VALUE"""),"Tulip")</f>
        <v>Tulip</v>
      </c>
      <c r="B13" s="79">
        <f>IFERROR(__xludf.DUMMYFUNCTION("""COMPUTED_VALUE"""),20.0)</f>
        <v>20</v>
      </c>
      <c r="C13" s="79">
        <f>IFERROR(__xludf.DUMMYFUNCTION("""COMPUTED_VALUE"""),30.0)</f>
        <v>30</v>
      </c>
      <c r="D13" s="79">
        <f>IFERROR(__xludf.DUMMYFUNCTION("""COMPUTED_VALUE"""),30.3)</f>
        <v>30.3</v>
      </c>
      <c r="E13" s="79">
        <f>IFERROR(__xludf.DUMMYFUNCTION("""COMPUTED_VALUE"""),6.0)</f>
        <v>6</v>
      </c>
      <c r="F13" s="79" t="str">
        <f>IFERROR(__xludf.DUMMYFUNCTION("""COMPUTED_VALUE"""),"x")</f>
        <v>x</v>
      </c>
      <c r="G13" s="79">
        <f>IFERROR(__xludf.DUMMYFUNCTION("""COMPUTED_VALUE"""),10.0)</f>
        <v>10</v>
      </c>
      <c r="H13" s="79">
        <f>IFERROR(__xludf.DUMMYFUNCTION("""COMPUTED_VALUE"""),10.3)</f>
        <v>10.3</v>
      </c>
      <c r="I13" s="80">
        <f>IFERROR(__xludf.DUMMYFUNCTION("""COMPUTED_VALUE"""),1.6666666666666667)</f>
        <v>1.666666667</v>
      </c>
      <c r="J13" s="81">
        <f>IFERROR(__xludf.DUMMYFUNCTION("""COMPUTED_VALUE"""),1.7166666666666668)</f>
        <v>1.716666667</v>
      </c>
      <c r="K13" s="78" t="s">
        <v>23</v>
      </c>
      <c r="L13" s="78">
        <v>100.0</v>
      </c>
      <c r="M13" s="78">
        <v>120.0</v>
      </c>
      <c r="N13" s="69">
        <f t="shared" si="1"/>
        <v>121.2</v>
      </c>
      <c r="O13" s="78">
        <v>8.0</v>
      </c>
      <c r="P13" s="78">
        <v>4.0</v>
      </c>
      <c r="Q13" s="70">
        <f t="shared" si="2"/>
        <v>620</v>
      </c>
      <c r="R13" s="71">
        <f t="shared" si="3"/>
        <v>627.2</v>
      </c>
      <c r="S13" s="72">
        <f t="shared" si="4"/>
        <v>22.14285714</v>
      </c>
      <c r="T13" s="73">
        <f t="shared" si="5"/>
        <v>22.4</v>
      </c>
    </row>
    <row r="14">
      <c r="A14" s="51" t="str">
        <f>IFERROR(__xludf.DUMMYFUNCTION("""COMPUTED_VALUE"""),"Coffee Bean*")</f>
        <v>Coffee Bean*</v>
      </c>
      <c r="B14" s="79">
        <f>IFERROR(__xludf.DUMMYFUNCTION("""COMPUTED_VALUE"""),2500.0)</f>
        <v>2500</v>
      </c>
      <c r="C14" s="79">
        <f>IFERROR(__xludf.DUMMYFUNCTION("""COMPUTED_VALUE"""),60.0)</f>
        <v>60</v>
      </c>
      <c r="D14" s="79">
        <f>IFERROR(__xludf.DUMMYFUNCTION("""COMPUTED_VALUE"""),60.6)</f>
        <v>60.6</v>
      </c>
      <c r="E14" s="79">
        <f>IFERROR(__xludf.DUMMYFUNCTION("""COMPUTED_VALUE"""),10.0)</f>
        <v>10</v>
      </c>
      <c r="F14" s="79">
        <f>IFERROR(__xludf.DUMMYFUNCTION("""COMPUTED_VALUE"""),2.0)</f>
        <v>2</v>
      </c>
      <c r="G14" s="79">
        <f>IFERROR(__xludf.DUMMYFUNCTION("""COMPUTED_VALUE"""),-1900.0)</f>
        <v>-1900</v>
      </c>
      <c r="H14" s="79">
        <f>IFERROR(__xludf.DUMMYFUNCTION("""COMPUTED_VALUE"""),-1894.0)</f>
        <v>-1894</v>
      </c>
      <c r="I14" s="80">
        <f>IFERROR(__xludf.DUMMYFUNCTION("""COMPUTED_VALUE"""),-67.85714285714286)</f>
        <v>-67.85714286</v>
      </c>
      <c r="J14" s="81">
        <f>IFERROR(__xludf.DUMMYFUNCTION("""COMPUTED_VALUE"""),-67.64285714285714)</f>
        <v>-67.64285714</v>
      </c>
      <c r="K14" s="78" t="s">
        <v>24</v>
      </c>
      <c r="L14" s="78">
        <v>20.0</v>
      </c>
      <c r="M14" s="78">
        <v>30.0</v>
      </c>
      <c r="N14" s="69">
        <f t="shared" si="1"/>
        <v>30.3</v>
      </c>
      <c r="O14" s="78">
        <v>6.0</v>
      </c>
      <c r="P14" s="78" t="s">
        <v>9</v>
      </c>
      <c r="Q14" s="70">
        <f t="shared" si="2"/>
        <v>10</v>
      </c>
      <c r="R14" s="71">
        <f t="shared" si="3"/>
        <v>10.3</v>
      </c>
      <c r="S14" s="72">
        <f t="shared" si="4"/>
        <v>1.666666667</v>
      </c>
      <c r="T14" s="73">
        <f t="shared" si="5"/>
        <v>1.716666667</v>
      </c>
    </row>
    <row r="15">
      <c r="A15" s="51"/>
      <c r="B15" s="79"/>
      <c r="C15" s="79"/>
      <c r="D15" s="79"/>
      <c r="E15" s="79"/>
      <c r="F15" s="79"/>
      <c r="G15" s="79"/>
      <c r="H15" s="79"/>
      <c r="I15" s="80"/>
      <c r="J15" s="81"/>
      <c r="K15" s="78"/>
      <c r="L15" s="78"/>
      <c r="M15" s="78"/>
      <c r="N15" s="69" t="str">
        <f t="shared" si="1"/>
        <v/>
      </c>
      <c r="O15" s="78"/>
      <c r="P15" s="78"/>
      <c r="Q15" s="70" t="str">
        <f t="shared" si="2"/>
        <v/>
      </c>
      <c r="R15" s="71" t="str">
        <f t="shared" si="3"/>
        <v/>
      </c>
      <c r="S15" s="72" t="str">
        <f t="shared" si="4"/>
        <v/>
      </c>
      <c r="T15" s="73" t="str">
        <f t="shared" si="5"/>
        <v/>
      </c>
    </row>
    <row r="16">
      <c r="A16" s="82"/>
      <c r="B16" s="83"/>
      <c r="C16" s="83"/>
      <c r="D16" s="83"/>
      <c r="E16" s="83"/>
      <c r="F16" s="83"/>
      <c r="G16" s="83"/>
      <c r="H16" s="83"/>
      <c r="I16" s="80"/>
      <c r="J16" s="81"/>
      <c r="K16" s="78"/>
      <c r="L16" s="78"/>
      <c r="M16" s="78"/>
      <c r="N16" s="69" t="str">
        <f t="shared" si="1"/>
        <v/>
      </c>
      <c r="O16" s="78"/>
      <c r="P16" s="78"/>
      <c r="Q16" s="70" t="str">
        <f t="shared" si="2"/>
        <v/>
      </c>
      <c r="R16" s="71" t="str">
        <f t="shared" si="3"/>
        <v/>
      </c>
      <c r="S16" s="72" t="str">
        <f t="shared" si="4"/>
        <v/>
      </c>
      <c r="T16" s="73" t="str">
        <f t="shared" si="5"/>
        <v/>
      </c>
    </row>
    <row r="17">
      <c r="A17" s="82"/>
      <c r="B17" s="83"/>
      <c r="C17" s="83"/>
      <c r="D17" s="83"/>
      <c r="E17" s="83"/>
      <c r="F17" s="83"/>
      <c r="G17" s="83"/>
      <c r="H17" s="83"/>
      <c r="I17" s="80"/>
      <c r="J17" s="81"/>
      <c r="K17" s="78"/>
      <c r="L17" s="78"/>
      <c r="M17" s="78"/>
      <c r="N17" s="69" t="str">
        <f t="shared" si="1"/>
        <v/>
      </c>
      <c r="O17" s="78"/>
      <c r="P17" s="78"/>
      <c r="Q17" s="70" t="str">
        <f t="shared" si="2"/>
        <v/>
      </c>
      <c r="R17" s="71" t="str">
        <f t="shared" si="3"/>
        <v/>
      </c>
      <c r="S17" s="72" t="str">
        <f t="shared" si="4"/>
        <v/>
      </c>
      <c r="T17" s="73" t="str">
        <f t="shared" si="5"/>
        <v/>
      </c>
    </row>
    <row r="18">
      <c r="A18" s="82"/>
      <c r="B18" s="83"/>
      <c r="C18" s="83"/>
      <c r="D18" s="83"/>
      <c r="E18" s="83"/>
      <c r="F18" s="83"/>
      <c r="G18" s="83"/>
      <c r="H18" s="83"/>
      <c r="I18" s="80"/>
      <c r="J18" s="81"/>
      <c r="K18" s="78"/>
      <c r="L18" s="78"/>
      <c r="M18" s="78"/>
      <c r="N18" s="69" t="str">
        <f t="shared" si="1"/>
        <v/>
      </c>
      <c r="O18" s="78"/>
      <c r="P18" s="78"/>
      <c r="Q18" s="70" t="str">
        <f t="shared" si="2"/>
        <v/>
      </c>
      <c r="R18" s="71" t="str">
        <f t="shared" si="3"/>
        <v/>
      </c>
      <c r="S18" s="72" t="str">
        <f t="shared" si="4"/>
        <v/>
      </c>
      <c r="T18" s="73" t="str">
        <f t="shared" si="5"/>
        <v/>
      </c>
    </row>
    <row r="19">
      <c r="A19" s="82"/>
      <c r="B19" s="83"/>
      <c r="C19" s="83"/>
      <c r="D19" s="83"/>
      <c r="E19" s="83"/>
      <c r="F19" s="83"/>
      <c r="G19" s="83"/>
      <c r="H19" s="83"/>
      <c r="I19" s="80"/>
      <c r="J19" s="81"/>
      <c r="K19" s="78"/>
      <c r="L19" s="78"/>
      <c r="M19" s="78"/>
      <c r="N19" s="69" t="str">
        <f t="shared" si="1"/>
        <v/>
      </c>
      <c r="O19" s="78"/>
      <c r="P19" s="78"/>
      <c r="Q19" s="70" t="str">
        <f t="shared" si="2"/>
        <v/>
      </c>
      <c r="R19" s="71" t="str">
        <f t="shared" si="3"/>
        <v/>
      </c>
      <c r="S19" s="72" t="str">
        <f t="shared" si="4"/>
        <v/>
      </c>
      <c r="T19" s="73" t="str">
        <f t="shared" si="5"/>
        <v/>
      </c>
    </row>
    <row r="20">
      <c r="A20" s="82"/>
      <c r="B20" s="83"/>
      <c r="C20" s="83"/>
      <c r="D20" s="83"/>
      <c r="E20" s="83"/>
      <c r="F20" s="83"/>
      <c r="G20" s="83"/>
      <c r="H20" s="83"/>
      <c r="I20" s="80"/>
      <c r="J20" s="81"/>
      <c r="K20" s="78"/>
      <c r="L20" s="78"/>
      <c r="M20" s="78"/>
      <c r="N20" s="69" t="str">
        <f t="shared" si="1"/>
        <v/>
      </c>
      <c r="O20" s="78"/>
      <c r="P20" s="78"/>
      <c r="Q20" s="70" t="str">
        <f t="shared" si="2"/>
        <v/>
      </c>
      <c r="R20" s="71" t="str">
        <f t="shared" si="3"/>
        <v/>
      </c>
      <c r="S20" s="72" t="str">
        <f t="shared" si="4"/>
        <v/>
      </c>
      <c r="T20" s="73" t="str">
        <f t="shared" si="5"/>
        <v/>
      </c>
    </row>
    <row r="21">
      <c r="A21" s="82"/>
      <c r="B21" s="83"/>
      <c r="C21" s="83"/>
      <c r="D21" s="83"/>
      <c r="E21" s="83"/>
      <c r="F21" s="83"/>
      <c r="G21" s="83"/>
      <c r="H21" s="83"/>
      <c r="I21" s="80"/>
      <c r="J21" s="81"/>
      <c r="K21" s="78"/>
      <c r="L21" s="78"/>
      <c r="M21" s="78"/>
      <c r="N21" s="69" t="str">
        <f t="shared" si="1"/>
        <v/>
      </c>
      <c r="O21" s="78"/>
      <c r="P21" s="78"/>
      <c r="Q21" s="70" t="str">
        <f t="shared" si="2"/>
        <v/>
      </c>
      <c r="R21" s="71" t="str">
        <f t="shared" si="3"/>
        <v/>
      </c>
      <c r="S21" s="72" t="str">
        <f t="shared" si="4"/>
        <v/>
      </c>
      <c r="T21" s="73" t="str">
        <f t="shared" si="5"/>
        <v/>
      </c>
    </row>
    <row r="22">
      <c r="A22" s="82"/>
      <c r="B22" s="83"/>
      <c r="C22" s="83"/>
      <c r="D22" s="83"/>
      <c r="E22" s="83"/>
      <c r="F22" s="83"/>
      <c r="G22" s="83"/>
      <c r="H22" s="83"/>
      <c r="I22" s="80"/>
      <c r="J22" s="81"/>
      <c r="K22" s="78"/>
      <c r="L22" s="78"/>
      <c r="M22" s="78"/>
      <c r="N22" s="69" t="str">
        <f t="shared" si="1"/>
        <v/>
      </c>
      <c r="O22" s="78"/>
      <c r="P22" s="78"/>
      <c r="Q22" s="70" t="str">
        <f t="shared" si="2"/>
        <v/>
      </c>
      <c r="R22" s="71" t="str">
        <f t="shared" si="3"/>
        <v/>
      </c>
      <c r="S22" s="72" t="str">
        <f t="shared" si="4"/>
        <v/>
      </c>
      <c r="T22" s="73" t="str">
        <f t="shared" si="5"/>
        <v/>
      </c>
    </row>
    <row r="23">
      <c r="A23" s="82"/>
      <c r="B23" s="83"/>
      <c r="C23" s="83"/>
      <c r="D23" s="83"/>
      <c r="E23" s="83"/>
      <c r="F23" s="83"/>
      <c r="G23" s="83"/>
      <c r="H23" s="83"/>
      <c r="I23" s="80"/>
      <c r="J23" s="81"/>
      <c r="K23" s="78"/>
      <c r="L23" s="78"/>
      <c r="M23" s="78"/>
      <c r="N23" s="69" t="str">
        <f t="shared" si="1"/>
        <v/>
      </c>
      <c r="O23" s="78"/>
      <c r="P23" s="78"/>
      <c r="Q23" s="70" t="str">
        <f t="shared" si="2"/>
        <v/>
      </c>
      <c r="R23" s="71" t="str">
        <f t="shared" si="3"/>
        <v/>
      </c>
      <c r="S23" s="72" t="str">
        <f t="shared" si="4"/>
        <v/>
      </c>
      <c r="T23" s="73" t="str">
        <f t="shared" si="5"/>
        <v/>
      </c>
    </row>
    <row r="24">
      <c r="A24" s="82"/>
      <c r="B24" s="83"/>
      <c r="C24" s="83"/>
      <c r="D24" s="83"/>
      <c r="E24" s="83"/>
      <c r="F24" s="83"/>
      <c r="G24" s="83"/>
      <c r="H24" s="83"/>
      <c r="I24" s="80"/>
      <c r="J24" s="81"/>
      <c r="K24" s="78"/>
      <c r="L24" s="78"/>
      <c r="M24" s="78"/>
      <c r="N24" s="69" t="str">
        <f t="shared" si="1"/>
        <v/>
      </c>
      <c r="O24" s="78"/>
      <c r="P24" s="78"/>
      <c r="Q24" s="70" t="str">
        <f t="shared" si="2"/>
        <v/>
      </c>
      <c r="R24" s="71" t="str">
        <f t="shared" si="3"/>
        <v/>
      </c>
      <c r="S24" s="72" t="str">
        <f t="shared" si="4"/>
        <v/>
      </c>
      <c r="T24" s="73" t="str">
        <f t="shared" si="5"/>
        <v/>
      </c>
    </row>
    <row r="25">
      <c r="A25" s="82"/>
      <c r="B25" s="83"/>
      <c r="C25" s="83"/>
      <c r="D25" s="83"/>
      <c r="E25" s="83"/>
      <c r="F25" s="83"/>
      <c r="G25" s="83"/>
      <c r="H25" s="83"/>
      <c r="I25" s="80"/>
      <c r="J25" s="81"/>
      <c r="K25" s="78"/>
      <c r="L25" s="78"/>
      <c r="M25" s="78"/>
      <c r="N25" s="69" t="str">
        <f t="shared" si="1"/>
        <v/>
      </c>
      <c r="O25" s="78"/>
      <c r="P25" s="78"/>
      <c r="Q25" s="70" t="str">
        <f t="shared" si="2"/>
        <v/>
      </c>
      <c r="R25" s="71" t="str">
        <f t="shared" si="3"/>
        <v/>
      </c>
      <c r="S25" s="72" t="str">
        <f t="shared" si="4"/>
        <v/>
      </c>
      <c r="T25" s="73" t="str">
        <f t="shared" si="5"/>
        <v/>
      </c>
    </row>
    <row r="26">
      <c r="A26" s="82"/>
      <c r="B26" s="83"/>
      <c r="C26" s="83"/>
      <c r="D26" s="83"/>
      <c r="E26" s="83"/>
      <c r="F26" s="83"/>
      <c r="G26" s="83"/>
      <c r="H26" s="83"/>
      <c r="I26" s="80"/>
      <c r="J26" s="81"/>
      <c r="K26" s="78"/>
      <c r="L26" s="78"/>
      <c r="M26" s="78"/>
      <c r="N26" s="69" t="str">
        <f t="shared" si="1"/>
        <v/>
      </c>
      <c r="O26" s="78"/>
      <c r="P26" s="78"/>
      <c r="Q26" s="70" t="str">
        <f t="shared" si="2"/>
        <v/>
      </c>
      <c r="R26" s="71" t="str">
        <f t="shared" si="3"/>
        <v/>
      </c>
      <c r="S26" s="72" t="str">
        <f t="shared" si="4"/>
        <v/>
      </c>
      <c r="T26" s="73" t="str">
        <f t="shared" si="5"/>
        <v/>
      </c>
    </row>
    <row r="27">
      <c r="A27" s="82"/>
      <c r="B27" s="83"/>
      <c r="C27" s="83"/>
      <c r="D27" s="83"/>
      <c r="E27" s="83"/>
      <c r="F27" s="83"/>
      <c r="G27" s="83"/>
      <c r="H27" s="83"/>
      <c r="I27" s="80"/>
      <c r="J27" s="81"/>
      <c r="K27" s="78"/>
      <c r="L27" s="78"/>
      <c r="M27" s="78"/>
      <c r="N27" s="69" t="str">
        <f t="shared" si="1"/>
        <v/>
      </c>
      <c r="O27" s="78"/>
      <c r="P27" s="78"/>
      <c r="Q27" s="70" t="str">
        <f t="shared" si="2"/>
        <v/>
      </c>
      <c r="R27" s="71" t="str">
        <f t="shared" si="3"/>
        <v/>
      </c>
      <c r="S27" s="72" t="str">
        <f t="shared" si="4"/>
        <v/>
      </c>
      <c r="T27" s="73" t="str">
        <f t="shared" si="5"/>
        <v/>
      </c>
    </row>
    <row r="28">
      <c r="A28" s="82"/>
      <c r="B28" s="83"/>
      <c r="C28" s="83"/>
      <c r="D28" s="83"/>
      <c r="E28" s="83"/>
      <c r="F28" s="83"/>
      <c r="G28" s="83"/>
      <c r="H28" s="83"/>
      <c r="I28" s="80"/>
      <c r="J28" s="81"/>
      <c r="K28" s="78"/>
      <c r="L28" s="78"/>
      <c r="M28" s="78"/>
      <c r="N28" s="69" t="str">
        <f t="shared" si="1"/>
        <v/>
      </c>
      <c r="O28" s="78"/>
      <c r="P28" s="78"/>
      <c r="Q28" s="70" t="str">
        <f t="shared" si="2"/>
        <v/>
      </c>
      <c r="R28" s="71" t="str">
        <f t="shared" si="3"/>
        <v/>
      </c>
      <c r="S28" s="72" t="str">
        <f t="shared" si="4"/>
        <v/>
      </c>
      <c r="T28" s="73" t="str">
        <f t="shared" si="5"/>
        <v/>
      </c>
    </row>
    <row r="29">
      <c r="A29" s="82"/>
      <c r="B29" s="83"/>
      <c r="C29" s="83"/>
      <c r="D29" s="83"/>
      <c r="E29" s="83"/>
      <c r="F29" s="83"/>
      <c r="G29" s="83"/>
      <c r="H29" s="83"/>
      <c r="I29" s="80"/>
      <c r="J29" s="81"/>
      <c r="K29" s="78"/>
      <c r="L29" s="78"/>
      <c r="M29" s="78"/>
      <c r="N29" s="69" t="str">
        <f t="shared" si="1"/>
        <v/>
      </c>
      <c r="O29" s="78"/>
      <c r="P29" s="78"/>
      <c r="Q29" s="70" t="str">
        <f t="shared" si="2"/>
        <v/>
      </c>
      <c r="R29" s="71" t="str">
        <f t="shared" si="3"/>
        <v/>
      </c>
      <c r="S29" s="72" t="str">
        <f t="shared" si="4"/>
        <v/>
      </c>
      <c r="T29" s="73" t="str">
        <f t="shared" si="5"/>
        <v/>
      </c>
    </row>
    <row r="30">
      <c r="A30" s="82"/>
      <c r="B30" s="83"/>
      <c r="C30" s="83"/>
      <c r="D30" s="83"/>
      <c r="E30" s="83"/>
      <c r="F30" s="83"/>
      <c r="G30" s="83"/>
      <c r="H30" s="83"/>
      <c r="I30" s="80"/>
      <c r="J30" s="81"/>
      <c r="K30" s="78"/>
      <c r="L30" s="78"/>
      <c r="M30" s="78"/>
      <c r="N30" s="69" t="str">
        <f t="shared" si="1"/>
        <v/>
      </c>
      <c r="O30" s="78"/>
      <c r="P30" s="78"/>
      <c r="Q30" s="70" t="str">
        <f t="shared" si="2"/>
        <v/>
      </c>
      <c r="R30" s="71" t="str">
        <f t="shared" si="3"/>
        <v/>
      </c>
      <c r="S30" s="72" t="str">
        <f t="shared" si="4"/>
        <v/>
      </c>
      <c r="T30" s="73" t="str">
        <f t="shared" si="5"/>
        <v/>
      </c>
    </row>
    <row r="31">
      <c r="A31" s="82"/>
      <c r="B31" s="83"/>
      <c r="C31" s="83"/>
      <c r="D31" s="83"/>
      <c r="E31" s="83"/>
      <c r="F31" s="83"/>
      <c r="G31" s="83"/>
      <c r="H31" s="83"/>
      <c r="I31" s="80"/>
      <c r="J31" s="81"/>
      <c r="K31" s="78"/>
      <c r="L31" s="78"/>
      <c r="M31" s="78"/>
      <c r="N31" s="69" t="str">
        <f t="shared" si="1"/>
        <v/>
      </c>
      <c r="O31" s="78"/>
      <c r="P31" s="78"/>
      <c r="Q31" s="70" t="str">
        <f t="shared" si="2"/>
        <v/>
      </c>
      <c r="R31" s="71" t="str">
        <f t="shared" si="3"/>
        <v/>
      </c>
      <c r="S31" s="72" t="str">
        <f t="shared" si="4"/>
        <v/>
      </c>
      <c r="T31" s="73" t="str">
        <f t="shared" si="5"/>
        <v/>
      </c>
    </row>
    <row r="32">
      <c r="A32" s="82"/>
      <c r="B32" s="83"/>
      <c r="C32" s="83"/>
      <c r="D32" s="83"/>
      <c r="E32" s="83"/>
      <c r="F32" s="83"/>
      <c r="G32" s="83"/>
      <c r="H32" s="83"/>
      <c r="I32" s="80"/>
      <c r="J32" s="81"/>
      <c r="K32" s="78"/>
      <c r="L32" s="78"/>
      <c r="M32" s="78"/>
      <c r="N32" s="69" t="str">
        <f t="shared" si="1"/>
        <v/>
      </c>
      <c r="O32" s="78"/>
      <c r="P32" s="78"/>
      <c r="Q32" s="70" t="str">
        <f t="shared" si="2"/>
        <v/>
      </c>
      <c r="R32" s="71" t="str">
        <f t="shared" si="3"/>
        <v/>
      </c>
      <c r="S32" s="72" t="str">
        <f t="shared" si="4"/>
        <v/>
      </c>
      <c r="T32" s="73" t="str">
        <f t="shared" si="5"/>
        <v/>
      </c>
    </row>
    <row r="33">
      <c r="A33" s="82"/>
      <c r="B33" s="83"/>
      <c r="C33" s="83"/>
      <c r="D33" s="83"/>
      <c r="E33" s="83"/>
      <c r="F33" s="83"/>
      <c r="G33" s="83"/>
      <c r="H33" s="83"/>
      <c r="I33" s="80"/>
      <c r="J33" s="81"/>
      <c r="K33" s="78"/>
      <c r="L33" s="78"/>
      <c r="M33" s="78"/>
      <c r="N33" s="69" t="str">
        <f t="shared" si="1"/>
        <v/>
      </c>
      <c r="O33" s="78"/>
      <c r="P33" s="78"/>
      <c r="Q33" s="70" t="str">
        <f t="shared" si="2"/>
        <v/>
      </c>
      <c r="R33" s="71" t="str">
        <f t="shared" si="3"/>
        <v/>
      </c>
      <c r="S33" s="72" t="str">
        <f t="shared" si="4"/>
        <v/>
      </c>
      <c r="T33" s="73" t="str">
        <f t="shared" si="5"/>
        <v/>
      </c>
    </row>
    <row r="34">
      <c r="A34" s="82"/>
      <c r="B34" s="83"/>
      <c r="C34" s="83"/>
      <c r="D34" s="83"/>
      <c r="E34" s="83"/>
      <c r="F34" s="83"/>
      <c r="G34" s="83"/>
      <c r="H34" s="83"/>
      <c r="I34" s="80"/>
      <c r="J34" s="81"/>
      <c r="K34" s="78"/>
      <c r="L34" s="78"/>
      <c r="M34" s="78"/>
      <c r="N34" s="69" t="str">
        <f t="shared" si="1"/>
        <v/>
      </c>
      <c r="O34" s="78"/>
      <c r="P34" s="78"/>
      <c r="Q34" s="70" t="str">
        <f t="shared" si="2"/>
        <v/>
      </c>
      <c r="R34" s="71" t="str">
        <f t="shared" si="3"/>
        <v/>
      </c>
      <c r="S34" s="72" t="str">
        <f t="shared" si="4"/>
        <v/>
      </c>
      <c r="T34" s="73" t="str">
        <f t="shared" si="5"/>
        <v/>
      </c>
    </row>
    <row r="35">
      <c r="A35" s="82"/>
      <c r="B35" s="83"/>
      <c r="C35" s="83"/>
      <c r="D35" s="83"/>
      <c r="E35" s="83"/>
      <c r="F35" s="83"/>
      <c r="G35" s="83"/>
      <c r="H35" s="83"/>
      <c r="I35" s="80"/>
      <c r="J35" s="81"/>
      <c r="K35" s="78"/>
      <c r="L35" s="78"/>
      <c r="M35" s="78"/>
      <c r="N35" s="69" t="str">
        <f t="shared" si="1"/>
        <v/>
      </c>
      <c r="O35" s="78"/>
      <c r="P35" s="78"/>
      <c r="Q35" s="70" t="str">
        <f t="shared" si="2"/>
        <v/>
      </c>
      <c r="R35" s="71" t="str">
        <f t="shared" si="3"/>
        <v/>
      </c>
      <c r="S35" s="72" t="str">
        <f t="shared" si="4"/>
        <v/>
      </c>
      <c r="T35" s="73" t="str">
        <f t="shared" si="5"/>
        <v/>
      </c>
    </row>
    <row r="36">
      <c r="A36" s="82"/>
      <c r="B36" s="83"/>
      <c r="C36" s="83"/>
      <c r="D36" s="83"/>
      <c r="E36" s="83"/>
      <c r="F36" s="83"/>
      <c r="G36" s="83"/>
      <c r="H36" s="83"/>
      <c r="I36" s="80"/>
      <c r="J36" s="81"/>
      <c r="K36" s="78"/>
      <c r="L36" s="78"/>
      <c r="M36" s="78"/>
      <c r="N36" s="69" t="str">
        <f t="shared" si="1"/>
        <v/>
      </c>
      <c r="O36" s="78"/>
      <c r="P36" s="78"/>
      <c r="Q36" s="70" t="str">
        <f t="shared" si="2"/>
        <v/>
      </c>
      <c r="R36" s="71" t="str">
        <f t="shared" si="3"/>
        <v/>
      </c>
      <c r="S36" s="72" t="str">
        <f t="shared" si="4"/>
        <v/>
      </c>
      <c r="T36" s="73" t="str">
        <f t="shared" si="5"/>
        <v/>
      </c>
    </row>
    <row r="37">
      <c r="A37" s="82"/>
      <c r="B37" s="83"/>
      <c r="C37" s="83"/>
      <c r="D37" s="83"/>
      <c r="E37" s="83"/>
      <c r="F37" s="83"/>
      <c r="G37" s="83"/>
      <c r="H37" s="83"/>
      <c r="I37" s="80"/>
      <c r="J37" s="81"/>
      <c r="K37" s="78"/>
      <c r="L37" s="78"/>
      <c r="M37" s="78"/>
      <c r="N37" s="69" t="str">
        <f t="shared" si="1"/>
        <v/>
      </c>
      <c r="O37" s="78"/>
      <c r="P37" s="78"/>
      <c r="Q37" s="70" t="str">
        <f t="shared" si="2"/>
        <v/>
      </c>
      <c r="R37" s="71" t="str">
        <f t="shared" si="3"/>
        <v/>
      </c>
      <c r="S37" s="72" t="str">
        <f t="shared" si="4"/>
        <v/>
      </c>
      <c r="T37" s="73" t="str">
        <f t="shared" si="5"/>
        <v/>
      </c>
    </row>
  </sheetData>
  <conditionalFormatting sqref="A4:A37 B4:J4">
    <cfRule type="expression" dxfId="0" priority="1">
      <formula>COUNTIF(INDIRECT("'Spring Crops'!A2:A"), A4) &gt; 0</formula>
    </cfRule>
  </conditionalFormatting>
  <conditionalFormatting sqref="B4:H37">
    <cfRule type="expression" dxfId="1" priority="2">
      <formula>COUNTIF(INDIRECT("'Spring Crops'!A2:A"), $A4) &gt; 0</formula>
    </cfRule>
  </conditionalFormatting>
  <conditionalFormatting sqref="I4:J37">
    <cfRule type="expression" dxfId="2" priority="3">
      <formula>COUNTIF(INDIRECT("'Spring Crops'!A2:A"), $A4) &gt; 0</formula>
    </cfRule>
  </conditionalFormatting>
  <conditionalFormatting sqref="A4:A37 B4:J4">
    <cfRule type="expression" dxfId="3" priority="4">
      <formula>COUNTIF(INDIRECT("'Summer Crops'!A2:A"), A4) &gt; 0</formula>
    </cfRule>
  </conditionalFormatting>
  <conditionalFormatting sqref="B4:H37">
    <cfRule type="expression" dxfId="4" priority="5">
      <formula>COUNTIF(INDIRECT("'Summer Crops'!A2:A"), $A4) &gt; 0</formula>
    </cfRule>
  </conditionalFormatting>
  <conditionalFormatting sqref="I4:J37">
    <cfRule type="expression" dxfId="5" priority="6">
      <formula>COUNTIF(INDIRECT("'Summer Crops'!A2:A"), $A4) &gt; 0</formula>
    </cfRule>
  </conditionalFormatting>
  <conditionalFormatting sqref="A4:A37 B4:J4">
    <cfRule type="expression" dxfId="6" priority="7">
      <formula>COUNTIF(INDIRECT("'Fall Crops'!A2:A"), A4) &gt; 0</formula>
    </cfRule>
  </conditionalFormatting>
  <conditionalFormatting sqref="B4:H37">
    <cfRule type="expression" dxfId="7" priority="8">
      <formula>COUNTIF(INDIRECT("'Fall Crops'!A2:A"), $A4) &gt; 0</formula>
    </cfRule>
  </conditionalFormatting>
  <conditionalFormatting sqref="I4:J37">
    <cfRule type="expression" dxfId="8" priority="9">
      <formula>COUNTIF(INDIRECT("'Fall Crops'!A2:A"), $A4) &gt; 0</formula>
    </cfRule>
  </conditionalFormatting>
  <dataValidations>
    <dataValidation type="list" allowBlank="1" sqref="B2">
      <formula1>"All,Spring,Summer,Fall"</formula1>
    </dataValidation>
    <dataValidation type="list" allowBlank="1" sqref="C2">
      <formula1>"0,1,2,3,4,5,6,7,8,9,10,11,12,13"</formula1>
    </dataValidation>
    <dataValidation type="list" allowBlank="1" sqref="E2">
      <formula1>"14,28,56,Indefinite"</formula1>
    </dataValidation>
    <dataValidation type="list" allowBlank="1" showErrorMessage="1" sqref="D2">
      <formula1>"None,Basic,Quality"</formula1>
    </dataValidation>
    <dataValidation type="list" allowBlank="1" sqref="A2">
      <formula1>"Crop Name,Min. Profit/Crop,Av. Profit/Crop,Min. Profit/Day,Av. Profit/Day"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4" t="s">
        <v>4</v>
      </c>
      <c r="C1" s="4" t="s">
        <v>5</v>
      </c>
      <c r="D1" s="4" t="s">
        <v>6</v>
      </c>
      <c r="E1" s="6" t="s">
        <v>7</v>
      </c>
    </row>
    <row r="2">
      <c r="A2" s="7" t="s">
        <v>8</v>
      </c>
      <c r="B2" s="9">
        <v>30.0</v>
      </c>
      <c r="C2" s="9">
        <v>50.0</v>
      </c>
      <c r="D2" s="9">
        <v>7.0</v>
      </c>
      <c r="E2" s="10" t="s">
        <v>9</v>
      </c>
    </row>
    <row r="3">
      <c r="A3" s="7" t="s">
        <v>10</v>
      </c>
      <c r="B3" s="9">
        <v>80.0</v>
      </c>
      <c r="C3" s="9">
        <v>175.0</v>
      </c>
      <c r="D3" s="9">
        <v>12.0</v>
      </c>
      <c r="E3" s="10" t="s">
        <v>9</v>
      </c>
    </row>
    <row r="4">
      <c r="A4" s="7" t="s">
        <v>15</v>
      </c>
      <c r="B4" s="9">
        <v>2500.0</v>
      </c>
      <c r="C4" s="9">
        <v>60.0</v>
      </c>
      <c r="D4" s="9">
        <v>10.0</v>
      </c>
      <c r="E4" s="10">
        <v>2.0</v>
      </c>
    </row>
    <row r="5">
      <c r="A5" s="7" t="s">
        <v>16</v>
      </c>
      <c r="B5" s="9">
        <v>40.0</v>
      </c>
      <c r="C5" s="9">
        <v>60.0</v>
      </c>
      <c r="D5" s="9">
        <v>4.0</v>
      </c>
      <c r="E5" s="10" t="s">
        <v>9</v>
      </c>
    </row>
    <row r="6">
      <c r="A6" s="7" t="s">
        <v>17</v>
      </c>
      <c r="B6" s="9">
        <v>60.0</v>
      </c>
      <c r="C6" s="9">
        <v>40.0</v>
      </c>
      <c r="D6" s="9">
        <v>10.0</v>
      </c>
      <c r="E6" s="10">
        <v>3.0</v>
      </c>
    </row>
    <row r="7">
      <c r="A7" s="7" t="s">
        <v>18</v>
      </c>
      <c r="B7" s="9">
        <v>70.0</v>
      </c>
      <c r="C7" s="9">
        <v>110.0</v>
      </c>
      <c r="D7" s="9">
        <v>6.0</v>
      </c>
      <c r="E7" s="10" t="s">
        <v>9</v>
      </c>
    </row>
    <row r="8">
      <c r="A8" s="7" t="s">
        <v>19</v>
      </c>
      <c r="B8" s="9">
        <v>20.0</v>
      </c>
      <c r="C8" s="9">
        <v>35.0</v>
      </c>
      <c r="D8" s="9">
        <v>4.0</v>
      </c>
      <c r="E8" s="10" t="s">
        <v>9</v>
      </c>
    </row>
    <row r="9">
      <c r="A9" s="7" t="s">
        <v>21</v>
      </c>
      <c r="B9" s="9">
        <v>50.0</v>
      </c>
      <c r="C9" s="9">
        <v>96.0</v>
      </c>
      <c r="D9" s="9">
        <v>6.0</v>
      </c>
      <c r="E9" s="10" t="s">
        <v>9</v>
      </c>
    </row>
    <row r="10">
      <c r="A10" s="7" t="s">
        <v>22</v>
      </c>
      <c r="B10" s="9">
        <v>100.0</v>
      </c>
      <c r="C10" s="9">
        <v>220.0</v>
      </c>
      <c r="D10" s="9">
        <v>13.0</v>
      </c>
      <c r="E10" s="10" t="s">
        <v>9</v>
      </c>
    </row>
    <row r="11">
      <c r="A11" s="7" t="s">
        <v>23</v>
      </c>
      <c r="B11" s="9">
        <v>100.0</v>
      </c>
      <c r="C11" s="9">
        <v>120.0</v>
      </c>
      <c r="D11" s="9">
        <v>8.0</v>
      </c>
      <c r="E11" s="10">
        <v>4.0</v>
      </c>
    </row>
    <row r="12">
      <c r="A12" s="14" t="s">
        <v>24</v>
      </c>
      <c r="B12" s="16">
        <v>20.0</v>
      </c>
      <c r="C12" s="16">
        <v>30.0</v>
      </c>
      <c r="D12" s="16">
        <v>6.0</v>
      </c>
      <c r="E12" s="18" t="s">
        <v>9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</v>
      </c>
      <c r="B1" s="5" t="s">
        <v>4</v>
      </c>
      <c r="C1" s="5" t="s">
        <v>5</v>
      </c>
      <c r="D1" s="5" t="s">
        <v>6</v>
      </c>
      <c r="E1" s="8" t="s">
        <v>7</v>
      </c>
    </row>
    <row r="2">
      <c r="A2" s="13" t="s">
        <v>14</v>
      </c>
      <c r="B2" s="15">
        <v>80.0</v>
      </c>
      <c r="C2" s="15">
        <v>151.0</v>
      </c>
      <c r="D2" s="15">
        <v>13.0</v>
      </c>
      <c r="E2" s="17">
        <v>4.0</v>
      </c>
    </row>
    <row r="3">
      <c r="A3" s="13" t="s">
        <v>25</v>
      </c>
      <c r="B3" s="15">
        <v>150.0</v>
      </c>
      <c r="C3" s="15">
        <v>50.0</v>
      </c>
      <c r="D3" s="15">
        <v>14.0</v>
      </c>
      <c r="E3" s="17">
        <v>4.0</v>
      </c>
    </row>
    <row r="4">
      <c r="A4" s="13" t="s">
        <v>26</v>
      </c>
      <c r="B4" s="15">
        <v>60.0</v>
      </c>
      <c r="C4" s="15">
        <v>25.0</v>
      </c>
      <c r="D4" s="15">
        <v>11.0</v>
      </c>
      <c r="E4" s="17">
        <v>1.0</v>
      </c>
    </row>
    <row r="5">
      <c r="A5" s="13" t="s">
        <v>27</v>
      </c>
      <c r="B5" s="15">
        <v>40.0</v>
      </c>
      <c r="C5" s="15">
        <v>40.0</v>
      </c>
      <c r="D5" s="15">
        <v>5.0</v>
      </c>
      <c r="E5" s="17">
        <v>3.0</v>
      </c>
    </row>
    <row r="6">
      <c r="A6" s="13" t="s">
        <v>28</v>
      </c>
      <c r="B6" s="15">
        <v>80.0</v>
      </c>
      <c r="C6" s="15">
        <v>250.0</v>
      </c>
      <c r="D6" s="15">
        <v>12.0</v>
      </c>
      <c r="E6" s="17" t="s">
        <v>9</v>
      </c>
    </row>
    <row r="7">
      <c r="A7" s="13" t="s">
        <v>29</v>
      </c>
      <c r="B7" s="15">
        <v>100.0</v>
      </c>
      <c r="C7" s="15">
        <v>140.0</v>
      </c>
      <c r="D7" s="15">
        <v>7.0</v>
      </c>
      <c r="E7" s="17" t="s">
        <v>9</v>
      </c>
    </row>
    <row r="8">
      <c r="A8" s="13" t="s">
        <v>30</v>
      </c>
      <c r="B8" s="15">
        <v>40.0</v>
      </c>
      <c r="C8" s="15">
        <v>90.0</v>
      </c>
      <c r="D8" s="15">
        <v>6.0</v>
      </c>
      <c r="E8" s="17" t="s">
        <v>9</v>
      </c>
    </row>
    <row r="9">
      <c r="A9" s="13" t="s">
        <v>31</v>
      </c>
      <c r="B9" s="15">
        <v>100.0</v>
      </c>
      <c r="C9" s="15">
        <v>260.0</v>
      </c>
      <c r="D9" s="15">
        <v>9.0</v>
      </c>
      <c r="E9" s="17" t="s">
        <v>9</v>
      </c>
    </row>
    <row r="10">
      <c r="A10" s="13" t="s">
        <v>32</v>
      </c>
      <c r="B10" s="15">
        <v>400.0</v>
      </c>
      <c r="C10" s="15">
        <v>750.0</v>
      </c>
      <c r="D10" s="15">
        <v>13.0</v>
      </c>
      <c r="E10" s="17" t="s">
        <v>9</v>
      </c>
    </row>
    <row r="11">
      <c r="A11" s="13" t="s">
        <v>33</v>
      </c>
      <c r="B11" s="15">
        <v>50.0</v>
      </c>
      <c r="C11" s="15">
        <v>90.0</v>
      </c>
      <c r="D11" s="15">
        <v>8.0</v>
      </c>
      <c r="E11" s="17" t="s">
        <v>9</v>
      </c>
    </row>
    <row r="12">
      <c r="A12" s="20" t="s">
        <v>34</v>
      </c>
      <c r="B12" s="15">
        <v>200.0</v>
      </c>
      <c r="C12" s="15">
        <v>80.0</v>
      </c>
      <c r="D12" s="15">
        <v>8.0</v>
      </c>
      <c r="E12" s="17">
        <v>8.0</v>
      </c>
    </row>
    <row r="13">
      <c r="A13" s="20" t="s">
        <v>36</v>
      </c>
      <c r="B13" s="15">
        <v>50.0</v>
      </c>
      <c r="C13" s="15">
        <v>60.0</v>
      </c>
      <c r="D13" s="15">
        <v>11.0</v>
      </c>
      <c r="E13" s="17">
        <v>4.0</v>
      </c>
    </row>
    <row r="14">
      <c r="A14" s="22" t="s">
        <v>37</v>
      </c>
      <c r="B14" s="24">
        <v>10.0</v>
      </c>
      <c r="C14" s="24">
        <v>25.0</v>
      </c>
      <c r="D14" s="24">
        <v>4.0</v>
      </c>
      <c r="E14" s="26" t="s">
        <v>9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9" t="s">
        <v>1</v>
      </c>
      <c r="B1" s="33" t="s">
        <v>4</v>
      </c>
      <c r="C1" s="33" t="s">
        <v>5</v>
      </c>
      <c r="D1" s="33" t="s">
        <v>6</v>
      </c>
      <c r="E1" s="35" t="s">
        <v>7</v>
      </c>
    </row>
    <row r="2">
      <c r="A2" s="37" t="s">
        <v>41</v>
      </c>
      <c r="B2" s="39">
        <v>70.0</v>
      </c>
      <c r="C2" s="39">
        <v>150.0</v>
      </c>
      <c r="D2" s="39">
        <v>7.0</v>
      </c>
      <c r="E2" s="41" t="s">
        <v>9</v>
      </c>
    </row>
    <row r="3">
      <c r="A3" s="37" t="s">
        <v>42</v>
      </c>
      <c r="B3" s="39">
        <v>30.0</v>
      </c>
      <c r="C3" s="39">
        <v>160.0</v>
      </c>
      <c r="D3" s="39">
        <v>8.0</v>
      </c>
      <c r="E3" s="41" t="s">
        <v>9</v>
      </c>
    </row>
    <row r="4">
      <c r="A4" s="37" t="s">
        <v>43</v>
      </c>
      <c r="B4" s="39">
        <v>20.0</v>
      </c>
      <c r="C4" s="39">
        <v>100.0</v>
      </c>
      <c r="D4" s="39">
        <v>6.0</v>
      </c>
      <c r="E4" s="41" t="s">
        <v>9</v>
      </c>
    </row>
    <row r="5">
      <c r="A5" s="37" t="s">
        <v>44</v>
      </c>
      <c r="B5" s="39">
        <v>50.0</v>
      </c>
      <c r="C5" s="39">
        <v>80.0</v>
      </c>
      <c r="D5" s="39">
        <v>4.0</v>
      </c>
      <c r="E5" s="41" t="s">
        <v>9</v>
      </c>
    </row>
    <row r="6">
      <c r="A6" s="37" t="s">
        <v>45</v>
      </c>
      <c r="B6" s="39">
        <v>240.0</v>
      </c>
      <c r="C6" s="39">
        <v>150.0</v>
      </c>
      <c r="D6" s="39">
        <v>7.0</v>
      </c>
      <c r="E6" s="41">
        <v>5.0</v>
      </c>
    </row>
    <row r="7">
      <c r="A7" s="37" t="s">
        <v>47</v>
      </c>
      <c r="B7" s="39">
        <v>20.0</v>
      </c>
      <c r="C7" s="39">
        <v>60.0</v>
      </c>
      <c r="D7" s="39">
        <v>5.0</v>
      </c>
      <c r="E7" s="41">
        <v>5.0</v>
      </c>
    </row>
    <row r="8">
      <c r="A8" s="37" t="s">
        <v>49</v>
      </c>
      <c r="B8" s="39">
        <v>200.0</v>
      </c>
      <c r="C8" s="39">
        <v>290.0</v>
      </c>
      <c r="D8" s="39">
        <v>12.0</v>
      </c>
      <c r="E8" s="41" t="s">
        <v>9</v>
      </c>
    </row>
    <row r="9">
      <c r="A9" s="37" t="s">
        <v>50</v>
      </c>
      <c r="B9" s="39">
        <v>60.0</v>
      </c>
      <c r="C9" s="39">
        <v>80.0</v>
      </c>
      <c r="D9" s="39">
        <v>10.0</v>
      </c>
      <c r="E9" s="41">
        <v>3.0</v>
      </c>
    </row>
    <row r="10">
      <c r="A10" s="37" t="s">
        <v>51</v>
      </c>
      <c r="B10" s="39">
        <v>100.0</v>
      </c>
      <c r="C10" s="39">
        <v>320.0</v>
      </c>
      <c r="D10" s="39">
        <v>13.0</v>
      </c>
      <c r="E10" s="41" t="s">
        <v>9</v>
      </c>
    </row>
    <row r="11">
      <c r="A11" s="45" t="s">
        <v>52</v>
      </c>
      <c r="B11" s="47">
        <v>60.0</v>
      </c>
      <c r="C11" s="47">
        <v>160.0</v>
      </c>
      <c r="D11" s="47">
        <v>10.0</v>
      </c>
      <c r="E11" s="49" t="s">
        <v>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0" t="s">
        <v>1</v>
      </c>
      <c r="B1" s="32" t="s">
        <v>4</v>
      </c>
      <c r="C1" s="32" t="s">
        <v>5</v>
      </c>
      <c r="D1" s="32" t="s">
        <v>6</v>
      </c>
      <c r="E1" s="43" t="s">
        <v>7</v>
      </c>
    </row>
    <row r="2">
      <c r="A2" s="7" t="s">
        <v>8</v>
      </c>
      <c r="B2" s="9">
        <v>30.0</v>
      </c>
      <c r="C2" s="9">
        <v>50.0</v>
      </c>
      <c r="D2" s="9">
        <v>7.0</v>
      </c>
      <c r="E2" s="10" t="s">
        <v>9</v>
      </c>
    </row>
    <row r="3">
      <c r="A3" s="7" t="s">
        <v>10</v>
      </c>
      <c r="B3" s="9">
        <v>80.0</v>
      </c>
      <c r="C3" s="9">
        <v>175.0</v>
      </c>
      <c r="D3" s="9">
        <v>12.0</v>
      </c>
      <c r="E3" s="10" t="s">
        <v>9</v>
      </c>
    </row>
    <row r="4">
      <c r="A4" s="7" t="s">
        <v>15</v>
      </c>
      <c r="B4" s="9">
        <v>2500.0</v>
      </c>
      <c r="C4" s="9">
        <v>60.0</v>
      </c>
      <c r="D4" s="9">
        <v>10.0</v>
      </c>
      <c r="E4" s="10">
        <v>2.0</v>
      </c>
    </row>
    <row r="5">
      <c r="A5" s="7" t="s">
        <v>16</v>
      </c>
      <c r="B5" s="9">
        <v>40.0</v>
      </c>
      <c r="C5" s="9">
        <v>60.0</v>
      </c>
      <c r="D5" s="9">
        <v>4.0</v>
      </c>
      <c r="E5" s="10" t="s">
        <v>9</v>
      </c>
    </row>
    <row r="6">
      <c r="A6" s="7" t="s">
        <v>17</v>
      </c>
      <c r="B6" s="9">
        <v>60.0</v>
      </c>
      <c r="C6" s="9">
        <v>40.0</v>
      </c>
      <c r="D6" s="9">
        <v>10.0</v>
      </c>
      <c r="E6" s="10">
        <v>3.0</v>
      </c>
    </row>
    <row r="7">
      <c r="A7" s="7" t="s">
        <v>18</v>
      </c>
      <c r="B7" s="9">
        <v>70.0</v>
      </c>
      <c r="C7" s="9">
        <v>110.0</v>
      </c>
      <c r="D7" s="9">
        <v>6.0</v>
      </c>
      <c r="E7" s="10" t="s">
        <v>9</v>
      </c>
    </row>
    <row r="8">
      <c r="A8" s="7" t="s">
        <v>19</v>
      </c>
      <c r="B8" s="9">
        <v>20.0</v>
      </c>
      <c r="C8" s="9">
        <v>35.0</v>
      </c>
      <c r="D8" s="9">
        <v>4.0</v>
      </c>
      <c r="E8" s="10" t="s">
        <v>9</v>
      </c>
    </row>
    <row r="9">
      <c r="A9" s="7" t="s">
        <v>21</v>
      </c>
      <c r="B9" s="9">
        <v>50.0</v>
      </c>
      <c r="C9" s="9">
        <v>96.0</v>
      </c>
      <c r="D9" s="9">
        <v>6.0</v>
      </c>
      <c r="E9" s="10" t="s">
        <v>9</v>
      </c>
    </row>
    <row r="10">
      <c r="A10" s="7" t="s">
        <v>22</v>
      </c>
      <c r="B10" s="9">
        <v>100.0</v>
      </c>
      <c r="C10" s="9">
        <v>220.0</v>
      </c>
      <c r="D10" s="9">
        <v>13.0</v>
      </c>
      <c r="E10" s="10" t="s">
        <v>9</v>
      </c>
    </row>
    <row r="11">
      <c r="A11" s="7" t="s">
        <v>23</v>
      </c>
      <c r="B11" s="9">
        <v>100.0</v>
      </c>
      <c r="C11" s="9">
        <v>120.0</v>
      </c>
      <c r="D11" s="9">
        <v>8.0</v>
      </c>
      <c r="E11" s="10">
        <v>4.0</v>
      </c>
    </row>
    <row r="12">
      <c r="A12" s="50" t="s">
        <v>24</v>
      </c>
      <c r="B12" s="9">
        <v>20.0</v>
      </c>
      <c r="C12" s="9">
        <v>30.0</v>
      </c>
      <c r="D12" s="9">
        <v>6.0</v>
      </c>
      <c r="E12" s="10" t="s">
        <v>9</v>
      </c>
    </row>
    <row r="13">
      <c r="A13" s="13" t="s">
        <v>14</v>
      </c>
      <c r="B13" s="15">
        <v>80.0</v>
      </c>
      <c r="C13" s="15">
        <v>151.0</v>
      </c>
      <c r="D13" s="15">
        <v>13.0</v>
      </c>
      <c r="E13" s="17">
        <v>4.0</v>
      </c>
    </row>
    <row r="14">
      <c r="A14" s="13" t="s">
        <v>25</v>
      </c>
      <c r="B14" s="15">
        <v>150.0</v>
      </c>
      <c r="C14" s="15">
        <v>50.0</v>
      </c>
      <c r="D14" s="15">
        <v>14.0</v>
      </c>
      <c r="E14" s="17">
        <v>4.0</v>
      </c>
    </row>
    <row r="15">
      <c r="A15" s="13" t="s">
        <v>26</v>
      </c>
      <c r="B15" s="15">
        <v>60.0</v>
      </c>
      <c r="C15" s="15">
        <v>25.0</v>
      </c>
      <c r="D15" s="15">
        <v>11.0</v>
      </c>
      <c r="E15" s="17">
        <v>1.0</v>
      </c>
    </row>
    <row r="16">
      <c r="A16" s="13" t="s">
        <v>27</v>
      </c>
      <c r="B16" s="15">
        <v>40.0</v>
      </c>
      <c r="C16" s="15">
        <v>40.0</v>
      </c>
      <c r="D16" s="15">
        <v>5.0</v>
      </c>
      <c r="E16" s="17">
        <v>3.0</v>
      </c>
    </row>
    <row r="17">
      <c r="A17" s="13" t="s">
        <v>28</v>
      </c>
      <c r="B17" s="15">
        <v>80.0</v>
      </c>
      <c r="C17" s="15">
        <v>250.0</v>
      </c>
      <c r="D17" s="15">
        <v>12.0</v>
      </c>
      <c r="E17" s="17" t="s">
        <v>9</v>
      </c>
    </row>
    <row r="18">
      <c r="A18" s="13" t="s">
        <v>29</v>
      </c>
      <c r="B18" s="15">
        <v>100.0</v>
      </c>
      <c r="C18" s="15">
        <v>140.0</v>
      </c>
      <c r="D18" s="15">
        <v>7.0</v>
      </c>
      <c r="E18" s="17" t="s">
        <v>9</v>
      </c>
    </row>
    <row r="19">
      <c r="A19" s="13" t="s">
        <v>30</v>
      </c>
      <c r="B19" s="15">
        <v>40.0</v>
      </c>
      <c r="C19" s="15">
        <v>90.0</v>
      </c>
      <c r="D19" s="15">
        <v>6.0</v>
      </c>
      <c r="E19" s="17" t="s">
        <v>9</v>
      </c>
    </row>
    <row r="20">
      <c r="A20" s="13" t="s">
        <v>31</v>
      </c>
      <c r="B20" s="15">
        <v>100.0</v>
      </c>
      <c r="C20" s="15">
        <v>260.0</v>
      </c>
      <c r="D20" s="15">
        <v>9.0</v>
      </c>
      <c r="E20" s="17" t="s">
        <v>9</v>
      </c>
    </row>
    <row r="21">
      <c r="A21" s="13" t="s">
        <v>32</v>
      </c>
      <c r="B21" s="15">
        <v>400.0</v>
      </c>
      <c r="C21" s="15">
        <v>750.0</v>
      </c>
      <c r="D21" s="15">
        <v>13.0</v>
      </c>
      <c r="E21" s="17" t="s">
        <v>9</v>
      </c>
    </row>
    <row r="22">
      <c r="A22" s="13" t="s">
        <v>33</v>
      </c>
      <c r="B22" s="15">
        <v>50.0</v>
      </c>
      <c r="C22" s="15">
        <v>90.0</v>
      </c>
      <c r="D22" s="15">
        <v>8.0</v>
      </c>
      <c r="E22" s="17" t="s">
        <v>9</v>
      </c>
    </row>
    <row r="23">
      <c r="A23" s="20" t="s">
        <v>34</v>
      </c>
      <c r="B23" s="15">
        <v>200.0</v>
      </c>
      <c r="C23" s="15">
        <v>80.0</v>
      </c>
      <c r="D23" s="15">
        <v>8.0</v>
      </c>
      <c r="E23" s="17">
        <v>8.0</v>
      </c>
    </row>
    <row r="24">
      <c r="A24" s="20" t="s">
        <v>36</v>
      </c>
      <c r="B24" s="15">
        <v>50.0</v>
      </c>
      <c r="C24" s="15">
        <v>60.0</v>
      </c>
      <c r="D24" s="15">
        <v>11.0</v>
      </c>
      <c r="E24" s="17">
        <v>4.0</v>
      </c>
    </row>
    <row r="25">
      <c r="A25" s="20" t="s">
        <v>37</v>
      </c>
      <c r="B25" s="15">
        <v>10.0</v>
      </c>
      <c r="C25" s="15">
        <v>25.0</v>
      </c>
      <c r="D25" s="15">
        <v>4.0</v>
      </c>
      <c r="E25" s="17" t="s">
        <v>9</v>
      </c>
    </row>
    <row r="26">
      <c r="A26" s="52" t="s">
        <v>41</v>
      </c>
      <c r="B26" s="53">
        <v>70.0</v>
      </c>
      <c r="C26" s="53">
        <v>150.0</v>
      </c>
      <c r="D26" s="53">
        <v>7.0</v>
      </c>
      <c r="E26" s="55" t="s">
        <v>9</v>
      </c>
    </row>
    <row r="27">
      <c r="A27" s="37" t="s">
        <v>42</v>
      </c>
      <c r="B27" s="53">
        <v>30.0</v>
      </c>
      <c r="C27" s="53">
        <v>160.0</v>
      </c>
      <c r="D27" s="53">
        <v>8.0</v>
      </c>
      <c r="E27" s="55" t="s">
        <v>9</v>
      </c>
    </row>
    <row r="28">
      <c r="A28" s="37" t="s">
        <v>43</v>
      </c>
      <c r="B28" s="53">
        <v>20.0</v>
      </c>
      <c r="C28" s="53">
        <v>100.0</v>
      </c>
      <c r="D28" s="53">
        <v>6.0</v>
      </c>
      <c r="E28" s="55" t="s">
        <v>9</v>
      </c>
    </row>
    <row r="29">
      <c r="A29" s="37" t="s">
        <v>44</v>
      </c>
      <c r="B29" s="53">
        <v>50.0</v>
      </c>
      <c r="C29" s="53">
        <v>80.0</v>
      </c>
      <c r="D29" s="53">
        <v>4.0</v>
      </c>
      <c r="E29" s="55" t="s">
        <v>9</v>
      </c>
    </row>
    <row r="30">
      <c r="A30" s="37" t="s">
        <v>45</v>
      </c>
      <c r="B30" s="53">
        <v>240.0</v>
      </c>
      <c r="C30" s="53">
        <v>150.0</v>
      </c>
      <c r="D30" s="53">
        <v>7.0</v>
      </c>
      <c r="E30" s="55">
        <v>5.0</v>
      </c>
    </row>
    <row r="31">
      <c r="A31" s="37" t="s">
        <v>47</v>
      </c>
      <c r="B31" s="53">
        <v>20.0</v>
      </c>
      <c r="C31" s="53">
        <v>60.0</v>
      </c>
      <c r="D31" s="53">
        <v>5.0</v>
      </c>
      <c r="E31" s="55">
        <v>5.0</v>
      </c>
    </row>
    <row r="32">
      <c r="A32" s="37" t="s">
        <v>49</v>
      </c>
      <c r="B32" s="53">
        <v>200.0</v>
      </c>
      <c r="C32" s="53">
        <v>290.0</v>
      </c>
      <c r="D32" s="53">
        <v>12.0</v>
      </c>
      <c r="E32" s="55" t="s">
        <v>9</v>
      </c>
    </row>
    <row r="33">
      <c r="A33" s="37" t="s">
        <v>50</v>
      </c>
      <c r="B33" s="53">
        <v>60.0</v>
      </c>
      <c r="C33" s="53">
        <v>80.0</v>
      </c>
      <c r="D33" s="53">
        <v>10.0</v>
      </c>
      <c r="E33" s="55">
        <v>3.0</v>
      </c>
    </row>
    <row r="34">
      <c r="A34" s="37" t="s">
        <v>51</v>
      </c>
      <c r="B34" s="53">
        <v>100.0</v>
      </c>
      <c r="C34" s="53">
        <v>320.0</v>
      </c>
      <c r="D34" s="53">
        <v>13.0</v>
      </c>
      <c r="E34" s="55" t="s">
        <v>9</v>
      </c>
    </row>
    <row r="35">
      <c r="A35" s="45" t="s">
        <v>52</v>
      </c>
      <c r="B35" s="58">
        <v>60.0</v>
      </c>
      <c r="C35" s="58">
        <v>160.0</v>
      </c>
      <c r="D35" s="58">
        <v>10.0</v>
      </c>
      <c r="E35" s="61" t="s">
        <v>9</v>
      </c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54" t="s">
        <v>56</v>
      </c>
      <c r="B1" s="56" t="s">
        <v>13</v>
      </c>
      <c r="C1" s="56" t="s">
        <v>20</v>
      </c>
      <c r="D1" s="56" t="s">
        <v>35</v>
      </c>
    </row>
    <row r="2">
      <c r="A2" s="57">
        <v>0.0</v>
      </c>
      <c r="B2" s="59">
        <v>0.97</v>
      </c>
      <c r="C2" s="59">
        <v>0.02</v>
      </c>
      <c r="D2" s="59">
        <v>0.01</v>
      </c>
    </row>
    <row r="3">
      <c r="A3" s="57">
        <v>1.0</v>
      </c>
      <c r="B3" s="59">
        <v>0.91</v>
      </c>
      <c r="C3" s="59">
        <v>0.06</v>
      </c>
      <c r="D3" s="59">
        <v>0.03</v>
      </c>
    </row>
    <row r="4">
      <c r="A4" s="57">
        <v>2.0</v>
      </c>
      <c r="B4" s="59">
        <v>0.86</v>
      </c>
      <c r="C4" s="59">
        <v>0.09</v>
      </c>
      <c r="D4" s="59">
        <v>0.05</v>
      </c>
    </row>
    <row r="5">
      <c r="A5" s="57">
        <v>3.0</v>
      </c>
      <c r="B5" s="59">
        <v>0.8</v>
      </c>
      <c r="C5" s="59">
        <v>0.13</v>
      </c>
      <c r="D5" s="59">
        <v>0.07</v>
      </c>
    </row>
    <row r="6">
      <c r="A6" s="57">
        <v>4.0</v>
      </c>
      <c r="B6" s="59">
        <v>0.75</v>
      </c>
      <c r="C6" s="59">
        <v>0.16</v>
      </c>
      <c r="D6" s="59">
        <v>0.09</v>
      </c>
    </row>
    <row r="7">
      <c r="A7" s="57">
        <v>5.0</v>
      </c>
      <c r="B7" s="59">
        <v>0.69</v>
      </c>
      <c r="C7" s="59">
        <v>0.2</v>
      </c>
      <c r="D7" s="59">
        <v>0.11</v>
      </c>
    </row>
    <row r="8">
      <c r="A8" s="57">
        <v>6.0</v>
      </c>
      <c r="B8" s="59">
        <v>0.64</v>
      </c>
      <c r="C8" s="59">
        <v>0.23</v>
      </c>
      <c r="D8" s="59">
        <v>0.13</v>
      </c>
    </row>
    <row r="9">
      <c r="A9" s="57">
        <v>7.0</v>
      </c>
      <c r="B9" s="59">
        <v>0.6</v>
      </c>
      <c r="C9" s="59">
        <v>0.25</v>
      </c>
      <c r="D9" s="59">
        <v>0.15</v>
      </c>
    </row>
    <row r="10">
      <c r="A10" s="57">
        <v>8.0</v>
      </c>
      <c r="B10" s="59">
        <v>0.55</v>
      </c>
      <c r="C10" s="59">
        <v>0.28</v>
      </c>
      <c r="D10" s="59">
        <v>0.17</v>
      </c>
    </row>
    <row r="11">
      <c r="A11" s="57">
        <v>9.0</v>
      </c>
      <c r="B11" s="59">
        <v>0.5</v>
      </c>
      <c r="C11" s="59">
        <v>0.31</v>
      </c>
      <c r="D11" s="59">
        <v>0.19</v>
      </c>
    </row>
    <row r="12">
      <c r="A12" s="57">
        <v>10.0</v>
      </c>
      <c r="B12" s="59">
        <v>0.46</v>
      </c>
      <c r="C12" s="59">
        <v>0.33</v>
      </c>
      <c r="D12" s="59">
        <v>0.21</v>
      </c>
    </row>
    <row r="13">
      <c r="A13" s="57">
        <v>11.0</v>
      </c>
      <c r="B13" s="59">
        <v>0.42</v>
      </c>
      <c r="C13" s="59">
        <v>0.35</v>
      </c>
      <c r="D13" s="59">
        <v>0.23</v>
      </c>
    </row>
    <row r="14">
      <c r="A14" s="57">
        <v>12.0</v>
      </c>
      <c r="B14" s="59">
        <v>0.38</v>
      </c>
      <c r="C14" s="59">
        <v>0.37</v>
      </c>
      <c r="D14" s="59">
        <v>0.25</v>
      </c>
    </row>
    <row r="15">
      <c r="A15" s="57">
        <v>13.0</v>
      </c>
      <c r="B15" s="59">
        <v>0.34</v>
      </c>
      <c r="C15" s="59">
        <v>0.39</v>
      </c>
      <c r="D15" s="59">
        <v>0.27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62" t="s">
        <v>56</v>
      </c>
      <c r="B1" s="63" t="s">
        <v>57</v>
      </c>
      <c r="C1" s="63" t="s">
        <v>58</v>
      </c>
      <c r="D1" s="63" t="s">
        <v>59</v>
      </c>
    </row>
    <row r="2">
      <c r="A2" s="64">
        <v>0.0</v>
      </c>
      <c r="B2" s="66">
        <v>0.87</v>
      </c>
      <c r="C2" s="66">
        <v>0.09</v>
      </c>
      <c r="D2" s="66">
        <v>0.04</v>
      </c>
    </row>
    <row r="3">
      <c r="A3" s="64">
        <v>1.0</v>
      </c>
      <c r="B3" s="66">
        <v>0.77</v>
      </c>
      <c r="C3" s="66">
        <v>0.15</v>
      </c>
      <c r="D3" s="66">
        <v>0.08</v>
      </c>
    </row>
    <row r="4">
      <c r="A4" s="64">
        <v>2.0</v>
      </c>
      <c r="B4" s="66">
        <v>0.68</v>
      </c>
      <c r="C4" s="66">
        <v>0.2</v>
      </c>
      <c r="D4" s="66">
        <v>0.12</v>
      </c>
    </row>
    <row r="5">
      <c r="A5" s="64">
        <v>3.0</v>
      </c>
      <c r="B5" s="66">
        <v>0.59</v>
      </c>
      <c r="C5" s="66">
        <v>0.26</v>
      </c>
      <c r="D5" s="66">
        <v>0.15</v>
      </c>
    </row>
    <row r="6">
      <c r="A6" s="64">
        <v>4.0</v>
      </c>
      <c r="B6" s="66">
        <v>0.5</v>
      </c>
      <c r="C6" s="66">
        <v>0.31</v>
      </c>
      <c r="D6" s="66">
        <v>0.19</v>
      </c>
    </row>
    <row r="7">
      <c r="A7" s="64">
        <v>5.0</v>
      </c>
      <c r="B7" s="66">
        <v>0.42</v>
      </c>
      <c r="C7" s="66">
        <v>0.35</v>
      </c>
      <c r="D7" s="66">
        <v>0.23</v>
      </c>
    </row>
    <row r="8">
      <c r="A8" s="64">
        <v>6.0</v>
      </c>
      <c r="B8" s="66">
        <v>0.35</v>
      </c>
      <c r="C8" s="66">
        <v>0.39</v>
      </c>
      <c r="D8" s="66">
        <v>0.26</v>
      </c>
    </row>
    <row r="9">
      <c r="A9" s="64">
        <v>7.0</v>
      </c>
      <c r="B9" s="66">
        <v>0.28</v>
      </c>
      <c r="C9" s="66">
        <v>0.42</v>
      </c>
      <c r="D9" s="66">
        <v>0.3</v>
      </c>
    </row>
    <row r="10">
      <c r="A10" s="64">
        <v>8.0</v>
      </c>
      <c r="B10" s="66">
        <v>0.22</v>
      </c>
      <c r="C10" s="66">
        <v>0.44</v>
      </c>
      <c r="D10" s="66">
        <v>0.34</v>
      </c>
    </row>
    <row r="11">
      <c r="A11" s="64">
        <v>9.0</v>
      </c>
      <c r="B11" s="66">
        <v>0.16</v>
      </c>
      <c r="C11" s="66">
        <v>0.47</v>
      </c>
      <c r="D11" s="66">
        <v>0.37</v>
      </c>
    </row>
    <row r="12">
      <c r="A12" s="64">
        <v>10.0</v>
      </c>
      <c r="B12" s="66">
        <v>0.15</v>
      </c>
      <c r="C12" s="66">
        <v>0.44</v>
      </c>
      <c r="D12" s="66">
        <v>0.41</v>
      </c>
    </row>
    <row r="13">
      <c r="A13" s="64">
        <v>11.0</v>
      </c>
      <c r="B13" s="66">
        <v>0.14</v>
      </c>
      <c r="C13" s="66">
        <v>0.41</v>
      </c>
      <c r="D13" s="66">
        <v>0.45</v>
      </c>
    </row>
    <row r="14">
      <c r="A14" s="64">
        <v>12.0</v>
      </c>
      <c r="B14" s="66">
        <v>0.13</v>
      </c>
      <c r="C14" s="66">
        <v>0.39</v>
      </c>
      <c r="D14" s="66">
        <v>0.48</v>
      </c>
    </row>
    <row r="15">
      <c r="A15" s="64">
        <v>13.0</v>
      </c>
      <c r="B15" s="66">
        <v>0.12</v>
      </c>
      <c r="C15" s="66">
        <v>0.36</v>
      </c>
      <c r="D15" s="66">
        <v>0.52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54" t="s">
        <v>56</v>
      </c>
      <c r="B1" s="56" t="s">
        <v>13</v>
      </c>
      <c r="C1" s="56" t="s">
        <v>20</v>
      </c>
      <c r="D1" s="56" t="s">
        <v>35</v>
      </c>
    </row>
    <row r="2">
      <c r="A2" s="57">
        <v>0.0</v>
      </c>
      <c r="B2" s="59">
        <v>0.78</v>
      </c>
      <c r="C2" s="59">
        <v>0.14</v>
      </c>
      <c r="D2" s="59">
        <v>0.08</v>
      </c>
    </row>
    <row r="3">
      <c r="A3" s="57">
        <v>1.0</v>
      </c>
      <c r="B3" s="59">
        <v>0.64</v>
      </c>
      <c r="C3" s="59">
        <v>0.23</v>
      </c>
      <c r="D3" s="59">
        <v>0.13</v>
      </c>
    </row>
    <row r="4">
      <c r="A4" s="57">
        <v>2.0</v>
      </c>
      <c r="B4" s="59">
        <v>0.52</v>
      </c>
      <c r="C4" s="59">
        <v>0.3</v>
      </c>
      <c r="D4" s="59">
        <v>0.18</v>
      </c>
    </row>
    <row r="5">
      <c r="A5" s="57">
        <v>3.0</v>
      </c>
      <c r="B5" s="59">
        <v>0.4</v>
      </c>
      <c r="C5" s="59">
        <v>0.36</v>
      </c>
      <c r="D5" s="59">
        <v>0.24</v>
      </c>
    </row>
    <row r="6">
      <c r="A6" s="57">
        <v>4.0</v>
      </c>
      <c r="B6" s="59">
        <v>0.3</v>
      </c>
      <c r="C6" s="59">
        <v>0.41</v>
      </c>
      <c r="D6" s="59">
        <v>0.29</v>
      </c>
    </row>
    <row r="7">
      <c r="A7" s="57">
        <v>5.0</v>
      </c>
      <c r="B7" s="59">
        <v>0.2</v>
      </c>
      <c r="C7" s="59">
        <v>0.46</v>
      </c>
      <c r="D7" s="59">
        <v>0.34</v>
      </c>
    </row>
    <row r="8">
      <c r="A8" s="57">
        <v>6.0</v>
      </c>
      <c r="B8" s="59">
        <v>0.15</v>
      </c>
      <c r="C8" s="59">
        <v>0.45</v>
      </c>
      <c r="D8" s="59">
        <v>0.4</v>
      </c>
    </row>
    <row r="9">
      <c r="A9" s="57">
        <v>7.0</v>
      </c>
      <c r="B9" s="59">
        <v>0.14</v>
      </c>
      <c r="C9" s="59">
        <v>0.41</v>
      </c>
      <c r="D9" s="59">
        <v>0.45</v>
      </c>
    </row>
    <row r="10">
      <c r="A10" s="57">
        <v>8.0</v>
      </c>
      <c r="B10" s="59">
        <v>0.12</v>
      </c>
      <c r="C10" s="59">
        <v>0.38</v>
      </c>
      <c r="D10" s="59">
        <v>0.5</v>
      </c>
    </row>
    <row r="11">
      <c r="A11" s="57">
        <v>9.0</v>
      </c>
      <c r="B11" s="59">
        <v>0.11</v>
      </c>
      <c r="C11" s="59">
        <v>0.33</v>
      </c>
      <c r="D11" s="59">
        <v>0.56</v>
      </c>
    </row>
    <row r="12">
      <c r="A12" s="57">
        <v>10.0</v>
      </c>
      <c r="B12" s="59">
        <v>0.1</v>
      </c>
      <c r="C12" s="59">
        <v>0.29</v>
      </c>
      <c r="D12" s="59">
        <v>0.61</v>
      </c>
    </row>
    <row r="13">
      <c r="A13" s="57">
        <v>11.0</v>
      </c>
      <c r="B13" s="59">
        <v>0.09</v>
      </c>
      <c r="C13" s="59">
        <v>0.25</v>
      </c>
      <c r="D13" s="59">
        <v>0.66</v>
      </c>
    </row>
    <row r="14">
      <c r="A14" s="57">
        <v>12.0</v>
      </c>
      <c r="B14" s="59">
        <v>0.07</v>
      </c>
      <c r="C14" s="59">
        <v>0.21</v>
      </c>
      <c r="D14" s="59">
        <v>0.72</v>
      </c>
    </row>
    <row r="15">
      <c r="A15" s="57">
        <v>13.0</v>
      </c>
      <c r="B15" s="59">
        <v>0.06</v>
      </c>
      <c r="C15" s="59">
        <v>0.17</v>
      </c>
      <c r="D15" s="59">
        <v>0.77</v>
      </c>
    </row>
  </sheetData>
  <drawing r:id="rId1"/>
</worksheet>
</file>